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70" windowWidth="22635" windowHeight="9330" activeTab="6"/>
  </bookViews>
  <sheets>
    <sheet name="E 2 (s)" sheetId="23" r:id="rId1"/>
    <sheet name="Sewer Rate Design" sheetId="20" r:id="rId2"/>
    <sheet name="S-Revenue Summary" sheetId="19" r:id="rId3"/>
    <sheet name="S-Bills Summary" sheetId="18" r:id="rId4"/>
    <sheet name="S-Usage Summary" sheetId="17" r:id="rId5"/>
    <sheet name="S-Rate Summary" sheetId="16" r:id="rId6"/>
    <sheet name="Cypress(s)" sheetId="1" r:id="rId7"/>
    <sheet name="EagleRidge(s)" sheetId="2" r:id="rId8"/>
    <sheet name="Labrador(s)" sheetId="3" r:id="rId9"/>
    <sheet name="LakePlacid(s)" sheetId="4" r:id="rId10"/>
    <sheet name="Longwood(s)" sheetId="5" r:id="rId11"/>
    <sheet name="LUSI(s)" sheetId="6" r:id="rId12"/>
    <sheet name="MidCounty(s)" sheetId="7" r:id="rId13"/>
    <sheet name="Pennbrooke(s)" sheetId="8" r:id="rId14"/>
    <sheet name="Sandalhaven(s)" sheetId="9" r:id="rId15"/>
    <sheet name="Sanlando(s)" sheetId="10" r:id="rId16"/>
    <sheet name="TierraVerde(s)" sheetId="11" r:id="rId17"/>
    <sheet name="UIF-Marion(s)" sheetId="12" r:id="rId18"/>
    <sheet name="UIF-Pasco-Orangewood(s)" sheetId="13" r:id="rId19"/>
    <sheet name="UIF-Pasco-Summertree(s)" sheetId="14" r:id="rId20"/>
    <sheet name="UIF-Seminole(s)" sheetId="15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" localSheetId="0">#REF!</definedName>
    <definedName name="\D">#REF!</definedName>
    <definedName name="\G" localSheetId="0">#REF!</definedName>
    <definedName name="\G">#REF!</definedName>
    <definedName name="\P" localSheetId="0">#REF!</definedName>
    <definedName name="\P">[1]Macros!#REF!</definedName>
    <definedName name="\Q">[1]Macros!#REF!</definedName>
    <definedName name="\S" localSheetId="0">#REF!</definedName>
    <definedName name="\S">#REF!</definedName>
    <definedName name="___________pri0061">#REF!</definedName>
    <definedName name="___________pri0062">'[2]F-1'!#REF!</definedName>
    <definedName name="___________pri0065">'[2]F-1'!#REF!</definedName>
    <definedName name="___________pri0066">'[2]F-1'!#REF!</definedName>
    <definedName name="___________pri0067">'[2]F-1'!#REF!</definedName>
    <definedName name="___________pri0068">'[2]F-1'!#REF!</definedName>
    <definedName name="__________pri0061">#REF!</definedName>
    <definedName name="__________pri0062">#REF!</definedName>
    <definedName name="__________pri0065">#REF!</definedName>
    <definedName name="__________pri0066">#REF!</definedName>
    <definedName name="__________pri0067">#REF!</definedName>
    <definedName name="__________pri0068">#REF!</definedName>
    <definedName name="_____pg1">'[3]A 7'!$D$4</definedName>
    <definedName name="_____TY2">[3]Macros!#REF!</definedName>
    <definedName name="____pg1">'[4]A 7'!$D$4</definedName>
    <definedName name="____pri0004">#REF!</definedName>
    <definedName name="____pri0005">#REF!</definedName>
    <definedName name="____pri0006">#REF!</definedName>
    <definedName name="____pri0007">#REF!</definedName>
    <definedName name="____pri0008">#REF!</definedName>
    <definedName name="____pri0009">#REF!</definedName>
    <definedName name="____pri0010">#REF!</definedName>
    <definedName name="____pri0011">#REF!</definedName>
    <definedName name="____pri0012">#REF!</definedName>
    <definedName name="____pri0013">#REF!</definedName>
    <definedName name="____pri0014">#REF!</definedName>
    <definedName name="____pri0015">#REF!</definedName>
    <definedName name="____pri0016">#REF!</definedName>
    <definedName name="____pri0017">#REF!</definedName>
    <definedName name="____pri0018">#REF!</definedName>
    <definedName name="____pri0019">#REF!</definedName>
    <definedName name="____pri0061">#REF!</definedName>
    <definedName name="____pri0062">#REF!</definedName>
    <definedName name="____pri0065">#REF!</definedName>
    <definedName name="____pri0066">#REF!</definedName>
    <definedName name="____pri0067">#REF!</definedName>
    <definedName name="____pri0068">#REF!</definedName>
    <definedName name="____TY2">[4]Macros!#REF!</definedName>
    <definedName name="___pg1">'[5]A 7'!$D$4</definedName>
    <definedName name="___pri0004">#REF!</definedName>
    <definedName name="___pri0005">#REF!</definedName>
    <definedName name="___pri0006">#REF!</definedName>
    <definedName name="___pri0007">#REF!</definedName>
    <definedName name="___pri0008">#REF!</definedName>
    <definedName name="___pri0009">#REF!</definedName>
    <definedName name="___pri0010">#REF!</definedName>
    <definedName name="___pri0011">#REF!</definedName>
    <definedName name="___pri0012">#REF!</definedName>
    <definedName name="___pri0013">#REF!</definedName>
    <definedName name="___pri0014">#REF!</definedName>
    <definedName name="___pri0015">#REF!</definedName>
    <definedName name="___pri0016">#REF!</definedName>
    <definedName name="___pri0017">#REF!</definedName>
    <definedName name="___pri0018">#REF!</definedName>
    <definedName name="___pri0019">#REF!</definedName>
    <definedName name="___pri0061">#REF!</definedName>
    <definedName name="___pri0062">#REF!</definedName>
    <definedName name="___pri0065">#REF!</definedName>
    <definedName name="___pri0066">#REF!</definedName>
    <definedName name="___pri0067">#REF!</definedName>
    <definedName name="___pri0068">#REF!</definedName>
    <definedName name="___TY2">[4]Macros!#REF!</definedName>
    <definedName name="__pg1">'[4]A 7'!$D$4</definedName>
    <definedName name="__pri0004">#REF!</definedName>
    <definedName name="__pri0005">#REF!</definedName>
    <definedName name="__pri0006">#REF!</definedName>
    <definedName name="__pri0007">#REF!</definedName>
    <definedName name="__pri0008">#REF!</definedName>
    <definedName name="__pri0009">#REF!</definedName>
    <definedName name="__pri0010">#REF!</definedName>
    <definedName name="__pri0011">#REF!</definedName>
    <definedName name="__pri0012">#REF!</definedName>
    <definedName name="__pri0013">#REF!</definedName>
    <definedName name="__pri0014">#REF!</definedName>
    <definedName name="__pri0015">#REF!</definedName>
    <definedName name="__pri0016">#REF!</definedName>
    <definedName name="__pri0017">#REF!</definedName>
    <definedName name="__pri0018">#REF!</definedName>
    <definedName name="__pri0019">#REF!</definedName>
    <definedName name="__pri0061">#REF!</definedName>
    <definedName name="__pri0062">#REF!</definedName>
    <definedName name="__pri0065">#REF!</definedName>
    <definedName name="__pri0066">#REF!</definedName>
    <definedName name="__pri0067">#REF!</definedName>
    <definedName name="__pri0068">#REF!</definedName>
    <definedName name="__TY2">[4]Macros!#REF!</definedName>
    <definedName name="_1PLANT_W">[6]Plnt!$A$1</definedName>
    <definedName name="_2S_RATEAL">#REF!</definedName>
    <definedName name="_3S_RATES">#REF!</definedName>
    <definedName name="_4W_RATEAL">#REF!</definedName>
    <definedName name="_pg_1">'[7]A 7'!$C$4</definedName>
    <definedName name="_pg1">'[1]A 7'!$C$4</definedName>
    <definedName name="_pri0004" localSheetId="0">#REF!</definedName>
    <definedName name="_pri0004">#REF!</definedName>
    <definedName name="_pri0005" localSheetId="0">#REF!</definedName>
    <definedName name="_pri0005">#REF!</definedName>
    <definedName name="_pri0006" localSheetId="0">#REF!</definedName>
    <definedName name="_pri0006">#REF!</definedName>
    <definedName name="_pri0007" localSheetId="0">#REF!</definedName>
    <definedName name="_pri0007">#REF!</definedName>
    <definedName name="_pri0008" localSheetId="0">#REF!</definedName>
    <definedName name="_pri0008">#REF!</definedName>
    <definedName name="_pri0009" localSheetId="0">#REF!</definedName>
    <definedName name="_pri0009">#REF!</definedName>
    <definedName name="_pri0010" localSheetId="0">#REF!</definedName>
    <definedName name="_pri0010">#REF!</definedName>
    <definedName name="_pri0011" localSheetId="0">#REF!</definedName>
    <definedName name="_pri0011">#REF!</definedName>
    <definedName name="_pri0012" localSheetId="0">#REF!</definedName>
    <definedName name="_pri0012">#REF!</definedName>
    <definedName name="_pri0013" localSheetId="0">#REF!</definedName>
    <definedName name="_pri0013">#REF!</definedName>
    <definedName name="_pri0014" localSheetId="0">#REF!</definedName>
    <definedName name="_pri0014">#REF!</definedName>
    <definedName name="_pri0015" localSheetId="0">#REF!</definedName>
    <definedName name="_pri0015">#REF!</definedName>
    <definedName name="_pri0016" localSheetId="0">#REF!</definedName>
    <definedName name="_pri0016">#REF!</definedName>
    <definedName name="_pri0017" localSheetId="0">#REF!</definedName>
    <definedName name="_pri0017">#REF!</definedName>
    <definedName name="_pri0018" localSheetId="0">#REF!</definedName>
    <definedName name="_pri0018">#REF!</definedName>
    <definedName name="_pri0019" localSheetId="0">#REF!</definedName>
    <definedName name="_pri0019">#REF!</definedName>
    <definedName name="_pri0061" localSheetId="0">#REF!</definedName>
    <definedName name="_pri0061">#REF!</definedName>
    <definedName name="_pri0062" localSheetId="0">#REF!</definedName>
    <definedName name="_pri0062">#REF!</definedName>
    <definedName name="_pri0065" localSheetId="0">#REF!</definedName>
    <definedName name="_pri0065">#REF!</definedName>
    <definedName name="_pri0066" localSheetId="0">#REF!</definedName>
    <definedName name="_pri0066">#REF!</definedName>
    <definedName name="_pri0067" localSheetId="0">#REF!</definedName>
    <definedName name="_pri0067">#REF!</definedName>
    <definedName name="_pri0068" localSheetId="0">#REF!</definedName>
    <definedName name="_pri0068">#REF!</definedName>
    <definedName name="_TY1">[1]Macros!$E$15</definedName>
    <definedName name="_TY2">[1]Macros!#REF!</definedName>
    <definedName name="a">#REF!</definedName>
    <definedName name="A_1">#REF!</definedName>
    <definedName name="A_17">#REF!</definedName>
    <definedName name="A_18">#REF!</definedName>
    <definedName name="A_19">#REF!</definedName>
    <definedName name="A_5">#REF!</definedName>
    <definedName name="A_9">#REF!</definedName>
    <definedName name="a10x">#REF!</definedName>
    <definedName name="a11x">#REF!</definedName>
    <definedName name="a12x">#REF!</definedName>
    <definedName name="a13x">#REF!</definedName>
    <definedName name="a14x">#REF!</definedName>
    <definedName name="a15x">#REF!</definedName>
    <definedName name="a16x">#REF!</definedName>
    <definedName name="a17x">#REF!</definedName>
    <definedName name="a18x">#REF!</definedName>
    <definedName name="a19x">#REF!</definedName>
    <definedName name="a1i">#REF!</definedName>
    <definedName name="a1x">#REF!</definedName>
    <definedName name="a2i">#REF!</definedName>
    <definedName name="a2x">#REF!</definedName>
    <definedName name="a3i">#REF!</definedName>
    <definedName name="a3x">#REF!</definedName>
    <definedName name="a4x">#REF!</definedName>
    <definedName name="a5x">#REF!</definedName>
    <definedName name="a6x">#REF!</definedName>
    <definedName name="a7x">#REF!</definedName>
    <definedName name="a8x">#REF!</definedName>
    <definedName name="a9x">#REF!</definedName>
    <definedName name="AccumDepr">[8]Data!$I$13:$J$131</definedName>
    <definedName name="AFUDC" localSheetId="0">#REF!</definedName>
    <definedName name="AFUDC">#REF!</definedName>
    <definedName name="AIAC">[8]Data!$O$13:$P$131</definedName>
    <definedName name="ANNAACIAC" localSheetId="0">#REF!</definedName>
    <definedName name="ANNAACIAC">#REF!</definedName>
    <definedName name="ANNAD" localSheetId="0">#REF!</definedName>
    <definedName name="ANNAD">#REF!</definedName>
    <definedName name="ANNAFC" localSheetId="0">#REF!</definedName>
    <definedName name="ANNAFC">#REF!</definedName>
    <definedName name="ANNCIAC" localSheetId="0">#REF!</definedName>
    <definedName name="ANNCIAC">#REF!</definedName>
    <definedName name="ANNPL" localSheetId="0">#REF!</definedName>
    <definedName name="ANNPL">#REF!</definedName>
    <definedName name="ARB" localSheetId="0">#REF!</definedName>
    <definedName name="ARB">#REF!</definedName>
    <definedName name="ASECT">[1]Macros!#REF!</definedName>
    <definedName name="B_1">#REF!</definedName>
    <definedName name="B_10">#REF!</definedName>
    <definedName name="B_12">#REF!</definedName>
    <definedName name="B_13">#REF!</definedName>
    <definedName name="B_14">#REF!</definedName>
    <definedName name="B_3">#REF!</definedName>
    <definedName name="B_3A">#REF!</definedName>
    <definedName name="B_3B">#REF!</definedName>
    <definedName name="B_4">#REF!</definedName>
    <definedName name="B_5">#REF!</definedName>
    <definedName name="B_7">#REF!</definedName>
    <definedName name="B_8">#REF!</definedName>
    <definedName name="b10x">#REF!</definedName>
    <definedName name="b11x">#REF!</definedName>
    <definedName name="b12x">#REF!</definedName>
    <definedName name="b13x">#REF!</definedName>
    <definedName name="B14x">#REF!</definedName>
    <definedName name="b15i">#REF!</definedName>
    <definedName name="b15x">#REF!</definedName>
    <definedName name="b1i">#REF!</definedName>
    <definedName name="b1x">#REF!</definedName>
    <definedName name="b2i">#REF!</definedName>
    <definedName name="b2x">#REF!</definedName>
    <definedName name="B3B">'[9]A1 OPERATING INCOME ADJUST'!$A$49:$P$97</definedName>
    <definedName name="b3i">#REF!</definedName>
    <definedName name="B3R">'[9]A1 OPERATING INCOME ADJUST'!$A$1:$P$48</definedName>
    <definedName name="b3x">#REF!</definedName>
    <definedName name="b4x">#REF!</definedName>
    <definedName name="b5x">#REF!</definedName>
    <definedName name="b6x">#REF!</definedName>
    <definedName name="b7x">#REF!</definedName>
    <definedName name="b8x">#REF!</definedName>
    <definedName name="b9x">#REF!</definedName>
    <definedName name="BALANCE" localSheetId="0">#REF!</definedName>
    <definedName name="BALANCE">#REF!</definedName>
    <definedName name="BSECT">[1]Macros!#REF!</definedName>
    <definedName name="c_10x">#REF!</definedName>
    <definedName name="c_1i">#REF!</definedName>
    <definedName name="c_1x">#REF!</definedName>
    <definedName name="c_2i">#REF!</definedName>
    <definedName name="c_2x">#REF!</definedName>
    <definedName name="C_3">#REF!</definedName>
    <definedName name="c_3x">#REF!</definedName>
    <definedName name="c_4x">#REF!</definedName>
    <definedName name="C_5">#REF!</definedName>
    <definedName name="c_5i">#REF!</definedName>
    <definedName name="c_5x">#REF!</definedName>
    <definedName name="C_6">#REF!</definedName>
    <definedName name="c_6x1">#REF!</definedName>
    <definedName name="c_6x2">#REF!</definedName>
    <definedName name="c_6x3">#REF!</definedName>
    <definedName name="C_7A">#REF!</definedName>
    <definedName name="c_7x1">#REF!</definedName>
    <definedName name="c_7x2">#REF!</definedName>
    <definedName name="c_7x3">#REF!</definedName>
    <definedName name="c_7x4">#REF!</definedName>
    <definedName name="c_8x">#REF!</definedName>
    <definedName name="c_9x">#REF!</definedName>
    <definedName name="CIAC">[8]Data!$R$13:$S$131</definedName>
    <definedName name="CNC2.CE">'[10]Cust Eq Input'!#REF!</definedName>
    <definedName name="CO__02">#REF!</definedName>
    <definedName name="COMPANY">[1]Macros!$E$4</definedName>
    <definedName name="CSECT">[1]Macros!#REF!</definedName>
    <definedName name="CustomerDeposits">[8]Data!$AA$13:$AB$131</definedName>
    <definedName name="CWIP">[8]Data!$F$13:$G$131</definedName>
    <definedName name="CWS.CE">'[10]Cust Eq Input'!#REF!</definedName>
    <definedName name="D_1">#REF!</definedName>
    <definedName name="D_2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1I">#REF!</definedName>
    <definedName name="d1x">#REF!</definedName>
    <definedName name="d2i">#REF!</definedName>
    <definedName name="D2x">#REF!</definedName>
    <definedName name="D3x">#REF!</definedName>
    <definedName name="D4x">#REF!</definedName>
    <definedName name="D5x">#REF!</definedName>
    <definedName name="D6x">#REF!</definedName>
    <definedName name="D7x">#REF!</definedName>
    <definedName name="DeferredCharges">[8]Data!$U$13:$V$131</definedName>
    <definedName name="DeferredIncomeTaxes">[8]Data!$X$13:$Y$131</definedName>
    <definedName name="DIR" localSheetId="0">#REF!</definedName>
    <definedName name="DIR">#REF!</definedName>
    <definedName name="DisallowedPAA">[8]Data!$CF$13:$CG$131</definedName>
    <definedName name="DOCKET">[1]Macros!$E$6</definedName>
    <definedName name="DSECT">[1]Macros!#REF!</definedName>
    <definedName name="E_1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2">#REF!</definedName>
    <definedName name="E_2A">#REF!</definedName>
    <definedName name="E_3">#REF!</definedName>
    <definedName name="E_4">#REF!</definedName>
    <definedName name="E_5">#REF!</definedName>
    <definedName name="E_6">#REF!</definedName>
    <definedName name="E_7">#REF!</definedName>
    <definedName name="E_8">#REF!</definedName>
    <definedName name="E_9">#REF!</definedName>
    <definedName name="e10x1">#REF!</definedName>
    <definedName name="e10x2">#REF!</definedName>
    <definedName name="e11x">#REF!</definedName>
    <definedName name="e12x">#REF!</definedName>
    <definedName name="e13x">#REF!</definedName>
    <definedName name="e14x">#REF!</definedName>
    <definedName name="e1x">#REF!</definedName>
    <definedName name="e1x2">#REF!</definedName>
    <definedName name="e2i">#REF!</definedName>
    <definedName name="e2i2">#REF!</definedName>
    <definedName name="e2x">#REF!</definedName>
    <definedName name="e2x2">#REF!</definedName>
    <definedName name="E3s">#REF!</definedName>
    <definedName name="E3w">#REF!</definedName>
    <definedName name="e3x">#REF!</definedName>
    <definedName name="e4x">#REF!</definedName>
    <definedName name="e5x">#REF!</definedName>
    <definedName name="e6x">#REF!</definedName>
    <definedName name="e7x">#REF!</definedName>
    <definedName name="e8x">#REF!</definedName>
    <definedName name="e9x">#REF!</definedName>
    <definedName name="ERC_S" localSheetId="0">#REF!</definedName>
    <definedName name="ERC_S">#REF!</definedName>
    <definedName name="ERC_W" localSheetId="0">#REF!</definedName>
    <definedName name="ERC_W">#REF!</definedName>
    <definedName name="ESECT">[1]Macros!#REF!</definedName>
    <definedName name="F_1">#REF!</definedName>
    <definedName name="F_10">#REF!</definedName>
    <definedName name="F_1A">#REF!</definedName>
    <definedName name="F_2">#REF!</definedName>
    <definedName name="F_3">#REF!</definedName>
    <definedName name="F_4">#REF!</definedName>
    <definedName name="F_5">#REF!</definedName>
    <definedName name="F_6">#REF!</definedName>
    <definedName name="F_7">#REF!</definedName>
    <definedName name="F_8">#REF!</definedName>
    <definedName name="F_9">#REF!</definedName>
    <definedName name="f10x">#REF!</definedName>
    <definedName name="f1x">#REF!</definedName>
    <definedName name="f2x">#REF!</definedName>
    <definedName name="f3x">#REF!</definedName>
    <definedName name="f4x">#REF!</definedName>
    <definedName name="f5x">#REF!</definedName>
    <definedName name="f6x">#REF!</definedName>
    <definedName name="f7x">#REF!</definedName>
    <definedName name="f8x">#REF!</definedName>
    <definedName name="f9x">#REF!</definedName>
    <definedName name="Finance__WSC.Work.Papers.WSC.Other.Prepayments">#REF!</definedName>
    <definedName name="FL.1">#REF!</definedName>
    <definedName name="FL.3">#REF!</definedName>
    <definedName name="FL.5">#REF!</definedName>
    <definedName name="FSECT">[1]Macros!#REF!</definedName>
    <definedName name="GA.1">#REF!</definedName>
    <definedName name="GA.3">#REF!</definedName>
    <definedName name="GA.5">#REF!</definedName>
    <definedName name="GEN">[1]Macros!#REF!</definedName>
    <definedName name="i">#REF!</definedName>
    <definedName name="ii">#REF!</definedName>
    <definedName name="iii">#REF!</definedName>
    <definedName name="iiii">#REF!</definedName>
    <definedName name="IL.1">#REF!</definedName>
    <definedName name="IL.3">#REF!</definedName>
    <definedName name="IL.5">#REF!</definedName>
    <definedName name="IN.3">#REF!</definedName>
    <definedName name="IN.5">#REF!</definedName>
    <definedName name="INST">#REF!</definedName>
    <definedName name="kdsjdfh">[11]Macros!$E$6</definedName>
    <definedName name="LA.1">#REF!</definedName>
    <definedName name="LA.3">#REF!</definedName>
    <definedName name="LA.5">#REF!</definedName>
    <definedName name="LEXINGTON">#REF!</definedName>
    <definedName name="MARGIN" localSheetId="0">#REF!</definedName>
    <definedName name="MARGIN">#REF!</definedName>
    <definedName name="MD.1">#REF!</definedName>
    <definedName name="MD.3">#REF!</definedName>
    <definedName name="MD.5">#REF!</definedName>
    <definedName name="MS.1">#REF!</definedName>
    <definedName name="MS.3">#REF!</definedName>
    <definedName name="MS.5">#REF!</definedName>
    <definedName name="NAME">[6]INFO!$D$14</definedName>
    <definedName name="NC.1">#REF!</definedName>
    <definedName name="NC.3">#REF!</definedName>
    <definedName name="NC.5">#REF!</definedName>
    <definedName name="OCC.CE">'[10]Cust Eq Input'!#REF!</definedName>
    <definedName name="OH.1">#REF!</definedName>
    <definedName name="OH.3">#REF!</definedName>
    <definedName name="OH.5">#REF!</definedName>
    <definedName name="OH.CE">'[10]Cust Eq Input'!#REF!</definedName>
    <definedName name="OH.CEP">'[10]Cust Eq Input'!#REF!</definedName>
    <definedName name="PAA">[8]Data!$L$13:$M$131</definedName>
    <definedName name="Plant">[8]Data!$C$13:$D$131</definedName>
    <definedName name="_xlnm.Print_Area" localSheetId="0">'E 2 (s)'!$A$1:$H$105</definedName>
    <definedName name="_xlnm.Print_Area" localSheetId="7">'EagleRidge(s)'!$A$1:$P$37</definedName>
    <definedName name="_xlnm.Print_Area" localSheetId="10">'Longwood(s)'!$A$1:$M$32</definedName>
    <definedName name="_xlnm.Print_Area" localSheetId="11">'LUSI(s)'!$A$1:$R$37</definedName>
    <definedName name="_xlnm.Print_Area" localSheetId="14">'Sandalhaven(s)'!$A$1:$P$39</definedName>
    <definedName name="_xlnm.Print_Area" localSheetId="1">'Sewer Rate Design'!$A$1:$K$68</definedName>
    <definedName name="_xlnm.Print_Area" localSheetId="5">'S-Rate Summary'!$A$1:$AF$37</definedName>
    <definedName name="_xlnm.Print_Area" localSheetId="2">'S-Revenue Summary'!$A$1:$AH$52</definedName>
    <definedName name="_xlnm.Print_Area" localSheetId="16">'TierraVerde(s)'!$A$1:$P$33</definedName>
    <definedName name="PUMPED" localSheetId="0">#REF!</definedName>
    <definedName name="PUMPED">#REF!</definedName>
    <definedName name="S_STATS" localSheetId="0">#REF!</definedName>
    <definedName name="S_STATS">#REF!</definedName>
    <definedName name="SADPRIM" localSheetId="0">#REF!</definedName>
    <definedName name="SADPRIM">#REF!</definedName>
    <definedName name="SC.1">#REF!</definedName>
    <definedName name="SC.3">#REF!</definedName>
    <definedName name="SC.5">#REF!</definedName>
    <definedName name="SCU.CE">'[10]Cust Eq Input'!#REF!</definedName>
    <definedName name="SE.SE60D.ALLOC.">#REF!</definedName>
    <definedName name="SPPRIM" localSheetId="0">#REF!</definedName>
    <definedName name="SPPRIM">#REF!</definedName>
    <definedName name="SRB" localSheetId="0">#REF!</definedName>
    <definedName name="SRB">#REF!</definedName>
    <definedName name="SUMU_U" localSheetId="0">#REF!</definedName>
    <definedName name="SUMU_U">#REF!</definedName>
    <definedName name="test">#REF!</definedName>
    <definedName name="TN.1">#REF!</definedName>
    <definedName name="TN.3">#REF!</definedName>
    <definedName name="TN.5">#REF!</definedName>
    <definedName name="TOT.CNC.CE">'[10]Cust Eq Input'!#REF!</definedName>
    <definedName name="TREATED" localSheetId="0">#REF!</definedName>
    <definedName name="TREATED">#REF!</definedName>
    <definedName name="U_U_MAINS" localSheetId="0">#REF!</definedName>
    <definedName name="U_U_MAINS">#REF!</definedName>
    <definedName name="U_U_SEWER" localSheetId="0">#REF!</definedName>
    <definedName name="U_U_SEWER">#REF!</definedName>
    <definedName name="U_U_WATER" localSheetId="0">#REF!</definedName>
    <definedName name="U_U_WATER">#REF!</definedName>
    <definedName name="VA.1">#REF!</definedName>
    <definedName name="VA.3">#REF!</definedName>
    <definedName name="VA.5">#REF!</definedName>
    <definedName name="W_STATS" localSheetId="0">#REF!</definedName>
    <definedName name="W_STATS">#REF!</definedName>
    <definedName name="WADPRIM" localSheetId="0">#REF!</definedName>
    <definedName name="WADPRIM">#REF!</definedName>
    <definedName name="WastewaterAccumulatedDepreciation">'[12]Plant Inputs'!$A$149:$N$192</definedName>
    <definedName name="WaterPlantInService">'[12]Plant Inputs'!$A$4:$N$48</definedName>
    <definedName name="WCA" localSheetId="0">#REF!</definedName>
    <definedName name="WCA">#REF!</definedName>
    <definedName name="WD.CE">'[10]Cust Eq Input'!#REF!</definedName>
    <definedName name="WPPRIM" localSheetId="0">#REF!</definedName>
    <definedName name="WPPRIM">#REF!</definedName>
    <definedName name="WRB" localSheetId="0">#REF!</definedName>
    <definedName name="WRB">#REF!</definedName>
    <definedName name="WSCBSAllocation">[8]Data!$BE$13:$BF$131</definedName>
    <definedName name="YEAR">[6]INFO!$D$16</definedName>
    <definedName name="Year_End_Results_for_1997__1996____1995">#REF!</definedName>
    <definedName name="z">'[10]Cust Eq Input'!#REF!</definedName>
  </definedNames>
  <calcPr calcId="145621"/>
</workbook>
</file>

<file path=xl/calcChain.xml><?xml version="1.0" encoding="utf-8"?>
<calcChain xmlns="http://schemas.openxmlformats.org/spreadsheetml/2006/main">
  <c r="C21" i="2" l="1"/>
  <c r="AI38" i="16" l="1"/>
  <c r="AI36" i="16"/>
  <c r="AI37" i="16"/>
  <c r="AI34" i="16"/>
  <c r="AI32" i="16"/>
  <c r="AI33" i="16"/>
  <c r="AJ27" i="16"/>
  <c r="N22" i="6" l="1"/>
  <c r="AF1" i="16" l="1"/>
  <c r="AF2" i="16"/>
  <c r="AV1" i="17"/>
  <c r="AI1" i="18"/>
  <c r="AI2" i="18"/>
  <c r="AG1" i="19"/>
  <c r="AG2" i="19"/>
  <c r="AH8" i="16"/>
  <c r="AV2" i="17"/>
  <c r="AA13" i="16"/>
  <c r="U13" i="16"/>
  <c r="O13" i="16"/>
  <c r="I13" i="16"/>
  <c r="E13" i="16"/>
  <c r="AH12" i="16"/>
  <c r="H104" i="23" l="1"/>
  <c r="A105" i="23"/>
  <c r="H99" i="23"/>
  <c r="H101" i="23" s="1"/>
  <c r="AV11" i="17"/>
  <c r="AV10" i="17" s="1"/>
  <c r="F35" i="23"/>
  <c r="F36" i="23" s="1"/>
  <c r="F37" i="23" s="1"/>
  <c r="F94" i="23"/>
  <c r="F95" i="23" s="1"/>
  <c r="F96" i="23" s="1"/>
  <c r="E91" i="23"/>
  <c r="E90" i="23"/>
  <c r="E89" i="23"/>
  <c r="E88" i="23"/>
  <c r="E87" i="23"/>
  <c r="E86" i="23"/>
  <c r="E85" i="23"/>
  <c r="E84" i="23"/>
  <c r="E83" i="23"/>
  <c r="E82" i="23"/>
  <c r="E81" i="23"/>
  <c r="E72" i="23"/>
  <c r="E71" i="23"/>
  <c r="E73" i="23" s="1"/>
  <c r="E77" i="23" s="1"/>
  <c r="A71" i="23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H63" i="23"/>
  <c r="A63" i="23"/>
  <c r="A62" i="23"/>
  <c r="E51" i="23"/>
  <c r="F52" i="23"/>
  <c r="E41" i="23"/>
  <c r="E32" i="23"/>
  <c r="E31" i="23"/>
  <c r="E30" i="23"/>
  <c r="E29" i="23"/>
  <c r="E28" i="23"/>
  <c r="E27" i="23"/>
  <c r="E26" i="23"/>
  <c r="E25" i="23"/>
  <c r="E24" i="23"/>
  <c r="E23" i="23"/>
  <c r="E22" i="23"/>
  <c r="E13" i="23"/>
  <c r="AK56" i="19"/>
  <c r="AK48" i="19" s="1"/>
  <c r="AK55" i="19"/>
  <c r="E12" i="23"/>
  <c r="F42" i="23"/>
  <c r="A12" i="23"/>
  <c r="H4" i="23"/>
  <c r="A4" i="23"/>
  <c r="A3" i="23"/>
  <c r="C56" i="20" l="1"/>
  <c r="G56" i="20" s="1"/>
  <c r="A13" i="23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E92" i="23"/>
  <c r="E96" i="23" s="1"/>
  <c r="E52" i="23"/>
  <c r="E57" i="23" s="1"/>
  <c r="E42" i="23"/>
  <c r="E47" i="23" s="1"/>
  <c r="E33" i="23"/>
  <c r="E37" i="23" s="1"/>
  <c r="E14" i="23"/>
  <c r="E18" i="23" s="1"/>
  <c r="U15" i="6" l="1"/>
  <c r="C55" i="20" l="1"/>
  <c r="G55" i="20" s="1"/>
  <c r="E52" i="20"/>
  <c r="C42" i="20"/>
  <c r="C41" i="20"/>
  <c r="C40" i="20"/>
  <c r="C39" i="20"/>
  <c r="C38" i="20"/>
  <c r="C37" i="20"/>
  <c r="C36" i="20"/>
  <c r="C35" i="20"/>
  <c r="C34" i="20"/>
  <c r="C33" i="20"/>
  <c r="C32" i="20"/>
  <c r="E29" i="20"/>
  <c r="C29" i="20"/>
  <c r="G29" i="20" s="1"/>
  <c r="E25" i="20"/>
  <c r="E43" i="20" s="1"/>
  <c r="C25" i="20"/>
  <c r="E24" i="20"/>
  <c r="E42" i="20" s="1"/>
  <c r="C24" i="20"/>
  <c r="C23" i="20"/>
  <c r="G23" i="20" s="1"/>
  <c r="C22" i="20"/>
  <c r="G22" i="20" s="1"/>
  <c r="E21" i="20"/>
  <c r="E41" i="20" s="1"/>
  <c r="C21" i="20"/>
  <c r="E20" i="20"/>
  <c r="E40" i="20" s="1"/>
  <c r="C20" i="20"/>
  <c r="E19" i="20"/>
  <c r="E39" i="20" s="1"/>
  <c r="C19" i="20"/>
  <c r="E18" i="20"/>
  <c r="E38" i="20" s="1"/>
  <c r="C18" i="20"/>
  <c r="E17" i="20"/>
  <c r="E37" i="20" s="1"/>
  <c r="C17" i="20"/>
  <c r="G17" i="20" s="1"/>
  <c r="E16" i="20"/>
  <c r="G16" i="20" s="1"/>
  <c r="C16" i="20"/>
  <c r="E15" i="20"/>
  <c r="E35" i="20" s="1"/>
  <c r="C15" i="20"/>
  <c r="E14" i="20"/>
  <c r="E34" i="20" s="1"/>
  <c r="C14" i="20"/>
  <c r="E13" i="20"/>
  <c r="E33" i="20" s="1"/>
  <c r="C13" i="20"/>
  <c r="E12" i="20"/>
  <c r="G12" i="20" s="1"/>
  <c r="C12" i="20"/>
  <c r="C9" i="20"/>
  <c r="G9" i="20" s="1"/>
  <c r="G20" i="20" l="1"/>
  <c r="E32" i="20"/>
  <c r="G36" i="20"/>
  <c r="G21" i="20"/>
  <c r="E36" i="20"/>
  <c r="G40" i="20"/>
  <c r="G14" i="20"/>
  <c r="G18" i="20"/>
  <c r="G13" i="20"/>
  <c r="G25" i="20"/>
  <c r="G32" i="20"/>
  <c r="G38" i="20"/>
  <c r="G15" i="20"/>
  <c r="G24" i="20"/>
  <c r="G33" i="20"/>
  <c r="G35" i="20"/>
  <c r="G37" i="20"/>
  <c r="G39" i="20"/>
  <c r="G41" i="20"/>
  <c r="G34" i="20"/>
  <c r="G19" i="20"/>
  <c r="G42" i="20"/>
  <c r="C44" i="20"/>
  <c r="G44" i="20" l="1"/>
  <c r="AV22" i="17" l="1"/>
  <c r="F75" i="23" l="1"/>
  <c r="F76" i="23" s="1"/>
  <c r="F77" i="23" s="1"/>
  <c r="C53" i="20"/>
  <c r="G53" i="20" s="1"/>
  <c r="AD21" i="17" l="1"/>
  <c r="AE21" i="17" s="1"/>
  <c r="AA21" i="17"/>
  <c r="AB21" i="17" s="1"/>
  <c r="G21" i="17" l="1"/>
  <c r="F21" i="17"/>
  <c r="AI35" i="18" l="1"/>
  <c r="AG35" i="18"/>
  <c r="AI32" i="18"/>
  <c r="AG32" i="18"/>
  <c r="AI29" i="18"/>
  <c r="AG29" i="18"/>
  <c r="AI26" i="18"/>
  <c r="AG26" i="18"/>
  <c r="AI25" i="18"/>
  <c r="AG25" i="18"/>
  <c r="AI24" i="18"/>
  <c r="AG24" i="18"/>
  <c r="AI23" i="18"/>
  <c r="AG23" i="18"/>
  <c r="AI22" i="18"/>
  <c r="AG22" i="18"/>
  <c r="AI21" i="18"/>
  <c r="AG21" i="18"/>
  <c r="AI20" i="18"/>
  <c r="AG20" i="18"/>
  <c r="AI19" i="18"/>
  <c r="AG19" i="18"/>
  <c r="AI18" i="18"/>
  <c r="AG18" i="18"/>
  <c r="AI17" i="18"/>
  <c r="AG17" i="18"/>
  <c r="AI13" i="18"/>
  <c r="AG13" i="18"/>
  <c r="AI9" i="18"/>
  <c r="AG9" i="18"/>
  <c r="AI8" i="18"/>
  <c r="AG8" i="18"/>
  <c r="AI7" i="18"/>
  <c r="C21" i="17"/>
  <c r="AV21" i="17" s="1"/>
  <c r="F16" i="23" l="1"/>
  <c r="F17" i="23" s="1"/>
  <c r="F18" i="23" s="1"/>
  <c r="C52" i="20"/>
  <c r="AG7" i="18"/>
  <c r="G52" i="20" l="1"/>
  <c r="L30" i="15"/>
  <c r="L26" i="15"/>
  <c r="L25" i="15"/>
  <c r="L23" i="15"/>
  <c r="L21" i="15"/>
  <c r="L17" i="15"/>
  <c r="L15" i="15"/>
  <c r="C18" i="15"/>
  <c r="C18" i="14"/>
  <c r="L25" i="14"/>
  <c r="L23" i="14"/>
  <c r="L30" i="14"/>
  <c r="L17" i="14"/>
  <c r="L15" i="14"/>
  <c r="L27" i="14" s="1"/>
  <c r="C18" i="13"/>
  <c r="I20" i="13"/>
  <c r="I17" i="13"/>
  <c r="I15" i="13"/>
  <c r="C18" i="12"/>
  <c r="L30" i="12"/>
  <c r="L28" i="12"/>
  <c r="L27" i="12"/>
  <c r="L26" i="12"/>
  <c r="L25" i="12"/>
  <c r="L24" i="12"/>
  <c r="L23" i="12"/>
  <c r="L21" i="12"/>
  <c r="L17" i="12"/>
  <c r="L15" i="12"/>
  <c r="J24" i="11"/>
  <c r="L24" i="11" s="1"/>
  <c r="L29" i="11"/>
  <c r="L26" i="11"/>
  <c r="L25" i="11"/>
  <c r="L23" i="11"/>
  <c r="L22" i="11"/>
  <c r="L21" i="11"/>
  <c r="L19" i="11"/>
  <c r="L15" i="11"/>
  <c r="AM12" i="16"/>
  <c r="AY25" i="16"/>
  <c r="AY24" i="16"/>
  <c r="AY23" i="16"/>
  <c r="AY22" i="16"/>
  <c r="AY21" i="16"/>
  <c r="AY20" i="16"/>
  <c r="AY19" i="16"/>
  <c r="AY18" i="16"/>
  <c r="AY17" i="16"/>
  <c r="AY16" i="16"/>
  <c r="C18" i="10"/>
  <c r="L29" i="10"/>
  <c r="N29" i="10" s="1"/>
  <c r="N36" i="10"/>
  <c r="N35" i="10"/>
  <c r="N34" i="10"/>
  <c r="N33" i="10"/>
  <c r="N32" i="10"/>
  <c r="N31" i="10"/>
  <c r="N30" i="10"/>
  <c r="N41" i="10"/>
  <c r="N39" i="10"/>
  <c r="N28" i="10"/>
  <c r="N25" i="10"/>
  <c r="N23" i="10"/>
  <c r="N20" i="10"/>
  <c r="N17" i="10"/>
  <c r="N15" i="10"/>
  <c r="U17" i="18"/>
  <c r="C20" i="9"/>
  <c r="L33" i="9"/>
  <c r="L30" i="9"/>
  <c r="L29" i="9"/>
  <c r="L28" i="9"/>
  <c r="L27" i="9"/>
  <c r="L26" i="9"/>
  <c r="L25" i="9"/>
  <c r="L23" i="9"/>
  <c r="L19" i="9"/>
  <c r="L15" i="9"/>
  <c r="L24" i="15" l="1"/>
  <c r="L27" i="15"/>
  <c r="L22" i="14"/>
  <c r="L24" i="14"/>
  <c r="L28" i="14"/>
  <c r="L26" i="14"/>
  <c r="J21" i="14"/>
  <c r="L21" i="14" s="1"/>
  <c r="L28" i="15" l="1"/>
  <c r="L33" i="8"/>
  <c r="L30" i="8"/>
  <c r="L28" i="8"/>
  <c r="L27" i="8"/>
  <c r="L26" i="8"/>
  <c r="L25" i="8"/>
  <c r="L24" i="8"/>
  <c r="L23" i="8"/>
  <c r="L22" i="8"/>
  <c r="L21" i="8"/>
  <c r="L17" i="8"/>
  <c r="L15" i="8"/>
  <c r="C18" i="8"/>
  <c r="I35" i="7"/>
  <c r="I32" i="7"/>
  <c r="I31" i="7"/>
  <c r="I30" i="7"/>
  <c r="I29" i="7"/>
  <c r="I28" i="7"/>
  <c r="I27" i="7"/>
  <c r="I25" i="7"/>
  <c r="I22" i="7"/>
  <c r="I18" i="7"/>
  <c r="I15" i="7"/>
  <c r="C19" i="7"/>
  <c r="C18" i="6"/>
  <c r="N37" i="6"/>
  <c r="N35" i="6"/>
  <c r="N32" i="6"/>
  <c r="N30" i="6"/>
  <c r="N29" i="6"/>
  <c r="N28" i="6"/>
  <c r="N27" i="6"/>
  <c r="N26" i="6"/>
  <c r="N25" i="6"/>
  <c r="N24" i="6"/>
  <c r="N23" i="6"/>
  <c r="N21" i="6"/>
  <c r="N17" i="6"/>
  <c r="N15" i="6"/>
  <c r="M17" i="18"/>
  <c r="I27" i="5"/>
  <c r="I24" i="5"/>
  <c r="I23" i="5"/>
  <c r="I22" i="5"/>
  <c r="I21" i="5"/>
  <c r="I19" i="5"/>
  <c r="I15" i="5"/>
  <c r="C18" i="4"/>
  <c r="I37" i="4"/>
  <c r="I35" i="4"/>
  <c r="I32" i="4"/>
  <c r="I30" i="4"/>
  <c r="I29" i="4"/>
  <c r="I25" i="4"/>
  <c r="I23" i="4"/>
  <c r="I20" i="4"/>
  <c r="I17" i="4"/>
  <c r="I15" i="4"/>
  <c r="L7" i="17"/>
  <c r="AV7" i="17" s="1"/>
  <c r="I26" i="4" l="1"/>
  <c r="I24" i="4"/>
  <c r="C18" i="3"/>
  <c r="I31" i="3"/>
  <c r="I29" i="3"/>
  <c r="I28" i="3"/>
  <c r="I27" i="3"/>
  <c r="I26" i="3"/>
  <c r="I25" i="3"/>
  <c r="I24" i="3"/>
  <c r="I23" i="3"/>
  <c r="I22" i="3"/>
  <c r="I21" i="3"/>
  <c r="I17" i="3"/>
  <c r="I15" i="3"/>
  <c r="C18" i="1"/>
  <c r="L34" i="2"/>
  <c r="L31" i="2"/>
  <c r="L30" i="2"/>
  <c r="L29" i="2"/>
  <c r="L28" i="2"/>
  <c r="L27" i="2"/>
  <c r="L26" i="2"/>
  <c r="L24" i="2"/>
  <c r="L20" i="2"/>
  <c r="L17" i="2"/>
  <c r="L15" i="2"/>
  <c r="L30" i="1"/>
  <c r="L28" i="1"/>
  <c r="L27" i="1"/>
  <c r="L26" i="1"/>
  <c r="L25" i="1"/>
  <c r="L24" i="1"/>
  <c r="L23" i="1"/>
  <c r="L22" i="1"/>
  <c r="L21" i="1"/>
  <c r="L17" i="1"/>
  <c r="L15" i="1"/>
  <c r="AI27" i="18"/>
  <c r="AI10" i="18"/>
  <c r="AG10" i="18"/>
  <c r="I27" i="4" l="1"/>
  <c r="AG27" i="18"/>
  <c r="I28" i="4" l="1"/>
  <c r="K67" i="20"/>
  <c r="AV16" i="17"/>
  <c r="AV13" i="17"/>
  <c r="F45" i="23" l="1"/>
  <c r="F46" i="23" s="1"/>
  <c r="F47" i="23" s="1"/>
  <c r="C60" i="20"/>
  <c r="G60" i="20" s="1"/>
  <c r="F55" i="23"/>
  <c r="F56" i="23" s="1"/>
  <c r="F57" i="23" s="1"/>
  <c r="C58" i="20"/>
  <c r="AI27" i="16"/>
  <c r="AM29" i="16"/>
  <c r="G58" i="20" l="1"/>
  <c r="G61" i="20" s="1"/>
  <c r="C61" i="20"/>
  <c r="AI10" i="16"/>
  <c r="AM27" i="16" s="1"/>
  <c r="AI8" i="16"/>
  <c r="AW25" i="16"/>
  <c r="AW24" i="16"/>
  <c r="AW23" i="16"/>
  <c r="AW22" i="16"/>
  <c r="AW21" i="16"/>
  <c r="AW20" i="16"/>
  <c r="AW19" i="16"/>
  <c r="AW18" i="16"/>
  <c r="AW17" i="16"/>
  <c r="AW16" i="16"/>
  <c r="AU24" i="16"/>
  <c r="AU23" i="16"/>
  <c r="AU22" i="16"/>
  <c r="AU21" i="16"/>
  <c r="AU20" i="16"/>
  <c r="AU19" i="16"/>
  <c r="AU18" i="16"/>
  <c r="AU17" i="16"/>
  <c r="AU16" i="16"/>
  <c r="AS24" i="16"/>
  <c r="AS23" i="16"/>
  <c r="AS22" i="16"/>
  <c r="AS21" i="16"/>
  <c r="AS20" i="16"/>
  <c r="AS19" i="16"/>
  <c r="AS18" i="16"/>
  <c r="AS17" i="16"/>
  <c r="AS16" i="16"/>
  <c r="AQ24" i="16"/>
  <c r="AQ23" i="16"/>
  <c r="AQ22" i="16"/>
  <c r="AQ21" i="16"/>
  <c r="AQ20" i="16"/>
  <c r="AQ19" i="16"/>
  <c r="AQ18" i="16"/>
  <c r="AQ17" i="16"/>
  <c r="AQ16" i="16"/>
  <c r="AO24" i="16"/>
  <c r="AO23" i="16"/>
  <c r="AO22" i="16"/>
  <c r="AO21" i="16"/>
  <c r="AO20" i="16"/>
  <c r="AO19" i="16"/>
  <c r="AO18" i="16"/>
  <c r="AO17" i="16"/>
  <c r="AO16" i="16"/>
  <c r="AM24" i="16"/>
  <c r="AM23" i="16"/>
  <c r="AM22" i="16"/>
  <c r="AM21" i="16"/>
  <c r="AM20" i="16"/>
  <c r="AM19" i="16"/>
  <c r="AM18" i="16"/>
  <c r="AM17" i="16"/>
  <c r="AM16" i="16"/>
  <c r="AI11" i="16" l="1"/>
  <c r="AI12" i="16" s="1"/>
  <c r="AG51" i="19" l="1"/>
  <c r="AG50" i="19"/>
  <c r="AG52" i="19" s="1"/>
  <c r="AE31" i="19" l="1"/>
  <c r="AE13" i="19"/>
  <c r="AE52" i="19"/>
  <c r="AE28" i="19"/>
  <c r="AE26" i="19"/>
  <c r="AE25" i="19"/>
  <c r="AE24" i="19"/>
  <c r="AE23" i="19"/>
  <c r="AE22" i="19"/>
  <c r="AE21" i="19"/>
  <c r="AE20" i="19"/>
  <c r="AE19" i="19"/>
  <c r="AE18" i="19"/>
  <c r="AE17" i="19"/>
  <c r="AE10" i="19"/>
  <c r="AC50" i="19"/>
  <c r="AC52" i="19" s="1"/>
  <c r="AC31" i="19"/>
  <c r="AC13" i="19"/>
  <c r="AC28" i="19"/>
  <c r="AC26" i="19"/>
  <c r="AC25" i="19"/>
  <c r="AC24" i="19"/>
  <c r="AC23" i="19"/>
  <c r="AC22" i="19"/>
  <c r="AC21" i="19"/>
  <c r="AC20" i="19"/>
  <c r="AC19" i="19"/>
  <c r="AC18" i="19"/>
  <c r="AC17" i="19"/>
  <c r="AC10" i="19"/>
  <c r="AA13" i="19"/>
  <c r="AA52" i="19"/>
  <c r="AA31" i="19"/>
  <c r="AA28" i="19"/>
  <c r="AA26" i="19"/>
  <c r="AA25" i="19"/>
  <c r="AA24" i="19"/>
  <c r="AA23" i="19"/>
  <c r="AA22" i="19"/>
  <c r="AA21" i="19"/>
  <c r="AA20" i="19"/>
  <c r="AA19" i="19"/>
  <c r="AA18" i="19"/>
  <c r="AA17" i="19"/>
  <c r="AA10" i="19"/>
  <c r="Y13" i="19"/>
  <c r="Y51" i="19"/>
  <c r="Y52" i="19" s="1"/>
  <c r="Y31" i="19"/>
  <c r="Y28" i="19"/>
  <c r="Y26" i="19"/>
  <c r="Y25" i="19"/>
  <c r="Y24" i="19"/>
  <c r="Y23" i="19"/>
  <c r="Y22" i="19"/>
  <c r="Y21" i="19"/>
  <c r="Y20" i="19"/>
  <c r="Y19" i="19"/>
  <c r="Y18" i="19"/>
  <c r="Y17" i="19"/>
  <c r="Y10" i="19"/>
  <c r="W31" i="19"/>
  <c r="W52" i="19"/>
  <c r="W28" i="19"/>
  <c r="W26" i="19"/>
  <c r="W25" i="19"/>
  <c r="W24" i="19"/>
  <c r="W23" i="19"/>
  <c r="W22" i="19"/>
  <c r="W21" i="19"/>
  <c r="W20" i="19"/>
  <c r="W19" i="19"/>
  <c r="W18" i="19"/>
  <c r="W17" i="19"/>
  <c r="W13" i="19"/>
  <c r="W47" i="19" s="1"/>
  <c r="W10" i="19"/>
  <c r="U43" i="19"/>
  <c r="U41" i="19"/>
  <c r="U31" i="19"/>
  <c r="U28" i="19"/>
  <c r="U13" i="19"/>
  <c r="U52" i="19"/>
  <c r="U26" i="19"/>
  <c r="U25" i="19"/>
  <c r="U24" i="19"/>
  <c r="U23" i="19"/>
  <c r="U22" i="19"/>
  <c r="U21" i="19"/>
  <c r="U20" i="19"/>
  <c r="U19" i="19"/>
  <c r="U18" i="19"/>
  <c r="U17" i="19"/>
  <c r="U10" i="19"/>
  <c r="Y47" i="19" l="1"/>
  <c r="AA47" i="19"/>
  <c r="U29" i="19"/>
  <c r="AG28" i="19"/>
  <c r="W29" i="19"/>
  <c r="Y29" i="19"/>
  <c r="AA29" i="19"/>
  <c r="AC29" i="19"/>
  <c r="AE29" i="19"/>
  <c r="AE47" i="19"/>
  <c r="AC47" i="19"/>
  <c r="U47" i="19"/>
  <c r="S31" i="19" l="1"/>
  <c r="S13" i="19"/>
  <c r="S52" i="19"/>
  <c r="S26" i="19"/>
  <c r="S25" i="19"/>
  <c r="S24" i="19"/>
  <c r="S23" i="19"/>
  <c r="S22" i="19"/>
  <c r="S21" i="19"/>
  <c r="S20" i="19"/>
  <c r="S19" i="19"/>
  <c r="S18" i="19"/>
  <c r="S17" i="19"/>
  <c r="S10" i="19"/>
  <c r="Q31" i="19"/>
  <c r="Q13" i="19"/>
  <c r="Q52" i="19"/>
  <c r="Q26" i="19"/>
  <c r="Q25" i="19"/>
  <c r="Q24" i="19"/>
  <c r="Q23" i="19"/>
  <c r="Q22" i="19"/>
  <c r="Q21" i="19"/>
  <c r="Q20" i="19"/>
  <c r="Q19" i="19"/>
  <c r="Q18" i="19"/>
  <c r="Q17" i="19"/>
  <c r="Q10" i="19"/>
  <c r="S47" i="19" l="1"/>
  <c r="Q47" i="19"/>
  <c r="Q29" i="19"/>
  <c r="S29" i="19"/>
  <c r="O31" i="19"/>
  <c r="O52" i="19"/>
  <c r="O26" i="19"/>
  <c r="O25" i="19"/>
  <c r="O24" i="19"/>
  <c r="O23" i="19"/>
  <c r="O22" i="19"/>
  <c r="O21" i="19"/>
  <c r="O20" i="19"/>
  <c r="O19" i="19"/>
  <c r="O18" i="19"/>
  <c r="O17" i="19"/>
  <c r="O13" i="19"/>
  <c r="O47" i="19" s="1"/>
  <c r="O10" i="19"/>
  <c r="M31" i="19"/>
  <c r="M43" i="19"/>
  <c r="AG43" i="19" s="1"/>
  <c r="M41" i="19"/>
  <c r="AG41" i="19" s="1"/>
  <c r="M52" i="19"/>
  <c r="M26" i="19"/>
  <c r="M25" i="19"/>
  <c r="M24" i="19"/>
  <c r="M23" i="19"/>
  <c r="M22" i="19"/>
  <c r="M21" i="19"/>
  <c r="M20" i="19"/>
  <c r="M19" i="19"/>
  <c r="M18" i="19"/>
  <c r="M17" i="19"/>
  <c r="M13" i="19"/>
  <c r="M10" i="19"/>
  <c r="K51" i="19"/>
  <c r="K52" i="19" s="1"/>
  <c r="K31" i="19"/>
  <c r="K47" i="19" s="1"/>
  <c r="I31" i="19"/>
  <c r="I36" i="19"/>
  <c r="AG36" i="19" s="1"/>
  <c r="I38" i="19"/>
  <c r="AG38" i="19" s="1"/>
  <c r="K26" i="19"/>
  <c r="K25" i="19"/>
  <c r="K24" i="19"/>
  <c r="K23" i="19"/>
  <c r="K22" i="19"/>
  <c r="K21" i="19"/>
  <c r="K20" i="19"/>
  <c r="K19" i="19"/>
  <c r="K18" i="19"/>
  <c r="K17" i="19"/>
  <c r="K10" i="19"/>
  <c r="I52" i="19"/>
  <c r="I26" i="19"/>
  <c r="I25" i="19"/>
  <c r="I24" i="19"/>
  <c r="I23" i="19"/>
  <c r="I22" i="19"/>
  <c r="I21" i="19"/>
  <c r="I20" i="19"/>
  <c r="I19" i="19"/>
  <c r="I18" i="19"/>
  <c r="I17" i="19"/>
  <c r="I13" i="19"/>
  <c r="I10" i="19"/>
  <c r="G52" i="19"/>
  <c r="G31" i="19"/>
  <c r="G26" i="19"/>
  <c r="G25" i="19"/>
  <c r="G24" i="19"/>
  <c r="G23" i="19"/>
  <c r="G22" i="19"/>
  <c r="G21" i="19"/>
  <c r="G20" i="19"/>
  <c r="G19" i="19"/>
  <c r="G18" i="19"/>
  <c r="G17" i="19"/>
  <c r="G13" i="19"/>
  <c r="O29" i="19" l="1"/>
  <c r="M29" i="19"/>
  <c r="G47" i="19"/>
  <c r="I29" i="19"/>
  <c r="K29" i="19"/>
  <c r="I47" i="19"/>
  <c r="M47" i="19"/>
  <c r="G29" i="19"/>
  <c r="E52" i="19" l="1"/>
  <c r="E51" i="19"/>
  <c r="E31" i="19"/>
  <c r="C31" i="19"/>
  <c r="E26" i="19"/>
  <c r="E25" i="19"/>
  <c r="E24" i="19"/>
  <c r="E23" i="19"/>
  <c r="E22" i="19"/>
  <c r="E21" i="19"/>
  <c r="E20" i="19"/>
  <c r="E19" i="19"/>
  <c r="E18" i="19"/>
  <c r="E17" i="19"/>
  <c r="E13" i="19"/>
  <c r="E47" i="19" s="1"/>
  <c r="E10" i="19"/>
  <c r="C52" i="19"/>
  <c r="C51" i="19"/>
  <c r="AG31" i="19" l="1"/>
  <c r="AG10" i="19"/>
  <c r="E29" i="19"/>
  <c r="C26" i="19" l="1"/>
  <c r="AG26" i="19" s="1"/>
  <c r="C25" i="19"/>
  <c r="AG25" i="19" s="1"/>
  <c r="C24" i="19"/>
  <c r="AG24" i="19" s="1"/>
  <c r="C23" i="19"/>
  <c r="AG23" i="19" s="1"/>
  <c r="C22" i="19"/>
  <c r="AG22" i="19" s="1"/>
  <c r="C21" i="19"/>
  <c r="AG21" i="19" s="1"/>
  <c r="C20" i="19"/>
  <c r="AG20" i="19" s="1"/>
  <c r="C19" i="19"/>
  <c r="AG19" i="19" s="1"/>
  <c r="C18" i="19"/>
  <c r="AG18" i="19" s="1"/>
  <c r="C17" i="19"/>
  <c r="AG17" i="19" s="1"/>
  <c r="G6" i="19"/>
  <c r="I6" i="19" s="1"/>
  <c r="K6" i="19" s="1"/>
  <c r="M6" i="19" s="1"/>
  <c r="O6" i="19" s="1"/>
  <c r="Q6" i="19" s="1"/>
  <c r="S6" i="19" s="1"/>
  <c r="U6" i="19" s="1"/>
  <c r="W6" i="19" s="1"/>
  <c r="Y6" i="19" s="1"/>
  <c r="AA6" i="19" s="1"/>
  <c r="AC6" i="19" s="1"/>
  <c r="AE6" i="19" s="1"/>
  <c r="E6" i="19"/>
  <c r="C13" i="19"/>
  <c r="AE27" i="18"/>
  <c r="AE10" i="18"/>
  <c r="AE8" i="19" s="1"/>
  <c r="AE11" i="19" s="1"/>
  <c r="AE46" i="19" s="1"/>
  <c r="AE48" i="19" s="1"/>
  <c r="AE54" i="19" s="1"/>
  <c r="AC27" i="18"/>
  <c r="AA27" i="18"/>
  <c r="AC10" i="18"/>
  <c r="AC8" i="19" s="1"/>
  <c r="AC11" i="19" s="1"/>
  <c r="AC46" i="19" s="1"/>
  <c r="AC48" i="19" s="1"/>
  <c r="AC54" i="19" s="1"/>
  <c r="AA10" i="18"/>
  <c r="AA8" i="19" s="1"/>
  <c r="AA11" i="19" s="1"/>
  <c r="AA46" i="19" s="1"/>
  <c r="AA48" i="19" s="1"/>
  <c r="AA54" i="19" s="1"/>
  <c r="Y27" i="18"/>
  <c r="Y10" i="18"/>
  <c r="Y8" i="19" s="1"/>
  <c r="Y11" i="19" s="1"/>
  <c r="Y46" i="19" s="1"/>
  <c r="Y48" i="19" s="1"/>
  <c r="Y54" i="19" s="1"/>
  <c r="W27" i="18"/>
  <c r="W10" i="18"/>
  <c r="W8" i="19" s="1"/>
  <c r="W11" i="19" s="1"/>
  <c r="W46" i="19" s="1"/>
  <c r="W48" i="19" s="1"/>
  <c r="W54" i="19" s="1"/>
  <c r="U27" i="18"/>
  <c r="U10" i="18"/>
  <c r="U8" i="19" s="1"/>
  <c r="U11" i="19" s="1"/>
  <c r="U46" i="19" s="1"/>
  <c r="U48" i="19" s="1"/>
  <c r="U54" i="19" s="1"/>
  <c r="S10" i="18"/>
  <c r="S8" i="19" s="1"/>
  <c r="S11" i="19" s="1"/>
  <c r="S46" i="19" s="1"/>
  <c r="S48" i="19" s="1"/>
  <c r="S54" i="19" s="1"/>
  <c r="S27" i="18"/>
  <c r="Q27" i="18"/>
  <c r="Q10" i="18"/>
  <c r="Q8" i="19" s="1"/>
  <c r="Q11" i="19" s="1"/>
  <c r="Q46" i="19" s="1"/>
  <c r="Q48" i="19" s="1"/>
  <c r="Q54" i="19" s="1"/>
  <c r="O27" i="18"/>
  <c r="O10" i="18"/>
  <c r="O8" i="19" s="1"/>
  <c r="O11" i="19" s="1"/>
  <c r="O46" i="19" s="1"/>
  <c r="O48" i="19" s="1"/>
  <c r="O54" i="19" s="1"/>
  <c r="M27" i="18"/>
  <c r="M10" i="18"/>
  <c r="M8" i="19" s="1"/>
  <c r="M11" i="19" s="1"/>
  <c r="M46" i="19" s="1"/>
  <c r="M48" i="19" s="1"/>
  <c r="M54" i="19" s="1"/>
  <c r="K27" i="18"/>
  <c r="K10" i="18"/>
  <c r="K8" i="19" s="1"/>
  <c r="K11" i="19" s="1"/>
  <c r="K46" i="19" s="1"/>
  <c r="K48" i="19" s="1"/>
  <c r="K54" i="19" s="1"/>
  <c r="I27" i="18"/>
  <c r="I10" i="18"/>
  <c r="I8" i="19" s="1"/>
  <c r="I11" i="19" s="1"/>
  <c r="I46" i="19" s="1"/>
  <c r="I48" i="19" s="1"/>
  <c r="I54" i="19" s="1"/>
  <c r="G27" i="18"/>
  <c r="G10" i="18"/>
  <c r="G8" i="19" s="1"/>
  <c r="G11" i="19" s="1"/>
  <c r="G46" i="19" s="1"/>
  <c r="G48" i="19" s="1"/>
  <c r="G54" i="19" s="1"/>
  <c r="C10" i="18"/>
  <c r="C8" i="19" s="1"/>
  <c r="E10" i="18"/>
  <c r="E8" i="19" s="1"/>
  <c r="E11" i="19" s="1"/>
  <c r="E46" i="19" s="1"/>
  <c r="E48" i="19" s="1"/>
  <c r="E54" i="19" s="1"/>
  <c r="E27" i="18"/>
  <c r="C27" i="18"/>
  <c r="E6" i="18"/>
  <c r="G6" i="18" s="1"/>
  <c r="I6" i="18" s="1"/>
  <c r="K6" i="18" s="1"/>
  <c r="M6" i="18" s="1"/>
  <c r="O6" i="18" s="1"/>
  <c r="Q6" i="18" s="1"/>
  <c r="S6" i="18" s="1"/>
  <c r="U6" i="18" s="1"/>
  <c r="W6" i="18" s="1"/>
  <c r="Y6" i="18" s="1"/>
  <c r="AA6" i="18" s="1"/>
  <c r="AC6" i="18" s="1"/>
  <c r="AE6" i="18" s="1"/>
  <c r="C11" i="19" l="1"/>
  <c r="AG8" i="19"/>
  <c r="AG11" i="19" s="1"/>
  <c r="AG29" i="19"/>
  <c r="C47" i="19"/>
  <c r="AG13" i="19"/>
  <c r="AG47" i="19" s="1"/>
  <c r="C29" i="19"/>
  <c r="E6" i="16"/>
  <c r="G6" i="16" s="1"/>
  <c r="I6" i="16" s="1"/>
  <c r="K6" i="16" s="1"/>
  <c r="M6" i="16" s="1"/>
  <c r="O6" i="16" s="1"/>
  <c r="Q6" i="16" s="1"/>
  <c r="S6" i="16" s="1"/>
  <c r="U6" i="16" s="1"/>
  <c r="W6" i="16" s="1"/>
  <c r="Y6" i="16" s="1"/>
  <c r="AA6" i="16" s="1"/>
  <c r="C46" i="19" l="1"/>
  <c r="C48" i="19" s="1"/>
  <c r="C54" i="19" s="1"/>
  <c r="AG46" i="19"/>
  <c r="AG48" i="19" s="1"/>
  <c r="AI47" i="19" s="1"/>
  <c r="AC6" i="16"/>
  <c r="AE6" i="16" s="1"/>
  <c r="AI46" i="19" l="1"/>
  <c r="AK46" i="19" s="1"/>
  <c r="G45" i="20" s="1"/>
  <c r="G46" i="20" s="1"/>
  <c r="I43" i="20" s="1"/>
  <c r="G91" i="23" l="1"/>
  <c r="H91" i="23" s="1"/>
  <c r="I15" i="20"/>
  <c r="I41" i="20"/>
  <c r="I37" i="20"/>
  <c r="I33" i="20"/>
  <c r="I24" i="20"/>
  <c r="I18" i="20"/>
  <c r="I22" i="20"/>
  <c r="I13" i="20"/>
  <c r="I40" i="20"/>
  <c r="I36" i="20"/>
  <c r="I32" i="20"/>
  <c r="I23" i="20"/>
  <c r="I16" i="20"/>
  <c r="I29" i="20"/>
  <c r="I17" i="20"/>
  <c r="I38" i="20"/>
  <c r="I19" i="20"/>
  <c r="I20" i="20"/>
  <c r="I9" i="20"/>
  <c r="I39" i="20"/>
  <c r="I35" i="20"/>
  <c r="I21" i="20"/>
  <c r="I14" i="20"/>
  <c r="I42" i="20"/>
  <c r="I34" i="20"/>
  <c r="I25" i="20"/>
  <c r="I12" i="20"/>
  <c r="AK47" i="19"/>
  <c r="G62" i="20" s="1"/>
  <c r="G63" i="20" s="1"/>
  <c r="AM46" i="19"/>
  <c r="N31" i="2" l="1"/>
  <c r="N27" i="2"/>
  <c r="N25" i="2"/>
  <c r="N30" i="2"/>
  <c r="P30" i="2" s="1"/>
  <c r="N28" i="2"/>
  <c r="G13" i="23"/>
  <c r="H13" i="23" s="1"/>
  <c r="N24" i="2"/>
  <c r="P24" i="2" s="1"/>
  <c r="N26" i="2"/>
  <c r="G12" i="23"/>
  <c r="H12" i="23" s="1"/>
  <c r="H14" i="23" s="1"/>
  <c r="N29" i="2"/>
  <c r="K20" i="13"/>
  <c r="M20" i="13" s="1"/>
  <c r="G22" i="23"/>
  <c r="H22" i="23" s="1"/>
  <c r="G24" i="23"/>
  <c r="H24" i="23" s="1"/>
  <c r="G27" i="23"/>
  <c r="H27" i="23" s="1"/>
  <c r="G81" i="23"/>
  <c r="H81" i="23" s="1"/>
  <c r="G51" i="23"/>
  <c r="H51" i="23" s="1"/>
  <c r="H52" i="23" s="1"/>
  <c r="G86" i="23"/>
  <c r="H86" i="23" s="1"/>
  <c r="G32" i="23"/>
  <c r="H32" i="23" s="1"/>
  <c r="G31" i="23"/>
  <c r="H31" i="23" s="1"/>
  <c r="G30" i="23"/>
  <c r="H30" i="23" s="1"/>
  <c r="K15" i="7"/>
  <c r="M15" i="7" s="1"/>
  <c r="G71" i="23"/>
  <c r="H71" i="23" s="1"/>
  <c r="G85" i="23"/>
  <c r="H85" i="23" s="1"/>
  <c r="G28" i="23"/>
  <c r="H28" i="23" s="1"/>
  <c r="G90" i="23"/>
  <c r="H90" i="23" s="1"/>
  <c r="G83" i="23"/>
  <c r="H83" i="23" s="1"/>
  <c r="G84" i="23"/>
  <c r="H84" i="23" s="1"/>
  <c r="G29" i="23"/>
  <c r="H29" i="23" s="1"/>
  <c r="G26" i="23"/>
  <c r="H26" i="23" s="1"/>
  <c r="G89" i="23"/>
  <c r="H89" i="23" s="1"/>
  <c r="G25" i="23"/>
  <c r="H25" i="23" s="1"/>
  <c r="K40" i="20"/>
  <c r="K42" i="20"/>
  <c r="G72" i="23"/>
  <c r="H72" i="23" s="1"/>
  <c r="G88" i="23"/>
  <c r="H88" i="23" s="1"/>
  <c r="G87" i="23"/>
  <c r="H87" i="23" s="1"/>
  <c r="G41" i="23"/>
  <c r="H41" i="23" s="1"/>
  <c r="H42" i="23" s="1"/>
  <c r="G23" i="23"/>
  <c r="H23" i="23" s="1"/>
  <c r="G82" i="23"/>
  <c r="H82" i="23" s="1"/>
  <c r="K41" i="20"/>
  <c r="N17" i="2"/>
  <c r="P23" i="10"/>
  <c r="R23" i="10" s="1"/>
  <c r="I55" i="20"/>
  <c r="I60" i="20"/>
  <c r="I58" i="20"/>
  <c r="I52" i="20"/>
  <c r="I53" i="20"/>
  <c r="N15" i="11"/>
  <c r="P15" i="11" s="1"/>
  <c r="N24" i="12"/>
  <c r="P24" i="12" s="1"/>
  <c r="N24" i="15"/>
  <c r="P24" i="15" s="1"/>
  <c r="N24" i="14"/>
  <c r="P24" i="14" s="1"/>
  <c r="N15" i="15"/>
  <c r="P15" i="15" s="1"/>
  <c r="K15" i="13"/>
  <c r="M15" i="13" s="1"/>
  <c r="N15" i="12"/>
  <c r="P15" i="12" s="1"/>
  <c r="N15" i="14"/>
  <c r="P15" i="14" s="1"/>
  <c r="K25" i="7"/>
  <c r="M25" i="7" s="1"/>
  <c r="N19" i="11"/>
  <c r="P19" i="11" s="1"/>
  <c r="K30" i="7"/>
  <c r="M30" i="7" s="1"/>
  <c r="N24" i="11"/>
  <c r="P24" i="11" s="1"/>
  <c r="K31" i="7"/>
  <c r="M31" i="7" s="1"/>
  <c r="N25" i="11"/>
  <c r="P25" i="11" s="1"/>
  <c r="N26" i="15"/>
  <c r="P26" i="15" s="1"/>
  <c r="N26" i="14"/>
  <c r="P26" i="14" s="1"/>
  <c r="N26" i="12"/>
  <c r="P26" i="12" s="1"/>
  <c r="N23" i="15"/>
  <c r="P23" i="15" s="1"/>
  <c r="N23" i="14"/>
  <c r="P23" i="14" s="1"/>
  <c r="N23" i="12"/>
  <c r="P23" i="12" s="1"/>
  <c r="N21" i="15"/>
  <c r="P21" i="15" s="1"/>
  <c r="N21" i="14"/>
  <c r="P21" i="14" s="1"/>
  <c r="N21" i="12"/>
  <c r="P21" i="12" s="1"/>
  <c r="K26" i="7"/>
  <c r="N20" i="11"/>
  <c r="K27" i="7"/>
  <c r="M27" i="7" s="1"/>
  <c r="N21" i="11"/>
  <c r="P21" i="11" s="1"/>
  <c r="K32" i="7"/>
  <c r="M32" i="7" s="1"/>
  <c r="N26" i="11"/>
  <c r="P26" i="11" s="1"/>
  <c r="N27" i="15"/>
  <c r="P27" i="15" s="1"/>
  <c r="N27" i="14"/>
  <c r="P27" i="14" s="1"/>
  <c r="N27" i="12"/>
  <c r="P27" i="12" s="1"/>
  <c r="N25" i="12"/>
  <c r="P25" i="12" s="1"/>
  <c r="N25" i="15"/>
  <c r="P25" i="15" s="1"/>
  <c r="N25" i="14"/>
  <c r="P25" i="14" s="1"/>
  <c r="N22" i="15"/>
  <c r="N22" i="14"/>
  <c r="P22" i="14" s="1"/>
  <c r="N22" i="12"/>
  <c r="K29" i="7"/>
  <c r="M29" i="7" s="1"/>
  <c r="N23" i="11"/>
  <c r="P23" i="11" s="1"/>
  <c r="K28" i="7"/>
  <c r="M28" i="7" s="1"/>
  <c r="N22" i="11"/>
  <c r="P22" i="11" s="1"/>
  <c r="N28" i="12"/>
  <c r="P28" i="12" s="1"/>
  <c r="N28" i="15"/>
  <c r="P28" i="15" s="1"/>
  <c r="N28" i="14"/>
  <c r="P28" i="14" s="1"/>
  <c r="N29" i="9"/>
  <c r="P29" i="9" s="1"/>
  <c r="P34" i="10"/>
  <c r="R34" i="10" s="1"/>
  <c r="N27" i="9"/>
  <c r="P27" i="9" s="1"/>
  <c r="P32" i="10"/>
  <c r="R32" i="10" s="1"/>
  <c r="N24" i="9"/>
  <c r="P29" i="10"/>
  <c r="R29" i="10" s="1"/>
  <c r="P29" i="6"/>
  <c r="R29" i="6" s="1"/>
  <c r="P36" i="10"/>
  <c r="R36" i="10" s="1"/>
  <c r="K22" i="7"/>
  <c r="M22" i="7" s="1"/>
  <c r="P20" i="10"/>
  <c r="R20" i="10" s="1"/>
  <c r="N30" i="9"/>
  <c r="P30" i="9" s="1"/>
  <c r="P35" i="10"/>
  <c r="R35" i="10" s="1"/>
  <c r="N26" i="9"/>
  <c r="P26" i="9" s="1"/>
  <c r="P31" i="10"/>
  <c r="R31" i="10" s="1"/>
  <c r="K25" i="20"/>
  <c r="P41" i="10"/>
  <c r="R41" i="10" s="1"/>
  <c r="N15" i="9"/>
  <c r="P15" i="9" s="1"/>
  <c r="P15" i="10"/>
  <c r="R15" i="10" s="1"/>
  <c r="N28" i="9"/>
  <c r="P28" i="9" s="1"/>
  <c r="P33" i="10"/>
  <c r="R33" i="10" s="1"/>
  <c r="N25" i="9"/>
  <c r="P25" i="9" s="1"/>
  <c r="P30" i="10"/>
  <c r="R30" i="10" s="1"/>
  <c r="N23" i="9"/>
  <c r="P23" i="9" s="1"/>
  <c r="P28" i="10"/>
  <c r="R28" i="10" s="1"/>
  <c r="P27" i="6"/>
  <c r="R27" i="6" s="1"/>
  <c r="N27" i="8"/>
  <c r="P25" i="6"/>
  <c r="R25" i="6" s="1"/>
  <c r="N25" i="8"/>
  <c r="P22" i="6"/>
  <c r="N22" i="8"/>
  <c r="P28" i="6"/>
  <c r="R28" i="6" s="1"/>
  <c r="N28" i="8"/>
  <c r="P24" i="6"/>
  <c r="R24" i="6" s="1"/>
  <c r="N24" i="8"/>
  <c r="P15" i="6"/>
  <c r="R15" i="6" s="1"/>
  <c r="N15" i="8"/>
  <c r="P15" i="8" s="1"/>
  <c r="P26" i="6"/>
  <c r="R26" i="6" s="1"/>
  <c r="N26" i="8"/>
  <c r="P23" i="6"/>
  <c r="R23" i="6" s="1"/>
  <c r="N23" i="8"/>
  <c r="P21" i="6"/>
  <c r="R21" i="6" s="1"/>
  <c r="N21" i="8"/>
  <c r="K23" i="20"/>
  <c r="P35" i="6"/>
  <c r="R35" i="6" s="1"/>
  <c r="K21" i="20"/>
  <c r="P30" i="6"/>
  <c r="R30" i="6" s="1"/>
  <c r="K27" i="3"/>
  <c r="M27" i="3" s="1"/>
  <c r="K29" i="4"/>
  <c r="M29" i="4" s="1"/>
  <c r="K25" i="3"/>
  <c r="M25" i="3" s="1"/>
  <c r="K23" i="5"/>
  <c r="M23" i="5" s="1"/>
  <c r="K27" i="4"/>
  <c r="M27" i="4" s="1"/>
  <c r="K22" i="3"/>
  <c r="M22" i="3" s="1"/>
  <c r="K20" i="5"/>
  <c r="K24" i="4"/>
  <c r="M24" i="4" s="1"/>
  <c r="K15" i="5"/>
  <c r="M15" i="5" s="1"/>
  <c r="K20" i="4"/>
  <c r="M20" i="4" s="1"/>
  <c r="K28" i="3"/>
  <c r="M28" i="3" s="1"/>
  <c r="K30" i="4"/>
  <c r="M30" i="4" s="1"/>
  <c r="K24" i="3"/>
  <c r="M24" i="3" s="1"/>
  <c r="K22" i="5"/>
  <c r="M22" i="5" s="1"/>
  <c r="K26" i="4"/>
  <c r="M26" i="4" s="1"/>
  <c r="K15" i="3"/>
  <c r="M15" i="3" s="1"/>
  <c r="K15" i="4"/>
  <c r="M15" i="4" s="1"/>
  <c r="K26" i="3"/>
  <c r="M26" i="3" s="1"/>
  <c r="K24" i="5"/>
  <c r="M24" i="5" s="1"/>
  <c r="K28" i="4"/>
  <c r="M28" i="4" s="1"/>
  <c r="K22" i="20"/>
  <c r="K35" i="4"/>
  <c r="M35" i="4" s="1"/>
  <c r="K23" i="3"/>
  <c r="M23" i="3" s="1"/>
  <c r="K25" i="4"/>
  <c r="M25" i="4" s="1"/>
  <c r="K21" i="5"/>
  <c r="M21" i="5" s="1"/>
  <c r="K21" i="3"/>
  <c r="M21" i="3" s="1"/>
  <c r="K19" i="5"/>
  <c r="M19" i="5" s="1"/>
  <c r="K23" i="4"/>
  <c r="M23" i="4" s="1"/>
  <c r="K36" i="20"/>
  <c r="P28" i="2"/>
  <c r="K35" i="20"/>
  <c r="P27" i="2"/>
  <c r="K20" i="20"/>
  <c r="K29" i="3"/>
  <c r="M29" i="3" s="1"/>
  <c r="K37" i="20"/>
  <c r="P29" i="2"/>
  <c r="K38" i="20"/>
  <c r="K33" i="20"/>
  <c r="K34" i="20"/>
  <c r="P26" i="2"/>
  <c r="K39" i="20"/>
  <c r="P31" i="2"/>
  <c r="K24" i="20"/>
  <c r="N15" i="2"/>
  <c r="P15" i="2" s="1"/>
  <c r="K29" i="20"/>
  <c r="P17" i="2"/>
  <c r="K32" i="20"/>
  <c r="K9" i="20"/>
  <c r="N15" i="1"/>
  <c r="P15" i="1" s="1"/>
  <c r="K14" i="20"/>
  <c r="N23" i="1"/>
  <c r="P23" i="1" s="1"/>
  <c r="K18" i="20"/>
  <c r="N27" i="1"/>
  <c r="P27" i="1" s="1"/>
  <c r="K16" i="20"/>
  <c r="N25" i="1"/>
  <c r="P25" i="1" s="1"/>
  <c r="K13" i="20"/>
  <c r="N22" i="1"/>
  <c r="P22" i="1" s="1"/>
  <c r="K15" i="20"/>
  <c r="N24" i="1"/>
  <c r="P24" i="1" s="1"/>
  <c r="K17" i="20"/>
  <c r="N26" i="1"/>
  <c r="P26" i="1" s="1"/>
  <c r="K12" i="20"/>
  <c r="N21" i="1"/>
  <c r="P21" i="1" s="1"/>
  <c r="K19" i="20"/>
  <c r="N28" i="1"/>
  <c r="P28" i="1" s="1"/>
  <c r="AM47" i="19"/>
  <c r="G75" i="23" l="1"/>
  <c r="H75" i="23" s="1"/>
  <c r="H76" i="23" s="1"/>
  <c r="G16" i="23"/>
  <c r="H16" i="23" s="1"/>
  <c r="H17" i="23" s="1"/>
  <c r="H18" i="23" s="1"/>
  <c r="H73" i="23"/>
  <c r="H77" i="23" s="1"/>
  <c r="H78" i="23" s="1"/>
  <c r="I56" i="20"/>
  <c r="K56" i="20" s="1"/>
  <c r="G35" i="23"/>
  <c r="H35" i="23" s="1"/>
  <c r="H36" i="23" s="1"/>
  <c r="H37" i="23" s="1"/>
  <c r="H38" i="23" s="1"/>
  <c r="H92" i="23"/>
  <c r="H33" i="23"/>
  <c r="G94" i="23"/>
  <c r="H94" i="23" s="1"/>
  <c r="G45" i="23"/>
  <c r="H45" i="23" s="1"/>
  <c r="H46" i="23" s="1"/>
  <c r="H47" i="23" s="1"/>
  <c r="H48" i="23" s="1"/>
  <c r="G55" i="23"/>
  <c r="H55" i="23" s="1"/>
  <c r="H56" i="23" s="1"/>
  <c r="H57" i="23" s="1"/>
  <c r="H58" i="23" s="1"/>
  <c r="P21" i="8"/>
  <c r="P26" i="8"/>
  <c r="P24" i="8"/>
  <c r="P22" i="8"/>
  <c r="P27" i="8"/>
  <c r="P23" i="8"/>
  <c r="P28" i="8"/>
  <c r="P25" i="8"/>
  <c r="K44" i="20"/>
  <c r="K19" i="7"/>
  <c r="M19" i="7" s="1"/>
  <c r="P25" i="10"/>
  <c r="R25" i="10" s="1"/>
  <c r="H95" i="23" l="1"/>
  <c r="H96" i="23" s="1"/>
  <c r="H97" i="23" s="1"/>
  <c r="H19" i="23"/>
  <c r="N30" i="15"/>
  <c r="P30" i="15" s="1"/>
  <c r="N30" i="14"/>
  <c r="P30" i="14" s="1"/>
  <c r="N29" i="11"/>
  <c r="P29" i="11" s="1"/>
  <c r="N30" i="12"/>
  <c r="P30" i="12" s="1"/>
  <c r="N18" i="14"/>
  <c r="P18" i="14" s="1"/>
  <c r="K18" i="13"/>
  <c r="M18" i="13" s="1"/>
  <c r="N18" i="12"/>
  <c r="P18" i="12" s="1"/>
  <c r="N18" i="15"/>
  <c r="P18" i="15" s="1"/>
  <c r="N33" i="9"/>
  <c r="P33" i="9" s="1"/>
  <c r="P39" i="10"/>
  <c r="R39" i="10" s="1"/>
  <c r="N20" i="9"/>
  <c r="P20" i="9" s="1"/>
  <c r="P18" i="10"/>
  <c r="K60" i="20"/>
  <c r="P37" i="6"/>
  <c r="R37" i="6" s="1"/>
  <c r="N33" i="8"/>
  <c r="P33" i="8" s="1"/>
  <c r="K35" i="7"/>
  <c r="M35" i="7" s="1"/>
  <c r="P32" i="6"/>
  <c r="R32" i="6" s="1"/>
  <c r="N30" i="8"/>
  <c r="P30" i="8" s="1"/>
  <c r="N18" i="8"/>
  <c r="P18" i="8" s="1"/>
  <c r="P18" i="6"/>
  <c r="R18" i="6" s="1"/>
  <c r="K27" i="5"/>
  <c r="M27" i="5" s="1"/>
  <c r="K32" i="4"/>
  <c r="M32" i="4" s="1"/>
  <c r="K58" i="20"/>
  <c r="K37" i="4"/>
  <c r="M37" i="4" s="1"/>
  <c r="K18" i="3"/>
  <c r="M18" i="3" s="1"/>
  <c r="K18" i="4"/>
  <c r="M18" i="4" s="1"/>
  <c r="K31" i="3"/>
  <c r="M31" i="3" s="1"/>
  <c r="N34" i="2"/>
  <c r="P34" i="2" s="1"/>
  <c r="K53" i="20"/>
  <c r="N21" i="2"/>
  <c r="P21" i="2" s="1"/>
  <c r="K55" i="20"/>
  <c r="N30" i="1"/>
  <c r="P30" i="1" s="1"/>
  <c r="K52" i="20"/>
  <c r="N18" i="1"/>
  <c r="P18" i="1" s="1"/>
  <c r="H102" i="23" l="1"/>
  <c r="H105" i="23" s="1"/>
  <c r="K61" i="20"/>
  <c r="K65" i="20" s="1"/>
  <c r="K68" i="20" s="1"/>
  <c r="AK50" i="19" l="1"/>
</calcChain>
</file>

<file path=xl/sharedStrings.xml><?xml version="1.0" encoding="utf-8"?>
<sst xmlns="http://schemas.openxmlformats.org/spreadsheetml/2006/main" count="1106" uniqueCount="288">
  <si>
    <t>Rate Schedule - Sewer</t>
  </si>
  <si>
    <t>Florida Public Service Commission</t>
  </si>
  <si>
    <t>Schedule: E-1</t>
  </si>
  <si>
    <t>Page 2 of 2</t>
  </si>
  <si>
    <t>Test Year Ended:  12/31/2015</t>
  </si>
  <si>
    <t>Preparer: Jared Deason</t>
  </si>
  <si>
    <t>Water [  ] or Sewer [X]</t>
  </si>
  <si>
    <t>Interim [ ] Final [x]</t>
  </si>
  <si>
    <t>Explanation:  Provide a schedule of present and proposed rates.  State residential sewer cap, if one exists.</t>
  </si>
  <si>
    <t>(1)</t>
  </si>
  <si>
    <t>Test Year</t>
  </si>
  <si>
    <t>Present</t>
  </si>
  <si>
    <t>Line</t>
  </si>
  <si>
    <t xml:space="preserve">Rates </t>
  </si>
  <si>
    <t>Rates</t>
  </si>
  <si>
    <t>Proposed</t>
  </si>
  <si>
    <t>No</t>
  </si>
  <si>
    <t>Bill Code</t>
  </si>
  <si>
    <t>Class/Meter Size</t>
  </si>
  <si>
    <t>12.18.2014</t>
  </si>
  <si>
    <t>9.7.2015</t>
  </si>
  <si>
    <t>Residential</t>
  </si>
  <si>
    <t>All Meter Sizes</t>
  </si>
  <si>
    <t>Residential (6,000 gallon Maximum)</t>
  </si>
  <si>
    <t>General Service</t>
  </si>
  <si>
    <t>5/8” General Service</t>
  </si>
  <si>
    <t>3/4” General Service</t>
  </si>
  <si>
    <t>1” General Service</t>
  </si>
  <si>
    <t>1.5” General Service</t>
  </si>
  <si>
    <t>2” General Service</t>
  </si>
  <si>
    <t>3” General Service</t>
  </si>
  <si>
    <t>4" General Service</t>
  </si>
  <si>
    <t>6” General Service</t>
  </si>
  <si>
    <t>Company: Utilities, Inc. of Eagle Ridge</t>
  </si>
  <si>
    <t>Docket No.: 160101-WS</t>
  </si>
  <si>
    <t>Test Year Ended: December 31, 2015</t>
  </si>
  <si>
    <t>Preparer:  Jared Deason</t>
  </si>
  <si>
    <t>Test Year Rates</t>
  </si>
  <si>
    <t>Present Rates</t>
  </si>
  <si>
    <t xml:space="preserve">Effective  </t>
  </si>
  <si>
    <t>6.01.2013</t>
  </si>
  <si>
    <t>8.31.2015</t>
  </si>
  <si>
    <t>Flat Rate (monthly)</t>
  </si>
  <si>
    <t>Gallonage Charge per 1,000 gallons</t>
  </si>
  <si>
    <t xml:space="preserve"> 10,000 gallon Maximum</t>
  </si>
  <si>
    <t>General Service (Bi-monthly)</t>
  </si>
  <si>
    <t xml:space="preserve">5/8” </t>
  </si>
  <si>
    <t xml:space="preserve">1” </t>
  </si>
  <si>
    <t>1.5”</t>
  </si>
  <si>
    <t xml:space="preserve">2” </t>
  </si>
  <si>
    <t xml:space="preserve">3” </t>
  </si>
  <si>
    <t xml:space="preserve">4" </t>
  </si>
  <si>
    <t xml:space="preserve">6” </t>
  </si>
  <si>
    <t>Company:  Labrador Utilities Inc.</t>
  </si>
  <si>
    <t>5/8" Residential</t>
  </si>
  <si>
    <t>Residential (10,000 gallon Maximum)</t>
  </si>
  <si>
    <t>General &amp; Bulk Service</t>
  </si>
  <si>
    <t>8” General Service</t>
  </si>
  <si>
    <t>7.31.2014</t>
  </si>
  <si>
    <t>Flat Rate</t>
  </si>
  <si>
    <t>Bulk Service</t>
  </si>
  <si>
    <t>Gallonage Charge per 1,000 Gallons</t>
  </si>
  <si>
    <t>Company:  Utilities, Inc. of Longwood</t>
  </si>
  <si>
    <t>12.15.2013</t>
  </si>
  <si>
    <t>8.1.2015</t>
  </si>
  <si>
    <t>12.17.2015</t>
  </si>
  <si>
    <t xml:space="preserve">5/8" </t>
  </si>
  <si>
    <t xml:space="preserve">1" </t>
  </si>
  <si>
    <t>1-1/2"</t>
  </si>
  <si>
    <t>2"</t>
  </si>
  <si>
    <t>3"</t>
  </si>
  <si>
    <t>4"</t>
  </si>
  <si>
    <t>6"</t>
  </si>
  <si>
    <t>8"</t>
  </si>
  <si>
    <t>10"</t>
  </si>
  <si>
    <t>Reuse</t>
  </si>
  <si>
    <t>Base Facility Charge</t>
  </si>
  <si>
    <t>Company:  Mid-County Services, Inc.</t>
  </si>
  <si>
    <t>Residential (Bi-Monthly)</t>
  </si>
  <si>
    <t xml:space="preserve"> 20,000 gallon Maximum</t>
  </si>
  <si>
    <t>Multi-Residential (Unmetered)</t>
  </si>
  <si>
    <t>Flat Rate (bi-monthly)</t>
  </si>
  <si>
    <t>General Service (Bi-Monthly)</t>
  </si>
  <si>
    <t>Charge per 1,000 Gallons</t>
  </si>
  <si>
    <t>Company: Utilities, Inc. of Sandalhaven</t>
  </si>
  <si>
    <t>3.1.2014</t>
  </si>
  <si>
    <t>7.29.2015</t>
  </si>
  <si>
    <t xml:space="preserve"> 8,000 gallon Maximum</t>
  </si>
  <si>
    <t>8.26.2014</t>
  </si>
  <si>
    <t>7.1.2015</t>
  </si>
  <si>
    <t>9.29.2015</t>
  </si>
  <si>
    <t>Residential Reuse</t>
  </si>
  <si>
    <t>General Service/ Bulk Service</t>
  </si>
  <si>
    <t xml:space="preserve">Company: Tierra Verde Utilities, Inc. </t>
  </si>
  <si>
    <t xml:space="preserve">Docket No.: 160101-WS </t>
  </si>
  <si>
    <t>3.14.2014</t>
  </si>
  <si>
    <t>12.7.2015</t>
  </si>
  <si>
    <t>Flat Rate (Bi-monthly)</t>
  </si>
  <si>
    <t>11.17.2014</t>
  </si>
  <si>
    <t>10.27.2015</t>
  </si>
  <si>
    <t>Flat Rates Service</t>
  </si>
  <si>
    <t>Residential (8,000 gallon Maximum)</t>
  </si>
  <si>
    <t>Lake</t>
  </si>
  <si>
    <t>Pasco</t>
  </si>
  <si>
    <t>RESIDENTIAL</t>
  </si>
  <si>
    <t>Cypress</t>
  </si>
  <si>
    <t>Labrador</t>
  </si>
  <si>
    <t>Placid</t>
  </si>
  <si>
    <t>LUSI</t>
  </si>
  <si>
    <t>Sanlando</t>
  </si>
  <si>
    <t>Marion</t>
  </si>
  <si>
    <t>Orangewd</t>
  </si>
  <si>
    <t>Seminole</t>
  </si>
  <si>
    <t>Meter size</t>
  </si>
  <si>
    <t>5/8"</t>
  </si>
  <si>
    <t>3/4"</t>
  </si>
  <si>
    <t>1"</t>
  </si>
  <si>
    <t>1.5"</t>
  </si>
  <si>
    <t>0-6k</t>
  </si>
  <si>
    <t>All</t>
  </si>
  <si>
    <t>0-8k</t>
  </si>
  <si>
    <t>GENERAL SERVICE</t>
  </si>
  <si>
    <t>Current Sewer Rates per Month</t>
  </si>
  <si>
    <t>Eagle</t>
  </si>
  <si>
    <t>Ridge</t>
  </si>
  <si>
    <t>Bi-Monthly</t>
  </si>
  <si>
    <t>Res-Flat Rate</t>
  </si>
  <si>
    <t>0-10k</t>
  </si>
  <si>
    <t>BULK SERVICE</t>
  </si>
  <si>
    <t>Base</t>
  </si>
  <si>
    <t>Usage</t>
  </si>
  <si>
    <t>REUSE</t>
  </si>
  <si>
    <t>Mid-Cty</t>
  </si>
  <si>
    <t>0-20k</t>
  </si>
  <si>
    <t>GS-Flat Rate</t>
  </si>
  <si>
    <t>Tierra</t>
  </si>
  <si>
    <t>Verde</t>
  </si>
  <si>
    <t>All Sizes</t>
  </si>
  <si>
    <t>Pennbrke</t>
  </si>
  <si>
    <t>Sandalhvn</t>
  </si>
  <si>
    <t>Smmrtree</t>
  </si>
  <si>
    <t>Longwd</t>
  </si>
  <si>
    <t>Sewer Usage based on Metered Water</t>
  </si>
  <si>
    <t>Bi-Mo</t>
  </si>
  <si>
    <t>Company:  Cypress Lakes Utilities Inc.</t>
  </si>
  <si>
    <t>Company:  Lake Placid Utilities Inc.</t>
  </si>
  <si>
    <t>Company:  Lake Utility Services, Inc.</t>
  </si>
  <si>
    <t>Company: Utilities Inc. of Pennbrooke</t>
  </si>
  <si>
    <t xml:space="preserve">Company:  Sanlando Utilities Corp. </t>
  </si>
  <si>
    <t>Company:  UIF-Marion County</t>
  </si>
  <si>
    <t>Company:  UIF-Pasco County-Orangewood</t>
  </si>
  <si>
    <t>Company:  UIF-Pasco County-Summertree</t>
  </si>
  <si>
    <t>Company:  UIF-Seminole County</t>
  </si>
  <si>
    <t>Cypress (1)</t>
  </si>
  <si>
    <t>Eagle Ridge (2)</t>
  </si>
  <si>
    <t>Labrador (3)</t>
  </si>
  <si>
    <t>Lk Placid (4)</t>
  </si>
  <si>
    <t>Longwd (5)</t>
  </si>
  <si>
    <t>LUSI (6)</t>
  </si>
  <si>
    <t>Mid-Cty (7)</t>
  </si>
  <si>
    <t>Pennbrke (8)</t>
  </si>
  <si>
    <t>Sandalhvn (9)</t>
  </si>
  <si>
    <t>Sanlando (10)</t>
  </si>
  <si>
    <t>T.Verde (11)</t>
  </si>
  <si>
    <t>Marion (12)</t>
  </si>
  <si>
    <t>Orangewd (13)</t>
  </si>
  <si>
    <t>Smmrtree (14)</t>
  </si>
  <si>
    <t>Seminole (15)</t>
  </si>
  <si>
    <t>Number of Sewer Bills</t>
  </si>
  <si>
    <t>Eagle Rdg</t>
  </si>
  <si>
    <t>T. Verde</t>
  </si>
  <si>
    <t>Lk Placid</t>
  </si>
  <si>
    <t>Sewer Revenue at Current Rates</t>
  </si>
  <si>
    <t>Capped Usage</t>
  </si>
  <si>
    <t>All Usage</t>
  </si>
  <si>
    <t>System-Base</t>
  </si>
  <si>
    <t>System-Usage</t>
  </si>
  <si>
    <t>Total Sales Revenue</t>
  </si>
  <si>
    <t>E-2 Total</t>
  </si>
  <si>
    <t>Less: Misc. &amp; Adj.</t>
  </si>
  <si>
    <t>UIF Total</t>
  </si>
  <si>
    <t>Rev. Reqmt</t>
  </si>
  <si>
    <t>Increase</t>
  </si>
  <si>
    <t>Utilities, Inc. of Florida</t>
  </si>
  <si>
    <t>Single Tariff Pricing</t>
  </si>
  <si>
    <t>BASE SERVICE CHARGE CALCULATION:</t>
  </si>
  <si>
    <t>Meter</t>
  </si>
  <si>
    <t>Factored</t>
  </si>
  <si>
    <t>Produced</t>
  </si>
  <si>
    <t>Bills</t>
  </si>
  <si>
    <t>Revenue</t>
  </si>
  <si>
    <t>Revenue Requirement</t>
  </si>
  <si>
    <t>Rate for Factor 1.0</t>
  </si>
  <si>
    <t>VOLUMETRIC RATE CALCULATION:</t>
  </si>
  <si>
    <t>Gallons</t>
  </si>
  <si>
    <t>Residential Usage</t>
  </si>
  <si>
    <t>General Service Usage</t>
  </si>
  <si>
    <t>All Gallons</t>
  </si>
  <si>
    <t>Total Revenues</t>
  </si>
  <si>
    <t>Difference</t>
  </si>
  <si>
    <t>Residential Flat Rate</t>
  </si>
  <si>
    <t>General Service Flat Rate</t>
  </si>
  <si>
    <t>Factor</t>
  </si>
  <si>
    <t>Used</t>
  </si>
  <si>
    <t>Bulk Service (all Sizes)</t>
  </si>
  <si>
    <t>Residential (all Sizes)</t>
  </si>
  <si>
    <t>Reuse Service (all Sizes)</t>
  </si>
  <si>
    <t>Totals</t>
  </si>
  <si>
    <t>Monthly Max Usage</t>
  </si>
  <si>
    <t>Bi-Monthly Max Usage</t>
  </si>
  <si>
    <t>0-16k</t>
  </si>
  <si>
    <t>Bulk Service Usage</t>
  </si>
  <si>
    <t>Reuse Service Usage</t>
  </si>
  <si>
    <t>1)  Monthly Metered Service</t>
  </si>
  <si>
    <t>2)  Bi-Monthly Metered Service</t>
  </si>
  <si>
    <t>Monthly</t>
  </si>
  <si>
    <t xml:space="preserve">Percentage </t>
  </si>
  <si>
    <t>Consolidated</t>
  </si>
  <si>
    <t>Change</t>
  </si>
  <si>
    <t>STP</t>
  </si>
  <si>
    <t>from Present</t>
  </si>
  <si>
    <t>6,000 gallon Maximum</t>
  </si>
  <si>
    <t>General Service-All Gals.</t>
  </si>
  <si>
    <t>Base-All Sizes</t>
  </si>
  <si>
    <t xml:space="preserve">General Service </t>
  </si>
  <si>
    <t>Proposed Maximum</t>
  </si>
  <si>
    <t>Monthly Residential</t>
  </si>
  <si>
    <t>Bi-monthly 0-16k</t>
  </si>
  <si>
    <t>N/A</t>
  </si>
  <si>
    <t>Revenue Schedule at Test Year Rates - Proof of Revenue</t>
  </si>
  <si>
    <t>Schedule E-2</t>
  </si>
  <si>
    <t>Water [ ]  Sewer [x]</t>
  </si>
  <si>
    <t>Explanation:  Provide a calculation of revenues at present and proposed rates using the billing analysis.  Explain any differences between these revenues and booked revenues. If a rate change occurred during the test year, a revenue calculation must be made for each period.</t>
  </si>
  <si>
    <t xml:space="preserve">Total Billable </t>
  </si>
  <si>
    <t>Gallons (in 000's)</t>
  </si>
  <si>
    <t>Residential - Base Charge</t>
  </si>
  <si>
    <t>Total Residential Service BFC</t>
  </si>
  <si>
    <t>Consumption Charge (per 1,000 Gallons)</t>
  </si>
  <si>
    <t>Total Residential Service Billable Cons.</t>
  </si>
  <si>
    <t>Total Residential Service</t>
  </si>
  <si>
    <t>Average Residential Bill</t>
  </si>
  <si>
    <t>General Service -  Base Charge</t>
  </si>
  <si>
    <t>10” General Service</t>
  </si>
  <si>
    <t>Total General Service Base Facility Charges</t>
  </si>
  <si>
    <t>Total General Service Consumption</t>
  </si>
  <si>
    <t>Total General Service</t>
  </si>
  <si>
    <t>Average General Service Bill</t>
  </si>
  <si>
    <t>Residential &amp; GS Reuse -  Base Charge</t>
  </si>
  <si>
    <t>All Meters</t>
  </si>
  <si>
    <t>Consumption for all meter sizes</t>
  </si>
  <si>
    <t>Average Residential Reuse Service Bill</t>
  </si>
  <si>
    <t>Other Miscellaneous Revenues</t>
  </si>
  <si>
    <t>Adjustment to reclass Miscellaneous Revenues</t>
  </si>
  <si>
    <t>Total Other Revenues</t>
  </si>
  <si>
    <t>Adjusted Test Year/ Annualized / Proposed Revenues</t>
  </si>
  <si>
    <t>Company: Utilities, Inc. of Florida - Consolidated Systems</t>
  </si>
  <si>
    <t>Line No.</t>
  </si>
  <si>
    <t xml:space="preserve">Total Pro Forma Bills </t>
  </si>
  <si>
    <t>Pro Forma Proposed Revenue</t>
  </si>
  <si>
    <t>Residential (Max 8k gallons)</t>
  </si>
  <si>
    <t>Residential Flat Rate per Unit</t>
  </si>
  <si>
    <t>General Service Flat Rate per Unit</t>
  </si>
  <si>
    <t>Bulk Service - Base Charge</t>
  </si>
  <si>
    <t>Total Reuse Service Base Facility Charges</t>
  </si>
  <si>
    <t>Total Reuse Service Consumption</t>
  </si>
  <si>
    <t>Total Reuse Service</t>
  </si>
  <si>
    <t>Average Reuse Service Bill</t>
  </si>
  <si>
    <t>Total Bulk Service Base Facility Charges</t>
  </si>
  <si>
    <t>Total Bulk Service Consumption</t>
  </si>
  <si>
    <t>Total Bulk Service</t>
  </si>
  <si>
    <t>Page 2 of 3</t>
  </si>
  <si>
    <t>Residential - BI-Monthly Base Charge</t>
  </si>
  <si>
    <t>Residential (Max 16k gallons)</t>
  </si>
  <si>
    <t>All Gallons - Monthly</t>
  </si>
  <si>
    <t>All Gallons - BiMonthly</t>
  </si>
  <si>
    <t>Single Tariff (STP) Rates</t>
  </si>
  <si>
    <t>Mo.</t>
  </si>
  <si>
    <t>BiMo</t>
  </si>
  <si>
    <t>Docket No. 160101 -WS</t>
  </si>
  <si>
    <t>Exhibit JFG-Rate Design</t>
  </si>
  <si>
    <t>Schedule S-1</t>
  </si>
  <si>
    <t>Schedule S-2</t>
  </si>
  <si>
    <t>Schedule S-3</t>
  </si>
  <si>
    <t>Schedule S-4</t>
  </si>
  <si>
    <t>Schedule S-5</t>
  </si>
  <si>
    <t>Revenue Check</t>
  </si>
  <si>
    <t>REVENUE AT CURRENT RATES (Sum of components above)</t>
  </si>
  <si>
    <t>Sewer Rate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</si>
</sst>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/dd/yy;@"/>
    <numFmt numFmtId="166" formatCode="&quot;$&quot;#,##0.00"/>
    <numFmt numFmtId="167" formatCode="0.0"/>
    <numFmt numFmtId="168" formatCode="_(* #,##0_);_(* \(#,##0\);_(* &quot;-&quot;??_);_(@_)"/>
    <numFmt numFmtId="169" formatCode="0.0%"/>
    <numFmt numFmtId="170" formatCode="_(* #,##0.0_);_(* \(#,##0.0\);_(* &quot;-&quot;??_);_(@_)"/>
    <numFmt numFmtId="171" formatCode="_(&quot;$&quot;* #,##0_);_(&quot;$&quot;* \(#,##0\);_(&quot;$&quot;* &quot;-&quot;??_);_(@_)"/>
    <numFmt numFmtId="172" formatCode="&quot;$&quot;#,##0.000_);\(&quot;$&quot;#,##0.000\)"/>
    <numFmt numFmtId="173" formatCode="#########"/>
    <numFmt numFmtId="174" formatCode="##"/>
    <numFmt numFmtId="175" formatCode="mm/yy"/>
    <numFmt numFmtId="176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sz val="9"/>
      <color rgb="FFFF0000"/>
      <name val="Calibri"/>
      <family val="2"/>
    </font>
    <font>
      <sz val="10"/>
      <name val="Geneva"/>
    </font>
    <font>
      <sz val="9"/>
      <color indexed="12"/>
      <name val="Calibri"/>
      <family val="2"/>
    </font>
    <font>
      <sz val="10"/>
      <name val="Arial"/>
      <family val="2"/>
    </font>
    <font>
      <b/>
      <sz val="9"/>
      <color rgb="FFFF0000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sz val="10"/>
      <name val="Garmond (W1)"/>
    </font>
    <font>
      <b/>
      <sz val="10"/>
      <name val="Garmond (W1)"/>
    </font>
    <font>
      <b/>
      <sz val="10"/>
      <name val="Garmond (W1)"/>
      <family val="1"/>
    </font>
    <font>
      <sz val="10"/>
      <name val="Bookman Old Style"/>
      <family val="1"/>
    </font>
    <font>
      <sz val="9"/>
      <name val="Calibri"/>
      <family val="2"/>
      <scheme val="minor"/>
    </font>
    <font>
      <sz val="10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9"/>
      <color theme="1"/>
      <name val="Georgia"/>
      <family val="2"/>
    </font>
    <font>
      <sz val="12"/>
      <name val="Arial"/>
      <family val="2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2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6" fillId="0" borderId="0"/>
    <xf numFmtId="0" fontId="23" fillId="0" borderId="0"/>
    <xf numFmtId="0" fontId="24" fillId="0" borderId="0"/>
    <xf numFmtId="41" fontId="26" fillId="0" borderId="0" applyFont="0" applyAlignment="0">
      <alignment horizontal="centerContinuous"/>
    </xf>
    <xf numFmtId="8" fontId="6" fillId="0" borderId="0" applyFont="0" applyFill="0" applyBorder="0" applyAlignment="0" applyProtection="0"/>
    <xf numFmtId="37" fontId="27" fillId="0" borderId="0"/>
    <xf numFmtId="0" fontId="24" fillId="0" borderId="0"/>
    <xf numFmtId="173" fontId="27" fillId="0" borderId="0"/>
    <xf numFmtId="173" fontId="27" fillId="0" borderId="0"/>
    <xf numFmtId="174" fontId="29" fillId="0" borderId="0" applyFont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6" fillId="0" borderId="0" applyFont="0" applyAlignment="0">
      <alignment horizontal="centerContinuous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26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26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26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6" fillId="0" borderId="0" applyFont="0" applyAlignment="0">
      <alignment horizontal="centerContinuous"/>
    </xf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2" fontId="26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6" fillId="0" borderId="0" applyFont="0" applyFill="0" applyBorder="0" applyAlignment="0" applyProtection="0"/>
    <xf numFmtId="42" fontId="26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14" fontId="6" fillId="0" borderId="0"/>
    <xf numFmtId="175" fontId="27" fillId="0" borderId="0" applyFont="0" applyAlignment="0"/>
    <xf numFmtId="176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24" fillId="0" borderId="0" applyProtection="0"/>
    <xf numFmtId="0" fontId="1" fillId="0" borderId="0"/>
    <xf numFmtId="0" fontId="32" fillId="0" borderId="0"/>
    <xf numFmtId="0" fontId="33" fillId="0" borderId="0"/>
    <xf numFmtId="0" fontId="1" fillId="0" borderId="0"/>
    <xf numFmtId="0" fontId="23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" fillId="3" borderId="9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49" fontId="2" fillId="0" borderId="0" xfId="0" applyNumberFormat="1" applyFont="1"/>
    <xf numFmtId="39" fontId="2" fillId="0" borderId="0" xfId="0" applyNumberFormat="1" applyFont="1" applyProtection="1"/>
    <xf numFmtId="0" fontId="3" fillId="0" borderId="0" xfId="0" applyFont="1"/>
    <xf numFmtId="0" fontId="2" fillId="0" borderId="0" xfId="0" quotePrefix="1" applyFont="1" applyFill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center" wrapText="1"/>
    </xf>
    <xf numFmtId="41" fontId="2" fillId="0" borderId="2" xfId="1" quotePrefix="1" applyNumberFormat="1" applyFont="1" applyBorder="1" applyAlignment="1">
      <alignment horizontal="center"/>
    </xf>
    <xf numFmtId="49" fontId="4" fillId="0" borderId="0" xfId="0" applyNumberFormat="1" applyFont="1"/>
    <xf numFmtId="0" fontId="5" fillId="0" borderId="0" xfId="0" applyFont="1"/>
    <xf numFmtId="39" fontId="3" fillId="0" borderId="0" xfId="0" applyNumberFormat="1" applyFont="1" applyProtection="1"/>
    <xf numFmtId="16" fontId="3" fillId="0" borderId="0" xfId="0" applyNumberFormat="1" applyFont="1" applyFill="1" applyAlignment="1">
      <alignment horizontal="left" indent="2"/>
    </xf>
    <xf numFmtId="166" fontId="3" fillId="2" borderId="0" xfId="0" applyNumberFormat="1" applyFont="1" applyFill="1" applyAlignment="1"/>
    <xf numFmtId="166" fontId="5" fillId="0" borderId="0" xfId="0" applyNumberFormat="1" applyFont="1" applyAlignment="1"/>
    <xf numFmtId="166" fontId="3" fillId="2" borderId="0" xfId="0" applyNumberFormat="1" applyFont="1" applyFill="1" applyAlignment="1" applyProtection="1"/>
    <xf numFmtId="166" fontId="3" fillId="0" borderId="0" xfId="0" applyNumberFormat="1" applyFont="1" applyAlignment="1"/>
    <xf numFmtId="166" fontId="3" fillId="0" borderId="0" xfId="0" applyNumberFormat="1" applyFont="1" applyAlignment="1" applyProtection="1"/>
    <xf numFmtId="0" fontId="3" fillId="0" borderId="0" xfId="0" applyFont="1" applyFill="1" applyAlignment="1">
      <alignment horizontal="left" indent="2"/>
    </xf>
    <xf numFmtId="166" fontId="5" fillId="0" borderId="0" xfId="0" applyNumberFormat="1" applyFont="1" applyAlignment="1" applyProtection="1"/>
    <xf numFmtId="49" fontId="4" fillId="0" borderId="0" xfId="3" applyNumberFormat="1" applyFont="1" applyFill="1" applyAlignment="1">
      <alignment horizontal="left"/>
    </xf>
    <xf numFmtId="166" fontId="5" fillId="0" borderId="0" xfId="0" quotePrefix="1" applyNumberFormat="1" applyFont="1" applyAlignment="1"/>
    <xf numFmtId="166" fontId="3" fillId="0" borderId="0" xfId="0" quotePrefix="1" applyNumberFormat="1" applyFont="1" applyAlignment="1"/>
    <xf numFmtId="166" fontId="3" fillId="0" borderId="0" xfId="2" applyNumberFormat="1" applyFont="1" applyAlignment="1"/>
    <xf numFmtId="166" fontId="3" fillId="2" borderId="0" xfId="2" applyNumberFormat="1" applyFont="1" applyFill="1" applyAlignment="1"/>
    <xf numFmtId="166" fontId="3" fillId="2" borderId="0" xfId="1" quotePrefix="1" applyNumberFormat="1" applyFont="1" applyFill="1" applyAlignment="1"/>
    <xf numFmtId="166" fontId="3" fillId="0" borderId="0" xfId="0" applyNumberFormat="1" applyFont="1" applyFill="1" applyAlignment="1" applyProtection="1"/>
    <xf numFmtId="37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39" fontId="3" fillId="0" borderId="0" xfId="0" applyNumberFormat="1" applyFont="1" applyAlignment="1" applyProtection="1">
      <alignment horizontal="centerContinuous"/>
    </xf>
    <xf numFmtId="49" fontId="3" fillId="0" borderId="0" xfId="0" applyNumberFormat="1" applyFont="1"/>
    <xf numFmtId="5" fontId="3" fillId="0" borderId="0" xfId="0" applyNumberFormat="1" applyFont="1" applyProtection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1" fontId="2" fillId="2" borderId="2" xfId="1" quotePrefix="1" applyNumberFormat="1" applyFont="1" applyFill="1" applyBorder="1" applyAlignment="1">
      <alignment horizontal="center"/>
    </xf>
    <xf numFmtId="41" fontId="2" fillId="0" borderId="2" xfId="1" applyNumberFormat="1" applyFont="1" applyFill="1" applyBorder="1" applyAlignment="1">
      <alignment horizontal="center"/>
    </xf>
    <xf numFmtId="166" fontId="3" fillId="0" borderId="0" xfId="1" quotePrefix="1" applyNumberFormat="1" applyFont="1" applyAlignment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Alignment="1"/>
    <xf numFmtId="39" fontId="3" fillId="0" borderId="0" xfId="0" applyNumberFormat="1" applyFont="1" applyFill="1" applyProtection="1"/>
    <xf numFmtId="43" fontId="3" fillId="0" borderId="0" xfId="0" applyNumberFormat="1" applyFont="1" applyProtection="1"/>
    <xf numFmtId="0" fontId="3" fillId="0" borderId="0" xfId="3" applyFont="1" applyFill="1" applyAlignment="1">
      <alignment horizontal="left"/>
    </xf>
    <xf numFmtId="41" fontId="9" fillId="0" borderId="2" xfId="1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 vertical="center" wrapText="1"/>
    </xf>
    <xf numFmtId="49" fontId="3" fillId="0" borderId="0" xfId="3" quotePrefix="1" applyNumberFormat="1" applyFont="1" applyFill="1" applyAlignment="1">
      <alignment horizontal="left"/>
    </xf>
    <xf numFmtId="49" fontId="3" fillId="0" borderId="0" xfId="3" applyNumberFormat="1" applyFont="1" applyFill="1" applyAlignment="1">
      <alignment horizontal="left"/>
    </xf>
    <xf numFmtId="0" fontId="5" fillId="0" borderId="0" xfId="0" applyFont="1" applyAlignment="1">
      <alignment horizontal="centerContinuous"/>
    </xf>
    <xf numFmtId="165" fontId="2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4" fontId="3" fillId="0" borderId="0" xfId="2" applyNumberFormat="1" applyFont="1" applyFill="1" applyAlignment="1"/>
    <xf numFmtId="167" fontId="12" fillId="0" borderId="0" xfId="0" applyNumberFormat="1" applyFont="1" applyFill="1"/>
    <xf numFmtId="167" fontId="0" fillId="0" borderId="0" xfId="0" applyNumberFormat="1" applyFill="1"/>
    <xf numFmtId="8" fontId="3" fillId="0" borderId="0" xfId="2" applyNumberFormat="1" applyFont="1" applyFill="1" applyAlignment="1"/>
    <xf numFmtId="4" fontId="3" fillId="0" borderId="0" xfId="0" applyNumberFormat="1" applyFont="1" applyFill="1" applyAlignment="1"/>
    <xf numFmtId="4" fontId="5" fillId="0" borderId="0" xfId="2" applyNumberFormat="1" applyFont="1" applyFill="1" applyAlignment="1"/>
    <xf numFmtId="166" fontId="3" fillId="0" borderId="0" xfId="1" quotePrefix="1" applyNumberFormat="1" applyFont="1" applyFill="1" applyAlignment="1"/>
    <xf numFmtId="0" fontId="0" fillId="0" borderId="0" xfId="0" quotePrefix="1" applyFill="1" applyAlignment="1">
      <alignment horizontal="right"/>
    </xf>
    <xf numFmtId="0" fontId="13" fillId="0" borderId="0" xfId="3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6" fontId="3" fillId="0" borderId="0" xfId="2" applyNumberFormat="1" applyFont="1" applyFill="1" applyAlignment="1"/>
    <xf numFmtId="0" fontId="0" fillId="0" borderId="0" xfId="0" applyFill="1" applyAlignment="1"/>
    <xf numFmtId="168" fontId="14" fillId="0" borderId="0" xfId="1" applyNumberFormat="1" applyFont="1" applyFill="1" applyAlignment="1">
      <alignment horizontal="center"/>
    </xf>
    <xf numFmtId="168" fontId="14" fillId="0" borderId="5" xfId="1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8" fontId="14" fillId="0" borderId="0" xfId="1" applyNumberFormat="1" applyFont="1" applyFill="1" applyBorder="1" applyAlignment="1">
      <alignment horizontal="center"/>
    </xf>
    <xf numFmtId="168" fontId="3" fillId="0" borderId="0" xfId="1" applyNumberFormat="1" applyFont="1" applyFill="1" applyAlignment="1" applyProtection="1"/>
    <xf numFmtId="168" fontId="3" fillId="0" borderId="5" xfId="1" applyNumberFormat="1" applyFont="1" applyFill="1" applyBorder="1" applyAlignment="1" applyProtection="1"/>
    <xf numFmtId="168" fontId="3" fillId="0" borderId="0" xfId="1" applyNumberFormat="1" applyFont="1" applyFill="1" applyBorder="1" applyAlignment="1" applyProtection="1"/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3" fontId="3" fillId="0" borderId="0" xfId="2" applyNumberFormat="1" applyFont="1" applyFill="1" applyAlignment="1"/>
    <xf numFmtId="169" fontId="14" fillId="0" borderId="0" xfId="11" applyNumberFormat="1" applyFont="1" applyFill="1"/>
    <xf numFmtId="0" fontId="14" fillId="0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44" fontId="0" fillId="0" borderId="0" xfId="2" applyFont="1"/>
    <xf numFmtId="0" fontId="0" fillId="0" borderId="0" xfId="0" applyFill="1" applyAlignment="1">
      <alignment horizontal="left"/>
    </xf>
    <xf numFmtId="3" fontId="0" fillId="0" borderId="0" xfId="0" applyNumberFormat="1" applyBorder="1"/>
    <xf numFmtId="44" fontId="0" fillId="0" borderId="0" xfId="2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37" fontId="0" fillId="0" borderId="0" xfId="0" applyNumberFormat="1"/>
    <xf numFmtId="2" fontId="0" fillId="0" borderId="0" xfId="0" applyNumberFormat="1"/>
    <xf numFmtId="37" fontId="0" fillId="0" borderId="5" xfId="0" applyNumberFormat="1" applyBorder="1"/>
    <xf numFmtId="0" fontId="0" fillId="0" borderId="0" xfId="0" applyAlignment="1">
      <alignment horizontal="right"/>
    </xf>
    <xf numFmtId="170" fontId="0" fillId="0" borderId="0" xfId="1" applyNumberFormat="1" applyFont="1" applyFill="1"/>
    <xf numFmtId="168" fontId="14" fillId="0" borderId="0" xfId="0" applyNumberFormat="1" applyFont="1" applyFill="1" applyAlignment="1">
      <alignment horizontal="center"/>
    </xf>
    <xf numFmtId="0" fontId="14" fillId="0" borderId="0" xfId="0" applyFont="1"/>
    <xf numFmtId="168" fontId="16" fillId="0" borderId="0" xfId="1" applyNumberFormat="1" applyFont="1" applyFill="1" applyAlignment="1" applyProtection="1"/>
    <xf numFmtId="168" fontId="13" fillId="0" borderId="0" xfId="1" applyNumberFormat="1" applyFont="1" applyFill="1" applyAlignment="1" applyProtection="1"/>
    <xf numFmtId="170" fontId="13" fillId="0" borderId="0" xfId="1" applyNumberFormat="1" applyFont="1" applyFill="1" applyAlignment="1" applyProtection="1"/>
    <xf numFmtId="44" fontId="13" fillId="0" borderId="0" xfId="2" applyFont="1" applyFill="1" applyAlignment="1" applyProtection="1"/>
    <xf numFmtId="44" fontId="1" fillId="0" borderId="0" xfId="2" applyFont="1"/>
    <xf numFmtId="3" fontId="1" fillId="0" borderId="5" xfId="0" applyNumberFormat="1" applyFont="1" applyBorder="1"/>
    <xf numFmtId="0" fontId="1" fillId="0" borderId="0" xfId="0" applyFont="1"/>
    <xf numFmtId="3" fontId="1" fillId="0" borderId="0" xfId="0" applyNumberFormat="1" applyFont="1" applyBorder="1"/>
    <xf numFmtId="44" fontId="1" fillId="0" borderId="0" xfId="2" applyNumberFormat="1" applyFont="1" applyBorder="1"/>
    <xf numFmtId="168" fontId="0" fillId="0" borderId="0" xfId="0" applyNumberFormat="1" applyFill="1"/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8" fontId="0" fillId="0" borderId="5" xfId="0" applyNumberFormat="1" applyFill="1" applyBorder="1" applyAlignment="1">
      <alignment horizontal="right"/>
    </xf>
    <xf numFmtId="168" fontId="0" fillId="0" borderId="5" xfId="0" applyNumberFormat="1" applyFill="1" applyBorder="1"/>
    <xf numFmtId="0" fontId="2" fillId="0" borderId="4" xfId="0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1" fontId="2" fillId="0" borderId="6" xfId="1" quotePrefix="1" applyNumberFormat="1" applyFont="1" applyBorder="1" applyAlignment="1">
      <alignment horizontal="center"/>
    </xf>
    <xf numFmtId="41" fontId="2" fillId="0" borderId="6" xfId="1" applyNumberFormat="1" applyFont="1" applyBorder="1" applyAlignment="1">
      <alignment horizontal="center"/>
    </xf>
    <xf numFmtId="41" fontId="2" fillId="0" borderId="4" xfId="1" applyNumberFormat="1" applyFont="1" applyBorder="1" applyAlignment="1">
      <alignment horizontal="center"/>
    </xf>
    <xf numFmtId="169" fontId="3" fillId="0" borderId="0" xfId="11" applyNumberFormat="1" applyFont="1"/>
    <xf numFmtId="44" fontId="3" fillId="0" borderId="0" xfId="0" applyNumberFormat="1" applyFont="1"/>
    <xf numFmtId="168" fontId="17" fillId="0" borderId="5" xfId="1" applyNumberFormat="1" applyFont="1" applyFill="1" applyBorder="1" applyAlignment="1">
      <alignment horizontal="center"/>
    </xf>
    <xf numFmtId="168" fontId="17" fillId="0" borderId="0" xfId="1" applyNumberFormat="1" applyFont="1" applyFill="1" applyAlignment="1">
      <alignment horizontal="center"/>
    </xf>
    <xf numFmtId="168" fontId="5" fillId="0" borderId="0" xfId="1" applyNumberFormat="1" applyFont="1" applyFill="1" applyAlignment="1" applyProtection="1"/>
    <xf numFmtId="49" fontId="4" fillId="2" borderId="0" xfId="0" applyNumberFormat="1" applyFont="1" applyFill="1"/>
    <xf numFmtId="16" fontId="3" fillId="0" borderId="0" xfId="0" applyNumberFormat="1" applyFont="1"/>
    <xf numFmtId="44" fontId="3" fillId="2" borderId="0" xfId="0" applyNumberFormat="1" applyFont="1" applyFill="1"/>
    <xf numFmtId="43" fontId="0" fillId="0" borderId="0" xfId="1" applyNumberFormat="1" applyFont="1" applyFill="1"/>
    <xf numFmtId="43" fontId="13" fillId="0" borderId="0" xfId="1" applyNumberFormat="1" applyFont="1" applyFill="1" applyAlignment="1" applyProtection="1"/>
    <xf numFmtId="171" fontId="0" fillId="0" borderId="0" xfId="0" applyNumberFormat="1" applyFont="1" applyBorder="1"/>
    <xf numFmtId="171" fontId="13" fillId="0" borderId="0" xfId="1" applyNumberFormat="1" applyFont="1" applyFill="1" applyAlignment="1" applyProtection="1"/>
    <xf numFmtId="171" fontId="0" fillId="0" borderId="0" xfId="1" applyNumberFormat="1" applyFont="1" applyBorder="1"/>
    <xf numFmtId="171" fontId="0" fillId="0" borderId="0" xfId="0" applyNumberFormat="1" applyAlignment="1">
      <alignment horizontal="center"/>
    </xf>
    <xf numFmtId="171" fontId="0" fillId="0" borderId="5" xfId="0" applyNumberFormat="1" applyFont="1" applyBorder="1"/>
    <xf numFmtId="171" fontId="0" fillId="0" borderId="0" xfId="0" applyNumberFormat="1"/>
    <xf numFmtId="171" fontId="0" fillId="0" borderId="0" xfId="2" applyNumberFormat="1" applyFont="1"/>
    <xf numFmtId="171" fontId="0" fillId="0" borderId="5" xfId="0" applyNumberFormat="1" applyBorder="1"/>
    <xf numFmtId="0" fontId="19" fillId="0" borderId="0" xfId="0" applyFont="1" applyFill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68" fontId="21" fillId="0" borderId="0" xfId="1" applyNumberFormat="1" applyFont="1" applyFill="1" applyAlignment="1">
      <alignment horizontal="center"/>
    </xf>
    <xf numFmtId="10" fontId="19" fillId="0" borderId="0" xfId="0" applyNumberFormat="1" applyFont="1" applyFill="1"/>
    <xf numFmtId="168" fontId="22" fillId="0" borderId="0" xfId="1" applyNumberFormat="1" applyFont="1" applyFill="1" applyAlignment="1">
      <alignment horizontal="center"/>
    </xf>
    <xf numFmtId="44" fontId="0" fillId="0" borderId="0" xfId="0" applyNumberFormat="1" applyFill="1"/>
    <xf numFmtId="169" fontId="0" fillId="0" borderId="0" xfId="11" applyNumberFormat="1" applyFont="1" applyFill="1"/>
    <xf numFmtId="10" fontId="14" fillId="0" borderId="0" xfId="11" applyNumberFormat="1" applyFont="1" applyFill="1"/>
    <xf numFmtId="10" fontId="3" fillId="0" borderId="0" xfId="11" applyNumberFormat="1" applyFont="1"/>
    <xf numFmtId="0" fontId="0" fillId="0" borderId="8" xfId="0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12" applyFont="1" applyFill="1"/>
    <xf numFmtId="3" fontId="2" fillId="0" borderId="0" xfId="13" applyNumberFormat="1" applyFont="1" applyFill="1"/>
    <xf numFmtId="0" fontId="2" fillId="0" borderId="0" xfId="12" applyFont="1" applyFill="1" applyAlignment="1">
      <alignment horizontal="left"/>
    </xf>
    <xf numFmtId="37" fontId="2" fillId="0" borderId="0" xfId="13" applyNumberFormat="1" applyFont="1" applyFill="1"/>
    <xf numFmtId="0" fontId="2" fillId="0" borderId="0" xfId="13" applyFont="1" applyFill="1" applyBorder="1"/>
    <xf numFmtId="7" fontId="2" fillId="0" borderId="0" xfId="6" applyNumberFormat="1" applyFont="1" applyFill="1" applyAlignment="1">
      <alignment horizontal="right"/>
    </xf>
    <xf numFmtId="0" fontId="2" fillId="0" borderId="0" xfId="12" applyFont="1" applyFill="1" applyBorder="1" applyAlignment="1">
      <alignment horizontal="left"/>
    </xf>
    <xf numFmtId="0" fontId="2" fillId="0" borderId="0" xfId="14" applyFont="1" applyFill="1"/>
    <xf numFmtId="39" fontId="2" fillId="0" borderId="0" xfId="14" applyNumberFormat="1" applyFont="1" applyFill="1" applyAlignment="1" applyProtection="1">
      <alignment horizontal="right"/>
    </xf>
    <xf numFmtId="2" fontId="2" fillId="0" borderId="0" xfId="13" applyNumberFormat="1" applyFont="1" applyFill="1"/>
    <xf numFmtId="0" fontId="2" fillId="0" borderId="0" xfId="12" applyFont="1" applyFill="1" applyAlignment="1"/>
    <xf numFmtId="0" fontId="25" fillId="0" borderId="0" xfId="14" applyFont="1" applyFill="1" applyAlignment="1"/>
    <xf numFmtId="0" fontId="2" fillId="0" borderId="0" xfId="13" applyFont="1" applyFill="1" applyBorder="1" applyAlignment="1">
      <alignment wrapText="1"/>
    </xf>
    <xf numFmtId="0" fontId="3" fillId="0" borderId="0" xfId="12" applyFont="1" applyFill="1" applyBorder="1" applyAlignment="1">
      <alignment horizontal="center"/>
    </xf>
    <xf numFmtId="0" fontId="4" fillId="0" borderId="0" xfId="12" applyFont="1" applyFill="1"/>
    <xf numFmtId="172" fontId="2" fillId="0" borderId="0" xfId="12" applyNumberFormat="1" applyFont="1" applyFill="1" applyBorder="1" applyAlignment="1">
      <alignment horizontal="left"/>
    </xf>
    <xf numFmtId="37" fontId="3" fillId="0" borderId="0" xfId="12" applyNumberFormat="1" applyFont="1" applyFill="1" applyBorder="1" applyAlignment="1">
      <alignment horizontal="right"/>
    </xf>
    <xf numFmtId="37" fontId="3" fillId="0" borderId="0" xfId="13" applyNumberFormat="1" applyFont="1" applyFill="1" applyBorder="1" applyAlignment="1">
      <alignment horizontal="right"/>
    </xf>
    <xf numFmtId="3" fontId="3" fillId="0" borderId="0" xfId="13" applyNumberFormat="1" applyFont="1" applyFill="1" applyBorder="1"/>
    <xf numFmtId="0" fontId="3" fillId="0" borderId="0" xfId="13" applyFont="1" applyFill="1" applyBorder="1"/>
    <xf numFmtId="172" fontId="3" fillId="0" borderId="0" xfId="12" applyNumberFormat="1" applyFont="1" applyFill="1" applyBorder="1" applyAlignment="1">
      <alignment horizontal="center"/>
    </xf>
    <xf numFmtId="16" fontId="3" fillId="0" borderId="0" xfId="12" applyNumberFormat="1" applyFont="1" applyFill="1" applyAlignment="1">
      <alignment horizontal="left"/>
    </xf>
    <xf numFmtId="37" fontId="3" fillId="0" borderId="0" xfId="15" applyNumberFormat="1" applyFont="1" applyFill="1" applyAlignment="1"/>
    <xf numFmtId="0" fontId="3" fillId="0" borderId="0" xfId="16" applyNumberFormat="1" applyFont="1" applyFill="1" applyBorder="1" applyAlignment="1">
      <alignment horizontal="center"/>
    </xf>
    <xf numFmtId="7" fontId="3" fillId="0" borderId="0" xfId="16" applyNumberFormat="1" applyFont="1" applyFill="1" applyBorder="1" applyAlignment="1">
      <alignment horizontal="right"/>
    </xf>
    <xf numFmtId="5" fontId="3" fillId="0" borderId="0" xfId="16" applyNumberFormat="1" applyFont="1" applyFill="1" applyBorder="1" applyAlignment="1">
      <alignment horizontal="right"/>
    </xf>
    <xf numFmtId="7" fontId="3" fillId="0" borderId="0" xfId="13" applyNumberFormat="1" applyFont="1" applyFill="1" applyBorder="1" applyAlignment="1">
      <alignment horizontal="right"/>
    </xf>
    <xf numFmtId="37" fontId="3" fillId="0" borderId="0" xfId="16" applyNumberFormat="1" applyFont="1" applyFill="1" applyBorder="1" applyAlignment="1">
      <alignment horizontal="right"/>
    </xf>
    <xf numFmtId="0" fontId="3" fillId="0" borderId="0" xfId="12" applyFont="1" applyFill="1" applyBorder="1"/>
    <xf numFmtId="16" fontId="3" fillId="0" borderId="0" xfId="12" applyNumberFormat="1" applyFont="1" applyFill="1" applyAlignment="1">
      <alignment horizontal="left" indent="1"/>
    </xf>
    <xf numFmtId="37" fontId="3" fillId="0" borderId="10" xfId="13" applyNumberFormat="1" applyFont="1" applyFill="1" applyBorder="1" applyAlignment="1"/>
    <xf numFmtId="5" fontId="3" fillId="0" borderId="10" xfId="16" applyNumberFormat="1" applyFont="1" applyFill="1" applyBorder="1" applyAlignment="1">
      <alignment horizontal="right"/>
    </xf>
    <xf numFmtId="37" fontId="3" fillId="0" borderId="0" xfId="13" applyNumberFormat="1" applyFont="1" applyFill="1" applyBorder="1" applyAlignment="1"/>
    <xf numFmtId="16" fontId="3" fillId="0" borderId="0" xfId="12" applyNumberFormat="1" applyFont="1" applyFill="1" applyAlignment="1">
      <alignment horizontal="left" indent="2"/>
    </xf>
    <xf numFmtId="37" fontId="3" fillId="0" borderId="0" xfId="12" applyNumberFormat="1" applyFont="1" applyFill="1" applyAlignment="1"/>
    <xf numFmtId="5" fontId="3" fillId="0" borderId="0" xfId="13" applyNumberFormat="1" applyFont="1" applyFill="1" applyBorder="1" applyAlignment="1">
      <alignment horizontal="right"/>
    </xf>
    <xf numFmtId="0" fontId="3" fillId="0" borderId="0" xfId="12" applyFont="1" applyFill="1" applyAlignment="1">
      <alignment horizontal="center"/>
    </xf>
    <xf numFmtId="0" fontId="3" fillId="0" borderId="0" xfId="12" applyFont="1" applyFill="1" applyAlignment="1"/>
    <xf numFmtId="37" fontId="2" fillId="0" borderId="0" xfId="12" applyNumberFormat="1" applyFont="1" applyFill="1" applyAlignment="1"/>
    <xf numFmtId="37" fontId="28" fillId="0" borderId="0" xfId="17" applyNumberFormat="1" applyFont="1" applyFill="1" applyBorder="1"/>
    <xf numFmtId="37" fontId="3" fillId="0" borderId="5" xfId="15" applyNumberFormat="1" applyFont="1" applyFill="1" applyBorder="1" applyAlignment="1">
      <alignment horizontal="right"/>
    </xf>
    <xf numFmtId="7" fontId="3" fillId="0" borderId="0" xfId="15" applyNumberFormat="1" applyFont="1" applyFill="1" applyBorder="1" applyAlignment="1">
      <alignment horizontal="right"/>
    </xf>
    <xf numFmtId="8" fontId="3" fillId="0" borderId="0" xfId="12" applyNumberFormat="1" applyFont="1" applyFill="1" applyAlignment="1"/>
    <xf numFmtId="16" fontId="3" fillId="0" borderId="0" xfId="12" applyNumberFormat="1" applyFont="1" applyFill="1" applyAlignment="1">
      <alignment horizontal="right" indent="2"/>
    </xf>
    <xf numFmtId="37" fontId="3" fillId="0" borderId="10" xfId="15" applyNumberFormat="1" applyFont="1" applyFill="1" applyBorder="1" applyAlignment="1"/>
    <xf numFmtId="37" fontId="3" fillId="0" borderId="10" xfId="13" applyNumberFormat="1" applyFont="1" applyFill="1" applyBorder="1" applyAlignment="1">
      <alignment horizontal="right"/>
    </xf>
    <xf numFmtId="7" fontId="3" fillId="0" borderId="11" xfId="16" applyNumberFormat="1" applyFont="1" applyFill="1" applyBorder="1" applyAlignment="1">
      <alignment horizontal="right"/>
    </xf>
    <xf numFmtId="0" fontId="24" fillId="0" borderId="0" xfId="14" applyFill="1"/>
    <xf numFmtId="172" fontId="2" fillId="0" borderId="0" xfId="12" quotePrefix="1" applyNumberFormat="1" applyFont="1" applyFill="1" applyBorder="1" applyAlignment="1">
      <alignment horizontal="left"/>
    </xf>
    <xf numFmtId="37" fontId="3" fillId="0" borderId="0" xfId="12" applyNumberFormat="1" applyFont="1" applyFill="1" applyBorder="1" applyAlignment="1"/>
    <xf numFmtId="0" fontId="3" fillId="0" borderId="0" xfId="12" applyFont="1" applyFill="1"/>
    <xf numFmtId="172" fontId="3" fillId="0" borderId="0" xfId="12" applyNumberFormat="1" applyFont="1" applyFill="1" applyBorder="1" applyAlignment="1">
      <alignment horizontal="left"/>
    </xf>
    <xf numFmtId="16" fontId="3" fillId="0" borderId="0" xfId="12" quotePrefix="1" applyNumberFormat="1" applyFont="1" applyFill="1" applyAlignment="1"/>
    <xf numFmtId="0" fontId="3" fillId="0" borderId="0" xfId="13" applyFont="1" applyFill="1" applyBorder="1" applyAlignment="1">
      <alignment wrapText="1"/>
    </xf>
    <xf numFmtId="16" fontId="3" fillId="0" borderId="0" xfId="12" applyNumberFormat="1" applyFont="1" applyFill="1" applyAlignment="1">
      <alignment horizontal="left" wrapText="1"/>
    </xf>
    <xf numFmtId="16" fontId="3" fillId="0" borderId="0" xfId="12" quotePrefix="1" applyNumberFormat="1" applyFont="1" applyFill="1" applyAlignment="1">
      <alignment horizontal="left" indent="2"/>
    </xf>
    <xf numFmtId="5" fontId="3" fillId="0" borderId="10" xfId="13" applyNumberFormat="1" applyFont="1" applyFill="1" applyBorder="1" applyAlignment="1">
      <alignment horizontal="right"/>
    </xf>
    <xf numFmtId="16" fontId="3" fillId="0" borderId="0" xfId="12" quotePrefix="1" applyNumberFormat="1" applyFont="1" applyFill="1" applyAlignment="1">
      <alignment horizontal="right" indent="2"/>
    </xf>
    <xf numFmtId="37" fontId="3" fillId="0" borderId="10" xfId="12" applyNumberFormat="1" applyFont="1" applyFill="1" applyBorder="1" applyAlignment="1"/>
    <xf numFmtId="37" fontId="3" fillId="0" borderId="0" xfId="17" applyNumberFormat="1" applyFont="1" applyFill="1" applyBorder="1"/>
    <xf numFmtId="37" fontId="3" fillId="0" borderId="0" xfId="17" applyNumberFormat="1" applyFont="1" applyFill="1" applyBorder="1" applyAlignment="1">
      <alignment horizontal="right"/>
    </xf>
    <xf numFmtId="7" fontId="3" fillId="0" borderId="0" xfId="17" applyNumberFormat="1" applyFont="1" applyFill="1" applyBorder="1" applyAlignment="1">
      <alignment horizontal="right"/>
    </xf>
    <xf numFmtId="37" fontId="5" fillId="0" borderId="0" xfId="13" applyNumberFormat="1" applyFont="1" applyFill="1" applyBorder="1" applyAlignment="1"/>
    <xf numFmtId="3" fontId="3" fillId="0" borderId="0" xfId="13" applyNumberFormat="1" applyFont="1" applyFill="1"/>
    <xf numFmtId="0" fontId="3" fillId="0" borderId="0" xfId="13" applyFont="1" applyFill="1" applyAlignment="1">
      <alignment horizontal="left"/>
    </xf>
    <xf numFmtId="37" fontId="3" fillId="0" borderId="0" xfId="13" applyNumberFormat="1" applyFont="1" applyFill="1" applyAlignment="1">
      <alignment horizontal="right"/>
    </xf>
    <xf numFmtId="7" fontId="3" fillId="0" borderId="0" xfId="13" applyNumberFormat="1" applyFont="1" applyFill="1" applyAlignment="1">
      <alignment horizontal="right"/>
    </xf>
    <xf numFmtId="5" fontId="3" fillId="0" borderId="0" xfId="13" quotePrefix="1" applyNumberFormat="1" applyFont="1" applyFill="1" applyBorder="1" applyAlignment="1">
      <alignment horizontal="right"/>
    </xf>
    <xf numFmtId="0" fontId="3" fillId="0" borderId="0" xfId="13" applyFont="1" applyFill="1"/>
    <xf numFmtId="5" fontId="3" fillId="0" borderId="5" xfId="13" applyNumberFormat="1" applyFont="1" applyFill="1" applyBorder="1" applyAlignment="1">
      <alignment horizontal="right"/>
    </xf>
    <xf numFmtId="37" fontId="3" fillId="0" borderId="0" xfId="13" applyNumberFormat="1" applyFont="1" applyFill="1" applyAlignment="1"/>
    <xf numFmtId="3" fontId="3" fillId="0" borderId="0" xfId="13" applyNumberFormat="1" applyFont="1" applyFill="1" applyAlignment="1"/>
    <xf numFmtId="2" fontId="3" fillId="0" borderId="0" xfId="13" applyNumberFormat="1" applyFont="1" applyFill="1"/>
    <xf numFmtId="37" fontId="2" fillId="0" borderId="5" xfId="243" applyNumberFormat="1" applyFont="1" applyFill="1" applyBorder="1" applyAlignment="1">
      <alignment horizontal="center"/>
    </xf>
    <xf numFmtId="3" fontId="2" fillId="0" borderId="0" xfId="243" applyNumberFormat="1" applyFont="1" applyFill="1" applyBorder="1" applyAlignment="1">
      <alignment horizontal="center" wrapText="1"/>
    </xf>
    <xf numFmtId="3" fontId="2" fillId="0" borderId="8" xfId="243" applyNumberFormat="1" applyFont="1" applyFill="1" applyBorder="1" applyAlignment="1">
      <alignment horizontal="center" wrapText="1"/>
    </xf>
    <xf numFmtId="2" fontId="2" fillId="0" borderId="8" xfId="243" applyNumberFormat="1" applyFont="1" applyFill="1" applyBorder="1" applyAlignment="1">
      <alignment horizontal="center" wrapText="1"/>
    </xf>
    <xf numFmtId="3" fontId="0" fillId="0" borderId="0" xfId="0" applyNumberFormat="1" applyFill="1"/>
    <xf numFmtId="0" fontId="0" fillId="0" borderId="0" xfId="0" applyFill="1" applyBorder="1"/>
    <xf numFmtId="44" fontId="3" fillId="0" borderId="0" xfId="16" applyNumberFormat="1" applyFont="1" applyFill="1" applyBorder="1" applyAlignment="1">
      <alignment horizontal="right"/>
    </xf>
    <xf numFmtId="171" fontId="3" fillId="0" borderId="0" xfId="2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>
      <alignment horizontal="right"/>
    </xf>
    <xf numFmtId="171" fontId="3" fillId="0" borderId="10" xfId="2" applyNumberFormat="1" applyFont="1" applyFill="1" applyBorder="1" applyAlignment="1">
      <alignment horizontal="right"/>
    </xf>
    <xf numFmtId="171" fontId="3" fillId="0" borderId="5" xfId="2" applyNumberFormat="1" applyFont="1" applyFill="1" applyBorder="1" applyAlignment="1">
      <alignment horizontal="right"/>
    </xf>
    <xf numFmtId="37" fontId="3" fillId="0" borderId="0" xfId="13" applyNumberFormat="1" applyFont="1" applyFill="1" applyBorder="1"/>
    <xf numFmtId="171" fontId="3" fillId="0" borderId="10" xfId="16" applyNumberFormat="1" applyFont="1" applyFill="1" applyBorder="1" applyAlignment="1">
      <alignment horizontal="right"/>
    </xf>
    <xf numFmtId="171" fontId="3" fillId="0" borderId="0" xfId="2" applyNumberFormat="1" applyFont="1" applyFill="1" applyAlignment="1">
      <alignment horizontal="right"/>
    </xf>
    <xf numFmtId="171" fontId="3" fillId="0" borderId="10" xfId="5" applyNumberFormat="1" applyFont="1" applyFill="1" applyBorder="1" applyAlignment="1">
      <alignment horizontal="right"/>
    </xf>
    <xf numFmtId="171" fontId="3" fillId="0" borderId="0" xfId="13" applyNumberFormat="1" applyFont="1" applyFill="1" applyBorder="1"/>
    <xf numFmtId="9" fontId="12" fillId="0" borderId="0" xfId="11" applyFont="1" applyFill="1"/>
    <xf numFmtId="0" fontId="0" fillId="0" borderId="8" xfId="0" applyFill="1" applyBorder="1" applyAlignment="1">
      <alignment horizontal="center"/>
    </xf>
    <xf numFmtId="168" fontId="14" fillId="0" borderId="0" xfId="1" applyNumberFormat="1" applyFont="1" applyFill="1" applyAlignment="1">
      <alignment horizontal="right"/>
    </xf>
    <xf numFmtId="8" fontId="3" fillId="0" borderId="0" xfId="2" applyNumberFormat="1" applyFont="1" applyFill="1" applyAlignment="1">
      <alignment horizontal="right"/>
    </xf>
    <xf numFmtId="171" fontId="0" fillId="0" borderId="11" xfId="0" applyNumberFormat="1" applyBorder="1"/>
    <xf numFmtId="0" fontId="35" fillId="0" borderId="0" xfId="0" applyFont="1" applyFill="1" applyAlignment="1">
      <alignment horizontal="right"/>
    </xf>
    <xf numFmtId="8" fontId="5" fillId="0" borderId="0" xfId="2" applyNumberFormat="1" applyFont="1" applyFill="1" applyAlignment="1"/>
    <xf numFmtId="166" fontId="0" fillId="0" borderId="0" xfId="0" applyNumberFormat="1" applyFill="1"/>
    <xf numFmtId="9" fontId="3" fillId="0" borderId="0" xfId="11" applyNumberFormat="1" applyFont="1" applyFill="1" applyAlignment="1"/>
    <xf numFmtId="8" fontId="0" fillId="0" borderId="0" xfId="0" applyNumberFormat="1" applyFill="1"/>
    <xf numFmtId="0" fontId="0" fillId="0" borderId="0" xfId="0" applyFill="1" applyAlignment="1">
      <alignment horizontal="right"/>
    </xf>
    <xf numFmtId="0" fontId="18" fillId="0" borderId="0" xfId="0" applyFont="1" applyFill="1" applyAlignment="1">
      <alignment horizontal="center"/>
    </xf>
    <xf numFmtId="0" fontId="2" fillId="0" borderId="0" xfId="12" applyFont="1" applyFill="1" applyAlignment="1">
      <alignment horizontal="left" wrapText="1"/>
    </xf>
    <xf numFmtId="0" fontId="25" fillId="0" borderId="0" xfId="14" applyFont="1" applyFill="1" applyAlignment="1">
      <alignment wrapText="1"/>
    </xf>
    <xf numFmtId="0" fontId="2" fillId="0" borderId="0" xfId="12" applyFont="1" applyFill="1" applyAlignment="1"/>
    <xf numFmtId="0" fontId="0" fillId="0" borderId="4" xfId="0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right"/>
    </xf>
  </cellXfs>
  <cellStyles count="267">
    <cellStyle name="########" xfId="19"/>
    <cellStyle name="######## 2" xfId="20"/>
    <cellStyle name="Co #" xfId="21"/>
    <cellStyle name="Comma" xfId="1" builtinId="3"/>
    <cellStyle name="Comma 10" xfId="22"/>
    <cellStyle name="Comma 10 2" xfId="23"/>
    <cellStyle name="Comma 10 3" xfId="24"/>
    <cellStyle name="Comma 10 4" xfId="25"/>
    <cellStyle name="Comma 11" xfId="26"/>
    <cellStyle name="Comma 11 2" xfId="27"/>
    <cellStyle name="Comma 11 2 2" xfId="28"/>
    <cellStyle name="Comma 11 2 3" xfId="29"/>
    <cellStyle name="Comma 11 3" xfId="30"/>
    <cellStyle name="Comma 11 4" xfId="31"/>
    <cellStyle name="Comma 12" xfId="32"/>
    <cellStyle name="Comma 13" xfId="33"/>
    <cellStyle name="Comma 14" xfId="34"/>
    <cellStyle name="Comma 15" xfId="35"/>
    <cellStyle name="Comma 16" xfId="36"/>
    <cellStyle name="Comma 17" xfId="37"/>
    <cellStyle name="Comma 2" xfId="15"/>
    <cellStyle name="Comma 2 10" xfId="38"/>
    <cellStyle name="Comma 2 2" xfId="39"/>
    <cellStyle name="Comma 2 2 2" xfId="40"/>
    <cellStyle name="Comma 2 2 3" xfId="41"/>
    <cellStyle name="Comma 2 2 4" xfId="42"/>
    <cellStyle name="Comma 2 3" xfId="43"/>
    <cellStyle name="Comma 2 4" xfId="4"/>
    <cellStyle name="Comma 2 5" xfId="44"/>
    <cellStyle name="Comma 2 6" xfId="45"/>
    <cellStyle name="Comma 2 7" xfId="46"/>
    <cellStyle name="Comma 2 8" xfId="47"/>
    <cellStyle name="Comma 2 9" xfId="48"/>
    <cellStyle name="Comma 3" xfId="49"/>
    <cellStyle name="Comma 3 2" xfId="50"/>
    <cellStyle name="Comma 3 3" xfId="51"/>
    <cellStyle name="Comma 3 4" xfId="52"/>
    <cellStyle name="Comma 4" xfId="53"/>
    <cellStyle name="Comma 4 2" xfId="54"/>
    <cellStyle name="Comma 4 3" xfId="55"/>
    <cellStyle name="Comma 5" xfId="56"/>
    <cellStyle name="Comma 5 2" xfId="57"/>
    <cellStyle name="Comma 5 3" xfId="58"/>
    <cellStyle name="Comma 5 4" xfId="59"/>
    <cellStyle name="Comma 6" xfId="60"/>
    <cellStyle name="Comma 7" xfId="9"/>
    <cellStyle name="Comma 8" xfId="61"/>
    <cellStyle name="Comma 9" xfId="62"/>
    <cellStyle name="Comma 9 2" xfId="63"/>
    <cellStyle name="Comma 9 3" xfId="64"/>
    <cellStyle name="Currency" xfId="2" builtinId="4"/>
    <cellStyle name="Currency 10" xfId="65"/>
    <cellStyle name="Currency 11" xfId="66"/>
    <cellStyle name="Currency 2" xfId="67"/>
    <cellStyle name="Currency 2 2" xfId="68"/>
    <cellStyle name="Currency 2 2 2" xfId="69"/>
    <cellStyle name="Currency 2 2 3" xfId="70"/>
    <cellStyle name="Currency 2 2 4" xfId="71"/>
    <cellStyle name="Currency 2 3" xfId="72"/>
    <cellStyle name="Currency 2 4" xfId="73"/>
    <cellStyle name="Currency 2 5" xfId="74"/>
    <cellStyle name="Currency 2 6" xfId="75"/>
    <cellStyle name="Currency 3" xfId="5"/>
    <cellStyle name="Currency 3 2" xfId="76"/>
    <cellStyle name="Currency 3 3" xfId="77"/>
    <cellStyle name="Currency 3 4" xfId="7"/>
    <cellStyle name="Currency 4" xfId="78"/>
    <cellStyle name="Currency 4 2" xfId="79"/>
    <cellStyle name="Currency 4 3" xfId="80"/>
    <cellStyle name="Currency 4 4" xfId="81"/>
    <cellStyle name="Currency 5" xfId="82"/>
    <cellStyle name="Currency 6" xfId="83"/>
    <cellStyle name="Currency 7" xfId="84"/>
    <cellStyle name="Currency 8" xfId="85"/>
    <cellStyle name="Currency 9" xfId="86"/>
    <cellStyle name="Currency_091- E-2" xfId="16"/>
    <cellStyle name="Date" xfId="87"/>
    <cellStyle name="Date-Regulatory" xfId="88"/>
    <cellStyle name="Euro" xfId="89"/>
    <cellStyle name="Normal" xfId="0" builtinId="0"/>
    <cellStyle name="Normal 10" xfId="90"/>
    <cellStyle name="Normal 10 2" xfId="91"/>
    <cellStyle name="Normal 10 2 2" xfId="92"/>
    <cellStyle name="Normal 10 2 3" xfId="93"/>
    <cellStyle name="Normal 10 2 4" xfId="94"/>
    <cellStyle name="Normal 10 3" xfId="95"/>
    <cellStyle name="Normal 10 3 2" xfId="96"/>
    <cellStyle name="Normal 10 3 3" xfId="97"/>
    <cellStyle name="Normal 10 4" xfId="98"/>
    <cellStyle name="Normal 10 5" xfId="99"/>
    <cellStyle name="Normal 11" xfId="100"/>
    <cellStyle name="Normal 12" xfId="101"/>
    <cellStyle name="Normal 13" xfId="102"/>
    <cellStyle name="Normal 14" xfId="103"/>
    <cellStyle name="Normal 14 2" xfId="104"/>
    <cellStyle name="Normal 15" xfId="105"/>
    <cellStyle name="Normal 16" xfId="106"/>
    <cellStyle name="Normal 16 2" xfId="107"/>
    <cellStyle name="Normal 17" xfId="108"/>
    <cellStyle name="Normal 18" xfId="109"/>
    <cellStyle name="Normal 19" xfId="110"/>
    <cellStyle name="Normal 2" xfId="6"/>
    <cellStyle name="Normal 2 10" xfId="111"/>
    <cellStyle name="Normal 2 10 2" xfId="112"/>
    <cellStyle name="Normal 2 11" xfId="113"/>
    <cellStyle name="Normal 2 11 2" xfId="114"/>
    <cellStyle name="Normal 2 11 2 2" xfId="115"/>
    <cellStyle name="Normal 2 11 2 2 2" xfId="116"/>
    <cellStyle name="Normal 2 11 2 2 3" xfId="117"/>
    <cellStyle name="Normal 2 11 2 2 4" xfId="118"/>
    <cellStyle name="Normal 2 11 2 2 5" xfId="119"/>
    <cellStyle name="Normal 2 11 2 2 6" xfId="120"/>
    <cellStyle name="Normal 2 11 2 3" xfId="121"/>
    <cellStyle name="Normal 2 11 2 4" xfId="122"/>
    <cellStyle name="Normal 2 11 2 5" xfId="123"/>
    <cellStyle name="Normal 2 11 2 6" xfId="124"/>
    <cellStyle name="Normal 2 11 3" xfId="125"/>
    <cellStyle name="Normal 2 11 3 2" xfId="126"/>
    <cellStyle name="Normal 2 11 4" xfId="127"/>
    <cellStyle name="Normal 2 11 5" xfId="128"/>
    <cellStyle name="Normal 2 11 6" xfId="129"/>
    <cellStyle name="Normal 2 11 7" xfId="130"/>
    <cellStyle name="Normal 2 12" xfId="131"/>
    <cellStyle name="Normal 2 12 2" xfId="132"/>
    <cellStyle name="Normal 2 12 2 2" xfId="133"/>
    <cellStyle name="Normal 2 12 2 3" xfId="134"/>
    <cellStyle name="Normal 2 12 2 4" xfId="135"/>
    <cellStyle name="Normal 2 12 2 5" xfId="136"/>
    <cellStyle name="Normal 2 12 2 6" xfId="137"/>
    <cellStyle name="Normal 2 12 3" xfId="138"/>
    <cellStyle name="Normal 2 12 4" xfId="139"/>
    <cellStyle name="Normal 2 12 5" xfId="140"/>
    <cellStyle name="Normal 2 12 6" xfId="141"/>
    <cellStyle name="Normal 2 13" xfId="142"/>
    <cellStyle name="Normal 2 14" xfId="143"/>
    <cellStyle name="Normal 2 15" xfId="144"/>
    <cellStyle name="Normal 2 16" xfId="145"/>
    <cellStyle name="Normal 2 17" xfId="146"/>
    <cellStyle name="Normal 2 18" xfId="147"/>
    <cellStyle name="Normal 2 19" xfId="148"/>
    <cellStyle name="Normal 2 2" xfId="10"/>
    <cellStyle name="Normal 2 2 10" xfId="149"/>
    <cellStyle name="Normal 2 2 2" xfId="150"/>
    <cellStyle name="Normal 2 2 2 2" xfId="151"/>
    <cellStyle name="Normal 2 2 2 2 2" xfId="152"/>
    <cellStyle name="Normal 2 2 2 2 2 2" xfId="153"/>
    <cellStyle name="Normal 2 2 2 2 2 2 2" xfId="154"/>
    <cellStyle name="Normal 2 2 2 2 2 2 2 2" xfId="155"/>
    <cellStyle name="Normal 2 2 2 2 2 3" xfId="156"/>
    <cellStyle name="Normal 2 2 2 2 2 4" xfId="157"/>
    <cellStyle name="Normal 2 2 2 2 2 5" xfId="158"/>
    <cellStyle name="Normal 2 2 2 2 2 6" xfId="159"/>
    <cellStyle name="Normal 2 2 2 2 2 7" xfId="160"/>
    <cellStyle name="Normal 2 2 2 2 3" xfId="161"/>
    <cellStyle name="Normal 2 2 2 2 4" xfId="162"/>
    <cellStyle name="Normal 2 2 2 2 5" xfId="163"/>
    <cellStyle name="Normal 2 2 2 2 6" xfId="164"/>
    <cellStyle name="Normal 2 2 2 2 7" xfId="165"/>
    <cellStyle name="Normal 2 2 2 3" xfId="166"/>
    <cellStyle name="Normal 2 2 2 4" xfId="167"/>
    <cellStyle name="Normal 2 2 2 5" xfId="168"/>
    <cellStyle name="Normal 2 2 2 6" xfId="169"/>
    <cellStyle name="Normal 2 2 2 7" xfId="170"/>
    <cellStyle name="Normal 2 2 2 8" xfId="171"/>
    <cellStyle name="Normal 2 2 3" xfId="172"/>
    <cellStyle name="Normal 2 2 4" xfId="173"/>
    <cellStyle name="Normal 2 2 4 2" xfId="174"/>
    <cellStyle name="Normal 2 2 5" xfId="175"/>
    <cellStyle name="Normal 2 2 5 2" xfId="176"/>
    <cellStyle name="Normal 2 2 6" xfId="177"/>
    <cellStyle name="Normal 2 2 7" xfId="178"/>
    <cellStyle name="Normal 2 2 8" xfId="179"/>
    <cellStyle name="Normal 2 2 9" xfId="180"/>
    <cellStyle name="Normal 2 20" xfId="181"/>
    <cellStyle name="Normal 2 21" xfId="182"/>
    <cellStyle name="Normal 2 22" xfId="183"/>
    <cellStyle name="Normal 2 3" xfId="184"/>
    <cellStyle name="Normal 2 36" xfId="185"/>
    <cellStyle name="Normal 2 4" xfId="186"/>
    <cellStyle name="Normal 2 5" xfId="187"/>
    <cellStyle name="Normal 2 6" xfId="188"/>
    <cellStyle name="Normal 2 7" xfId="189"/>
    <cellStyle name="Normal 2 8" xfId="190"/>
    <cellStyle name="Normal 2 9" xfId="18"/>
    <cellStyle name="Normal 2_LUSIMFR22" xfId="191"/>
    <cellStyle name="Normal 20" xfId="192"/>
    <cellStyle name="Normal 21" xfId="193"/>
    <cellStyle name="Normal 22" xfId="194"/>
    <cellStyle name="Normal 23" xfId="195"/>
    <cellStyle name="Normal 24" xfId="196"/>
    <cellStyle name="Normal 3" xfId="14"/>
    <cellStyle name="Normal 3 10" xfId="197"/>
    <cellStyle name="Normal 3 11" xfId="198"/>
    <cellStyle name="Normal 3 12" xfId="199"/>
    <cellStyle name="Normal 3 13" xfId="200"/>
    <cellStyle name="Normal 3 14" xfId="201"/>
    <cellStyle name="Normal 3 15" xfId="202"/>
    <cellStyle name="Normal 3 16" xfId="203"/>
    <cellStyle name="Normal 3 17" xfId="204"/>
    <cellStyle name="Normal 3 18" xfId="205"/>
    <cellStyle name="Normal 3 19" xfId="206"/>
    <cellStyle name="Normal 3 2" xfId="207"/>
    <cellStyle name="Normal 3 2 2" xfId="208"/>
    <cellStyle name="Normal 3 20" xfId="209"/>
    <cellStyle name="Normal 3 21" xfId="210"/>
    <cellStyle name="Normal 3 3" xfId="211"/>
    <cellStyle name="Normal 3 4" xfId="212"/>
    <cellStyle name="Normal 3 5" xfId="213"/>
    <cellStyle name="Normal 3 6" xfId="214"/>
    <cellStyle name="Normal 3 7" xfId="215"/>
    <cellStyle name="Normal 3 8" xfId="216"/>
    <cellStyle name="Normal 3 9" xfId="217"/>
    <cellStyle name="Normal 4" xfId="218"/>
    <cellStyle name="Normal 4 2" xfId="219"/>
    <cellStyle name="Normal 4 3" xfId="220"/>
    <cellStyle name="Normal 4 4" xfId="221"/>
    <cellStyle name="Normal 4 5" xfId="222"/>
    <cellStyle name="Normal 4 6" xfId="223"/>
    <cellStyle name="Normal 4 7" xfId="224"/>
    <cellStyle name="Normal 5" xfId="225"/>
    <cellStyle name="Normal 5 2" xfId="226"/>
    <cellStyle name="Normal 5 3" xfId="227"/>
    <cellStyle name="Normal 5 4" xfId="228"/>
    <cellStyle name="Normal 5 5" xfId="229"/>
    <cellStyle name="Normal 5 6" xfId="230"/>
    <cellStyle name="Normal 6" xfId="231"/>
    <cellStyle name="Normal 6 2" xfId="232"/>
    <cellStyle name="Normal 6 3" xfId="233"/>
    <cellStyle name="Normal 6 4" xfId="234"/>
    <cellStyle name="Normal 62" xfId="235"/>
    <cellStyle name="Normal 7" xfId="236"/>
    <cellStyle name="Normal 8" xfId="237"/>
    <cellStyle name="Normal 9" xfId="238"/>
    <cellStyle name="Normal 9 2" xfId="239"/>
    <cellStyle name="Normal 9 2 2" xfId="240"/>
    <cellStyle name="Normal 9 2 3" xfId="241"/>
    <cellStyle name="Normal 9 2 4" xfId="242"/>
    <cellStyle name="Normal_091- E-2" xfId="12"/>
    <cellStyle name="Normal_REVENUES" xfId="17"/>
    <cellStyle name="Normal_UIF E-2 - with some additions REVISED FOR TITLES" xfId="3"/>
    <cellStyle name="Normal_Wedgefield-REV" xfId="243"/>
    <cellStyle name="Normal_Wedgefield-REV 2" xfId="13"/>
    <cellStyle name="Note 2" xfId="244"/>
    <cellStyle name="Percent" xfId="11" builtinId="5"/>
    <cellStyle name="Percent 10" xfId="245"/>
    <cellStyle name="Percent 2" xfId="246"/>
    <cellStyle name="Percent 2 2" xfId="8"/>
    <cellStyle name="Percent 2 2 2" xfId="247"/>
    <cellStyle name="Percent 2 2 3" xfId="248"/>
    <cellStyle name="Percent 2 2 4" xfId="249"/>
    <cellStyle name="Percent 2 3" xfId="250"/>
    <cellStyle name="Percent 2 4" xfId="251"/>
    <cellStyle name="Percent 2 5" xfId="252"/>
    <cellStyle name="Percent 2 6" xfId="253"/>
    <cellStyle name="Percent 3" xfId="254"/>
    <cellStyle name="Percent 3 2" xfId="255"/>
    <cellStyle name="Percent 3 2 2" xfId="256"/>
    <cellStyle name="Percent 3 3" xfId="257"/>
    <cellStyle name="Percent 3 4" xfId="258"/>
    <cellStyle name="Percent 4" xfId="259"/>
    <cellStyle name="Percent 5" xfId="260"/>
    <cellStyle name="Percent 5 2" xfId="261"/>
    <cellStyle name="Percent 5 3" xfId="262"/>
    <cellStyle name="Percent 6" xfId="263"/>
    <cellStyle name="Percent 7" xfId="264"/>
    <cellStyle name="Percent 8" xfId="265"/>
    <cellStyle name="Percent 9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Milian&amp;Swain/LUSI/LUSI%20MFRs%20TY%2012-31-15_Class%20A_v.10%20(8.10.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LONGWOOD%20-%20DS/LONGWOOD%20%20MFR%20TY%2012-31-2015_Class%20A_v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Util.Inc.FL%20-Water%20Rate%20Sche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ENT%20PROJECTS/U02-37%20LABRADOR%202014%20RATE%20CASE/LABRADOR%20FINAL%20MFRs%207%20for%20PDF%20TO%20USE%20AS%20WORK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Miles%20Grant%20SUBMITTED%20FOR%20FILING\Miles%20Grant%20MFRs%206-30-07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ETED%20PROJECTS/SANLANDO%202010/(PROJ)/U02-14%20Miles%20Grant/Miles%20Grant%20Rate%20Increase%20Application%20TY%206-30-07/Miles%20Grant%20MFRs/Miles%20Grant%20MFRs%206-30-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20%20Tierra%20Verde%20Utilities,%20Inc%20(2007)/Tierra%20Verde%20MFRs%2012-31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ynthia/2009%20FILINGS%20UI%20RATE%20CASES/Staff%20Workpapers/Sanlando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LABRADOR%20-%20DS/LABRADOR%20MFRs%20TY%2012-31-15_Class%20A_v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%20ELENA%20BRAVO/Local%20Settings/Temporary%20Internet%20Files/Content.IE5/URWN6DU1/Documents%20and%20Settings/mbravo/My%20Documents/RATE%20CASES%20-%20UTILITIES,%20INC/SOUTH%20GATE/SCHEDULES/SOUTHGATE%20MF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 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 "/>
      <sheetName val="E 6"/>
      <sheetName val="E 7"/>
      <sheetName val="E 8"/>
      <sheetName val="E 9 "/>
      <sheetName val="E 10"/>
      <sheetName val="E 11"/>
      <sheetName val="E 12"/>
      <sheetName val="E 13"/>
      <sheetName val="E 14"/>
      <sheetName val="A 1 (I)"/>
      <sheetName val="A 2 (I) "/>
      <sheetName val="A 3 (I) "/>
      <sheetName val="B 1 (I) "/>
      <sheetName val="B 2 (I) "/>
      <sheetName val="B 3 (I)"/>
      <sheetName val="B 15 (I)"/>
      <sheetName val="D 1 (I)"/>
      <sheetName val="D-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Other BalSheet Acct_PerAR"/>
      <sheetName val="12-31-15 CIAC Bal &amp; Proj_PerAR"/>
      <sheetName val="12-31-15 Depreciation Exp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AR to MFR"/>
      <sheetName val="Pro Forma Expense"/>
      <sheetName val="Pro Forma UPIS-LUSI"/>
      <sheetName val="Working Capital_PerAR"/>
      <sheetName val="ADJUSTED MONTHLY FINAL"/>
      <sheetName val="APPENDIX B INC. STAT.ACCT RECON"/>
      <sheetName val="Interest Expense Adj_PerAR"/>
      <sheetName val="C 5 Calculation"/>
      <sheetName val="AR_F-23"/>
      <sheetName val="Property Taxes"/>
      <sheetName val="Annualized TY deprec."/>
      <sheetName val="Water UPIS TY Adds"/>
      <sheetName val="Sewer UPIS TY Adds"/>
      <sheetName val="Rev Requirements Final"/>
      <sheetName val="Rev Requirements Interim"/>
      <sheetName val="Reuse RateBase"/>
      <sheetName val="CommonPlant_PerAR-not used"/>
      <sheetName val="F-23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>
        <row r="4">
          <cell r="E4" t="str">
            <v>Company: Utilities, Inc. of Florida - Lake Utility Services</v>
          </cell>
        </row>
        <row r="6">
          <cell r="E6" t="str">
            <v>Docket No.: 160101 - WS</v>
          </cell>
        </row>
        <row r="12">
          <cell r="E12" t="str">
            <v>Preparer: Jared Deason</v>
          </cell>
        </row>
        <row r="15">
          <cell r="E15" t="str">
            <v>Test Year Ended:  12/31/2015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1">
          <cell r="E41">
            <v>3.2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 14"/>
      <sheetName val="B 15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 refreshError="1">
        <row r="6">
          <cell r="E6" t="str">
            <v>Docket No.: 160101 - WS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 refreshError="1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evenue Summary"/>
      <sheetName val="Bills Summary"/>
      <sheetName val="Usage Summary"/>
      <sheetName val="Rate Summary"/>
      <sheetName val="Cypress(w)"/>
      <sheetName val="Labrador(w)"/>
      <sheetName val="LakePlacid(w)"/>
      <sheetName val="LUSI(w)"/>
      <sheetName val="Pennbrooke(w)"/>
      <sheetName val="Sanlando(w)"/>
      <sheetName val="UIF-Marion(w)"/>
      <sheetName val="UIF-Orange(w)"/>
      <sheetName val="UIF-Pasco-Orangewood(w)"/>
      <sheetName val="UIF-Pasco-Summertree(w)"/>
      <sheetName val="UIF-Pinellas(w)"/>
      <sheetName val="UIF-Seminole(w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AC17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 t="str">
            <v>Page 1 of 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 refreshError="1">
        <row r="14">
          <cell r="D14" t="str">
            <v>Sanlando Utilities Corporation</v>
          </cell>
        </row>
        <row r="16">
          <cell r="D16" t="str">
            <v>Test Year Ended 12/31/08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Sanlando Utilities Corporation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B 15 (I)"/>
      <sheetName val="A 1 (I)"/>
      <sheetName val="A 2 (I) "/>
      <sheetName val="A 3 (I) "/>
      <sheetName val="B 1 (I) "/>
      <sheetName val="B 2 (I) "/>
      <sheetName val="B 3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Property Taxes"/>
      <sheetName val="AR to MF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C4" t="str">
            <v>Page 1 of 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 xml:space="preserve"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 xml:space="preserve"> </v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 xml:space="preserve"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4.4999999999999998E-2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7.6499999999999999E-2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8"/>
  <sheetViews>
    <sheetView topLeftCell="A73" zoomScaleNormal="100" workbookViewId="0">
      <selection activeCell="P68" sqref="P68"/>
    </sheetView>
  </sheetViews>
  <sheetFormatPr defaultColWidth="9.140625" defaultRowHeight="12"/>
  <cols>
    <col min="1" max="1" width="4.7109375" style="227" customWidth="1"/>
    <col min="2" max="2" width="7.140625" style="227" hidden="1" customWidth="1"/>
    <col min="3" max="3" width="4" style="227" customWidth="1"/>
    <col min="4" max="4" width="43.7109375" style="227" bestFit="1" customWidth="1"/>
    <col min="5" max="5" width="10" style="227" customWidth="1"/>
    <col min="6" max="6" width="11.7109375" style="236" customWidth="1"/>
    <col min="7" max="7" width="10.7109375" style="236" customWidth="1"/>
    <col min="8" max="8" width="12.28515625" style="183" customWidth="1"/>
    <col min="9" max="9" width="9.85546875" style="183" bestFit="1" customWidth="1"/>
    <col min="10" max="16384" width="9.140625" style="183"/>
  </cols>
  <sheetData>
    <row r="1" spans="1:8" s="168" customFormat="1">
      <c r="A1" s="164" t="s">
        <v>229</v>
      </c>
      <c r="B1" s="164"/>
      <c r="C1" s="164"/>
      <c r="D1" s="165"/>
      <c r="E1" s="166"/>
      <c r="F1" s="167"/>
      <c r="H1" s="169" t="s">
        <v>1</v>
      </c>
    </row>
    <row r="2" spans="1:8" s="168" customFormat="1">
      <c r="A2" s="267" t="s">
        <v>255</v>
      </c>
      <c r="B2" s="267"/>
      <c r="C2" s="267"/>
      <c r="D2" s="267"/>
      <c r="E2" s="170"/>
      <c r="F2" s="167"/>
      <c r="H2" s="169" t="s">
        <v>230</v>
      </c>
    </row>
    <row r="3" spans="1:8" s="168" customFormat="1">
      <c r="A3" s="171" t="str">
        <f>[1]Macros!$E$6</f>
        <v>Docket No.: 160101 - WS</v>
      </c>
      <c r="B3" s="164"/>
      <c r="C3" s="164"/>
      <c r="D3" s="165"/>
      <c r="E3" s="170"/>
      <c r="F3" s="167"/>
      <c r="H3" s="169" t="s">
        <v>270</v>
      </c>
    </row>
    <row r="4" spans="1:8" s="168" customFormat="1">
      <c r="A4" s="171" t="str">
        <f>[1]Macros!$E$15</f>
        <v>Test Year Ended:  12/31/2015</v>
      </c>
      <c r="B4" s="164"/>
      <c r="C4" s="164"/>
      <c r="D4" s="165"/>
      <c r="E4" s="170"/>
      <c r="F4" s="167"/>
      <c r="H4" s="172" t="str">
        <f>[1]Macros!$E$12</f>
        <v>Preparer: Jared Deason</v>
      </c>
    </row>
    <row r="5" spans="1:8" s="168" customFormat="1">
      <c r="A5" s="166" t="s">
        <v>7</v>
      </c>
      <c r="B5" s="164"/>
      <c r="C5" s="164"/>
      <c r="D5" s="165"/>
      <c r="E5" s="170"/>
      <c r="F5" s="167"/>
      <c r="G5" s="173"/>
    </row>
    <row r="6" spans="1:8" s="168" customFormat="1">
      <c r="A6" s="174" t="s">
        <v>231</v>
      </c>
      <c r="B6" s="164"/>
      <c r="C6" s="164"/>
      <c r="D6" s="164"/>
      <c r="E6" s="164"/>
      <c r="F6" s="167"/>
      <c r="G6" s="167"/>
    </row>
    <row r="7" spans="1:8" s="168" customFormat="1" ht="24" customHeight="1">
      <c r="A7" s="165"/>
      <c r="B7" s="175"/>
      <c r="C7" s="175"/>
      <c r="D7" s="265" t="s">
        <v>232</v>
      </c>
      <c r="E7" s="266"/>
      <c r="F7" s="266"/>
      <c r="G7" s="266"/>
      <c r="H7" s="266"/>
    </row>
    <row r="8" spans="1:8" s="168" customFormat="1" ht="15" customHeight="1">
      <c r="A8" s="237"/>
      <c r="B8" s="237"/>
      <c r="C8" s="237"/>
      <c r="D8" s="237">
        <v>-1</v>
      </c>
      <c r="E8" s="237">
        <v>-2</v>
      </c>
      <c r="F8" s="237">
        <v>-3</v>
      </c>
      <c r="G8" s="237">
        <v>-4</v>
      </c>
      <c r="H8" s="237">
        <v>-5</v>
      </c>
    </row>
    <row r="9" spans="1:8" s="176" customFormat="1" ht="12" customHeight="1">
      <c r="A9" s="238"/>
      <c r="B9" s="238"/>
      <c r="C9" s="238"/>
      <c r="D9" s="238"/>
      <c r="E9" s="238"/>
      <c r="F9" s="238" t="s">
        <v>233</v>
      </c>
      <c r="G9" s="238" t="s">
        <v>217</v>
      </c>
      <c r="H9" s="238" t="s">
        <v>217</v>
      </c>
    </row>
    <row r="10" spans="1:8" s="168" customFormat="1" ht="38.25" customHeight="1">
      <c r="A10" s="239" t="s">
        <v>256</v>
      </c>
      <c r="B10" s="239" t="s">
        <v>17</v>
      </c>
      <c r="C10" s="239"/>
      <c r="D10" s="239" t="s">
        <v>18</v>
      </c>
      <c r="E10" s="239" t="s">
        <v>257</v>
      </c>
      <c r="F10" s="239" t="s">
        <v>234</v>
      </c>
      <c r="G10" s="239" t="s">
        <v>275</v>
      </c>
      <c r="H10" s="240" t="s">
        <v>258</v>
      </c>
    </row>
    <row r="11" spans="1:8">
      <c r="A11" s="177">
        <v>1</v>
      </c>
      <c r="B11" s="178"/>
      <c r="C11" s="179" t="s">
        <v>235</v>
      </c>
      <c r="D11" s="177"/>
      <c r="E11" s="180"/>
      <c r="F11" s="181"/>
      <c r="G11" s="182"/>
      <c r="H11" s="182"/>
    </row>
    <row r="12" spans="1:8">
      <c r="A12" s="177">
        <f>A11+1</f>
        <v>2</v>
      </c>
      <c r="B12" s="177">
        <v>68021</v>
      </c>
      <c r="C12" s="184"/>
      <c r="D12" s="185" t="s">
        <v>22</v>
      </c>
      <c r="E12" s="186">
        <f>+'S-Bills Summary'!AG10</f>
        <v>231250</v>
      </c>
      <c r="F12" s="187"/>
      <c r="G12" s="243">
        <f>+'Sewer Rate Design'!I9</f>
        <v>25.47</v>
      </c>
      <c r="H12" s="244">
        <f>E12*G12</f>
        <v>5889937.5</v>
      </c>
    </row>
    <row r="13" spans="1:8">
      <c r="A13" s="177">
        <f>A12+1</f>
        <v>3</v>
      </c>
      <c r="B13" s="177"/>
      <c r="C13" s="184"/>
      <c r="D13" s="185" t="s">
        <v>260</v>
      </c>
      <c r="E13" s="186">
        <f>+'S-Bills Summary'!AG13</f>
        <v>36867</v>
      </c>
      <c r="F13" s="191"/>
      <c r="G13" s="243">
        <f>+'Sewer Rate Design'!I24</f>
        <v>35.659999999999997</v>
      </c>
      <c r="H13" s="245">
        <f>E13*G13</f>
        <v>1314677.22</v>
      </c>
    </row>
    <row r="14" spans="1:8" ht="12.75" thickBot="1">
      <c r="A14" s="177">
        <f t="shared" ref="A14:A58" si="0">A13+1</f>
        <v>4</v>
      </c>
      <c r="B14" s="192"/>
      <c r="C14" s="184"/>
      <c r="D14" s="193" t="s">
        <v>236</v>
      </c>
      <c r="E14" s="194">
        <f>SUM(E12:E13)</f>
        <v>268117</v>
      </c>
      <c r="F14" s="181"/>
      <c r="G14" s="188"/>
      <c r="H14" s="246">
        <f>SUM(H12:H13)</f>
        <v>7204614.7199999997</v>
      </c>
    </row>
    <row r="15" spans="1:8" ht="12.75" thickTop="1">
      <c r="A15" s="177">
        <f t="shared" si="0"/>
        <v>5</v>
      </c>
      <c r="B15" s="192"/>
      <c r="C15" s="174" t="s">
        <v>237</v>
      </c>
      <c r="D15" s="197"/>
      <c r="E15" s="198"/>
      <c r="F15" s="181"/>
      <c r="G15" s="190"/>
      <c r="H15" s="199"/>
    </row>
    <row r="16" spans="1:8">
      <c r="A16" s="177">
        <f t="shared" si="0"/>
        <v>6</v>
      </c>
      <c r="B16" s="200"/>
      <c r="C16" s="201"/>
      <c r="D16" s="185" t="s">
        <v>259</v>
      </c>
      <c r="E16" s="202"/>
      <c r="F16" s="203">
        <f>+'S-Usage Summary'!AV21</f>
        <v>1087046</v>
      </c>
      <c r="G16" s="243">
        <f>+'Sewer Rate Design'!I52</f>
        <v>4.91</v>
      </c>
      <c r="H16" s="244">
        <f>+G16*F16</f>
        <v>5337395.8600000003</v>
      </c>
    </row>
    <row r="17" spans="1:8">
      <c r="A17" s="177">
        <f t="shared" si="0"/>
        <v>7</v>
      </c>
      <c r="B17" s="200"/>
      <c r="C17" s="201"/>
      <c r="D17" s="185" t="s">
        <v>238</v>
      </c>
      <c r="E17" s="202"/>
      <c r="F17" s="204">
        <f>SUM(F16:F16)</f>
        <v>1087046</v>
      </c>
      <c r="G17" s="205"/>
      <c r="H17" s="247">
        <f>SUM(H16:H16)</f>
        <v>5337395.8600000003</v>
      </c>
    </row>
    <row r="18" spans="1:8" ht="12.75" thickBot="1">
      <c r="A18" s="177">
        <f t="shared" si="0"/>
        <v>8</v>
      </c>
      <c r="B18" s="200"/>
      <c r="C18" s="206"/>
      <c r="D18" s="207" t="s">
        <v>239</v>
      </c>
      <c r="E18" s="208">
        <f>E14</f>
        <v>268117</v>
      </c>
      <c r="F18" s="209">
        <f>F17</f>
        <v>1087046</v>
      </c>
      <c r="G18" s="188"/>
      <c r="H18" s="246">
        <f>H14+H17</f>
        <v>12542010.58</v>
      </c>
    </row>
    <row r="19" spans="1:8" ht="13.5" thickTop="1" thickBot="1">
      <c r="A19" s="177">
        <f t="shared" si="0"/>
        <v>9</v>
      </c>
      <c r="B19" s="192"/>
      <c r="C19" s="184"/>
      <c r="D19" s="207" t="s">
        <v>240</v>
      </c>
      <c r="E19" s="198"/>
      <c r="F19" s="181"/>
      <c r="G19" s="190"/>
      <c r="H19" s="210">
        <f>+H18/E18</f>
        <v>46.778125146857526</v>
      </c>
    </row>
    <row r="20" spans="1:8" ht="13.5" thickTop="1">
      <c r="A20" s="177">
        <f t="shared" si="0"/>
        <v>10</v>
      </c>
      <c r="B20" s="178"/>
      <c r="C20" s="211"/>
      <c r="D20" s="211"/>
      <c r="E20" s="211"/>
      <c r="F20" s="211"/>
      <c r="G20" s="211"/>
      <c r="H20" s="211"/>
    </row>
    <row r="21" spans="1:8">
      <c r="A21" s="177">
        <f t="shared" si="0"/>
        <v>11</v>
      </c>
      <c r="B21" s="178"/>
      <c r="C21" s="212" t="s">
        <v>241</v>
      </c>
      <c r="D21" s="177"/>
      <c r="E21" s="213"/>
      <c r="F21" s="181"/>
      <c r="G21" s="190"/>
      <c r="H21" s="190"/>
    </row>
    <row r="22" spans="1:8">
      <c r="A22" s="177">
        <f t="shared" si="0"/>
        <v>12</v>
      </c>
      <c r="B22" s="214">
        <v>68026</v>
      </c>
      <c r="C22" s="215"/>
      <c r="D22" s="216" t="s">
        <v>25</v>
      </c>
      <c r="E22" s="186">
        <f>+'S-Bills Summary'!AG17</f>
        <v>2701</v>
      </c>
      <c r="F22" s="181"/>
      <c r="G22" s="243">
        <f>+'Sewer Rate Design'!I12</f>
        <v>25.47</v>
      </c>
      <c r="H22" s="244">
        <f>E22*G22</f>
        <v>68794.47</v>
      </c>
    </row>
    <row r="23" spans="1:8" s="217" customFormat="1">
      <c r="A23" s="177">
        <f t="shared" si="0"/>
        <v>13</v>
      </c>
      <c r="B23" s="214">
        <v>68026</v>
      </c>
      <c r="C23" s="215"/>
      <c r="D23" s="216" t="s">
        <v>26</v>
      </c>
      <c r="E23" s="186">
        <f>+'S-Bills Summary'!AG18</f>
        <v>0</v>
      </c>
      <c r="F23" s="181"/>
      <c r="G23" s="243">
        <f>+'Sewer Rate Design'!I13</f>
        <v>38.21</v>
      </c>
      <c r="H23" s="245">
        <f t="shared" ref="H23:H31" si="1">E23*G23</f>
        <v>0</v>
      </c>
    </row>
    <row r="24" spans="1:8">
      <c r="A24" s="177">
        <f t="shared" si="0"/>
        <v>14</v>
      </c>
      <c r="B24" s="214">
        <v>68028</v>
      </c>
      <c r="C24" s="215"/>
      <c r="D24" s="216" t="s">
        <v>27</v>
      </c>
      <c r="E24" s="186">
        <f>+'S-Bills Summary'!AG19</f>
        <v>1350</v>
      </c>
      <c r="F24" s="181"/>
      <c r="G24" s="243">
        <f>+'Sewer Rate Design'!I14</f>
        <v>63.68</v>
      </c>
      <c r="H24" s="245">
        <f t="shared" si="1"/>
        <v>85968</v>
      </c>
    </row>
    <row r="25" spans="1:8">
      <c r="A25" s="177">
        <f t="shared" si="0"/>
        <v>15</v>
      </c>
      <c r="B25" s="214">
        <v>68029</v>
      </c>
      <c r="C25" s="215"/>
      <c r="D25" s="216" t="s">
        <v>28</v>
      </c>
      <c r="E25" s="186">
        <f>+'S-Bills Summary'!AG20</f>
        <v>1789</v>
      </c>
      <c r="F25" s="181"/>
      <c r="G25" s="243">
        <f>+'Sewer Rate Design'!I15</f>
        <v>127.37</v>
      </c>
      <c r="H25" s="245">
        <f t="shared" si="1"/>
        <v>227864.93000000002</v>
      </c>
    </row>
    <row r="26" spans="1:8">
      <c r="A26" s="177">
        <f t="shared" si="0"/>
        <v>16</v>
      </c>
      <c r="B26" s="192">
        <v>68030</v>
      </c>
      <c r="C26" s="184"/>
      <c r="D26" s="216" t="s">
        <v>29</v>
      </c>
      <c r="E26" s="186">
        <f>+'S-Bills Summary'!AG21</f>
        <v>1720</v>
      </c>
      <c r="F26" s="191"/>
      <c r="G26" s="243">
        <f>+'Sewer Rate Design'!I16</f>
        <v>203.79</v>
      </c>
      <c r="H26" s="245">
        <f t="shared" si="1"/>
        <v>350518.8</v>
      </c>
    </row>
    <row r="27" spans="1:8">
      <c r="A27" s="177">
        <f t="shared" si="0"/>
        <v>17</v>
      </c>
      <c r="B27" s="192">
        <v>68031</v>
      </c>
      <c r="C27" s="184"/>
      <c r="D27" s="216" t="s">
        <v>30</v>
      </c>
      <c r="E27" s="186">
        <f>+'S-Bills Summary'!AG22</f>
        <v>360</v>
      </c>
      <c r="F27" s="191"/>
      <c r="G27" s="243">
        <f>+'Sewer Rate Design'!I17</f>
        <v>407.57</v>
      </c>
      <c r="H27" s="245">
        <f t="shared" si="1"/>
        <v>146725.20000000001</v>
      </c>
    </row>
    <row r="28" spans="1:8">
      <c r="A28" s="177">
        <f t="shared" si="0"/>
        <v>18</v>
      </c>
      <c r="B28" s="192">
        <v>68032</v>
      </c>
      <c r="C28" s="184"/>
      <c r="D28" s="216" t="s">
        <v>31</v>
      </c>
      <c r="E28" s="186">
        <f>+'S-Bills Summary'!AG23</f>
        <v>108</v>
      </c>
      <c r="F28" s="191"/>
      <c r="G28" s="243">
        <f>+'Sewer Rate Design'!I18</f>
        <v>636.83000000000004</v>
      </c>
      <c r="H28" s="245">
        <f t="shared" si="1"/>
        <v>68777.64</v>
      </c>
    </row>
    <row r="29" spans="1:8">
      <c r="A29" s="177">
        <f t="shared" si="0"/>
        <v>19</v>
      </c>
      <c r="B29" s="192">
        <v>68033</v>
      </c>
      <c r="C29" s="184"/>
      <c r="D29" s="216" t="s">
        <v>32</v>
      </c>
      <c r="E29" s="186">
        <f>+'S-Bills Summary'!AG24</f>
        <v>59</v>
      </c>
      <c r="F29" s="191"/>
      <c r="G29" s="243">
        <f>+'Sewer Rate Design'!I19</f>
        <v>1273.6600000000001</v>
      </c>
      <c r="H29" s="245">
        <f t="shared" si="1"/>
        <v>75145.94</v>
      </c>
    </row>
    <row r="30" spans="1:8">
      <c r="A30" s="177">
        <f t="shared" si="0"/>
        <v>20</v>
      </c>
      <c r="B30" s="192"/>
      <c r="C30" s="184"/>
      <c r="D30" s="216" t="s">
        <v>57</v>
      </c>
      <c r="E30" s="186">
        <f>+'S-Bills Summary'!AG25</f>
        <v>36</v>
      </c>
      <c r="F30" s="191"/>
      <c r="G30" s="243">
        <f>+'Sewer Rate Design'!I20</f>
        <v>2037.86</v>
      </c>
      <c r="H30" s="245">
        <f t="shared" si="1"/>
        <v>73362.959999999992</v>
      </c>
    </row>
    <row r="31" spans="1:8">
      <c r="A31" s="177">
        <f t="shared" si="0"/>
        <v>21</v>
      </c>
      <c r="B31" s="192">
        <v>68033</v>
      </c>
      <c r="C31" s="184"/>
      <c r="D31" s="216" t="s">
        <v>242</v>
      </c>
      <c r="E31" s="186">
        <f>+'S-Bills Summary'!AG26</f>
        <v>12</v>
      </c>
      <c r="F31" s="191"/>
      <c r="G31" s="243">
        <f>+'Sewer Rate Design'!I21</f>
        <v>3693.62</v>
      </c>
      <c r="H31" s="245">
        <f t="shared" si="1"/>
        <v>44323.44</v>
      </c>
    </row>
    <row r="32" spans="1:8" ht="12.75" customHeight="1">
      <c r="A32" s="177">
        <f t="shared" si="0"/>
        <v>22</v>
      </c>
      <c r="B32" s="192">
        <v>68079</v>
      </c>
      <c r="C32" s="184"/>
      <c r="D32" s="218" t="s">
        <v>261</v>
      </c>
      <c r="E32" s="186">
        <f>+'S-Bills Summary'!AG29</f>
        <v>6372</v>
      </c>
      <c r="F32" s="191"/>
      <c r="G32" s="243">
        <f>+'Sewer Rate Design'!I25</f>
        <v>44.58</v>
      </c>
      <c r="H32" s="245">
        <f>E32*G32</f>
        <v>284063.76</v>
      </c>
    </row>
    <row r="33" spans="1:11" ht="12.75" thickBot="1">
      <c r="A33" s="177">
        <f t="shared" si="0"/>
        <v>23</v>
      </c>
      <c r="B33" s="192"/>
      <c r="C33" s="184"/>
      <c r="D33" s="219" t="s">
        <v>243</v>
      </c>
      <c r="E33" s="208">
        <f>SUM(E22:E32)</f>
        <v>14507</v>
      </c>
      <c r="F33" s="181"/>
      <c r="G33" s="190"/>
      <c r="H33" s="195">
        <f>SUM(H22:H32)</f>
        <v>1425545.14</v>
      </c>
    </row>
    <row r="34" spans="1:11" ht="12.75" thickTop="1">
      <c r="A34" s="177">
        <f t="shared" si="0"/>
        <v>24</v>
      </c>
      <c r="B34" s="192"/>
      <c r="C34" s="174" t="s">
        <v>237</v>
      </c>
      <c r="D34" s="197"/>
      <c r="E34" s="198"/>
      <c r="F34" s="181"/>
      <c r="G34" s="190"/>
      <c r="H34" s="199"/>
    </row>
    <row r="35" spans="1:11">
      <c r="A35" s="177">
        <f t="shared" si="0"/>
        <v>25</v>
      </c>
      <c r="B35" s="192">
        <v>68033</v>
      </c>
      <c r="C35" s="184"/>
      <c r="D35" s="216" t="s">
        <v>24</v>
      </c>
      <c r="E35" s="198"/>
      <c r="F35" s="196">
        <f>'S-Usage Summary'!C10+'S-Usage Summary'!F10+'S-Usage Summary'!I10+'S-Usage Summary'!L10+'S-Usage Summary'!O10+'S-Usage Summary'!R10+'S-Usage Summary'!X10+'S-Usage Summary'!AA10+'S-Usage Summary'!AD10+'S-Usage Summary'!AJ10+'S-Usage Summary'!AP10+'S-Usage Summary'!AS10</f>
        <v>373150</v>
      </c>
      <c r="G35" s="243">
        <f>+'Sewer Rate Design'!I55</f>
        <v>5.65</v>
      </c>
      <c r="H35" s="244">
        <f>+G35*F35</f>
        <v>2108297.5</v>
      </c>
      <c r="I35" s="252"/>
      <c r="K35" s="248"/>
    </row>
    <row r="36" spans="1:11" ht="12.75" thickBot="1">
      <c r="A36" s="177">
        <f t="shared" si="0"/>
        <v>26</v>
      </c>
      <c r="B36" s="192"/>
      <c r="C36" s="184"/>
      <c r="D36" s="219" t="s">
        <v>244</v>
      </c>
      <c r="E36" s="198"/>
      <c r="F36" s="209">
        <f>SUM(F35:F35)</f>
        <v>373150</v>
      </c>
      <c r="G36" s="188"/>
      <c r="H36" s="246">
        <f>SUM(H35:H35)</f>
        <v>2108297.5</v>
      </c>
    </row>
    <row r="37" spans="1:11" ht="13.5" thickTop="1" thickBot="1">
      <c r="A37" s="177">
        <f t="shared" si="0"/>
        <v>27</v>
      </c>
      <c r="B37" s="200"/>
      <c r="C37" s="206"/>
      <c r="D37" s="221" t="s">
        <v>245</v>
      </c>
      <c r="E37" s="222">
        <f>E33</f>
        <v>14507</v>
      </c>
      <c r="F37" s="209">
        <f>F36</f>
        <v>373150</v>
      </c>
      <c r="G37" s="190"/>
      <c r="H37" s="246">
        <f>H36+H33</f>
        <v>3533842.6399999997</v>
      </c>
    </row>
    <row r="38" spans="1:11" ht="13.5" thickTop="1" thickBot="1">
      <c r="A38" s="177">
        <f t="shared" si="0"/>
        <v>28</v>
      </c>
      <c r="B38" s="182"/>
      <c r="C38" s="182"/>
      <c r="D38" s="207" t="s">
        <v>246</v>
      </c>
      <c r="E38" s="198"/>
      <c r="F38" s="181"/>
      <c r="G38" s="190"/>
      <c r="H38" s="210">
        <f>+H37/E37</f>
        <v>243.59568759909007</v>
      </c>
    </row>
    <row r="39" spans="1:11" ht="12.75" thickTop="1">
      <c r="A39" s="177">
        <f t="shared" si="0"/>
        <v>29</v>
      </c>
      <c r="B39" s="223"/>
      <c r="C39" s="223"/>
      <c r="D39" s="183"/>
      <c r="E39" s="196"/>
      <c r="F39" s="224"/>
      <c r="G39" s="225"/>
      <c r="H39" s="190"/>
    </row>
    <row r="40" spans="1:11">
      <c r="A40" s="177">
        <f t="shared" si="0"/>
        <v>30</v>
      </c>
      <c r="B40" s="178"/>
      <c r="C40" s="179" t="s">
        <v>247</v>
      </c>
      <c r="D40" s="177"/>
      <c r="E40" s="213"/>
      <c r="F40" s="181"/>
      <c r="G40" s="190"/>
      <c r="H40" s="190"/>
    </row>
    <row r="41" spans="1:11">
      <c r="A41" s="177">
        <f t="shared" si="0"/>
        <v>31</v>
      </c>
      <c r="B41" s="214">
        <v>68076</v>
      </c>
      <c r="C41" s="215"/>
      <c r="D41" s="197" t="s">
        <v>248</v>
      </c>
      <c r="E41" s="186">
        <f>+'S-Bills Summary'!AG35</f>
        <v>8206</v>
      </c>
      <c r="F41" s="196"/>
      <c r="G41" s="243">
        <f>+'Sewer Rate Design'!I23</f>
        <v>7.64</v>
      </c>
      <c r="H41" s="244">
        <f>E41*G41</f>
        <v>62693.84</v>
      </c>
    </row>
    <row r="42" spans="1:11" ht="12.75" thickBot="1">
      <c r="A42" s="177">
        <f t="shared" si="0"/>
        <v>32</v>
      </c>
      <c r="B42" s="192"/>
      <c r="C42" s="184"/>
      <c r="D42" s="185" t="s">
        <v>263</v>
      </c>
      <c r="E42" s="208">
        <f>E41</f>
        <v>8206</v>
      </c>
      <c r="F42" s="208">
        <f>F41</f>
        <v>0</v>
      </c>
      <c r="G42" s="190"/>
      <c r="H42" s="246">
        <f>H41</f>
        <v>62693.84</v>
      </c>
    </row>
    <row r="43" spans="1:11" ht="12.75" thickTop="1">
      <c r="A43" s="177">
        <f t="shared" si="0"/>
        <v>33</v>
      </c>
      <c r="B43" s="192"/>
      <c r="C43" s="184"/>
      <c r="D43" s="207"/>
      <c r="E43" s="198"/>
      <c r="F43" s="196"/>
      <c r="G43" s="190"/>
      <c r="H43" s="189"/>
    </row>
    <row r="44" spans="1:11">
      <c r="A44" s="177">
        <f t="shared" si="0"/>
        <v>34</v>
      </c>
      <c r="B44" s="192"/>
      <c r="C44" s="174" t="s">
        <v>237</v>
      </c>
      <c r="D44" s="197"/>
      <c r="E44" s="198"/>
      <c r="F44" s="226"/>
      <c r="G44" s="190"/>
      <c r="H44" s="199"/>
    </row>
    <row r="45" spans="1:11">
      <c r="A45" s="177">
        <f t="shared" si="0"/>
        <v>35</v>
      </c>
      <c r="B45" s="214">
        <v>68076</v>
      </c>
      <c r="C45" s="215"/>
      <c r="D45" s="185" t="s">
        <v>249</v>
      </c>
      <c r="E45" s="198"/>
      <c r="F45" s="196">
        <f>+'S-Usage Summary'!AV16</f>
        <v>132247</v>
      </c>
      <c r="G45" s="243">
        <f>+'Sewer Rate Design'!I60</f>
        <v>1.45</v>
      </c>
      <c r="H45" s="244">
        <f>+G45*F45</f>
        <v>191758.15</v>
      </c>
    </row>
    <row r="46" spans="1:11" ht="12.75" thickBot="1">
      <c r="A46" s="177">
        <f t="shared" si="0"/>
        <v>36</v>
      </c>
      <c r="B46" s="192"/>
      <c r="C46" s="184"/>
      <c r="D46" s="185" t="s">
        <v>264</v>
      </c>
      <c r="E46" s="198"/>
      <c r="F46" s="209">
        <f>F45</f>
        <v>132247</v>
      </c>
      <c r="G46" s="188"/>
      <c r="H46" s="246">
        <f>H45</f>
        <v>191758.15</v>
      </c>
    </row>
    <row r="47" spans="1:11" ht="13.5" thickTop="1" thickBot="1">
      <c r="A47" s="177">
        <f t="shared" si="0"/>
        <v>37</v>
      </c>
      <c r="B47" s="200"/>
      <c r="C47" s="206"/>
      <c r="D47" s="185" t="s">
        <v>265</v>
      </c>
      <c r="E47" s="222">
        <f>E42</f>
        <v>8206</v>
      </c>
      <c r="F47" s="209">
        <f>F46</f>
        <v>132247</v>
      </c>
      <c r="G47" s="190"/>
      <c r="H47" s="220">
        <f>H42+H46</f>
        <v>254451.99</v>
      </c>
    </row>
    <row r="48" spans="1:11" ht="13.5" thickTop="1" thickBot="1">
      <c r="A48" s="177">
        <f t="shared" si="0"/>
        <v>38</v>
      </c>
      <c r="B48" s="182"/>
      <c r="C48" s="182"/>
      <c r="D48" s="185" t="s">
        <v>266</v>
      </c>
      <c r="E48" s="198"/>
      <c r="F48" s="181"/>
      <c r="G48" s="190"/>
      <c r="H48" s="210">
        <f>+H47/E47</f>
        <v>31.008041676821836</v>
      </c>
    </row>
    <row r="49" spans="1:8" ht="12.75" thickTop="1">
      <c r="A49" s="177">
        <f t="shared" si="0"/>
        <v>39</v>
      </c>
      <c r="B49" s="182"/>
      <c r="C49" s="182"/>
      <c r="D49" s="185"/>
      <c r="E49" s="198"/>
      <c r="F49" s="181"/>
      <c r="G49" s="190"/>
      <c r="H49" s="188"/>
    </row>
    <row r="50" spans="1:8">
      <c r="A50" s="177">
        <f t="shared" si="0"/>
        <v>40</v>
      </c>
      <c r="B50" s="182"/>
      <c r="C50" s="179" t="s">
        <v>262</v>
      </c>
      <c r="D50" s="177"/>
      <c r="E50" s="213"/>
      <c r="F50" s="181"/>
      <c r="G50" s="190"/>
      <c r="H50" s="190"/>
    </row>
    <row r="51" spans="1:8">
      <c r="A51" s="177">
        <f t="shared" si="0"/>
        <v>41</v>
      </c>
      <c r="B51" s="182"/>
      <c r="C51" s="215"/>
      <c r="D51" s="197" t="s">
        <v>248</v>
      </c>
      <c r="E51" s="186">
        <f>+'S-Bills Summary'!AG32</f>
        <v>12</v>
      </c>
      <c r="F51" s="196"/>
      <c r="G51" s="243">
        <f>+'Sewer Rate Design'!I22</f>
        <v>855.9</v>
      </c>
      <c r="H51" s="244">
        <f>E51*G51</f>
        <v>10270.799999999999</v>
      </c>
    </row>
    <row r="52" spans="1:8" ht="12.75" thickBot="1">
      <c r="A52" s="177">
        <f t="shared" si="0"/>
        <v>42</v>
      </c>
      <c r="B52" s="182"/>
      <c r="C52" s="184"/>
      <c r="D52" s="185" t="s">
        <v>267</v>
      </c>
      <c r="E52" s="208">
        <f>E51</f>
        <v>12</v>
      </c>
      <c r="F52" s="208">
        <f>F51</f>
        <v>0</v>
      </c>
      <c r="G52" s="190"/>
      <c r="H52" s="246">
        <f>H51</f>
        <v>10270.799999999999</v>
      </c>
    </row>
    <row r="53" spans="1:8" ht="12.75" thickTop="1">
      <c r="A53" s="177">
        <f t="shared" si="0"/>
        <v>43</v>
      </c>
      <c r="B53" s="182"/>
      <c r="C53" s="184"/>
      <c r="D53" s="207"/>
      <c r="E53" s="198"/>
      <c r="F53" s="196"/>
      <c r="G53" s="190"/>
      <c r="H53" s="189"/>
    </row>
    <row r="54" spans="1:8">
      <c r="A54" s="177">
        <f t="shared" si="0"/>
        <v>44</v>
      </c>
      <c r="B54" s="182"/>
      <c r="C54" s="174" t="s">
        <v>237</v>
      </c>
      <c r="D54" s="197"/>
      <c r="E54" s="198"/>
      <c r="F54" s="226"/>
      <c r="G54" s="190"/>
      <c r="H54" s="199"/>
    </row>
    <row r="55" spans="1:8">
      <c r="A55" s="177">
        <f t="shared" si="0"/>
        <v>45</v>
      </c>
      <c r="B55" s="182"/>
      <c r="C55" s="215"/>
      <c r="D55" s="185" t="s">
        <v>249</v>
      </c>
      <c r="E55" s="198"/>
      <c r="F55" s="196">
        <f>+'S-Usage Summary'!AV13</f>
        <v>1986</v>
      </c>
      <c r="G55" s="243">
        <f>+'Sewer Rate Design'!I58</f>
        <v>4.66</v>
      </c>
      <c r="H55" s="244">
        <f>+G55*F55</f>
        <v>9254.76</v>
      </c>
    </row>
    <row r="56" spans="1:8" ht="12.75" thickBot="1">
      <c r="A56" s="177">
        <f t="shared" si="0"/>
        <v>46</v>
      </c>
      <c r="B56" s="182"/>
      <c r="C56" s="184"/>
      <c r="D56" s="185" t="s">
        <v>268</v>
      </c>
      <c r="E56" s="198"/>
      <c r="F56" s="209">
        <f>F55</f>
        <v>1986</v>
      </c>
      <c r="G56" s="188"/>
      <c r="H56" s="246">
        <f>H55</f>
        <v>9254.76</v>
      </c>
    </row>
    <row r="57" spans="1:8" ht="13.5" thickTop="1" thickBot="1">
      <c r="A57" s="177">
        <f t="shared" si="0"/>
        <v>47</v>
      </c>
      <c r="B57" s="182"/>
      <c r="C57" s="206"/>
      <c r="D57" s="185" t="s">
        <v>269</v>
      </c>
      <c r="E57" s="222">
        <f>E52</f>
        <v>12</v>
      </c>
      <c r="F57" s="209">
        <f>F56</f>
        <v>1986</v>
      </c>
      <c r="G57" s="190"/>
      <c r="H57" s="220">
        <f>H52+H56</f>
        <v>19525.559999999998</v>
      </c>
    </row>
    <row r="58" spans="1:8" ht="13.5" thickTop="1" thickBot="1">
      <c r="A58" s="177">
        <f t="shared" si="0"/>
        <v>48</v>
      </c>
      <c r="B58" s="182"/>
      <c r="C58" s="182"/>
      <c r="D58" s="185" t="s">
        <v>250</v>
      </c>
      <c r="E58" s="198"/>
      <c r="F58" s="181"/>
      <c r="G58" s="190"/>
      <c r="H58" s="210">
        <f>+H57/E57</f>
        <v>1627.1299999999999</v>
      </c>
    </row>
    <row r="59" spans="1:8" ht="12.75" thickTop="1">
      <c r="A59" s="177"/>
      <c r="B59" s="182"/>
      <c r="C59" s="182"/>
      <c r="D59" s="185"/>
      <c r="E59" s="198"/>
      <c r="F59" s="181"/>
      <c r="G59" s="190"/>
      <c r="H59" s="188"/>
    </row>
    <row r="60" spans="1:8">
      <c r="A60" s="164" t="s">
        <v>229</v>
      </c>
      <c r="B60" s="164"/>
      <c r="C60" s="164"/>
      <c r="D60" s="165"/>
      <c r="E60" s="166"/>
      <c r="F60" s="167"/>
      <c r="G60" s="168"/>
      <c r="H60" s="169" t="s">
        <v>1</v>
      </c>
    </row>
    <row r="61" spans="1:8">
      <c r="A61" s="267" t="s">
        <v>255</v>
      </c>
      <c r="B61" s="267"/>
      <c r="C61" s="267"/>
      <c r="D61" s="267"/>
      <c r="E61" s="170"/>
      <c r="F61" s="167"/>
      <c r="G61" s="168"/>
      <c r="H61" s="169" t="s">
        <v>230</v>
      </c>
    </row>
    <row r="62" spans="1:8">
      <c r="A62" s="171" t="str">
        <f>[1]Macros!$E$6</f>
        <v>Docket No.: 160101 - WS</v>
      </c>
      <c r="B62" s="164"/>
      <c r="C62" s="164"/>
      <c r="D62" s="165"/>
      <c r="E62" s="170"/>
      <c r="F62" s="167"/>
      <c r="G62" s="168"/>
      <c r="H62" s="169" t="s">
        <v>270</v>
      </c>
    </row>
    <row r="63" spans="1:8">
      <c r="A63" s="171" t="str">
        <f>[1]Macros!$E$15</f>
        <v>Test Year Ended:  12/31/2015</v>
      </c>
      <c r="B63" s="164"/>
      <c r="C63" s="164"/>
      <c r="D63" s="165"/>
      <c r="E63" s="170"/>
      <c r="F63" s="167"/>
      <c r="G63" s="168"/>
      <c r="H63" s="172" t="str">
        <f>[1]Macros!$E$12</f>
        <v>Preparer: Jared Deason</v>
      </c>
    </row>
    <row r="64" spans="1:8">
      <c r="A64" s="166" t="s">
        <v>7</v>
      </c>
      <c r="B64" s="164"/>
      <c r="C64" s="164"/>
      <c r="D64" s="165"/>
      <c r="E64" s="170"/>
      <c r="F64" s="167"/>
      <c r="G64" s="173"/>
      <c r="H64" s="168"/>
    </row>
    <row r="65" spans="1:8">
      <c r="A65" s="174" t="s">
        <v>231</v>
      </c>
      <c r="B65" s="164"/>
      <c r="C65" s="164"/>
      <c r="D65" s="164"/>
      <c r="E65" s="164"/>
      <c r="F65" s="167"/>
      <c r="G65" s="167"/>
      <c r="H65" s="168"/>
    </row>
    <row r="66" spans="1:8" ht="12.75">
      <c r="A66" s="165"/>
      <c r="B66" s="175"/>
      <c r="C66" s="175"/>
      <c r="D66" s="265" t="s">
        <v>232</v>
      </c>
      <c r="E66" s="266"/>
      <c r="F66" s="266"/>
      <c r="G66" s="266"/>
      <c r="H66" s="266"/>
    </row>
    <row r="67" spans="1:8">
      <c r="A67" s="237"/>
      <c r="B67" s="237"/>
      <c r="C67" s="237"/>
      <c r="D67" s="237">
        <v>-1</v>
      </c>
      <c r="E67" s="237">
        <v>-2</v>
      </c>
      <c r="F67" s="237">
        <v>-3</v>
      </c>
      <c r="G67" s="237">
        <v>-4</v>
      </c>
      <c r="H67" s="237">
        <v>-5</v>
      </c>
    </row>
    <row r="68" spans="1:8">
      <c r="A68" s="238"/>
      <c r="B68" s="238"/>
      <c r="C68" s="238"/>
      <c r="D68" s="238"/>
      <c r="E68" s="238"/>
      <c r="F68" s="238" t="s">
        <v>233</v>
      </c>
      <c r="G68" s="238" t="s">
        <v>217</v>
      </c>
      <c r="H68" s="238" t="s">
        <v>217</v>
      </c>
    </row>
    <row r="69" spans="1:8" ht="37.5" customHeight="1">
      <c r="A69" s="239" t="s">
        <v>256</v>
      </c>
      <c r="B69" s="239" t="s">
        <v>17</v>
      </c>
      <c r="C69" s="239"/>
      <c r="D69" s="239" t="s">
        <v>18</v>
      </c>
      <c r="E69" s="239" t="s">
        <v>257</v>
      </c>
      <c r="F69" s="239" t="s">
        <v>234</v>
      </c>
      <c r="G69" s="239" t="s">
        <v>275</v>
      </c>
      <c r="H69" s="240" t="s">
        <v>258</v>
      </c>
    </row>
    <row r="70" spans="1:8">
      <c r="A70" s="177">
        <v>1</v>
      </c>
      <c r="B70" s="178"/>
      <c r="C70" s="179" t="s">
        <v>271</v>
      </c>
      <c r="D70" s="177"/>
      <c r="E70" s="180"/>
      <c r="F70" s="181"/>
      <c r="G70" s="182"/>
      <c r="H70" s="182"/>
    </row>
    <row r="71" spans="1:8">
      <c r="A71" s="177">
        <f>A70+1</f>
        <v>2</v>
      </c>
      <c r="B71" s="177">
        <v>68021</v>
      </c>
      <c r="C71" s="184"/>
      <c r="D71" s="185" t="s">
        <v>22</v>
      </c>
      <c r="E71" s="186">
        <f>+'S-Bills Summary'!AI10</f>
        <v>12374</v>
      </c>
      <c r="F71" s="187"/>
      <c r="G71" s="243">
        <f>+'Sewer Rate Design'!I29</f>
        <v>50.95</v>
      </c>
      <c r="H71" s="244">
        <f>E71*G71</f>
        <v>630455.30000000005</v>
      </c>
    </row>
    <row r="72" spans="1:8">
      <c r="A72" s="177">
        <f t="shared" ref="A72:A104" si="2">A71+1</f>
        <v>3</v>
      </c>
      <c r="B72" s="177"/>
      <c r="C72" s="184"/>
      <c r="D72" s="185" t="s">
        <v>260</v>
      </c>
      <c r="E72" s="186">
        <f>+'S-Bills Summary'!AI13</f>
        <v>5670</v>
      </c>
      <c r="F72" s="191"/>
      <c r="G72" s="243">
        <f>+'Sewer Rate Design'!I42</f>
        <v>71.33</v>
      </c>
      <c r="H72" s="245">
        <f>E72*G72</f>
        <v>404441.1</v>
      </c>
    </row>
    <row r="73" spans="1:8" ht="12.75" thickBot="1">
      <c r="A73" s="177">
        <f t="shared" si="2"/>
        <v>4</v>
      </c>
      <c r="B73" s="192"/>
      <c r="C73" s="184"/>
      <c r="D73" s="193" t="s">
        <v>236</v>
      </c>
      <c r="E73" s="194">
        <f>SUM(E71:E72)</f>
        <v>18044</v>
      </c>
      <c r="F73" s="181"/>
      <c r="G73" s="188"/>
      <c r="H73" s="246">
        <f>SUM(H71:H72)</f>
        <v>1034896.4</v>
      </c>
    </row>
    <row r="74" spans="1:8" ht="12.75" thickTop="1">
      <c r="A74" s="177">
        <f t="shared" si="2"/>
        <v>5</v>
      </c>
      <c r="B74" s="192"/>
      <c r="C74" s="174" t="s">
        <v>237</v>
      </c>
      <c r="D74" s="197"/>
      <c r="E74" s="198"/>
      <c r="F74" s="181"/>
      <c r="G74" s="190"/>
      <c r="H74" s="199"/>
    </row>
    <row r="75" spans="1:8">
      <c r="A75" s="177">
        <f t="shared" si="2"/>
        <v>6</v>
      </c>
      <c r="B75" s="200"/>
      <c r="C75" s="201"/>
      <c r="D75" s="185" t="s">
        <v>272</v>
      </c>
      <c r="E75" s="202"/>
      <c r="F75" s="203">
        <f>+'S-Usage Summary'!AV22</f>
        <v>103650</v>
      </c>
      <c r="G75" s="243">
        <f>+'Sewer Rate Design'!I53</f>
        <v>4.91</v>
      </c>
      <c r="H75" s="244">
        <f>+G75*F75</f>
        <v>508921.5</v>
      </c>
    </row>
    <row r="76" spans="1:8">
      <c r="A76" s="177">
        <f t="shared" si="2"/>
        <v>7</v>
      </c>
      <c r="B76" s="200"/>
      <c r="C76" s="201"/>
      <c r="D76" s="185" t="s">
        <v>238</v>
      </c>
      <c r="E76" s="202"/>
      <c r="F76" s="204">
        <f>SUM(F75:F75)</f>
        <v>103650</v>
      </c>
      <c r="G76" s="205"/>
      <c r="H76" s="247">
        <f>SUM(H75:H75)</f>
        <v>508921.5</v>
      </c>
    </row>
    <row r="77" spans="1:8" ht="12.75" thickBot="1">
      <c r="A77" s="177">
        <f t="shared" si="2"/>
        <v>8</v>
      </c>
      <c r="B77" s="200"/>
      <c r="C77" s="206"/>
      <c r="D77" s="207" t="s">
        <v>239</v>
      </c>
      <c r="E77" s="208">
        <f>E73</f>
        <v>18044</v>
      </c>
      <c r="F77" s="209">
        <f>F76</f>
        <v>103650</v>
      </c>
      <c r="G77" s="188"/>
      <c r="H77" s="246">
        <f>H73+H76</f>
        <v>1543817.9</v>
      </c>
    </row>
    <row r="78" spans="1:8" ht="13.5" thickTop="1" thickBot="1">
      <c r="A78" s="177">
        <f t="shared" si="2"/>
        <v>9</v>
      </c>
      <c r="B78" s="192"/>
      <c r="C78" s="184"/>
      <c r="D78" s="207" t="s">
        <v>240</v>
      </c>
      <c r="E78" s="198"/>
      <c r="F78" s="181"/>
      <c r="G78" s="190"/>
      <c r="H78" s="210">
        <f>+H77/E77</f>
        <v>85.558518066947457</v>
      </c>
    </row>
    <row r="79" spans="1:8" ht="13.5" thickTop="1">
      <c r="A79" s="177">
        <f t="shared" si="2"/>
        <v>10</v>
      </c>
      <c r="B79" s="178"/>
      <c r="C79" s="211"/>
      <c r="D79" s="211"/>
      <c r="E79" s="211"/>
      <c r="F79" s="211"/>
      <c r="G79" s="211"/>
      <c r="H79" s="211"/>
    </row>
    <row r="80" spans="1:8">
      <c r="A80" s="177">
        <f t="shared" si="2"/>
        <v>11</v>
      </c>
      <c r="B80" s="178"/>
      <c r="C80" s="212" t="s">
        <v>241</v>
      </c>
      <c r="D80" s="177"/>
      <c r="E80" s="213"/>
      <c r="F80" s="181"/>
      <c r="G80" s="190"/>
      <c r="H80" s="190"/>
    </row>
    <row r="81" spans="1:8">
      <c r="A81" s="177">
        <f t="shared" si="2"/>
        <v>12</v>
      </c>
      <c r="B81" s="214">
        <v>68026</v>
      </c>
      <c r="C81" s="215"/>
      <c r="D81" s="216" t="s">
        <v>25</v>
      </c>
      <c r="E81" s="186">
        <f>+'S-Bills Summary'!AI17</f>
        <v>12</v>
      </c>
      <c r="F81" s="181"/>
      <c r="G81" s="243">
        <f>+'Sewer Rate Design'!I32</f>
        <v>50.95</v>
      </c>
      <c r="H81" s="244">
        <f>E81*G81</f>
        <v>611.40000000000009</v>
      </c>
    </row>
    <row r="82" spans="1:8">
      <c r="A82" s="177">
        <f t="shared" si="2"/>
        <v>13</v>
      </c>
      <c r="B82" s="214">
        <v>68026</v>
      </c>
      <c r="C82" s="215"/>
      <c r="D82" s="216" t="s">
        <v>26</v>
      </c>
      <c r="E82" s="186">
        <f>+'S-Bills Summary'!AI18</f>
        <v>0</v>
      </c>
      <c r="F82" s="181"/>
      <c r="G82" s="243">
        <f>+'Sewer Rate Design'!I33</f>
        <v>76.42</v>
      </c>
      <c r="H82" s="245">
        <f t="shared" ref="H82:H90" si="3">E82*G82</f>
        <v>0</v>
      </c>
    </row>
    <row r="83" spans="1:8">
      <c r="A83" s="177">
        <f t="shared" si="2"/>
        <v>14</v>
      </c>
      <c r="B83" s="214">
        <v>68028</v>
      </c>
      <c r="C83" s="215"/>
      <c r="D83" s="216" t="s">
        <v>27</v>
      </c>
      <c r="E83" s="186">
        <f>+'S-Bills Summary'!AI19</f>
        <v>1164</v>
      </c>
      <c r="F83" s="181"/>
      <c r="G83" s="243">
        <f>+'Sewer Rate Design'!I34</f>
        <v>127.37</v>
      </c>
      <c r="H83" s="245">
        <f t="shared" si="3"/>
        <v>148258.68</v>
      </c>
    </row>
    <row r="84" spans="1:8">
      <c r="A84" s="177">
        <f t="shared" si="2"/>
        <v>15</v>
      </c>
      <c r="B84" s="214">
        <v>68029</v>
      </c>
      <c r="C84" s="215"/>
      <c r="D84" s="216" t="s">
        <v>28</v>
      </c>
      <c r="E84" s="186">
        <f>+'S-Bills Summary'!AI20</f>
        <v>136</v>
      </c>
      <c r="F84" s="181"/>
      <c r="G84" s="243">
        <f>+'Sewer Rate Design'!I35</f>
        <v>254.73</v>
      </c>
      <c r="H84" s="245">
        <f t="shared" si="3"/>
        <v>34643.279999999999</v>
      </c>
    </row>
    <row r="85" spans="1:8">
      <c r="A85" s="177">
        <f t="shared" si="2"/>
        <v>16</v>
      </c>
      <c r="B85" s="192">
        <v>68030</v>
      </c>
      <c r="C85" s="184"/>
      <c r="D85" s="216" t="s">
        <v>29</v>
      </c>
      <c r="E85" s="186">
        <f>+'S-Bills Summary'!AI21</f>
        <v>434</v>
      </c>
      <c r="F85" s="191"/>
      <c r="G85" s="243">
        <f>+'Sewer Rate Design'!I36</f>
        <v>407.57</v>
      </c>
      <c r="H85" s="245">
        <f t="shared" si="3"/>
        <v>176885.38</v>
      </c>
    </row>
    <row r="86" spans="1:8">
      <c r="A86" s="177">
        <f t="shared" si="2"/>
        <v>17</v>
      </c>
      <c r="B86" s="192">
        <v>68031</v>
      </c>
      <c r="C86" s="184"/>
      <c r="D86" s="216" t="s">
        <v>30</v>
      </c>
      <c r="E86" s="186">
        <f>+'S-Bills Summary'!AI22</f>
        <v>6</v>
      </c>
      <c r="F86" s="191"/>
      <c r="G86" s="243">
        <f>+'Sewer Rate Design'!I37</f>
        <v>815.14</v>
      </c>
      <c r="H86" s="245">
        <f t="shared" si="3"/>
        <v>4890.84</v>
      </c>
    </row>
    <row r="87" spans="1:8">
      <c r="A87" s="177">
        <f t="shared" si="2"/>
        <v>18</v>
      </c>
      <c r="B87" s="192">
        <v>68032</v>
      </c>
      <c r="C87" s="184"/>
      <c r="D87" s="216" t="s">
        <v>31</v>
      </c>
      <c r="E87" s="186">
        <f>+'S-Bills Summary'!AI23</f>
        <v>6</v>
      </c>
      <c r="F87" s="191"/>
      <c r="G87" s="243">
        <f>+'Sewer Rate Design'!I38</f>
        <v>1273.6600000000001</v>
      </c>
      <c r="H87" s="245">
        <f t="shared" si="3"/>
        <v>7641.9600000000009</v>
      </c>
    </row>
    <row r="88" spans="1:8">
      <c r="A88" s="177">
        <f t="shared" si="2"/>
        <v>19</v>
      </c>
      <c r="B88" s="192">
        <v>68033</v>
      </c>
      <c r="C88" s="184"/>
      <c r="D88" s="216" t="s">
        <v>32</v>
      </c>
      <c r="E88" s="186">
        <f>+'S-Bills Summary'!AI24</f>
        <v>55</v>
      </c>
      <c r="F88" s="191"/>
      <c r="G88" s="243">
        <f>+'Sewer Rate Design'!I39</f>
        <v>2547.3200000000002</v>
      </c>
      <c r="H88" s="245">
        <f t="shared" si="3"/>
        <v>140102.6</v>
      </c>
    </row>
    <row r="89" spans="1:8">
      <c r="A89" s="177">
        <f t="shared" si="2"/>
        <v>20</v>
      </c>
      <c r="B89" s="192"/>
      <c r="C89" s="184"/>
      <c r="D89" s="216" t="s">
        <v>57</v>
      </c>
      <c r="E89" s="186">
        <f>+'S-Bills Summary'!AI25</f>
        <v>0</v>
      </c>
      <c r="F89" s="191"/>
      <c r="G89" s="243">
        <f>+'Sewer Rate Design'!I40</f>
        <v>4075.72</v>
      </c>
      <c r="H89" s="245">
        <f t="shared" si="3"/>
        <v>0</v>
      </c>
    </row>
    <row r="90" spans="1:8">
      <c r="A90" s="177">
        <f t="shared" si="2"/>
        <v>21</v>
      </c>
      <c r="B90" s="192">
        <v>68033</v>
      </c>
      <c r="C90" s="184"/>
      <c r="D90" s="216" t="s">
        <v>242</v>
      </c>
      <c r="E90" s="186">
        <f>+'S-Bills Summary'!AI26</f>
        <v>0</v>
      </c>
      <c r="F90" s="191"/>
      <c r="G90" s="243">
        <f>+'Sewer Rate Design'!I41</f>
        <v>7387.24</v>
      </c>
      <c r="H90" s="245">
        <f t="shared" si="3"/>
        <v>0</v>
      </c>
    </row>
    <row r="91" spans="1:8">
      <c r="A91" s="177">
        <f t="shared" si="2"/>
        <v>22</v>
      </c>
      <c r="B91" s="192">
        <v>68079</v>
      </c>
      <c r="C91" s="184"/>
      <c r="D91" s="218" t="s">
        <v>261</v>
      </c>
      <c r="E91" s="186">
        <f>+'S-Bills Summary'!AI29</f>
        <v>0</v>
      </c>
      <c r="F91" s="191"/>
      <c r="G91" s="243">
        <f>+'Sewer Rate Design'!I43</f>
        <v>89.16</v>
      </c>
      <c r="H91" s="245">
        <f>E91*G91</f>
        <v>0</v>
      </c>
    </row>
    <row r="92" spans="1:8" ht="12.75" thickBot="1">
      <c r="A92" s="177">
        <f t="shared" si="2"/>
        <v>23</v>
      </c>
      <c r="B92" s="192"/>
      <c r="C92" s="184"/>
      <c r="D92" s="219" t="s">
        <v>243</v>
      </c>
      <c r="E92" s="208">
        <f>SUM(E81:E91)</f>
        <v>1813</v>
      </c>
      <c r="F92" s="181"/>
      <c r="G92" s="190"/>
      <c r="H92" s="195">
        <f>SUM(H81:H91)</f>
        <v>513034.14</v>
      </c>
    </row>
    <row r="93" spans="1:8" ht="12.75" thickTop="1">
      <c r="A93" s="177">
        <f t="shared" si="2"/>
        <v>24</v>
      </c>
      <c r="B93" s="192"/>
      <c r="C93" s="174" t="s">
        <v>237</v>
      </c>
      <c r="D93" s="197"/>
      <c r="E93" s="198"/>
      <c r="F93" s="181"/>
      <c r="G93" s="190"/>
      <c r="H93" s="199"/>
    </row>
    <row r="94" spans="1:8">
      <c r="A94" s="177">
        <f t="shared" si="2"/>
        <v>25</v>
      </c>
      <c r="B94" s="192">
        <v>68033</v>
      </c>
      <c r="C94" s="184"/>
      <c r="D94" s="216" t="s">
        <v>24</v>
      </c>
      <c r="E94" s="198"/>
      <c r="F94" s="196">
        <f>+'S-Usage Summary'!U10+'S-Usage Summary'!AG10</f>
        <v>242305</v>
      </c>
      <c r="G94" s="243">
        <f>+'Sewer Rate Design'!I55</f>
        <v>5.65</v>
      </c>
      <c r="H94" s="244">
        <f>+G94*F94</f>
        <v>1369023.25</v>
      </c>
    </row>
    <row r="95" spans="1:8" ht="12.75" thickBot="1">
      <c r="A95" s="177">
        <f t="shared" si="2"/>
        <v>26</v>
      </c>
      <c r="B95" s="192"/>
      <c r="C95" s="184"/>
      <c r="D95" s="219" t="s">
        <v>244</v>
      </c>
      <c r="E95" s="198"/>
      <c r="F95" s="209">
        <f>SUM(F94:F94)</f>
        <v>242305</v>
      </c>
      <c r="G95" s="188"/>
      <c r="H95" s="246">
        <f>SUM(H94:H94)</f>
        <v>1369023.25</v>
      </c>
    </row>
    <row r="96" spans="1:8" ht="13.5" thickTop="1" thickBot="1">
      <c r="A96" s="177">
        <f t="shared" si="2"/>
        <v>27</v>
      </c>
      <c r="B96" s="200"/>
      <c r="C96" s="206"/>
      <c r="D96" s="221" t="s">
        <v>245</v>
      </c>
      <c r="E96" s="222">
        <f>E92</f>
        <v>1813</v>
      </c>
      <c r="F96" s="209">
        <f>F95</f>
        <v>242305</v>
      </c>
      <c r="G96" s="190"/>
      <c r="H96" s="246">
        <f>H95+H92</f>
        <v>1882057.3900000001</v>
      </c>
    </row>
    <row r="97" spans="1:8" ht="13.5" thickTop="1" thickBot="1">
      <c r="A97" s="177">
        <f t="shared" si="2"/>
        <v>28</v>
      </c>
      <c r="B97" s="182"/>
      <c r="C97" s="182"/>
      <c r="D97" s="207" t="s">
        <v>246</v>
      </c>
      <c r="E97" s="198"/>
      <c r="F97" s="181"/>
      <c r="G97" s="190"/>
      <c r="H97" s="210">
        <f>+H96/E96</f>
        <v>1038.0901213458358</v>
      </c>
    </row>
    <row r="98" spans="1:8" ht="12.75" thickTop="1">
      <c r="A98" s="177">
        <f t="shared" si="2"/>
        <v>29</v>
      </c>
      <c r="B98" s="182"/>
      <c r="C98" s="182"/>
      <c r="D98" s="207"/>
      <c r="E98" s="198"/>
      <c r="F98" s="181"/>
      <c r="G98" s="190"/>
      <c r="H98" s="188"/>
    </row>
    <row r="99" spans="1:8">
      <c r="A99" s="177">
        <f t="shared" si="2"/>
        <v>30</v>
      </c>
      <c r="C99" s="228" t="s">
        <v>251</v>
      </c>
      <c r="E99" s="213"/>
      <c r="F99" s="229"/>
      <c r="G99" s="230"/>
      <c r="H99" s="231">
        <f>+'S-Revenue Summary'!AG51</f>
        <v>49282</v>
      </c>
    </row>
    <row r="100" spans="1:8">
      <c r="A100" s="177">
        <f t="shared" si="2"/>
        <v>31</v>
      </c>
      <c r="C100" s="232" t="s">
        <v>252</v>
      </c>
      <c r="E100" s="196"/>
      <c r="F100" s="224"/>
      <c r="G100" s="225"/>
      <c r="H100" s="199">
        <v>0</v>
      </c>
    </row>
    <row r="101" spans="1:8">
      <c r="A101" s="177">
        <f t="shared" si="2"/>
        <v>32</v>
      </c>
      <c r="C101" s="223"/>
      <c r="D101" s="224" t="s">
        <v>253</v>
      </c>
      <c r="E101" s="213"/>
      <c r="F101" s="229"/>
      <c r="G101" s="230"/>
      <c r="H101" s="233">
        <f>SUM(H99:H100)</f>
        <v>49282</v>
      </c>
    </row>
    <row r="102" spans="1:8" ht="12.75" thickBot="1">
      <c r="A102" s="177">
        <f t="shared" si="2"/>
        <v>33</v>
      </c>
      <c r="C102" s="223" t="s">
        <v>254</v>
      </c>
      <c r="E102" s="234"/>
      <c r="F102" s="229"/>
      <c r="G102" s="230"/>
      <c r="H102" s="249">
        <f>H18+H37+H47+H57+H77+H96+H101</f>
        <v>19824988.059999999</v>
      </c>
    </row>
    <row r="103" spans="1:8" ht="12.75" thickTop="1">
      <c r="A103" s="177">
        <f t="shared" si="2"/>
        <v>34</v>
      </c>
      <c r="C103" s="223"/>
      <c r="D103" s="224"/>
      <c r="E103" s="234"/>
      <c r="F103" s="229"/>
      <c r="G103" s="230"/>
      <c r="H103" s="189"/>
    </row>
    <row r="104" spans="1:8">
      <c r="A104" s="177">
        <f t="shared" si="2"/>
        <v>35</v>
      </c>
      <c r="C104" s="223" t="s">
        <v>191</v>
      </c>
      <c r="E104" s="234"/>
      <c r="F104" s="229"/>
      <c r="G104" s="230"/>
      <c r="H104" s="250">
        <f>'S-Revenue Summary'!AK54</f>
        <v>19824720</v>
      </c>
    </row>
    <row r="105" spans="1:8" ht="12.75" thickBot="1">
      <c r="A105" s="177">
        <f>+A104+1</f>
        <v>36</v>
      </c>
      <c r="C105" s="192" t="s">
        <v>199</v>
      </c>
      <c r="E105" s="234"/>
      <c r="F105" s="229"/>
      <c r="G105" s="230"/>
      <c r="H105" s="251">
        <f>+H102-H104</f>
        <v>268.0599999986589</v>
      </c>
    </row>
    <row r="106" spans="1:8" s="227" customFormat="1" ht="12.75" thickTop="1">
      <c r="B106" s="232"/>
      <c r="E106" s="235"/>
      <c r="F106" s="236"/>
      <c r="G106" s="236"/>
      <c r="H106" s="183"/>
    </row>
    <row r="107" spans="1:8" s="227" customFormat="1">
      <c r="B107" s="232"/>
      <c r="E107" s="235"/>
      <c r="F107" s="236"/>
      <c r="G107" s="236"/>
      <c r="H107" s="183"/>
    </row>
    <row r="108" spans="1:8">
      <c r="E108" s="235"/>
    </row>
    <row r="109" spans="1:8">
      <c r="E109" s="235"/>
    </row>
    <row r="110" spans="1:8">
      <c r="E110" s="235"/>
    </row>
    <row r="111" spans="1:8">
      <c r="E111" s="235"/>
    </row>
    <row r="112" spans="1:8">
      <c r="E112" s="235"/>
    </row>
    <row r="113" spans="1:29">
      <c r="E113" s="235"/>
    </row>
    <row r="114" spans="1:29">
      <c r="E114" s="235"/>
    </row>
    <row r="115" spans="1:29">
      <c r="E115" s="235"/>
    </row>
    <row r="116" spans="1:29">
      <c r="E116" s="235"/>
    </row>
    <row r="117" spans="1:29" s="236" customFormat="1">
      <c r="A117" s="227"/>
      <c r="B117" s="227"/>
      <c r="C117" s="227"/>
      <c r="D117" s="227"/>
      <c r="E117" s="235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</row>
    <row r="118" spans="1:29" s="236" customFormat="1">
      <c r="A118" s="227"/>
      <c r="B118" s="227"/>
      <c r="C118" s="227"/>
      <c r="D118" s="227"/>
      <c r="E118" s="235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</row>
    <row r="119" spans="1:29" s="236" customFormat="1">
      <c r="A119" s="227"/>
      <c r="B119" s="227"/>
      <c r="C119" s="227"/>
      <c r="D119" s="227"/>
      <c r="E119" s="235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</row>
    <row r="120" spans="1:29" s="236" customFormat="1">
      <c r="A120" s="227"/>
      <c r="B120" s="227"/>
      <c r="C120" s="227"/>
      <c r="D120" s="227"/>
      <c r="E120" s="235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</row>
    <row r="121" spans="1:29" s="236" customFormat="1">
      <c r="A121" s="227"/>
      <c r="B121" s="227"/>
      <c r="C121" s="227"/>
      <c r="D121" s="227"/>
      <c r="E121" s="235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</row>
    <row r="122" spans="1:29" s="236" customFormat="1">
      <c r="A122" s="227"/>
      <c r="B122" s="227"/>
      <c r="C122" s="227"/>
      <c r="D122" s="227"/>
      <c r="E122" s="235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</row>
    <row r="123" spans="1:29" s="236" customFormat="1">
      <c r="A123" s="227"/>
      <c r="B123" s="227"/>
      <c r="C123" s="227"/>
      <c r="D123" s="227"/>
      <c r="E123" s="235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</row>
    <row r="124" spans="1:29" s="236" customFormat="1">
      <c r="A124" s="227"/>
      <c r="B124" s="227"/>
      <c r="C124" s="227"/>
      <c r="D124" s="227"/>
      <c r="E124" s="235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</row>
    <row r="125" spans="1:29" s="236" customFormat="1">
      <c r="A125" s="227"/>
      <c r="B125" s="227"/>
      <c r="C125" s="227"/>
      <c r="D125" s="227"/>
      <c r="E125" s="235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</row>
    <row r="126" spans="1:29" s="236" customFormat="1">
      <c r="A126" s="227"/>
      <c r="B126" s="227"/>
      <c r="C126" s="227"/>
      <c r="D126" s="227"/>
      <c r="E126" s="235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</row>
    <row r="127" spans="1:29" s="236" customFormat="1">
      <c r="A127" s="227"/>
      <c r="B127" s="227"/>
      <c r="C127" s="227"/>
      <c r="D127" s="227"/>
      <c r="E127" s="235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</row>
    <row r="128" spans="1:29" s="236" customFormat="1">
      <c r="A128" s="227"/>
      <c r="B128" s="227"/>
      <c r="C128" s="227"/>
      <c r="D128" s="227"/>
      <c r="E128" s="235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</row>
    <row r="129" spans="1:29" s="236" customFormat="1">
      <c r="A129" s="227"/>
      <c r="B129" s="227"/>
      <c r="C129" s="227"/>
      <c r="D129" s="227"/>
      <c r="E129" s="235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</row>
    <row r="130" spans="1:29" s="236" customFormat="1">
      <c r="A130" s="227"/>
      <c r="B130" s="227"/>
      <c r="C130" s="227"/>
      <c r="D130" s="227"/>
      <c r="E130" s="235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</row>
    <row r="131" spans="1:29" s="236" customFormat="1">
      <c r="A131" s="227"/>
      <c r="B131" s="227"/>
      <c r="C131" s="227"/>
      <c r="D131" s="227"/>
      <c r="E131" s="235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</row>
    <row r="132" spans="1:29" s="236" customFormat="1">
      <c r="A132" s="227"/>
      <c r="B132" s="227"/>
      <c r="C132" s="227"/>
      <c r="D132" s="227"/>
      <c r="E132" s="235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</row>
    <row r="133" spans="1:29" s="236" customFormat="1">
      <c r="A133" s="227"/>
      <c r="B133" s="227"/>
      <c r="C133" s="227"/>
      <c r="D133" s="227"/>
      <c r="E133" s="235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</row>
    <row r="134" spans="1:29" s="236" customFormat="1">
      <c r="A134" s="227"/>
      <c r="B134" s="227"/>
      <c r="C134" s="227"/>
      <c r="D134" s="227"/>
      <c r="E134" s="235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</row>
    <row r="135" spans="1:29" s="236" customFormat="1">
      <c r="A135" s="227"/>
      <c r="B135" s="227"/>
      <c r="C135" s="227"/>
      <c r="D135" s="227"/>
      <c r="E135" s="235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</row>
    <row r="136" spans="1:29" s="236" customFormat="1">
      <c r="A136" s="227"/>
      <c r="B136" s="227"/>
      <c r="C136" s="227"/>
      <c r="D136" s="227"/>
      <c r="E136" s="235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</row>
    <row r="137" spans="1:29" s="236" customFormat="1">
      <c r="A137" s="227"/>
      <c r="B137" s="227"/>
      <c r="C137" s="227"/>
      <c r="D137" s="227"/>
      <c r="E137" s="235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</row>
    <row r="138" spans="1:29" s="236" customFormat="1">
      <c r="A138" s="227"/>
      <c r="B138" s="227"/>
      <c r="C138" s="227"/>
      <c r="D138" s="227"/>
      <c r="E138" s="235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</row>
    <row r="139" spans="1:29" s="236" customFormat="1">
      <c r="A139" s="227"/>
      <c r="B139" s="227"/>
      <c r="C139" s="227"/>
      <c r="D139" s="227"/>
      <c r="E139" s="235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</row>
    <row r="140" spans="1:29" s="236" customFormat="1">
      <c r="A140" s="227"/>
      <c r="B140" s="227"/>
      <c r="C140" s="227"/>
      <c r="D140" s="227"/>
      <c r="E140" s="235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</row>
    <row r="141" spans="1:29" s="236" customFormat="1">
      <c r="A141" s="227"/>
      <c r="B141" s="227"/>
      <c r="C141" s="227"/>
      <c r="D141" s="227"/>
      <c r="E141" s="235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</row>
    <row r="142" spans="1:29" s="236" customFormat="1">
      <c r="A142" s="227"/>
      <c r="B142" s="227"/>
      <c r="C142" s="227"/>
      <c r="D142" s="227"/>
      <c r="E142" s="235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</row>
    <row r="143" spans="1:29" s="236" customFormat="1">
      <c r="A143" s="227"/>
      <c r="B143" s="227"/>
      <c r="C143" s="227"/>
      <c r="D143" s="227"/>
      <c r="E143" s="235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</row>
    <row r="144" spans="1:29" s="236" customFormat="1">
      <c r="A144" s="227"/>
      <c r="B144" s="227"/>
      <c r="C144" s="227"/>
      <c r="D144" s="227"/>
      <c r="E144" s="235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</row>
    <row r="145" spans="1:29" s="236" customFormat="1">
      <c r="A145" s="227"/>
      <c r="B145" s="227"/>
      <c r="C145" s="227"/>
      <c r="D145" s="227"/>
      <c r="E145" s="235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</row>
    <row r="146" spans="1:29" s="236" customFormat="1">
      <c r="A146" s="227"/>
      <c r="B146" s="227"/>
      <c r="C146" s="227"/>
      <c r="D146" s="227"/>
      <c r="E146" s="235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</row>
    <row r="147" spans="1:29" s="236" customFormat="1">
      <c r="A147" s="227"/>
      <c r="B147" s="227"/>
      <c r="C147" s="227"/>
      <c r="D147" s="227"/>
      <c r="E147" s="235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</row>
    <row r="148" spans="1:29" s="236" customFormat="1">
      <c r="A148" s="227"/>
      <c r="B148" s="227"/>
      <c r="C148" s="227"/>
      <c r="D148" s="227"/>
      <c r="E148" s="235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</row>
    <row r="149" spans="1:29" s="236" customFormat="1">
      <c r="A149" s="227"/>
      <c r="B149" s="227"/>
      <c r="C149" s="227"/>
      <c r="D149" s="227"/>
      <c r="E149" s="235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</row>
    <row r="150" spans="1:29" s="236" customFormat="1">
      <c r="A150" s="227"/>
      <c r="B150" s="227"/>
      <c r="C150" s="227"/>
      <c r="D150" s="227"/>
      <c r="E150" s="235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</row>
    <row r="151" spans="1:29" s="236" customFormat="1">
      <c r="A151" s="227"/>
      <c r="B151" s="227"/>
      <c r="C151" s="227"/>
      <c r="D151" s="227"/>
      <c r="E151" s="235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</row>
    <row r="152" spans="1:29" s="236" customFormat="1">
      <c r="A152" s="227"/>
      <c r="B152" s="227"/>
      <c r="C152" s="227"/>
      <c r="D152" s="227"/>
      <c r="E152" s="235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</row>
    <row r="153" spans="1:29" s="236" customFormat="1">
      <c r="A153" s="227"/>
      <c r="B153" s="227"/>
      <c r="C153" s="227"/>
      <c r="D153" s="227"/>
      <c r="E153" s="235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</row>
    <row r="154" spans="1:29" s="236" customFormat="1">
      <c r="A154" s="227"/>
      <c r="B154" s="227"/>
      <c r="C154" s="227"/>
      <c r="D154" s="227"/>
      <c r="E154" s="235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</row>
    <row r="155" spans="1:29" s="236" customFormat="1">
      <c r="A155" s="227"/>
      <c r="B155" s="227"/>
      <c r="C155" s="227"/>
      <c r="D155" s="227"/>
      <c r="E155" s="235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</row>
    <row r="156" spans="1:29" s="236" customFormat="1">
      <c r="A156" s="227"/>
      <c r="B156" s="227"/>
      <c r="C156" s="227"/>
      <c r="D156" s="227"/>
      <c r="E156" s="235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</row>
    <row r="157" spans="1:29" s="236" customFormat="1">
      <c r="A157" s="227"/>
      <c r="B157" s="227"/>
      <c r="C157" s="227"/>
      <c r="D157" s="227"/>
      <c r="E157" s="235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</row>
    <row r="158" spans="1:29" s="236" customFormat="1">
      <c r="A158" s="227"/>
      <c r="B158" s="227"/>
      <c r="C158" s="227"/>
      <c r="D158" s="227"/>
      <c r="E158" s="235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</row>
    <row r="159" spans="1:29" s="236" customFormat="1">
      <c r="A159" s="227"/>
      <c r="B159" s="227"/>
      <c r="C159" s="227"/>
      <c r="D159" s="227"/>
      <c r="E159" s="235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</row>
    <row r="160" spans="1:29" s="236" customFormat="1">
      <c r="A160" s="227"/>
      <c r="B160" s="227"/>
      <c r="C160" s="227"/>
      <c r="D160" s="227"/>
      <c r="E160" s="235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</row>
    <row r="161" spans="1:29" s="236" customFormat="1">
      <c r="A161" s="227"/>
      <c r="B161" s="227"/>
      <c r="C161" s="227"/>
      <c r="D161" s="227"/>
      <c r="E161" s="235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</row>
    <row r="162" spans="1:29" s="236" customFormat="1">
      <c r="A162" s="227"/>
      <c r="B162" s="227"/>
      <c r="C162" s="227"/>
      <c r="D162" s="227"/>
      <c r="E162" s="235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</row>
    <row r="163" spans="1:29" s="236" customFormat="1">
      <c r="A163" s="227"/>
      <c r="B163" s="227"/>
      <c r="C163" s="227"/>
      <c r="D163" s="227"/>
      <c r="E163" s="235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</row>
    <row r="164" spans="1:29" s="236" customFormat="1">
      <c r="A164" s="227"/>
      <c r="B164" s="227"/>
      <c r="C164" s="227"/>
      <c r="D164" s="227"/>
      <c r="E164" s="235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</row>
    <row r="165" spans="1:29" s="236" customFormat="1">
      <c r="A165" s="227"/>
      <c r="B165" s="227"/>
      <c r="C165" s="227"/>
      <c r="D165" s="227"/>
      <c r="E165" s="235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</row>
    <row r="166" spans="1:29" s="236" customFormat="1">
      <c r="A166" s="227"/>
      <c r="B166" s="227"/>
      <c r="C166" s="227"/>
      <c r="D166" s="227"/>
      <c r="E166" s="235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</row>
    <row r="167" spans="1:29" s="236" customFormat="1">
      <c r="A167" s="227"/>
      <c r="B167" s="227"/>
      <c r="C167" s="227"/>
      <c r="D167" s="227"/>
      <c r="E167" s="235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</row>
    <row r="168" spans="1:29" s="236" customFormat="1">
      <c r="A168" s="227"/>
      <c r="B168" s="227"/>
      <c r="C168" s="227"/>
      <c r="D168" s="227"/>
      <c r="E168" s="235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</row>
  </sheetData>
  <mergeCells count="4">
    <mergeCell ref="D66:H66"/>
    <mergeCell ref="A2:D2"/>
    <mergeCell ref="D7:H7"/>
    <mergeCell ref="A61:D61"/>
  </mergeCells>
  <printOptions horizontalCentered="1"/>
  <pageMargins left="0.25" right="0.25" top="0.75" bottom="0.25" header="0.5" footer="0.5"/>
  <pageSetup fitToHeight="2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4"/>
  <sheetViews>
    <sheetView topLeftCell="A7" zoomScaleNormal="100" workbookViewId="0">
      <selection activeCell="A39" sqref="A39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2.7109375" style="4" customWidth="1"/>
    <col min="5" max="5" width="11.7109375" style="4" customWidth="1"/>
    <col min="6" max="6" width="2.7109375" style="4" customWidth="1"/>
    <col min="7" max="7" width="11.7109375" style="4" customWidth="1"/>
    <col min="8" max="8" width="1.7109375" style="4" customWidth="1"/>
    <col min="9" max="9" width="10.85546875" style="4"/>
    <col min="10" max="10" width="1.7109375" style="4" customWidth="1"/>
    <col min="11" max="11" width="10.85546875" style="4"/>
    <col min="12" max="12" width="1.7109375" style="4" customWidth="1"/>
    <col min="13" max="13" width="10.85546875" style="4"/>
    <col min="14" max="14" width="1.7109375" style="4" customWidth="1"/>
    <col min="15" max="16384" width="10.85546875" style="4"/>
  </cols>
  <sheetData>
    <row r="1" spans="1:13">
      <c r="A1" s="1" t="s">
        <v>0</v>
      </c>
      <c r="B1" s="1"/>
      <c r="C1" s="2"/>
      <c r="D1" s="1"/>
      <c r="E1" s="3" t="s">
        <v>1</v>
      </c>
      <c r="G1" s="3"/>
    </row>
    <row r="2" spans="1:13">
      <c r="A2" s="1"/>
      <c r="B2" s="1"/>
      <c r="C2" s="2"/>
      <c r="D2" s="1"/>
      <c r="E2" s="3"/>
      <c r="G2" s="3"/>
    </row>
    <row r="3" spans="1:13">
      <c r="A3" s="1" t="s">
        <v>145</v>
      </c>
      <c r="B3" s="1"/>
      <c r="C3" s="2"/>
      <c r="D3" s="1"/>
      <c r="E3" s="3" t="s">
        <v>2</v>
      </c>
      <c r="G3" s="3"/>
    </row>
    <row r="4" spans="1:13">
      <c r="A4" s="1" t="s">
        <v>34</v>
      </c>
      <c r="B4" s="1"/>
      <c r="C4" s="2"/>
      <c r="D4" s="1"/>
      <c r="E4" s="5" t="s">
        <v>3</v>
      </c>
      <c r="G4" s="3"/>
    </row>
    <row r="5" spans="1:13">
      <c r="A5" s="1" t="s">
        <v>4</v>
      </c>
      <c r="B5" s="1"/>
      <c r="C5" s="2"/>
      <c r="D5" s="1"/>
      <c r="E5" s="3" t="s">
        <v>5</v>
      </c>
      <c r="G5" s="3"/>
    </row>
    <row r="6" spans="1:13">
      <c r="A6" s="1" t="s">
        <v>6</v>
      </c>
      <c r="B6" s="1"/>
      <c r="C6" s="2"/>
      <c r="D6" s="1"/>
      <c r="E6" s="3"/>
      <c r="F6" s="3"/>
      <c r="G6" s="3"/>
    </row>
    <row r="7" spans="1:13">
      <c r="A7" s="1" t="s">
        <v>7</v>
      </c>
      <c r="B7" s="1"/>
      <c r="C7" s="2"/>
      <c r="D7" s="1"/>
      <c r="E7" s="1"/>
      <c r="F7" s="1"/>
      <c r="G7" s="1"/>
    </row>
    <row r="8" spans="1:13">
      <c r="A8" s="6" t="s">
        <v>8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M9" s="7"/>
    </row>
    <row r="10" spans="1:13">
      <c r="A10" s="9"/>
      <c r="B10" s="10" t="s">
        <v>9</v>
      </c>
      <c r="C10" s="11"/>
      <c r="D10" s="13"/>
      <c r="E10" s="11"/>
      <c r="G10" s="11"/>
      <c r="H10" s="11"/>
      <c r="I10" s="11"/>
      <c r="J10" s="11"/>
      <c r="K10" s="11"/>
      <c r="M10" s="11"/>
    </row>
    <row r="11" spans="1:13">
      <c r="C11" s="2"/>
      <c r="D11" s="1"/>
      <c r="F11" s="13"/>
      <c r="G11" s="13"/>
      <c r="H11" s="13"/>
      <c r="I11" s="13" t="s">
        <v>216</v>
      </c>
      <c r="K11" s="13" t="s">
        <v>217</v>
      </c>
      <c r="M11" s="13" t="s">
        <v>216</v>
      </c>
    </row>
    <row r="12" spans="1:13">
      <c r="A12" s="13" t="s">
        <v>12</v>
      </c>
      <c r="C12" s="2"/>
      <c r="D12" s="1"/>
      <c r="E12" s="13" t="s">
        <v>11</v>
      </c>
      <c r="F12" s="13"/>
      <c r="G12" s="13" t="s">
        <v>15</v>
      </c>
      <c r="H12" s="13"/>
      <c r="I12" s="13" t="s">
        <v>218</v>
      </c>
      <c r="K12" s="13" t="s">
        <v>219</v>
      </c>
      <c r="M12" s="13" t="s">
        <v>218</v>
      </c>
    </row>
    <row r="13" spans="1:13">
      <c r="A13" s="14" t="s">
        <v>16</v>
      </c>
      <c r="B13" s="15" t="s">
        <v>17</v>
      </c>
      <c r="C13" s="16" t="s">
        <v>18</v>
      </c>
      <c r="D13" s="17"/>
      <c r="E13" s="129" t="s">
        <v>14</v>
      </c>
      <c r="F13" s="131"/>
      <c r="G13" s="132" t="s">
        <v>14</v>
      </c>
      <c r="H13" s="130"/>
      <c r="I13" s="133" t="s">
        <v>220</v>
      </c>
      <c r="K13" s="132" t="s">
        <v>14</v>
      </c>
      <c r="M13" s="132" t="s">
        <v>220</v>
      </c>
    </row>
    <row r="14" spans="1:13">
      <c r="A14" s="13">
        <v>1</v>
      </c>
      <c r="B14" s="13"/>
      <c r="C14" s="19" t="s">
        <v>21</v>
      </c>
      <c r="E14" s="21"/>
      <c r="F14" s="21"/>
      <c r="G14" s="21"/>
    </row>
    <row r="15" spans="1:13">
      <c r="A15" s="13">
        <v>2</v>
      </c>
      <c r="B15" s="13">
        <v>68021</v>
      </c>
      <c r="C15" s="22" t="s">
        <v>22</v>
      </c>
      <c r="D15" s="26"/>
      <c r="E15" s="135">
        <v>12.09</v>
      </c>
      <c r="F15" s="27"/>
      <c r="G15" s="135">
        <v>15.24</v>
      </c>
      <c r="I15" s="134">
        <f>G15/E15-1</f>
        <v>0.26054590570719616</v>
      </c>
      <c r="K15" s="135">
        <f>+'Sewer Rate Design'!I9</f>
        <v>25.47</v>
      </c>
      <c r="M15" s="134">
        <f>+K15/E15-1</f>
        <v>1.1066997518610422</v>
      </c>
    </row>
    <row r="16" spans="1:13">
      <c r="A16" s="13">
        <v>3</v>
      </c>
      <c r="B16" s="13"/>
      <c r="C16" s="4"/>
      <c r="D16" s="26"/>
      <c r="F16" s="27"/>
    </row>
    <row r="17" spans="1:13">
      <c r="A17" s="13">
        <v>4</v>
      </c>
      <c r="B17" s="13"/>
      <c r="C17" s="28" t="s">
        <v>23</v>
      </c>
      <c r="D17" s="26"/>
      <c r="E17" s="135">
        <v>5.57</v>
      </c>
      <c r="F17" s="27"/>
      <c r="G17" s="135">
        <v>7.02</v>
      </c>
      <c r="I17" s="134">
        <f>G17/E17-1</f>
        <v>0.26032315978456011</v>
      </c>
    </row>
    <row r="18" spans="1:13">
      <c r="A18" s="13"/>
      <c r="B18" s="13"/>
      <c r="C18" s="28" t="str">
        <f>+'Sewer Rate Design'!B52</f>
        <v>0-8k</v>
      </c>
      <c r="D18" s="26"/>
      <c r="E18" s="135"/>
      <c r="F18" s="27"/>
      <c r="G18" s="135"/>
      <c r="I18" s="134"/>
      <c r="K18" s="135">
        <f>+'Sewer Rate Design'!I52</f>
        <v>4.91</v>
      </c>
      <c r="M18" s="134">
        <f>+K18/E17-1</f>
        <v>-0.11849192100538597</v>
      </c>
    </row>
    <row r="19" spans="1:13">
      <c r="A19" s="13">
        <v>5</v>
      </c>
      <c r="B19" s="13"/>
      <c r="C19" s="28"/>
      <c r="D19" s="26"/>
      <c r="F19" s="27"/>
    </row>
    <row r="20" spans="1:13">
      <c r="A20" s="13">
        <v>6</v>
      </c>
      <c r="B20" s="13"/>
      <c r="C20" s="22" t="s">
        <v>59</v>
      </c>
      <c r="D20" s="26"/>
      <c r="E20" s="135">
        <v>22.03</v>
      </c>
      <c r="F20" s="27"/>
      <c r="G20" s="135">
        <v>27.77</v>
      </c>
      <c r="I20" s="134">
        <f>G20/E20-1</f>
        <v>0.26055379028597359</v>
      </c>
      <c r="K20" s="135">
        <f>+'Sewer Rate Design'!I24</f>
        <v>35.659999999999997</v>
      </c>
      <c r="M20" s="134">
        <f>+K20/E20-1</f>
        <v>0.61870177031320894</v>
      </c>
    </row>
    <row r="21" spans="1:13">
      <c r="A21" s="13">
        <v>7</v>
      </c>
      <c r="B21" s="13"/>
      <c r="C21" s="51"/>
      <c r="D21" s="26"/>
      <c r="F21" s="27"/>
    </row>
    <row r="22" spans="1:13">
      <c r="A22" s="13">
        <v>8</v>
      </c>
      <c r="C22" s="30" t="s">
        <v>24</v>
      </c>
      <c r="D22" s="32"/>
      <c r="F22" s="27"/>
    </row>
    <row r="23" spans="1:13">
      <c r="A23" s="13">
        <v>9</v>
      </c>
      <c r="B23" s="13">
        <v>68026</v>
      </c>
      <c r="C23" s="22" t="s">
        <v>25</v>
      </c>
      <c r="D23" s="26"/>
      <c r="E23" s="135">
        <v>12.09</v>
      </c>
      <c r="F23" s="27"/>
      <c r="G23" s="135">
        <v>15.24</v>
      </c>
      <c r="I23" s="134">
        <f t="shared" ref="I23:I37" si="0">G23/E23-1</f>
        <v>0.26054590570719616</v>
      </c>
      <c r="K23" s="135">
        <f>+'Sewer Rate Design'!I12</f>
        <v>25.47</v>
      </c>
      <c r="M23" s="134">
        <f t="shared" ref="M23:M30" si="1">+K23/E23-1</f>
        <v>1.1066997518610422</v>
      </c>
    </row>
    <row r="24" spans="1:13">
      <c r="A24" s="13">
        <v>10</v>
      </c>
      <c r="B24" s="13">
        <v>68027</v>
      </c>
      <c r="C24" s="22" t="s">
        <v>26</v>
      </c>
      <c r="D24" s="26"/>
      <c r="E24" s="135">
        <v>18.149999999999999</v>
      </c>
      <c r="F24" s="27"/>
      <c r="G24" s="135">
        <v>22.88</v>
      </c>
      <c r="I24" s="134">
        <f t="shared" si="0"/>
        <v>0.26060606060606073</v>
      </c>
      <c r="K24" s="135">
        <f>+'Sewer Rate Design'!I13</f>
        <v>38.21</v>
      </c>
      <c r="M24" s="134">
        <f t="shared" si="1"/>
        <v>1.1052341597796147</v>
      </c>
    </row>
    <row r="25" spans="1:13">
      <c r="A25" s="13">
        <v>11</v>
      </c>
      <c r="B25" s="13">
        <v>68028</v>
      </c>
      <c r="C25" s="22" t="s">
        <v>27</v>
      </c>
      <c r="D25" s="26"/>
      <c r="E25" s="135">
        <v>30.24</v>
      </c>
      <c r="F25" s="27"/>
      <c r="G25" s="135">
        <v>38.11</v>
      </c>
      <c r="I25" s="134">
        <f t="shared" si="0"/>
        <v>0.26025132275132279</v>
      </c>
      <c r="K25" s="135">
        <f>+'Sewer Rate Design'!I14</f>
        <v>63.68</v>
      </c>
      <c r="M25" s="134">
        <f t="shared" si="1"/>
        <v>1.105820105820106</v>
      </c>
    </row>
    <row r="26" spans="1:13">
      <c r="A26" s="13">
        <v>12</v>
      </c>
      <c r="B26" s="13">
        <v>68029</v>
      </c>
      <c r="C26" s="22" t="s">
        <v>28</v>
      </c>
      <c r="D26" s="26"/>
      <c r="E26" s="135">
        <v>60.47</v>
      </c>
      <c r="F26" s="33"/>
      <c r="G26" s="135">
        <v>76.22</v>
      </c>
      <c r="I26" s="134">
        <f t="shared" si="0"/>
        <v>0.26045973209856133</v>
      </c>
      <c r="K26" s="135">
        <f>+'Sewer Rate Design'!I15</f>
        <v>127.37</v>
      </c>
      <c r="M26" s="134">
        <f t="shared" si="1"/>
        <v>1.1063337191996032</v>
      </c>
    </row>
    <row r="27" spans="1:13">
      <c r="A27" s="13">
        <v>13</v>
      </c>
      <c r="B27" s="13">
        <v>68030</v>
      </c>
      <c r="C27" s="22" t="s">
        <v>29</v>
      </c>
      <c r="D27" s="26"/>
      <c r="E27" s="135">
        <v>96.76</v>
      </c>
      <c r="F27" s="26"/>
      <c r="G27" s="135">
        <v>121.96</v>
      </c>
      <c r="I27" s="134">
        <f t="shared" si="0"/>
        <v>0.2604381976023149</v>
      </c>
      <c r="K27" s="135">
        <f>+'Sewer Rate Design'!I16</f>
        <v>203.79</v>
      </c>
      <c r="M27" s="134">
        <f t="shared" si="1"/>
        <v>1.1061389003720543</v>
      </c>
    </row>
    <row r="28" spans="1:13">
      <c r="A28" s="13">
        <v>14</v>
      </c>
      <c r="B28" s="13">
        <v>68031</v>
      </c>
      <c r="C28" s="22" t="s">
        <v>30</v>
      </c>
      <c r="D28" s="26"/>
      <c r="E28" s="135">
        <v>193.54</v>
      </c>
      <c r="F28" s="27"/>
      <c r="G28" s="135">
        <v>243.95</v>
      </c>
      <c r="I28" s="134">
        <f t="shared" si="0"/>
        <v>0.2604629533946472</v>
      </c>
      <c r="K28" s="135">
        <f>+'Sewer Rate Design'!I17</f>
        <v>407.57</v>
      </c>
      <c r="M28" s="134">
        <f t="shared" si="1"/>
        <v>1.1058695876821329</v>
      </c>
    </row>
    <row r="29" spans="1:13">
      <c r="A29" s="13">
        <v>15</v>
      </c>
      <c r="B29" s="13">
        <v>68032</v>
      </c>
      <c r="C29" s="22" t="s">
        <v>31</v>
      </c>
      <c r="D29" s="32"/>
      <c r="E29" s="135">
        <v>302.39999999999998</v>
      </c>
      <c r="F29" s="27"/>
      <c r="G29" s="135">
        <v>381.14</v>
      </c>
      <c r="I29" s="134">
        <f t="shared" si="0"/>
        <v>0.26038359788359799</v>
      </c>
      <c r="K29" s="135">
        <f>+'Sewer Rate Design'!I18</f>
        <v>636.83000000000004</v>
      </c>
      <c r="M29" s="134">
        <f t="shared" si="1"/>
        <v>1.1059193121693123</v>
      </c>
    </row>
    <row r="30" spans="1:13">
      <c r="A30" s="13">
        <v>16</v>
      </c>
      <c r="B30" s="13">
        <v>68033</v>
      </c>
      <c r="C30" s="22" t="s">
        <v>32</v>
      </c>
      <c r="D30" s="32"/>
      <c r="E30" s="135">
        <v>604.79999999999995</v>
      </c>
      <c r="F30" s="27"/>
      <c r="G30" s="135">
        <v>762.29</v>
      </c>
      <c r="I30" s="134">
        <f t="shared" si="0"/>
        <v>0.26040013227513237</v>
      </c>
      <c r="K30" s="135">
        <f>+'Sewer Rate Design'!I19</f>
        <v>1273.6600000000001</v>
      </c>
      <c r="M30" s="134">
        <f t="shared" si="1"/>
        <v>1.1059193121693123</v>
      </c>
    </row>
    <row r="31" spans="1:13">
      <c r="A31" s="13">
        <v>17</v>
      </c>
      <c r="B31" s="13"/>
      <c r="C31" s="22"/>
      <c r="D31" s="26"/>
      <c r="F31" s="27"/>
      <c r="I31" s="134"/>
    </row>
    <row r="32" spans="1:13">
      <c r="A32" s="13">
        <v>18</v>
      </c>
      <c r="B32" s="13"/>
      <c r="C32" s="28" t="s">
        <v>24</v>
      </c>
      <c r="D32" s="32"/>
      <c r="E32" s="135">
        <v>6.68</v>
      </c>
      <c r="F32" s="27"/>
      <c r="G32" s="135">
        <v>8.42</v>
      </c>
      <c r="I32" s="134">
        <f t="shared" si="0"/>
        <v>0.26047904191616778</v>
      </c>
      <c r="K32" s="135">
        <f>+'Sewer Rate Design'!I55</f>
        <v>5.65</v>
      </c>
      <c r="M32" s="134">
        <f>+K32/E32-1</f>
        <v>-0.15419161676646698</v>
      </c>
    </row>
    <row r="33" spans="1:13">
      <c r="A33" s="13">
        <v>19</v>
      </c>
      <c r="B33" s="13"/>
      <c r="C33" s="4"/>
      <c r="D33" s="32"/>
      <c r="F33" s="27"/>
      <c r="I33" s="134"/>
    </row>
    <row r="34" spans="1:13" s="50" customFormat="1">
      <c r="A34" s="13">
        <v>20</v>
      </c>
      <c r="B34" s="45"/>
      <c r="C34" s="19" t="s">
        <v>60</v>
      </c>
      <c r="F34" s="53"/>
      <c r="I34" s="134"/>
    </row>
    <row r="35" spans="1:13">
      <c r="A35" s="13">
        <v>21</v>
      </c>
      <c r="B35" s="13"/>
      <c r="C35" s="22" t="s">
        <v>22</v>
      </c>
      <c r="E35" s="135">
        <v>405.84</v>
      </c>
      <c r="F35" s="21"/>
      <c r="G35" s="135">
        <v>514.65</v>
      </c>
      <c r="I35" s="134">
        <f t="shared" si="0"/>
        <v>0.26811058545239508</v>
      </c>
      <c r="K35" s="135">
        <f>+'Sewer Rate Design'!I22</f>
        <v>855.9</v>
      </c>
      <c r="M35" s="134">
        <f>+K35/E35-1</f>
        <v>1.1089591957421643</v>
      </c>
    </row>
    <row r="36" spans="1:13">
      <c r="A36" s="13">
        <v>22</v>
      </c>
      <c r="B36" s="13"/>
      <c r="C36" s="4"/>
      <c r="F36" s="21"/>
      <c r="I36" s="134"/>
    </row>
    <row r="37" spans="1:13">
      <c r="A37" s="13">
        <v>23</v>
      </c>
      <c r="B37" s="13"/>
      <c r="C37" s="55" t="s">
        <v>61</v>
      </c>
      <c r="E37" s="135">
        <v>5.35</v>
      </c>
      <c r="F37" s="21"/>
      <c r="G37" s="135">
        <v>6.74</v>
      </c>
      <c r="I37" s="134">
        <f t="shared" si="0"/>
        <v>0.25981308411214976</v>
      </c>
      <c r="K37" s="135">
        <f>+'Sewer Rate Design'!I58</f>
        <v>4.66</v>
      </c>
      <c r="M37" s="134">
        <f>+K37/E37-1</f>
        <v>-0.12897196261682231</v>
      </c>
    </row>
    <row r="38" spans="1:13">
      <c r="A38" s="37"/>
      <c r="B38" s="37"/>
      <c r="C38" s="38"/>
      <c r="D38" s="39"/>
      <c r="E38" s="40"/>
      <c r="F38" s="40"/>
      <c r="G38" s="40"/>
    </row>
    <row r="39" spans="1:13">
      <c r="A39" s="13"/>
      <c r="B39" s="13"/>
      <c r="E39" s="21"/>
      <c r="F39" s="21"/>
      <c r="G39" s="21"/>
    </row>
    <row r="40" spans="1:13">
      <c r="E40" s="21"/>
      <c r="F40" s="21"/>
      <c r="G40" s="21"/>
    </row>
    <row r="41" spans="1:13">
      <c r="F41" s="21"/>
      <c r="G41" s="21"/>
    </row>
    <row r="42" spans="1:13">
      <c r="E42" s="21"/>
      <c r="F42" s="21"/>
      <c r="G42" s="21"/>
    </row>
    <row r="43" spans="1:13">
      <c r="E43" s="21"/>
      <c r="F43" s="21"/>
      <c r="G43" s="21"/>
    </row>
    <row r="44" spans="1:13">
      <c r="E44" s="21"/>
      <c r="F44" s="21"/>
      <c r="G44" s="21"/>
    </row>
    <row r="45" spans="1:13">
      <c r="E45" s="21"/>
      <c r="F45" s="21"/>
      <c r="G45" s="21"/>
    </row>
    <row r="46" spans="1:13">
      <c r="E46" s="21"/>
      <c r="F46" s="21"/>
      <c r="G46" s="21"/>
    </row>
    <row r="47" spans="1:13">
      <c r="E47" s="21"/>
      <c r="F47" s="21"/>
      <c r="G47" s="21"/>
    </row>
    <row r="48" spans="1:13">
      <c r="E48" s="21"/>
      <c r="F48" s="21"/>
      <c r="G48" s="21"/>
    </row>
    <row r="49" spans="5:7">
      <c r="E49" s="21"/>
      <c r="F49" s="21"/>
      <c r="G49" s="21"/>
    </row>
    <row r="50" spans="5:7">
      <c r="E50" s="21"/>
      <c r="F50" s="21"/>
      <c r="G50" s="21"/>
    </row>
    <row r="51" spans="5:7">
      <c r="E51" s="21"/>
      <c r="F51" s="21"/>
      <c r="G51" s="21"/>
    </row>
    <row r="52" spans="5:7">
      <c r="E52" s="21"/>
      <c r="F52" s="21"/>
      <c r="G52" s="21"/>
    </row>
    <row r="53" spans="5:7">
      <c r="E53" s="21"/>
      <c r="F53" s="21"/>
      <c r="G53" s="21"/>
    </row>
    <row r="54" spans="5:7">
      <c r="E54" s="21"/>
      <c r="F54" s="21"/>
      <c r="G54" s="21"/>
    </row>
    <row r="55" spans="5:7">
      <c r="E55" s="21"/>
      <c r="F55" s="21"/>
      <c r="G55" s="21"/>
    </row>
    <row r="56" spans="5:7">
      <c r="E56" s="21"/>
      <c r="F56" s="21"/>
      <c r="G56" s="21"/>
    </row>
    <row r="94" spans="5:5">
      <c r="E94" s="42"/>
    </row>
    <row r="97" spans="5:5">
      <c r="E97" s="42"/>
    </row>
    <row r="220" spans="1:4">
      <c r="A220" s="43"/>
      <c r="B220" s="43"/>
      <c r="C220" s="44"/>
      <c r="D220" s="43"/>
    </row>
    <row r="221" spans="1:4">
      <c r="A221" s="43"/>
      <c r="B221" s="43"/>
      <c r="C221" s="44"/>
      <c r="D221" s="43"/>
    </row>
    <row r="222" spans="1:4">
      <c r="A222" s="43"/>
      <c r="B222" s="43"/>
      <c r="C222" s="44"/>
      <c r="D222" s="43"/>
    </row>
    <row r="223" spans="1:4">
      <c r="A223" s="43"/>
      <c r="B223" s="43"/>
      <c r="C223" s="44"/>
      <c r="D223" s="43"/>
    </row>
    <row r="224" spans="1:4">
      <c r="A224" s="43"/>
      <c r="B224" s="43"/>
      <c r="C224" s="44"/>
      <c r="D224" s="43"/>
    </row>
    <row r="254" spans="1:4">
      <c r="A254" s="43"/>
      <c r="B254" s="43"/>
      <c r="C254" s="44"/>
      <c r="D254" s="43"/>
    </row>
    <row r="323" spans="1:2">
      <c r="A323" s="1"/>
      <c r="B323" s="1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</sheetData>
  <pageMargins left="0.7" right="0.7" top="0.75" bottom="0.75" header="0.3" footer="0.3"/>
  <pageSetup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zoomScaleNormal="100" workbookViewId="0">
      <selection activeCell="G15" sqref="G15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2.7109375" style="4" customWidth="1"/>
    <col min="5" max="5" width="12.7109375" style="4" customWidth="1"/>
    <col min="6" max="6" width="2.7109375" style="4" customWidth="1"/>
    <col min="7" max="7" width="11.7109375" style="4" customWidth="1"/>
    <col min="8" max="8" width="1.7109375" style="4" customWidth="1"/>
    <col min="9" max="9" width="10.85546875" style="4"/>
    <col min="10" max="10" width="1.7109375" style="4" customWidth="1"/>
    <col min="11" max="11" width="10.85546875" style="4"/>
    <col min="12" max="12" width="1.7109375" style="4" customWidth="1"/>
    <col min="13" max="16384" width="10.85546875" style="4"/>
  </cols>
  <sheetData>
    <row r="1" spans="1:13">
      <c r="A1" s="1" t="s">
        <v>0</v>
      </c>
      <c r="B1" s="1"/>
      <c r="C1" s="2"/>
      <c r="D1" s="1"/>
      <c r="E1" s="1"/>
      <c r="F1" s="1"/>
      <c r="G1" s="1"/>
    </row>
    <row r="2" spans="1:13">
      <c r="A2" s="1"/>
      <c r="B2" s="1"/>
      <c r="C2" s="2"/>
      <c r="D2" s="1"/>
      <c r="E2" s="1"/>
      <c r="F2" s="1"/>
      <c r="G2" s="1"/>
    </row>
    <row r="3" spans="1:13">
      <c r="A3" s="1" t="s">
        <v>62</v>
      </c>
      <c r="B3" s="1"/>
      <c r="C3" s="2"/>
      <c r="D3" s="1"/>
      <c r="E3" s="1"/>
      <c r="F3" s="1"/>
      <c r="G3" s="1"/>
    </row>
    <row r="4" spans="1:13">
      <c r="A4" s="1" t="s">
        <v>34</v>
      </c>
      <c r="B4" s="1"/>
      <c r="C4" s="2"/>
      <c r="D4" s="1"/>
      <c r="E4" s="1"/>
      <c r="F4" s="1"/>
      <c r="G4" s="1"/>
    </row>
    <row r="5" spans="1:13">
      <c r="A5" s="1" t="s">
        <v>35</v>
      </c>
      <c r="B5" s="1"/>
      <c r="C5" s="2"/>
      <c r="D5" s="1"/>
      <c r="E5" s="1"/>
      <c r="F5" s="1"/>
      <c r="G5" s="1"/>
    </row>
    <row r="6" spans="1:13">
      <c r="A6" s="1" t="s">
        <v>6</v>
      </c>
      <c r="B6" s="1"/>
      <c r="C6" s="2"/>
      <c r="D6" s="1"/>
      <c r="E6" s="1"/>
      <c r="F6" s="1"/>
      <c r="G6" s="1"/>
    </row>
    <row r="7" spans="1:13">
      <c r="A7" s="1" t="s">
        <v>7</v>
      </c>
      <c r="B7" s="1"/>
      <c r="C7" s="2"/>
      <c r="D7" s="1"/>
      <c r="E7" s="1"/>
      <c r="F7" s="1"/>
      <c r="G7" s="1"/>
    </row>
    <row r="8" spans="1:13">
      <c r="A8" s="6" t="s">
        <v>8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M9" s="7"/>
    </row>
    <row r="10" spans="1:13">
      <c r="A10" s="9"/>
      <c r="B10" s="10" t="s">
        <v>9</v>
      </c>
      <c r="C10" s="11"/>
      <c r="D10" s="12"/>
      <c r="E10" s="11"/>
      <c r="G10" s="11"/>
      <c r="H10" s="11"/>
      <c r="I10" s="11"/>
      <c r="J10" s="11"/>
      <c r="K10" s="11"/>
      <c r="M10" s="11"/>
    </row>
    <row r="11" spans="1:13">
      <c r="C11" s="2"/>
      <c r="D11" s="46"/>
      <c r="F11" s="13"/>
      <c r="G11" s="13"/>
      <c r="H11" s="13"/>
      <c r="I11" s="13" t="s">
        <v>216</v>
      </c>
      <c r="K11" s="13" t="s">
        <v>217</v>
      </c>
      <c r="M11" s="13" t="s">
        <v>216</v>
      </c>
    </row>
    <row r="12" spans="1:13">
      <c r="A12" s="13" t="s">
        <v>12</v>
      </c>
      <c r="C12" s="2"/>
      <c r="D12" s="46"/>
      <c r="E12" s="13" t="s">
        <v>11</v>
      </c>
      <c r="F12" s="13"/>
      <c r="G12" s="13" t="s">
        <v>15</v>
      </c>
      <c r="H12" s="13"/>
      <c r="I12" s="13" t="s">
        <v>218</v>
      </c>
      <c r="K12" s="13" t="s">
        <v>219</v>
      </c>
      <c r="M12" s="13" t="s">
        <v>218</v>
      </c>
    </row>
    <row r="13" spans="1:13">
      <c r="A13" s="14" t="s">
        <v>16</v>
      </c>
      <c r="B13" s="15" t="s">
        <v>17</v>
      </c>
      <c r="C13" s="16" t="s">
        <v>18</v>
      </c>
      <c r="D13" s="48"/>
      <c r="E13" s="129" t="s">
        <v>14</v>
      </c>
      <c r="F13" s="131"/>
      <c r="G13" s="132" t="s">
        <v>14</v>
      </c>
      <c r="H13" s="130"/>
      <c r="I13" s="133" t="s">
        <v>220</v>
      </c>
      <c r="K13" s="132" t="s">
        <v>14</v>
      </c>
      <c r="M13" s="132" t="s">
        <v>220</v>
      </c>
    </row>
    <row r="14" spans="1:13">
      <c r="A14" s="13">
        <v>1</v>
      </c>
      <c r="B14" s="13"/>
      <c r="C14" s="19" t="s">
        <v>21</v>
      </c>
    </row>
    <row r="15" spans="1:13">
      <c r="A15" s="13">
        <v>2</v>
      </c>
      <c r="B15" s="13">
        <v>68050</v>
      </c>
      <c r="C15" s="22" t="s">
        <v>42</v>
      </c>
      <c r="D15" s="26"/>
      <c r="E15" s="135">
        <v>37.26</v>
      </c>
      <c r="F15" s="26"/>
      <c r="G15" s="135">
        <v>38.85</v>
      </c>
      <c r="I15" s="134">
        <f>+G15/E15-1</f>
        <v>4.2673107890499384E-2</v>
      </c>
      <c r="K15" s="135">
        <f>+'Sewer Rate Design'!I24</f>
        <v>35.659999999999997</v>
      </c>
      <c r="M15" s="134">
        <f>+K15/E15-1</f>
        <v>-4.2941492216854615E-2</v>
      </c>
    </row>
    <row r="16" spans="1:13">
      <c r="A16" s="13">
        <v>3</v>
      </c>
      <c r="B16" s="13"/>
      <c r="C16" s="22"/>
      <c r="D16" s="26"/>
      <c r="F16" s="26"/>
    </row>
    <row r="17" spans="1:13">
      <c r="A17" s="13">
        <v>4</v>
      </c>
      <c r="B17" s="13"/>
      <c r="C17" s="22"/>
      <c r="D17" s="32"/>
      <c r="F17" s="32"/>
    </row>
    <row r="18" spans="1:13">
      <c r="A18" s="13">
        <v>5</v>
      </c>
      <c r="B18" s="13"/>
      <c r="C18" s="22" t="s">
        <v>45</v>
      </c>
      <c r="D18" s="26"/>
      <c r="F18" s="26"/>
    </row>
    <row r="19" spans="1:13">
      <c r="A19" s="13">
        <v>6</v>
      </c>
      <c r="B19" s="13">
        <v>68026</v>
      </c>
      <c r="C19" s="4" t="s">
        <v>46</v>
      </c>
      <c r="D19" s="26"/>
      <c r="E19" s="135">
        <v>16.14</v>
      </c>
      <c r="F19" s="26"/>
      <c r="G19" s="135">
        <v>16.829999999999998</v>
      </c>
      <c r="I19" s="134">
        <f t="shared" ref="I19:I24" si="0">+G19/E19-1</f>
        <v>4.2750929368029489E-2</v>
      </c>
      <c r="K19" s="135">
        <f>+'Sewer Rate Design'!I12</f>
        <v>25.47</v>
      </c>
      <c r="M19" s="134">
        <f t="shared" ref="M19:M24" si="1">+K19/E19-1</f>
        <v>0.57806691449814118</v>
      </c>
    </row>
    <row r="20" spans="1:13">
      <c r="A20" s="13"/>
      <c r="B20" s="13"/>
      <c r="C20" s="4" t="s">
        <v>115</v>
      </c>
      <c r="D20" s="26"/>
      <c r="E20" s="135"/>
      <c r="F20" s="26"/>
      <c r="G20" s="135"/>
      <c r="I20" s="134"/>
      <c r="K20" s="135">
        <f>+'Sewer Rate Design'!I13</f>
        <v>38.21</v>
      </c>
      <c r="M20" s="134"/>
    </row>
    <row r="21" spans="1:13">
      <c r="A21" s="13">
        <v>7</v>
      </c>
      <c r="B21" s="13">
        <v>68027</v>
      </c>
      <c r="C21" s="4" t="s">
        <v>47</v>
      </c>
      <c r="D21" s="26"/>
      <c r="E21" s="135">
        <v>40.31</v>
      </c>
      <c r="F21" s="26"/>
      <c r="G21" s="135">
        <v>42.03</v>
      </c>
      <c r="I21" s="134">
        <f t="shared" si="0"/>
        <v>4.2669312825601491E-2</v>
      </c>
      <c r="K21" s="135">
        <f>+'Sewer Rate Design'!I14</f>
        <v>63.68</v>
      </c>
      <c r="M21" s="134">
        <f t="shared" si="1"/>
        <v>0.57975688414785398</v>
      </c>
    </row>
    <row r="22" spans="1:13">
      <c r="A22" s="13">
        <v>8</v>
      </c>
      <c r="B22" s="13">
        <v>68028</v>
      </c>
      <c r="C22" s="4" t="s">
        <v>48</v>
      </c>
      <c r="D22" s="26"/>
      <c r="E22" s="135">
        <v>80.62</v>
      </c>
      <c r="F22" s="26"/>
      <c r="G22" s="135">
        <v>84.06</v>
      </c>
      <c r="I22" s="134">
        <f t="shared" si="0"/>
        <v>4.2669312825601491E-2</v>
      </c>
      <c r="K22" s="135">
        <f>+'Sewer Rate Design'!I15</f>
        <v>127.37</v>
      </c>
      <c r="M22" s="134">
        <f t="shared" si="1"/>
        <v>0.57988092284792847</v>
      </c>
    </row>
    <row r="23" spans="1:13">
      <c r="A23" s="13">
        <v>9</v>
      </c>
      <c r="B23" s="13">
        <v>68029</v>
      </c>
      <c r="C23" s="4" t="s">
        <v>49</v>
      </c>
      <c r="D23" s="26"/>
      <c r="E23" s="135">
        <v>128.53</v>
      </c>
      <c r="F23" s="26"/>
      <c r="G23" s="135">
        <v>134.02000000000001</v>
      </c>
      <c r="I23" s="134">
        <f t="shared" si="0"/>
        <v>4.2713763323737775E-2</v>
      </c>
      <c r="K23" s="135">
        <f>+'Sewer Rate Design'!I16</f>
        <v>203.79</v>
      </c>
      <c r="M23" s="134">
        <f t="shared" si="1"/>
        <v>0.58554423091885166</v>
      </c>
    </row>
    <row r="24" spans="1:13">
      <c r="A24" s="13">
        <v>10</v>
      </c>
      <c r="B24" s="13">
        <v>68030</v>
      </c>
      <c r="C24" s="4" t="s">
        <v>50</v>
      </c>
      <c r="D24" s="26"/>
      <c r="E24" s="135">
        <v>257.97000000000003</v>
      </c>
      <c r="F24" s="26"/>
      <c r="G24" s="135">
        <v>268.99</v>
      </c>
      <c r="I24" s="134">
        <f t="shared" si="0"/>
        <v>4.2718145520797002E-2</v>
      </c>
      <c r="K24" s="135">
        <f>+'Sewer Rate Design'!I17</f>
        <v>407.57</v>
      </c>
      <c r="M24" s="134">
        <f t="shared" si="1"/>
        <v>0.57991239291390451</v>
      </c>
    </row>
    <row r="25" spans="1:13">
      <c r="A25" s="13">
        <v>13</v>
      </c>
      <c r="B25" s="13">
        <v>68033</v>
      </c>
      <c r="C25" s="22"/>
      <c r="D25" s="26"/>
      <c r="E25" s="135"/>
      <c r="F25" s="26"/>
      <c r="G25" s="135"/>
      <c r="K25" s="135"/>
    </row>
    <row r="26" spans="1:13">
      <c r="A26" s="13">
        <v>14</v>
      </c>
      <c r="B26" s="13"/>
      <c r="C26" s="22"/>
      <c r="D26" s="26"/>
      <c r="F26" s="26"/>
    </row>
    <row r="27" spans="1:13">
      <c r="A27" s="13">
        <v>15</v>
      </c>
      <c r="B27" s="13"/>
      <c r="C27" s="22" t="s">
        <v>43</v>
      </c>
      <c r="D27" s="26"/>
      <c r="E27" s="135">
        <v>3.01</v>
      </c>
      <c r="F27" s="26"/>
      <c r="G27" s="135">
        <v>3.14</v>
      </c>
      <c r="I27" s="134">
        <f>+G27/E27-1</f>
        <v>4.3189368770764291E-2</v>
      </c>
      <c r="K27" s="135">
        <f>+'Sewer Rate Design'!I55</f>
        <v>5.65</v>
      </c>
      <c r="M27" s="134">
        <f>+K27/E27-1</f>
        <v>0.87707641196013308</v>
      </c>
    </row>
    <row r="28" spans="1:13">
      <c r="A28" s="13"/>
      <c r="B28" s="13"/>
      <c r="C28" s="22"/>
      <c r="D28" s="26"/>
      <c r="E28" s="26"/>
      <c r="F28" s="26"/>
      <c r="G28" s="27"/>
    </row>
    <row r="29" spans="1:13">
      <c r="A29" s="13"/>
      <c r="B29" s="13"/>
      <c r="C29" s="22"/>
      <c r="D29" s="26"/>
      <c r="E29" s="26"/>
      <c r="F29" s="26"/>
      <c r="G29" s="27"/>
    </row>
    <row r="30" spans="1:13">
      <c r="A30" s="13"/>
      <c r="B30" s="13"/>
      <c r="C30" s="22"/>
      <c r="D30" s="26"/>
      <c r="E30" s="26"/>
      <c r="F30" s="26"/>
      <c r="G30" s="27"/>
    </row>
    <row r="31" spans="1:13" s="50" customFormat="1">
      <c r="A31" s="13"/>
      <c r="B31" s="13"/>
      <c r="C31" s="22"/>
      <c r="D31" s="49"/>
      <c r="E31" s="49"/>
      <c r="F31" s="49"/>
      <c r="G31" s="33"/>
      <c r="H31" s="4"/>
    </row>
    <row r="32" spans="1:13">
      <c r="A32" s="13"/>
      <c r="B32" s="13"/>
      <c r="C32" s="22"/>
      <c r="D32" s="49"/>
      <c r="E32" s="49"/>
      <c r="F32" s="49"/>
      <c r="G32" s="27"/>
    </row>
    <row r="33" spans="1:7">
      <c r="A33" s="13"/>
      <c r="B33" s="13"/>
      <c r="C33" s="22"/>
      <c r="D33" s="49"/>
      <c r="E33" s="49"/>
      <c r="F33" s="49"/>
      <c r="G33" s="27"/>
    </row>
    <row r="34" spans="1:7">
      <c r="A34" s="13"/>
      <c r="B34" s="13"/>
      <c r="C34" s="51"/>
      <c r="D34" s="49"/>
      <c r="E34" s="49"/>
      <c r="F34" s="49"/>
      <c r="G34" s="27"/>
    </row>
    <row r="35" spans="1:7">
      <c r="A35" s="13"/>
      <c r="B35" s="13"/>
      <c r="C35" s="28"/>
      <c r="D35" s="49"/>
      <c r="E35" s="49"/>
      <c r="F35" s="49"/>
      <c r="G35" s="27"/>
    </row>
    <row r="36" spans="1:7">
      <c r="A36" s="13"/>
      <c r="B36" s="13"/>
      <c r="C36" s="4"/>
      <c r="D36" s="49"/>
      <c r="E36" s="49"/>
      <c r="F36" s="49"/>
      <c r="G36" s="27"/>
    </row>
    <row r="37" spans="1:7">
      <c r="A37" s="13"/>
      <c r="C37" s="30"/>
      <c r="D37" s="32"/>
      <c r="E37" s="32"/>
      <c r="F37" s="32"/>
      <c r="G37" s="27"/>
    </row>
    <row r="38" spans="1:7">
      <c r="A38" s="13"/>
      <c r="B38" s="13"/>
      <c r="C38" s="22"/>
      <c r="D38" s="26"/>
      <c r="E38" s="26"/>
      <c r="F38" s="26"/>
      <c r="G38" s="26"/>
    </row>
    <row r="39" spans="1:7">
      <c r="A39" s="13"/>
      <c r="B39" s="13"/>
      <c r="C39" s="22"/>
      <c r="D39" s="26"/>
      <c r="E39" s="26"/>
      <c r="F39" s="26"/>
      <c r="G39" s="33"/>
    </row>
    <row r="40" spans="1:7">
      <c r="A40" s="13"/>
      <c r="B40" s="13"/>
      <c r="C40" s="22"/>
      <c r="D40" s="26"/>
      <c r="E40" s="26"/>
      <c r="F40" s="26"/>
      <c r="G40" s="26"/>
    </row>
    <row r="41" spans="1:7">
      <c r="A41" s="13"/>
      <c r="B41" s="13"/>
      <c r="C41" s="22"/>
      <c r="D41" s="26"/>
      <c r="E41" s="26"/>
      <c r="F41" s="26"/>
      <c r="G41" s="26"/>
    </row>
    <row r="42" spans="1:7">
      <c r="A42" s="13"/>
      <c r="B42" s="13"/>
      <c r="C42" s="22"/>
      <c r="D42" s="26"/>
      <c r="E42" s="26"/>
      <c r="F42" s="26"/>
      <c r="G42" s="27"/>
    </row>
    <row r="43" spans="1:7">
      <c r="A43" s="13"/>
      <c r="B43" s="13"/>
      <c r="C43" s="22"/>
      <c r="D43" s="26"/>
      <c r="E43" s="26"/>
      <c r="F43" s="26"/>
      <c r="G43" s="27"/>
    </row>
    <row r="44" spans="1:7">
      <c r="A44" s="13"/>
      <c r="B44" s="13"/>
      <c r="C44" s="22"/>
      <c r="D44" s="32"/>
      <c r="E44" s="32"/>
      <c r="F44" s="32"/>
      <c r="G44" s="33"/>
    </row>
    <row r="45" spans="1:7">
      <c r="A45" s="13"/>
      <c r="B45" s="13"/>
      <c r="C45" s="22"/>
      <c r="D45" s="32"/>
      <c r="E45" s="32"/>
      <c r="F45" s="32"/>
      <c r="G45" s="27"/>
    </row>
    <row r="46" spans="1:7">
      <c r="A46" s="13"/>
      <c r="B46" s="13"/>
      <c r="C46" s="22"/>
      <c r="D46" s="32"/>
      <c r="E46" s="32"/>
      <c r="F46" s="32"/>
      <c r="G46" s="27"/>
    </row>
    <row r="47" spans="1:7">
      <c r="A47" s="13"/>
      <c r="B47" s="13"/>
      <c r="C47" s="22"/>
      <c r="D47" s="49"/>
      <c r="E47" s="49"/>
      <c r="F47" s="49"/>
      <c r="G47" s="27"/>
    </row>
    <row r="48" spans="1:7">
      <c r="A48" s="13"/>
      <c r="B48" s="13"/>
      <c r="C48" s="22"/>
      <c r="D48" s="26"/>
      <c r="E48" s="26"/>
      <c r="F48" s="26"/>
      <c r="G48" s="27"/>
    </row>
    <row r="49" spans="1:8">
      <c r="A49" s="13"/>
      <c r="B49" s="13"/>
      <c r="C49" s="28"/>
      <c r="D49" s="32"/>
      <c r="E49" s="32"/>
      <c r="F49" s="32"/>
      <c r="G49" s="27"/>
    </row>
    <row r="50" spans="1:8">
      <c r="A50" s="13"/>
      <c r="B50" s="13"/>
      <c r="C50" s="4"/>
      <c r="D50" s="32"/>
      <c r="E50" s="32"/>
      <c r="F50" s="32"/>
      <c r="G50" s="27"/>
    </row>
    <row r="51" spans="1:8">
      <c r="A51" s="45"/>
      <c r="B51" s="45"/>
      <c r="C51" s="30"/>
      <c r="D51" s="52"/>
      <c r="E51" s="52"/>
      <c r="F51" s="52"/>
      <c r="G51" s="36"/>
      <c r="H51" s="50"/>
    </row>
    <row r="52" spans="1:8">
      <c r="A52" s="45"/>
      <c r="B52" s="45"/>
      <c r="C52" s="22"/>
      <c r="D52" s="52"/>
      <c r="E52" s="52"/>
      <c r="F52" s="52"/>
      <c r="G52" s="36"/>
      <c r="H52" s="50"/>
    </row>
    <row r="53" spans="1:8">
      <c r="A53" s="45"/>
      <c r="B53" s="45"/>
      <c r="C53" s="28"/>
      <c r="D53" s="52"/>
      <c r="E53" s="52"/>
      <c r="F53" s="52"/>
      <c r="G53" s="36"/>
      <c r="H53" s="50"/>
    </row>
    <row r="54" spans="1:8">
      <c r="A54" s="45"/>
      <c r="B54" s="45"/>
      <c r="C54" s="50"/>
      <c r="D54" s="50"/>
      <c r="E54" s="50"/>
      <c r="F54" s="50"/>
      <c r="G54" s="50"/>
      <c r="H54" s="50"/>
    </row>
    <row r="55" spans="1:8">
      <c r="A55" s="13"/>
      <c r="B55" s="13"/>
      <c r="C55" s="4"/>
    </row>
    <row r="56" spans="1:8">
      <c r="A56" s="13"/>
      <c r="B56" s="13"/>
      <c r="C56" s="4"/>
    </row>
    <row r="57" spans="1:8">
      <c r="A57" s="13"/>
      <c r="B57" s="13"/>
    </row>
    <row r="58" spans="1:8">
      <c r="A58" s="37"/>
      <c r="B58" s="37"/>
      <c r="C58" s="38"/>
      <c r="D58" s="39"/>
      <c r="E58" s="39"/>
      <c r="F58" s="39"/>
      <c r="G58" s="39"/>
    </row>
    <row r="59" spans="1:8">
      <c r="A59" s="13"/>
      <c r="B59" s="13"/>
    </row>
    <row r="240" spans="1:7">
      <c r="A240" s="43"/>
      <c r="B240" s="43"/>
      <c r="C240" s="44"/>
      <c r="D240" s="43"/>
      <c r="E240" s="43"/>
      <c r="F240" s="43"/>
      <c r="G240" s="43"/>
    </row>
    <row r="241" spans="1:7">
      <c r="A241" s="43"/>
      <c r="B241" s="43"/>
      <c r="C241" s="44"/>
      <c r="D241" s="43"/>
      <c r="E241" s="43"/>
      <c r="F241" s="43"/>
      <c r="G241" s="43"/>
    </row>
    <row r="242" spans="1:7">
      <c r="A242" s="43"/>
      <c r="B242" s="43"/>
      <c r="C242" s="44"/>
      <c r="D242" s="43"/>
      <c r="E242" s="43"/>
      <c r="F242" s="43"/>
      <c r="G242" s="43"/>
    </row>
    <row r="243" spans="1:7">
      <c r="A243" s="43"/>
      <c r="B243" s="43"/>
      <c r="C243" s="44"/>
      <c r="D243" s="43"/>
      <c r="E243" s="43"/>
      <c r="F243" s="43"/>
      <c r="G243" s="43"/>
    </row>
    <row r="244" spans="1:7">
      <c r="A244" s="43"/>
      <c r="B244" s="43"/>
      <c r="C244" s="44"/>
      <c r="D244" s="43"/>
      <c r="E244" s="43"/>
      <c r="F244" s="43"/>
      <c r="G244" s="43"/>
    </row>
    <row r="274" spans="1:7">
      <c r="A274" s="43"/>
      <c r="B274" s="43"/>
      <c r="C274" s="44"/>
      <c r="D274" s="43"/>
      <c r="E274" s="43"/>
      <c r="F274" s="43"/>
      <c r="G274" s="43"/>
    </row>
    <row r="343" spans="1:2">
      <c r="A343" s="1"/>
      <c r="B343" s="1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</sheetData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9"/>
  <sheetViews>
    <sheetView topLeftCell="A10" zoomScaleNormal="100" workbookViewId="0">
      <selection activeCell="R37" sqref="R37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hidden="1" customWidth="1"/>
    <col min="8" max="8" width="11.7109375" style="4" hidden="1" customWidth="1"/>
    <col min="9" max="9" width="2.7109375" style="4" customWidth="1"/>
    <col min="10" max="10" width="11.7109375" style="4" customWidth="1"/>
    <col min="11" max="11" width="2.7109375" style="4" customWidth="1"/>
    <col min="12" max="12" width="11.7109375" style="4" customWidth="1"/>
    <col min="13" max="13" width="1.7109375" style="4" customWidth="1"/>
    <col min="14" max="14" width="10.85546875" style="4"/>
    <col min="15" max="15" width="1.7109375" style="4" customWidth="1"/>
    <col min="16" max="16" width="10.85546875" style="4"/>
    <col min="17" max="17" width="1.7109375" style="4" customWidth="1"/>
    <col min="18" max="16384" width="10.85546875" style="4"/>
  </cols>
  <sheetData>
    <row r="1" spans="1:21">
      <c r="A1" s="1" t="s">
        <v>0</v>
      </c>
      <c r="B1" s="1"/>
      <c r="C1" s="2"/>
      <c r="D1" s="1"/>
      <c r="E1" s="1"/>
      <c r="F1" s="1"/>
      <c r="G1" s="1"/>
      <c r="H1" s="1"/>
      <c r="I1" s="1"/>
      <c r="J1" s="3" t="s">
        <v>1</v>
      </c>
      <c r="L1" s="3"/>
    </row>
    <row r="2" spans="1:21">
      <c r="A2" s="1"/>
      <c r="B2" s="1"/>
      <c r="C2" s="2"/>
      <c r="D2" s="1"/>
      <c r="E2" s="1"/>
      <c r="F2" s="1"/>
      <c r="G2" s="1"/>
      <c r="H2" s="1"/>
      <c r="I2" s="1"/>
      <c r="J2" s="3"/>
      <c r="L2" s="3"/>
    </row>
    <row r="3" spans="1:21">
      <c r="A3" s="1" t="s">
        <v>146</v>
      </c>
      <c r="B3" s="1"/>
      <c r="C3" s="2"/>
      <c r="D3" s="1"/>
      <c r="E3" s="1"/>
      <c r="F3" s="1"/>
      <c r="G3" s="1"/>
      <c r="H3" s="1"/>
      <c r="I3" s="1"/>
      <c r="J3" s="3" t="s">
        <v>2</v>
      </c>
      <c r="L3" s="3"/>
    </row>
    <row r="4" spans="1:21">
      <c r="A4" s="1" t="s">
        <v>34</v>
      </c>
      <c r="B4" s="1"/>
      <c r="C4" s="2"/>
      <c r="D4" s="1"/>
      <c r="E4" s="1"/>
      <c r="F4" s="1"/>
      <c r="G4" s="1"/>
      <c r="H4" s="1"/>
      <c r="I4" s="1"/>
      <c r="J4" s="5" t="s">
        <v>3</v>
      </c>
      <c r="L4" s="3"/>
    </row>
    <row r="5" spans="1:21">
      <c r="A5" s="1" t="s">
        <v>4</v>
      </c>
      <c r="B5" s="1"/>
      <c r="C5" s="2"/>
      <c r="D5" s="1"/>
      <c r="E5" s="1"/>
      <c r="F5" s="1"/>
      <c r="G5" s="1"/>
      <c r="H5" s="1"/>
      <c r="I5" s="1"/>
      <c r="J5" s="3" t="s">
        <v>5</v>
      </c>
      <c r="L5" s="3"/>
    </row>
    <row r="6" spans="1:21">
      <c r="A6" s="1" t="s">
        <v>6</v>
      </c>
      <c r="B6" s="1"/>
      <c r="C6" s="2"/>
      <c r="D6" s="1"/>
      <c r="E6" s="1"/>
      <c r="F6" s="1"/>
      <c r="G6" s="1"/>
      <c r="H6" s="1"/>
      <c r="I6" s="1"/>
      <c r="J6" s="3"/>
      <c r="K6" s="3"/>
      <c r="L6" s="3"/>
    </row>
    <row r="7" spans="1:21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21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</row>
    <row r="9" spans="1:21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R9" s="7"/>
    </row>
    <row r="10" spans="1:21">
      <c r="A10" s="9"/>
      <c r="B10" s="10" t="s">
        <v>9</v>
      </c>
      <c r="C10" s="11"/>
      <c r="D10" s="12">
        <v>-2</v>
      </c>
      <c r="E10" s="12"/>
      <c r="F10" s="12">
        <v>-3</v>
      </c>
      <c r="G10" s="12"/>
      <c r="H10" s="12">
        <v>-4</v>
      </c>
      <c r="I10" s="13"/>
      <c r="J10" s="11"/>
      <c r="L10" s="11"/>
      <c r="M10" s="11"/>
      <c r="N10" s="11"/>
      <c r="O10" s="11"/>
      <c r="P10" s="11"/>
      <c r="R10" s="11"/>
    </row>
    <row r="11" spans="1:21">
      <c r="C11" s="2"/>
      <c r="D11" s="13" t="s">
        <v>10</v>
      </c>
      <c r="E11" s="1"/>
      <c r="F11" s="13" t="s">
        <v>10</v>
      </c>
      <c r="G11" s="1"/>
      <c r="H11" s="13" t="s">
        <v>10</v>
      </c>
      <c r="I11" s="1"/>
      <c r="K11" s="13"/>
      <c r="L11" s="13"/>
      <c r="M11" s="13"/>
      <c r="N11" s="13" t="s">
        <v>216</v>
      </c>
      <c r="P11" s="13" t="s">
        <v>217</v>
      </c>
      <c r="R11" s="13" t="s">
        <v>216</v>
      </c>
    </row>
    <row r="12" spans="1:21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13</v>
      </c>
      <c r="I12" s="1"/>
      <c r="J12" s="13" t="s">
        <v>11</v>
      </c>
      <c r="K12" s="13"/>
      <c r="L12" s="13" t="s">
        <v>15</v>
      </c>
      <c r="M12" s="13"/>
      <c r="N12" s="13" t="s">
        <v>218</v>
      </c>
      <c r="P12" s="13" t="s">
        <v>219</v>
      </c>
      <c r="R12" s="13" t="s">
        <v>218</v>
      </c>
    </row>
    <row r="13" spans="1:21">
      <c r="A13" s="14" t="s">
        <v>16</v>
      </c>
      <c r="B13" s="15" t="s">
        <v>17</v>
      </c>
      <c r="C13" s="16" t="s">
        <v>18</v>
      </c>
      <c r="D13" s="17" t="s">
        <v>63</v>
      </c>
      <c r="E13" s="57"/>
      <c r="F13" s="17" t="s">
        <v>64</v>
      </c>
      <c r="G13" s="57"/>
      <c r="H13" s="17" t="s">
        <v>65</v>
      </c>
      <c r="I13" s="17"/>
      <c r="J13" s="129" t="s">
        <v>14</v>
      </c>
      <c r="K13" s="131"/>
      <c r="L13" s="132" t="s">
        <v>14</v>
      </c>
      <c r="M13" s="130"/>
      <c r="N13" s="133" t="s">
        <v>220</v>
      </c>
      <c r="P13" s="132" t="s">
        <v>14</v>
      </c>
      <c r="R13" s="132" t="s">
        <v>220</v>
      </c>
    </row>
    <row r="14" spans="1:21">
      <c r="A14" s="13">
        <v>1</v>
      </c>
      <c r="B14" s="13"/>
      <c r="C14" s="19" t="s">
        <v>21</v>
      </c>
      <c r="D14" s="20"/>
      <c r="E14" s="20"/>
      <c r="F14" s="20"/>
      <c r="G14" s="20"/>
      <c r="H14" s="20"/>
      <c r="J14" s="21"/>
      <c r="K14" s="21"/>
      <c r="L14" s="21"/>
    </row>
    <row r="15" spans="1:21">
      <c r="A15" s="13">
        <v>2</v>
      </c>
      <c r="B15" s="13">
        <v>68021</v>
      </c>
      <c r="C15" s="22" t="s">
        <v>22</v>
      </c>
      <c r="D15" s="23">
        <v>23.25</v>
      </c>
      <c r="E15" s="24"/>
      <c r="F15" s="23">
        <v>23.45</v>
      </c>
      <c r="G15" s="24"/>
      <c r="H15" s="23">
        <v>23.19</v>
      </c>
      <c r="I15" s="26"/>
      <c r="J15" s="135">
        <v>23.27</v>
      </c>
      <c r="K15" s="27"/>
      <c r="L15" s="135">
        <v>28.75</v>
      </c>
      <c r="N15" s="134">
        <f>+L15/J15-1</f>
        <v>0.23549634722819079</v>
      </c>
      <c r="P15" s="135">
        <f>+'Sewer Rate Design'!I9</f>
        <v>25.47</v>
      </c>
      <c r="R15" s="134">
        <f>P15/J15-1</f>
        <v>9.454232917920069E-2</v>
      </c>
      <c r="U15" s="161">
        <f>482425/2305689</f>
        <v>0.20923246803883785</v>
      </c>
    </row>
    <row r="16" spans="1:21">
      <c r="A16" s="13">
        <v>3</v>
      </c>
      <c r="B16" s="13"/>
      <c r="C16" s="4"/>
      <c r="D16" s="26"/>
      <c r="E16" s="24"/>
      <c r="F16" s="26"/>
      <c r="G16" s="24"/>
      <c r="H16" s="29"/>
      <c r="I16" s="26"/>
      <c r="K16" s="27"/>
    </row>
    <row r="17" spans="1:18">
      <c r="A17" s="13">
        <v>4</v>
      </c>
      <c r="B17" s="13"/>
      <c r="C17" s="28" t="s">
        <v>55</v>
      </c>
      <c r="D17" s="23">
        <v>4.2300000000000004</v>
      </c>
      <c r="E17" s="24"/>
      <c r="F17" s="23">
        <v>4.2699999999999996</v>
      </c>
      <c r="G17" s="24"/>
      <c r="H17" s="25">
        <v>4.22</v>
      </c>
      <c r="I17" s="26"/>
      <c r="J17" s="135">
        <v>4.2300000000000004</v>
      </c>
      <c r="K17" s="27"/>
      <c r="L17" s="135">
        <v>5.23</v>
      </c>
      <c r="N17" s="134">
        <f>+L17/J17-1</f>
        <v>0.23640661938534269</v>
      </c>
    </row>
    <row r="18" spans="1:18">
      <c r="A18" s="13">
        <v>5</v>
      </c>
      <c r="B18" s="13"/>
      <c r="C18" s="28" t="str">
        <f>+'Sewer Rate Design'!B52</f>
        <v>0-8k</v>
      </c>
      <c r="D18" s="29"/>
      <c r="E18" s="24"/>
      <c r="F18" s="29"/>
      <c r="G18" s="24"/>
      <c r="H18" s="29"/>
      <c r="I18" s="26"/>
      <c r="J18" s="135"/>
      <c r="K18" s="27"/>
      <c r="L18" s="135"/>
      <c r="P18" s="135">
        <f>+'Sewer Rate Design'!I52</f>
        <v>4.91</v>
      </c>
      <c r="R18" s="134">
        <f>+P18/L17-1</f>
        <v>-6.1185468451242842E-2</v>
      </c>
    </row>
    <row r="19" spans="1:18">
      <c r="A19" s="13"/>
      <c r="B19" s="13"/>
      <c r="C19" s="28"/>
      <c r="D19" s="29"/>
      <c r="E19" s="24"/>
      <c r="F19" s="29"/>
      <c r="G19" s="24"/>
      <c r="H19" s="29"/>
      <c r="I19" s="26"/>
      <c r="J19" s="135"/>
      <c r="K19" s="27"/>
      <c r="L19" s="135"/>
      <c r="P19" s="135"/>
      <c r="R19" s="134"/>
    </row>
    <row r="20" spans="1:18">
      <c r="A20" s="13">
        <v>8</v>
      </c>
      <c r="C20" s="30" t="s">
        <v>24</v>
      </c>
      <c r="D20" s="31"/>
      <c r="E20" s="31"/>
      <c r="F20" s="31"/>
      <c r="G20" s="31"/>
      <c r="H20" s="29"/>
      <c r="I20" s="32"/>
      <c r="K20" s="27"/>
    </row>
    <row r="21" spans="1:18">
      <c r="A21" s="13">
        <v>9</v>
      </c>
      <c r="B21" s="13">
        <v>68026</v>
      </c>
      <c r="C21" s="58" t="s">
        <v>66</v>
      </c>
      <c r="D21" s="23">
        <v>23.25</v>
      </c>
      <c r="E21" s="24"/>
      <c r="F21" s="23">
        <v>23.45</v>
      </c>
      <c r="G21" s="24"/>
      <c r="H21" s="23">
        <v>23.19</v>
      </c>
      <c r="I21" s="26"/>
      <c r="J21" s="135">
        <v>23.27</v>
      </c>
      <c r="K21" s="27"/>
      <c r="L21" s="135">
        <v>28.75</v>
      </c>
      <c r="N21" s="134">
        <f>+L21/J21-1</f>
        <v>0.23549634722819079</v>
      </c>
      <c r="P21" s="135">
        <f>+'Sewer Rate Design'!I12</f>
        <v>25.47</v>
      </c>
      <c r="R21" s="134">
        <f t="shared" ref="R21:R32" si="0">P21/J21-1</f>
        <v>9.454232917920069E-2</v>
      </c>
    </row>
    <row r="22" spans="1:18">
      <c r="A22" s="13"/>
      <c r="B22" s="13"/>
      <c r="C22" s="58" t="s">
        <v>115</v>
      </c>
      <c r="D22" s="23"/>
      <c r="E22" s="24"/>
      <c r="F22" s="23"/>
      <c r="G22" s="24"/>
      <c r="H22" s="23"/>
      <c r="I22" s="26"/>
      <c r="J22" s="135">
        <v>23.27</v>
      </c>
      <c r="K22" s="27"/>
      <c r="L22" s="135">
        <v>28.75</v>
      </c>
      <c r="N22" s="134">
        <f>+L22/J22-1</f>
        <v>0.23549634722819079</v>
      </c>
      <c r="P22" s="135">
        <f>+'Sewer Rate Design'!I13</f>
        <v>38.21</v>
      </c>
      <c r="R22" s="134"/>
    </row>
    <row r="23" spans="1:18">
      <c r="A23" s="13">
        <v>10</v>
      </c>
      <c r="B23" s="13">
        <v>68027</v>
      </c>
      <c r="C23" s="59" t="s">
        <v>67</v>
      </c>
      <c r="D23" s="23">
        <v>58.15</v>
      </c>
      <c r="E23" s="24"/>
      <c r="F23" s="23">
        <v>58.66</v>
      </c>
      <c r="G23" s="24"/>
      <c r="H23" s="34">
        <v>58.01</v>
      </c>
      <c r="I23" s="26"/>
      <c r="J23" s="135">
        <v>58.21</v>
      </c>
      <c r="K23" s="27"/>
      <c r="L23" s="135">
        <v>71.91</v>
      </c>
      <c r="N23" s="134">
        <f t="shared" ref="N23:N37" si="1">+L23/J23-1</f>
        <v>0.23535475004294781</v>
      </c>
      <c r="P23" s="135">
        <f>+'Sewer Rate Design'!I14</f>
        <v>63.68</v>
      </c>
      <c r="R23" s="134">
        <f t="shared" si="0"/>
        <v>9.3970108228826676E-2</v>
      </c>
    </row>
    <row r="24" spans="1:18">
      <c r="A24" s="13">
        <v>11</v>
      </c>
      <c r="B24" s="13">
        <v>68028</v>
      </c>
      <c r="C24" s="59" t="s">
        <v>68</v>
      </c>
      <c r="D24" s="23">
        <v>116.29</v>
      </c>
      <c r="E24" s="24"/>
      <c r="F24" s="23">
        <v>117.3</v>
      </c>
      <c r="G24" s="24"/>
      <c r="H24" s="23">
        <v>116</v>
      </c>
      <c r="I24" s="26"/>
      <c r="J24" s="135">
        <v>116.4</v>
      </c>
      <c r="K24" s="27"/>
      <c r="L24" s="135">
        <v>143.79</v>
      </c>
      <c r="N24" s="134">
        <f t="shared" si="1"/>
        <v>0.23530927835051529</v>
      </c>
      <c r="P24" s="135">
        <f>+'Sewer Rate Design'!I15</f>
        <v>127.37</v>
      </c>
      <c r="R24" s="134">
        <f t="shared" si="0"/>
        <v>9.424398625429542E-2</v>
      </c>
    </row>
    <row r="25" spans="1:18">
      <c r="A25" s="13">
        <v>12</v>
      </c>
      <c r="B25" s="13">
        <v>68029</v>
      </c>
      <c r="C25" s="59" t="s">
        <v>69</v>
      </c>
      <c r="D25" s="23">
        <v>186.09</v>
      </c>
      <c r="E25" s="24"/>
      <c r="F25" s="23">
        <v>187.71</v>
      </c>
      <c r="G25" s="24"/>
      <c r="H25" s="23">
        <v>185.62</v>
      </c>
      <c r="I25" s="26"/>
      <c r="J25" s="135">
        <v>186.25</v>
      </c>
      <c r="K25" s="33"/>
      <c r="L25" s="135">
        <v>230.07</v>
      </c>
      <c r="N25" s="134">
        <f t="shared" si="1"/>
        <v>0.23527516778523494</v>
      </c>
      <c r="P25" s="135">
        <f>+'Sewer Rate Design'!I16</f>
        <v>203.79</v>
      </c>
      <c r="R25" s="134">
        <f t="shared" si="0"/>
        <v>9.4174496644295225E-2</v>
      </c>
    </row>
    <row r="26" spans="1:18">
      <c r="A26" s="13">
        <v>13</v>
      </c>
      <c r="B26" s="13">
        <v>68030</v>
      </c>
      <c r="C26" s="59" t="s">
        <v>70</v>
      </c>
      <c r="D26" s="23">
        <v>372.16</v>
      </c>
      <c r="E26" s="24"/>
      <c r="F26" s="23">
        <v>375.4</v>
      </c>
      <c r="G26" s="24"/>
      <c r="H26" s="25">
        <v>371.23</v>
      </c>
      <c r="I26" s="26"/>
      <c r="J26" s="135">
        <v>372.5</v>
      </c>
      <c r="K26" s="26"/>
      <c r="L26" s="135">
        <v>460.15</v>
      </c>
      <c r="N26" s="134">
        <f t="shared" si="1"/>
        <v>0.23530201342281876</v>
      </c>
      <c r="P26" s="135">
        <f>+'Sewer Rate Design'!I17</f>
        <v>407.57</v>
      </c>
      <c r="R26" s="134">
        <f t="shared" si="0"/>
        <v>9.4147651006711408E-2</v>
      </c>
    </row>
    <row r="27" spans="1:18">
      <c r="A27" s="13">
        <v>14</v>
      </c>
      <c r="B27" s="13">
        <v>68031</v>
      </c>
      <c r="C27" s="59" t="s">
        <v>71</v>
      </c>
      <c r="D27" s="23">
        <v>581.51</v>
      </c>
      <c r="E27" s="24"/>
      <c r="F27" s="23">
        <v>586.57000000000005</v>
      </c>
      <c r="G27" s="24"/>
      <c r="H27" s="25">
        <v>580.04999999999995</v>
      </c>
      <c r="I27" s="26"/>
      <c r="J27" s="135">
        <v>582.03</v>
      </c>
      <c r="K27" s="27"/>
      <c r="L27" s="135">
        <v>718.98</v>
      </c>
      <c r="N27" s="134">
        <f t="shared" si="1"/>
        <v>0.23529714963146242</v>
      </c>
      <c r="P27" s="135">
        <f>+'Sewer Rate Design'!I18</f>
        <v>636.83000000000004</v>
      </c>
      <c r="R27" s="134">
        <f t="shared" si="0"/>
        <v>9.4153222342491016E-2</v>
      </c>
    </row>
    <row r="28" spans="1:18">
      <c r="A28" s="13">
        <v>15</v>
      </c>
      <c r="B28" s="13">
        <v>68032</v>
      </c>
      <c r="C28" s="59" t="s">
        <v>72</v>
      </c>
      <c r="D28" s="23">
        <v>1163.04</v>
      </c>
      <c r="E28" s="31"/>
      <c r="F28" s="23">
        <v>1173.1600000000001</v>
      </c>
      <c r="G28" s="31"/>
      <c r="H28" s="34">
        <v>1160.1199999999999</v>
      </c>
      <c r="I28" s="32"/>
      <c r="J28" s="135">
        <v>1164.08</v>
      </c>
      <c r="K28" s="27"/>
      <c r="L28" s="135">
        <v>1437.99</v>
      </c>
      <c r="N28" s="134">
        <f t="shared" si="1"/>
        <v>0.23530169747783658</v>
      </c>
      <c r="P28" s="135">
        <f>+'Sewer Rate Design'!I19</f>
        <v>1273.6600000000001</v>
      </c>
      <c r="R28" s="134">
        <f t="shared" si="0"/>
        <v>9.4134423750945162E-2</v>
      </c>
    </row>
    <row r="29" spans="1:18">
      <c r="A29" s="13">
        <v>16</v>
      </c>
      <c r="B29" s="13">
        <v>68033</v>
      </c>
      <c r="C29" s="58" t="s">
        <v>73</v>
      </c>
      <c r="D29" s="35">
        <v>2093.4499999999998</v>
      </c>
      <c r="E29" s="31"/>
      <c r="F29" s="35">
        <v>2111.66</v>
      </c>
      <c r="G29" s="31"/>
      <c r="H29" s="25">
        <v>2088.19</v>
      </c>
      <c r="I29" s="32"/>
      <c r="J29" s="135">
        <v>2095.3200000000002</v>
      </c>
      <c r="K29" s="27"/>
      <c r="L29" s="135">
        <v>2588.35</v>
      </c>
      <c r="N29" s="134">
        <f t="shared" si="1"/>
        <v>0.23530057461390141</v>
      </c>
      <c r="P29" s="135">
        <f>+'Sewer Rate Design'!I20</f>
        <v>2037.86</v>
      </c>
      <c r="R29" s="134">
        <f t="shared" si="0"/>
        <v>-2.7423018918351527E-2</v>
      </c>
    </row>
    <row r="30" spans="1:18">
      <c r="A30" s="13">
        <v>17</v>
      </c>
      <c r="B30" s="13"/>
      <c r="C30" s="58" t="s">
        <v>74</v>
      </c>
      <c r="D30" s="35">
        <v>3372.81</v>
      </c>
      <c r="E30" s="31"/>
      <c r="F30" s="35">
        <v>3402.15</v>
      </c>
      <c r="G30" s="31"/>
      <c r="H30" s="25">
        <v>3364.34</v>
      </c>
      <c r="I30" s="32"/>
      <c r="J30" s="135">
        <v>3373.83</v>
      </c>
      <c r="K30" s="27"/>
      <c r="L30" s="135">
        <v>4167.6899999999996</v>
      </c>
      <c r="N30" s="134">
        <f t="shared" si="1"/>
        <v>0.23529934821849352</v>
      </c>
      <c r="P30" s="135">
        <f>+'Sewer Rate Design'!I21</f>
        <v>3693.62</v>
      </c>
      <c r="R30" s="134">
        <f t="shared" si="0"/>
        <v>9.478545154912954E-2</v>
      </c>
    </row>
    <row r="31" spans="1:18">
      <c r="A31" s="13">
        <v>18</v>
      </c>
      <c r="B31" s="13"/>
      <c r="C31" s="58"/>
      <c r="D31" s="26"/>
      <c r="E31" s="24"/>
      <c r="F31" s="26"/>
      <c r="G31" s="24"/>
      <c r="H31" s="27"/>
      <c r="I31" s="26"/>
      <c r="K31" s="27"/>
      <c r="N31" s="134"/>
    </row>
    <row r="32" spans="1:18">
      <c r="A32" s="13">
        <v>19</v>
      </c>
      <c r="B32" s="13"/>
      <c r="C32" s="55" t="s">
        <v>61</v>
      </c>
      <c r="D32" s="35">
        <v>5.0999999999999996</v>
      </c>
      <c r="E32" s="31"/>
      <c r="F32" s="35">
        <v>5.14</v>
      </c>
      <c r="G32" s="31"/>
      <c r="H32" s="25">
        <v>5.08</v>
      </c>
      <c r="I32" s="32"/>
      <c r="J32" s="135">
        <v>5.0999999999999996</v>
      </c>
      <c r="K32" s="27"/>
      <c r="L32" s="135">
        <v>6.3</v>
      </c>
      <c r="N32" s="134">
        <f t="shared" si="1"/>
        <v>0.23529411764705888</v>
      </c>
      <c r="P32" s="135">
        <f>+'Sewer Rate Design'!I55</f>
        <v>5.65</v>
      </c>
      <c r="R32" s="134">
        <f t="shared" si="0"/>
        <v>0.10784313725490202</v>
      </c>
    </row>
    <row r="33" spans="1:18">
      <c r="A33" s="13">
        <v>20</v>
      </c>
      <c r="B33" s="37"/>
      <c r="C33" s="38"/>
      <c r="D33" s="39"/>
      <c r="E33" s="39"/>
      <c r="F33" s="39"/>
      <c r="G33" s="39"/>
      <c r="H33" s="39"/>
      <c r="I33" s="39"/>
      <c r="K33" s="40"/>
      <c r="N33" s="134"/>
    </row>
    <row r="34" spans="1:18">
      <c r="A34" s="13">
        <v>21</v>
      </c>
      <c r="B34" s="13"/>
      <c r="C34" s="19" t="s">
        <v>75</v>
      </c>
      <c r="K34" s="21"/>
      <c r="N34" s="134"/>
    </row>
    <row r="35" spans="1:18">
      <c r="A35" s="13">
        <v>22</v>
      </c>
      <c r="C35" s="22" t="s">
        <v>76</v>
      </c>
      <c r="D35" s="25">
        <v>7.37</v>
      </c>
      <c r="F35" s="25">
        <v>7.43</v>
      </c>
      <c r="H35" s="25">
        <v>7.35</v>
      </c>
      <c r="J35" s="135">
        <v>7.38</v>
      </c>
      <c r="K35" s="21"/>
      <c r="L35" s="135">
        <v>9.1199999999999992</v>
      </c>
      <c r="N35" s="134">
        <f t="shared" si="1"/>
        <v>0.23577235772357708</v>
      </c>
      <c r="P35" s="135">
        <f>+'Sewer Rate Design'!I23</f>
        <v>7.64</v>
      </c>
      <c r="R35" s="134">
        <f t="shared" ref="R35" si="2">P35/J35-1</f>
        <v>3.5230352303523116E-2</v>
      </c>
    </row>
    <row r="36" spans="1:18">
      <c r="A36" s="13">
        <v>23</v>
      </c>
      <c r="K36" s="21"/>
      <c r="N36" s="134"/>
    </row>
    <row r="37" spans="1:18">
      <c r="A37" s="13">
        <v>24</v>
      </c>
      <c r="C37" s="55" t="s">
        <v>61</v>
      </c>
      <c r="D37" s="25">
        <v>1.1000000000000001</v>
      </c>
      <c r="F37" s="25">
        <v>1.1100000000000001</v>
      </c>
      <c r="H37" s="25">
        <v>1.1000000000000001</v>
      </c>
      <c r="J37" s="135">
        <v>1.1000000000000001</v>
      </c>
      <c r="K37" s="21"/>
      <c r="L37" s="135">
        <v>1.36</v>
      </c>
      <c r="N37" s="134">
        <f t="shared" si="1"/>
        <v>0.23636363636363633</v>
      </c>
      <c r="P37" s="135">
        <f>+'Sewer Rate Design'!I60</f>
        <v>1.45</v>
      </c>
      <c r="R37" s="134">
        <f t="shared" ref="R37" si="3">P37/J37-1</f>
        <v>0.31818181818181812</v>
      </c>
    </row>
    <row r="38" spans="1:18">
      <c r="J38" s="21"/>
      <c r="K38" s="21"/>
      <c r="L38" s="21"/>
    </row>
    <row r="39" spans="1:18">
      <c r="J39" s="21"/>
      <c r="K39" s="21"/>
      <c r="L39" s="21"/>
    </row>
    <row r="40" spans="1:18">
      <c r="J40" s="21"/>
      <c r="K40" s="21"/>
      <c r="L40" s="21"/>
    </row>
    <row r="41" spans="1:18">
      <c r="J41" s="21"/>
      <c r="K41" s="21"/>
      <c r="L41" s="21"/>
    </row>
    <row r="42" spans="1:18">
      <c r="J42" s="21"/>
      <c r="K42" s="21"/>
      <c r="L42" s="21"/>
    </row>
    <row r="43" spans="1:18">
      <c r="J43" s="21"/>
      <c r="K43" s="21"/>
      <c r="L43" s="21"/>
    </row>
    <row r="44" spans="1:18">
      <c r="J44" s="21"/>
      <c r="K44" s="21"/>
      <c r="L44" s="21"/>
    </row>
    <row r="45" spans="1:18">
      <c r="J45" s="21"/>
      <c r="K45" s="21"/>
      <c r="L45" s="21"/>
    </row>
    <row r="46" spans="1:18">
      <c r="J46" s="21"/>
      <c r="K46" s="21"/>
      <c r="L46" s="21"/>
    </row>
    <row r="47" spans="1:18">
      <c r="J47" s="21"/>
      <c r="K47" s="21"/>
      <c r="L47" s="21"/>
    </row>
    <row r="48" spans="1:18">
      <c r="J48" s="21"/>
      <c r="K48" s="21"/>
      <c r="L48" s="21"/>
    </row>
    <row r="49" spans="10:12">
      <c r="J49" s="21"/>
      <c r="K49" s="21"/>
      <c r="L49" s="21"/>
    </row>
    <row r="50" spans="10:12">
      <c r="J50" s="21"/>
      <c r="K50" s="21"/>
      <c r="L50" s="21"/>
    </row>
    <row r="51" spans="10:12">
      <c r="J51" s="21"/>
      <c r="K51" s="21"/>
      <c r="L51" s="21"/>
    </row>
    <row r="89" spans="10:10">
      <c r="J89" s="42"/>
    </row>
    <row r="92" spans="10:10">
      <c r="J92" s="42"/>
    </row>
    <row r="215" spans="1:9">
      <c r="A215" s="43"/>
      <c r="B215" s="43"/>
      <c r="C215" s="44"/>
      <c r="D215" s="43"/>
      <c r="E215" s="43"/>
      <c r="F215" s="43"/>
      <c r="G215" s="43"/>
      <c r="H215" s="43"/>
      <c r="I215" s="43"/>
    </row>
    <row r="216" spans="1:9">
      <c r="A216" s="43"/>
      <c r="B216" s="43"/>
      <c r="C216" s="44"/>
      <c r="D216" s="43"/>
      <c r="E216" s="43"/>
      <c r="F216" s="43"/>
      <c r="G216" s="43"/>
      <c r="H216" s="43"/>
      <c r="I216" s="43"/>
    </row>
    <row r="217" spans="1:9">
      <c r="A217" s="43"/>
      <c r="B217" s="43"/>
      <c r="C217" s="44"/>
      <c r="D217" s="43"/>
      <c r="E217" s="43"/>
      <c r="F217" s="43"/>
      <c r="G217" s="43"/>
      <c r="H217" s="43"/>
      <c r="I217" s="43"/>
    </row>
    <row r="218" spans="1:9">
      <c r="A218" s="43"/>
      <c r="B218" s="43"/>
      <c r="C218" s="44"/>
      <c r="D218" s="43"/>
      <c r="E218" s="43"/>
      <c r="F218" s="43"/>
      <c r="G218" s="43"/>
      <c r="H218" s="43"/>
      <c r="I218" s="43"/>
    </row>
    <row r="219" spans="1:9">
      <c r="A219" s="43"/>
      <c r="B219" s="43"/>
      <c r="C219" s="44"/>
      <c r="D219" s="43"/>
      <c r="E219" s="43"/>
      <c r="F219" s="43"/>
      <c r="G219" s="43"/>
      <c r="H219" s="43"/>
      <c r="I219" s="43"/>
    </row>
    <row r="249" spans="1:9">
      <c r="A249" s="43"/>
      <c r="B249" s="43"/>
      <c r="C249" s="44"/>
      <c r="D249" s="43"/>
      <c r="E249" s="43"/>
      <c r="F249" s="43"/>
      <c r="G249" s="43"/>
      <c r="H249" s="43"/>
      <c r="I249" s="43"/>
    </row>
    <row r="318" spans="1:2">
      <c r="A318" s="1"/>
      <c r="B318" s="1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</sheetData>
  <pageMargins left="0.7" right="0.7" top="0.75" bottom="0.75" header="0.3" footer="0.3"/>
  <pageSetup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04"/>
  <sheetViews>
    <sheetView zoomScaleNormal="100" workbookViewId="0">
      <selection activeCell="G18" sqref="G18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2.7109375" style="4" customWidth="1"/>
    <col min="5" max="5" width="11.7109375" style="4" customWidth="1"/>
    <col min="6" max="6" width="2.7109375" style="4" customWidth="1"/>
    <col min="7" max="7" width="11.7109375" style="4" customWidth="1"/>
    <col min="8" max="8" width="1.7109375" style="4" customWidth="1"/>
    <col min="9" max="9" width="10.85546875" style="4"/>
    <col min="10" max="10" width="1.7109375" style="4" customWidth="1"/>
    <col min="11" max="11" width="10.85546875" style="4"/>
    <col min="12" max="12" width="1.7109375" style="4" customWidth="1"/>
    <col min="13" max="16384" width="10.85546875" style="4"/>
  </cols>
  <sheetData>
    <row r="1" spans="1:13">
      <c r="A1" s="1" t="s">
        <v>0</v>
      </c>
      <c r="B1" s="1"/>
      <c r="C1" s="2"/>
      <c r="D1" s="1"/>
      <c r="E1" s="1" t="s">
        <v>1</v>
      </c>
      <c r="F1" s="1"/>
      <c r="G1" s="1"/>
    </row>
    <row r="2" spans="1:13">
      <c r="A2" s="1"/>
      <c r="B2" s="1"/>
      <c r="C2" s="2"/>
      <c r="D2" s="1"/>
      <c r="E2" s="1"/>
      <c r="F2" s="1"/>
      <c r="G2" s="1"/>
    </row>
    <row r="3" spans="1:13">
      <c r="A3" s="1" t="s">
        <v>77</v>
      </c>
      <c r="B3" s="1"/>
      <c r="C3" s="2"/>
      <c r="D3" s="1"/>
      <c r="E3" s="1"/>
      <c r="F3" s="1"/>
      <c r="G3" s="1"/>
    </row>
    <row r="4" spans="1:13">
      <c r="A4" s="1" t="s">
        <v>34</v>
      </c>
      <c r="B4" s="1"/>
      <c r="C4" s="2"/>
      <c r="D4" s="1"/>
      <c r="E4" s="1"/>
      <c r="F4" s="1"/>
      <c r="G4" s="1"/>
    </row>
    <row r="5" spans="1:13">
      <c r="A5" s="1" t="s">
        <v>35</v>
      </c>
      <c r="B5" s="1"/>
      <c r="C5" s="2"/>
      <c r="D5" s="1"/>
      <c r="E5" s="1"/>
      <c r="F5" s="1"/>
      <c r="G5" s="1"/>
    </row>
    <row r="6" spans="1:13">
      <c r="A6" s="1" t="s">
        <v>6</v>
      </c>
      <c r="B6" s="1"/>
      <c r="C6" s="2"/>
      <c r="D6" s="1"/>
      <c r="E6" s="1"/>
      <c r="F6" s="1"/>
      <c r="G6" s="1"/>
    </row>
    <row r="7" spans="1:13">
      <c r="A7" s="1" t="s">
        <v>7</v>
      </c>
      <c r="B7" s="1"/>
      <c r="C7" s="2"/>
      <c r="D7" s="1"/>
      <c r="E7" s="1"/>
      <c r="F7" s="1"/>
      <c r="G7" s="1"/>
    </row>
    <row r="8" spans="1:13">
      <c r="A8" s="6" t="s">
        <v>8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M9" s="7"/>
    </row>
    <row r="10" spans="1:13">
      <c r="A10" s="9"/>
      <c r="B10" s="10" t="s">
        <v>9</v>
      </c>
      <c r="C10" s="11"/>
      <c r="D10" s="13"/>
      <c r="E10" s="11"/>
      <c r="G10" s="11"/>
      <c r="H10" s="11"/>
      <c r="I10" s="11"/>
      <c r="J10" s="11"/>
      <c r="K10" s="11"/>
      <c r="M10" s="11"/>
    </row>
    <row r="11" spans="1:13">
      <c r="C11" s="2"/>
      <c r="D11" s="46"/>
      <c r="F11" s="13"/>
      <c r="G11" s="13"/>
      <c r="H11" s="13"/>
      <c r="I11" s="13" t="s">
        <v>216</v>
      </c>
      <c r="K11" s="13" t="s">
        <v>217</v>
      </c>
      <c r="M11" s="13" t="s">
        <v>216</v>
      </c>
    </row>
    <row r="12" spans="1:13">
      <c r="A12" s="13" t="s">
        <v>12</v>
      </c>
      <c r="C12" s="2"/>
      <c r="D12" s="46"/>
      <c r="E12" s="13" t="s">
        <v>11</v>
      </c>
      <c r="F12" s="13"/>
      <c r="G12" s="13" t="s">
        <v>15</v>
      </c>
      <c r="H12" s="13"/>
      <c r="I12" s="13" t="s">
        <v>218</v>
      </c>
      <c r="K12" s="13" t="s">
        <v>219</v>
      </c>
      <c r="M12" s="13" t="s">
        <v>218</v>
      </c>
    </row>
    <row r="13" spans="1:13">
      <c r="A13" s="14" t="s">
        <v>16</v>
      </c>
      <c r="B13" s="15" t="s">
        <v>17</v>
      </c>
      <c r="C13" s="16" t="s">
        <v>18</v>
      </c>
      <c r="D13" s="48"/>
      <c r="E13" s="129" t="s">
        <v>14</v>
      </c>
      <c r="F13" s="131"/>
      <c r="G13" s="132" t="s">
        <v>14</v>
      </c>
      <c r="H13" s="130"/>
      <c r="I13" s="133" t="s">
        <v>220</v>
      </c>
      <c r="K13" s="132" t="s">
        <v>14</v>
      </c>
      <c r="M13" s="132" t="s">
        <v>220</v>
      </c>
    </row>
    <row r="14" spans="1:13">
      <c r="A14" s="13">
        <v>1</v>
      </c>
      <c r="B14" s="13"/>
      <c r="C14" s="139" t="s">
        <v>78</v>
      </c>
    </row>
    <row r="15" spans="1:13">
      <c r="A15" s="13">
        <v>2</v>
      </c>
      <c r="B15" s="13">
        <v>68021</v>
      </c>
      <c r="C15" s="22" t="s">
        <v>22</v>
      </c>
      <c r="D15" s="26"/>
      <c r="E15" s="135">
        <v>32.479999999999997</v>
      </c>
      <c r="F15" s="26"/>
      <c r="G15" s="135">
        <v>41.06</v>
      </c>
      <c r="I15" s="134">
        <f>+G15/E15-1</f>
        <v>0.26416256157635498</v>
      </c>
      <c r="K15" s="141">
        <f>+'Sewer Rate Design'!I29</f>
        <v>50.95</v>
      </c>
      <c r="M15" s="134">
        <f>+K15/E15-1</f>
        <v>0.56865763546798043</v>
      </c>
    </row>
    <row r="16" spans="1:13">
      <c r="A16" s="13">
        <v>3</v>
      </c>
      <c r="B16" s="13"/>
      <c r="C16" s="22"/>
      <c r="D16" s="26"/>
      <c r="F16" s="26"/>
    </row>
    <row r="17" spans="1:13">
      <c r="A17" s="13">
        <v>4</v>
      </c>
      <c r="B17" s="13"/>
      <c r="C17" s="22" t="s">
        <v>43</v>
      </c>
      <c r="D17" s="32"/>
      <c r="F17" s="32"/>
    </row>
    <row r="18" spans="1:13">
      <c r="A18" s="13">
        <v>5</v>
      </c>
      <c r="B18" s="13"/>
      <c r="C18" s="22" t="s">
        <v>79</v>
      </c>
      <c r="D18" s="26"/>
      <c r="E18" s="135">
        <v>3.33</v>
      </c>
      <c r="F18" s="26"/>
      <c r="G18" s="135">
        <v>4.21</v>
      </c>
      <c r="I18" s="134">
        <f>+G18/E18-1</f>
        <v>0.2642642642642643</v>
      </c>
    </row>
    <row r="19" spans="1:13">
      <c r="A19" s="13"/>
      <c r="B19" s="13"/>
      <c r="C19" s="22" t="str">
        <f>+'Sewer Rate Design'!B53</f>
        <v>0-16k</v>
      </c>
      <c r="D19" s="26"/>
      <c r="E19" s="135"/>
      <c r="F19" s="26"/>
      <c r="G19" s="135"/>
      <c r="K19" s="135">
        <f>+'Sewer Rate Design'!I53</f>
        <v>4.91</v>
      </c>
      <c r="M19" s="134">
        <f>+K19/E18-1</f>
        <v>0.47447447447447444</v>
      </c>
    </row>
    <row r="20" spans="1:13">
      <c r="A20" s="13">
        <v>6</v>
      </c>
      <c r="B20" s="13"/>
      <c r="C20" s="22"/>
      <c r="D20" s="26"/>
      <c r="F20" s="26"/>
    </row>
    <row r="21" spans="1:13">
      <c r="A21" s="13">
        <v>7</v>
      </c>
      <c r="B21" s="13"/>
      <c r="C21" s="22" t="s">
        <v>80</v>
      </c>
      <c r="D21" s="26"/>
      <c r="F21" s="26"/>
    </row>
    <row r="22" spans="1:13">
      <c r="A22" s="13">
        <v>8</v>
      </c>
      <c r="B22" s="13"/>
      <c r="C22" s="28" t="s">
        <v>81</v>
      </c>
      <c r="D22" s="26"/>
      <c r="E22" s="135">
        <v>63.84</v>
      </c>
      <c r="F22" s="26"/>
      <c r="G22" s="135">
        <v>80.7</v>
      </c>
      <c r="I22" s="134">
        <f>+G22/E22-1</f>
        <v>0.26409774436090228</v>
      </c>
      <c r="K22" s="135">
        <f>+'Sewer Rate Design'!I24</f>
        <v>35.659999999999997</v>
      </c>
      <c r="M22" s="134">
        <f>+K22/E22-1</f>
        <v>-0.44141604010025071</v>
      </c>
    </row>
    <row r="23" spans="1:13">
      <c r="A23" s="13">
        <v>9</v>
      </c>
      <c r="B23" s="13"/>
      <c r="C23" s="51"/>
      <c r="D23" s="26"/>
      <c r="F23" s="26"/>
    </row>
    <row r="24" spans="1:13">
      <c r="A24" s="13">
        <v>10</v>
      </c>
      <c r="B24" s="13"/>
      <c r="C24" s="28" t="s">
        <v>82</v>
      </c>
      <c r="D24" s="49"/>
      <c r="F24" s="49"/>
    </row>
    <row r="25" spans="1:13">
      <c r="A25" s="13">
        <v>11</v>
      </c>
      <c r="B25" s="13">
        <v>68026</v>
      </c>
      <c r="C25" s="4" t="s">
        <v>46</v>
      </c>
      <c r="D25" s="49"/>
      <c r="E25" s="135">
        <v>32.479999999999997</v>
      </c>
      <c r="F25" s="49"/>
      <c r="G25" s="135">
        <v>41.06</v>
      </c>
      <c r="I25" s="134">
        <f t="shared" ref="I25:I35" si="0">+G25/E25-1</f>
        <v>0.26416256157635498</v>
      </c>
      <c r="K25" s="135">
        <f>+'Sewer Rate Design'!I32</f>
        <v>50.95</v>
      </c>
      <c r="M25" s="134">
        <f>+K25/E25-1</f>
        <v>0.56865763546798043</v>
      </c>
    </row>
    <row r="26" spans="1:13">
      <c r="A26" s="13"/>
      <c r="B26" s="13"/>
      <c r="C26" s="140" t="s">
        <v>115</v>
      </c>
      <c r="D26" s="49"/>
      <c r="E26" s="135"/>
      <c r="F26" s="49"/>
      <c r="G26" s="135"/>
      <c r="I26" s="134"/>
      <c r="K26" s="135">
        <f>+'Sewer Rate Design'!I33</f>
        <v>76.42</v>
      </c>
      <c r="M26" s="134"/>
    </row>
    <row r="27" spans="1:13">
      <c r="A27" s="13">
        <v>12</v>
      </c>
      <c r="B27" s="4">
        <v>68027</v>
      </c>
      <c r="C27" s="4" t="s">
        <v>47</v>
      </c>
      <c r="D27" s="32"/>
      <c r="E27" s="135">
        <v>83.32</v>
      </c>
      <c r="F27" s="32"/>
      <c r="G27" s="135">
        <v>105.32</v>
      </c>
      <c r="I27" s="134">
        <f t="shared" si="0"/>
        <v>0.26404224675948162</v>
      </c>
      <c r="K27" s="135">
        <f>+'Sewer Rate Design'!I34</f>
        <v>127.37</v>
      </c>
      <c r="M27" s="134">
        <f t="shared" ref="M27:M32" si="1">+K27/E27-1</f>
        <v>0.52868458953432573</v>
      </c>
    </row>
    <row r="28" spans="1:13">
      <c r="A28" s="13">
        <v>13</v>
      </c>
      <c r="B28" s="13">
        <v>68028</v>
      </c>
      <c r="C28" s="4" t="s">
        <v>48</v>
      </c>
      <c r="D28" s="26"/>
      <c r="E28" s="135">
        <v>187.46</v>
      </c>
      <c r="F28" s="26"/>
      <c r="G28" s="135">
        <v>236.97</v>
      </c>
      <c r="I28" s="134">
        <f t="shared" si="0"/>
        <v>0.2641096767310358</v>
      </c>
      <c r="K28" s="135">
        <f>+'Sewer Rate Design'!I35</f>
        <v>254.73</v>
      </c>
      <c r="M28" s="134">
        <f t="shared" si="1"/>
        <v>0.35884988797610151</v>
      </c>
    </row>
    <row r="29" spans="1:13">
      <c r="A29" s="13">
        <v>14</v>
      </c>
      <c r="B29" s="13">
        <v>68029</v>
      </c>
      <c r="C29" s="4" t="s">
        <v>49</v>
      </c>
      <c r="D29" s="26"/>
      <c r="E29" s="135">
        <v>333.25</v>
      </c>
      <c r="F29" s="26"/>
      <c r="G29" s="135">
        <v>421.26</v>
      </c>
      <c r="I29" s="134">
        <f t="shared" si="0"/>
        <v>0.26409602400600152</v>
      </c>
      <c r="K29" s="135">
        <f>+'Sewer Rate Design'!I36</f>
        <v>407.57</v>
      </c>
      <c r="M29" s="134">
        <f t="shared" si="1"/>
        <v>0.2230157539384845</v>
      </c>
    </row>
    <row r="30" spans="1:13">
      <c r="A30" s="13">
        <v>15</v>
      </c>
      <c r="B30" s="13">
        <v>68030</v>
      </c>
      <c r="C30" s="4" t="s">
        <v>50</v>
      </c>
      <c r="D30" s="26"/>
      <c r="E30" s="135">
        <v>750.02</v>
      </c>
      <c r="F30" s="26"/>
      <c r="G30" s="135">
        <v>948.1</v>
      </c>
      <c r="I30" s="134">
        <f t="shared" si="0"/>
        <v>0.2640996240100264</v>
      </c>
      <c r="K30" s="135">
        <f>+'Sewer Rate Design'!I37</f>
        <v>815.14</v>
      </c>
      <c r="M30" s="134">
        <f t="shared" si="1"/>
        <v>8.6824351350630602E-2</v>
      </c>
    </row>
    <row r="31" spans="1:13">
      <c r="A31" s="13">
        <v>16</v>
      </c>
      <c r="B31" s="13">
        <v>68031</v>
      </c>
      <c r="C31" s="4" t="s">
        <v>51</v>
      </c>
      <c r="D31" s="26"/>
      <c r="E31" s="135">
        <v>1333.02</v>
      </c>
      <c r="F31" s="26"/>
      <c r="G31" s="135">
        <v>1685.07</v>
      </c>
      <c r="I31" s="134">
        <f t="shared" si="0"/>
        <v>0.26409956339739837</v>
      </c>
      <c r="K31" s="135">
        <f>+'Sewer Rate Design'!I38</f>
        <v>1273.6600000000001</v>
      </c>
      <c r="M31" s="134">
        <f t="shared" si="1"/>
        <v>-4.4530464659194857E-2</v>
      </c>
    </row>
    <row r="32" spans="1:13">
      <c r="A32" s="13">
        <v>17</v>
      </c>
      <c r="B32" s="13">
        <v>68032</v>
      </c>
      <c r="C32" s="4" t="s">
        <v>52</v>
      </c>
      <c r="D32" s="26"/>
      <c r="E32" s="135">
        <v>2999.72</v>
      </c>
      <c r="F32" s="26"/>
      <c r="G32" s="135">
        <v>3791.95</v>
      </c>
      <c r="I32" s="134">
        <f t="shared" si="0"/>
        <v>0.26410131612283805</v>
      </c>
      <c r="K32" s="135">
        <f>+'Sewer Rate Design'!I39</f>
        <v>2547.3200000000002</v>
      </c>
      <c r="M32" s="134">
        <f t="shared" si="1"/>
        <v>-0.15081407598042473</v>
      </c>
    </row>
    <row r="33" spans="1:13">
      <c r="A33" s="13">
        <v>18</v>
      </c>
      <c r="B33" s="13">
        <v>68033</v>
      </c>
      <c r="C33" s="22"/>
      <c r="D33" s="26"/>
      <c r="F33" s="26"/>
      <c r="I33" s="134"/>
    </row>
    <row r="34" spans="1:13">
      <c r="A34" s="13">
        <v>19</v>
      </c>
      <c r="B34" s="13"/>
      <c r="C34" s="22"/>
      <c r="D34" s="32"/>
      <c r="F34" s="32"/>
      <c r="I34" s="134"/>
    </row>
    <row r="35" spans="1:13">
      <c r="A35" s="13">
        <v>20</v>
      </c>
      <c r="B35" s="13"/>
      <c r="C35" s="22" t="s">
        <v>43</v>
      </c>
      <c r="D35" s="32"/>
      <c r="E35" s="135">
        <v>4</v>
      </c>
      <c r="F35" s="32"/>
      <c r="G35" s="135">
        <v>5.0599999999999996</v>
      </c>
      <c r="I35" s="134">
        <f t="shared" si="0"/>
        <v>0.2649999999999999</v>
      </c>
      <c r="K35" s="135">
        <f>+'Sewer Rate Design'!I55</f>
        <v>5.65</v>
      </c>
      <c r="M35" s="134">
        <f>+K35/E35-1</f>
        <v>0.41250000000000009</v>
      </c>
    </row>
    <row r="36" spans="1:13">
      <c r="A36" s="13"/>
      <c r="B36" s="13"/>
      <c r="C36" s="22"/>
      <c r="D36" s="32"/>
      <c r="E36" s="49"/>
      <c r="F36" s="32"/>
      <c r="G36" s="27"/>
    </row>
    <row r="37" spans="1:13">
      <c r="A37" s="13"/>
      <c r="B37" s="13"/>
      <c r="C37" s="22"/>
      <c r="D37" s="49"/>
      <c r="E37" s="49"/>
      <c r="F37" s="49"/>
      <c r="G37" s="27"/>
    </row>
    <row r="38" spans="1:13">
      <c r="A38" s="13"/>
      <c r="B38" s="13"/>
      <c r="C38" s="22"/>
      <c r="D38" s="26"/>
      <c r="E38" s="26"/>
      <c r="F38" s="26"/>
      <c r="G38" s="27"/>
    </row>
    <row r="39" spans="1:13">
      <c r="A39" s="13"/>
      <c r="B39" s="13"/>
      <c r="C39" s="28"/>
      <c r="D39" s="32"/>
      <c r="E39" s="49"/>
      <c r="F39" s="32"/>
      <c r="G39" s="27"/>
    </row>
    <row r="40" spans="1:13">
      <c r="A40" s="13"/>
      <c r="B40" s="13"/>
      <c r="C40" s="4"/>
      <c r="D40" s="32"/>
      <c r="E40" s="32"/>
      <c r="F40" s="32"/>
      <c r="G40" s="27"/>
    </row>
    <row r="41" spans="1:13">
      <c r="A41" s="45"/>
      <c r="B41" s="45"/>
      <c r="C41" s="30"/>
      <c r="D41" s="52"/>
      <c r="E41" s="52"/>
      <c r="F41" s="52"/>
      <c r="G41" s="36"/>
      <c r="H41" s="50"/>
    </row>
    <row r="42" spans="1:13">
      <c r="A42" s="45"/>
      <c r="B42" s="45"/>
      <c r="C42" s="22"/>
      <c r="D42" s="52"/>
      <c r="E42" s="52"/>
      <c r="F42" s="52"/>
      <c r="G42" s="36"/>
      <c r="H42" s="50"/>
    </row>
    <row r="43" spans="1:13">
      <c r="A43" s="45"/>
      <c r="B43" s="45"/>
      <c r="C43" s="28"/>
      <c r="D43" s="52"/>
      <c r="E43" s="52"/>
      <c r="F43" s="52"/>
      <c r="G43" s="36"/>
      <c r="H43" s="50"/>
    </row>
    <row r="44" spans="1:13">
      <c r="A44" s="45"/>
      <c r="B44" s="45"/>
      <c r="C44" s="50"/>
      <c r="D44" s="50"/>
      <c r="E44" s="50"/>
      <c r="F44" s="50"/>
      <c r="G44" s="50"/>
      <c r="H44" s="50"/>
    </row>
    <row r="45" spans="1:13">
      <c r="A45" s="13"/>
      <c r="B45" s="13"/>
      <c r="C45" s="4"/>
    </row>
    <row r="46" spans="1:13">
      <c r="A46" s="13"/>
      <c r="B46" s="13"/>
      <c r="C46" s="4"/>
    </row>
    <row r="47" spans="1:13">
      <c r="A47" s="13"/>
      <c r="B47" s="13"/>
    </row>
    <row r="48" spans="1:13">
      <c r="A48" s="37"/>
      <c r="B48" s="37"/>
      <c r="C48" s="38"/>
      <c r="D48" s="39"/>
      <c r="E48" s="39"/>
      <c r="F48" s="39"/>
      <c r="G48" s="39"/>
    </row>
    <row r="49" spans="1:2">
      <c r="A49" s="13"/>
      <c r="B49" s="13"/>
    </row>
    <row r="230" spans="1:7">
      <c r="A230" s="43"/>
      <c r="B230" s="43"/>
      <c r="C230" s="44"/>
      <c r="D230" s="43"/>
      <c r="E230" s="43"/>
      <c r="F230" s="43"/>
      <c r="G230" s="43"/>
    </row>
    <row r="231" spans="1:7">
      <c r="A231" s="43"/>
      <c r="B231" s="43"/>
      <c r="C231" s="44"/>
      <c r="D231" s="43"/>
      <c r="E231" s="43"/>
      <c r="F231" s="43"/>
      <c r="G231" s="43"/>
    </row>
    <row r="232" spans="1:7">
      <c r="A232" s="43"/>
      <c r="B232" s="43"/>
      <c r="C232" s="44"/>
      <c r="D232" s="43"/>
      <c r="E232" s="43"/>
      <c r="F232" s="43"/>
      <c r="G232" s="43"/>
    </row>
    <row r="233" spans="1:7">
      <c r="A233" s="43"/>
      <c r="B233" s="43"/>
      <c r="C233" s="44"/>
      <c r="D233" s="43"/>
      <c r="E233" s="43"/>
      <c r="F233" s="43"/>
      <c r="G233" s="43"/>
    </row>
    <row r="234" spans="1:7">
      <c r="A234" s="43"/>
      <c r="B234" s="43"/>
      <c r="C234" s="44"/>
      <c r="D234" s="43"/>
      <c r="E234" s="43"/>
      <c r="F234" s="43"/>
      <c r="G234" s="43"/>
    </row>
    <row r="264" spans="1:7">
      <c r="A264" s="43"/>
      <c r="B264" s="43"/>
      <c r="C264" s="44"/>
      <c r="D264" s="43"/>
      <c r="E264" s="43"/>
      <c r="F264" s="43"/>
      <c r="G264" s="43"/>
    </row>
    <row r="333" spans="1:2">
      <c r="A333" s="1"/>
      <c r="B333" s="1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</sheetData>
  <pageMargins left="0.7" right="0.7" top="0.75" bottom="0.75" header="0.3" footer="0.3"/>
  <pageSetup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zoomScaleNormal="100" workbookViewId="0">
      <selection activeCell="J33" sqref="J33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" width="10.85546875" style="4"/>
    <col min="17" max="17" width="1.7109375" style="4" customWidth="1"/>
    <col min="18" max="16384" width="10.85546875" style="4"/>
  </cols>
  <sheetData>
    <row r="1" spans="1:16">
      <c r="A1" s="1" t="s">
        <v>0</v>
      </c>
      <c r="B1" s="1"/>
      <c r="C1" s="2"/>
      <c r="D1" s="1"/>
      <c r="E1" s="1"/>
      <c r="F1" s="1"/>
      <c r="G1" s="1"/>
      <c r="H1" s="3"/>
      <c r="J1" s="3"/>
    </row>
    <row r="2" spans="1:16">
      <c r="A2" s="1"/>
      <c r="B2" s="1"/>
      <c r="C2" s="2"/>
      <c r="D2" s="1"/>
      <c r="E2" s="1"/>
      <c r="F2" s="1"/>
      <c r="G2" s="1"/>
      <c r="H2" s="3"/>
      <c r="J2" s="3"/>
    </row>
    <row r="3" spans="1:16">
      <c r="A3" s="1" t="s">
        <v>147</v>
      </c>
      <c r="B3" s="1"/>
      <c r="C3" s="2"/>
      <c r="D3" s="1"/>
      <c r="E3" s="1"/>
      <c r="F3" s="1"/>
      <c r="G3" s="1"/>
      <c r="H3" s="3"/>
      <c r="J3" s="3"/>
    </row>
    <row r="4" spans="1:16">
      <c r="A4" s="1" t="s">
        <v>34</v>
      </c>
      <c r="B4" s="1"/>
      <c r="C4" s="2"/>
      <c r="D4" s="1"/>
      <c r="E4" s="1"/>
      <c r="F4" s="1"/>
      <c r="G4" s="1"/>
      <c r="H4" s="5"/>
      <c r="J4" s="3"/>
    </row>
    <row r="5" spans="1:16">
      <c r="A5" s="1" t="s">
        <v>4</v>
      </c>
      <c r="B5" s="1"/>
      <c r="C5" s="2"/>
      <c r="D5" s="1"/>
      <c r="E5" s="1"/>
      <c r="F5" s="1"/>
      <c r="G5" s="1"/>
      <c r="H5" s="3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3"/>
      <c r="I6" s="3"/>
      <c r="J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2"/>
      <c r="E10" s="12"/>
      <c r="F10" s="12"/>
      <c r="G10" s="13"/>
      <c r="H10" s="11"/>
      <c r="J10" s="11"/>
      <c r="K10" s="11"/>
      <c r="L10" s="11"/>
      <c r="M10" s="11"/>
      <c r="N10" s="11"/>
      <c r="P10" s="11"/>
    </row>
    <row r="11" spans="1:16">
      <c r="C11" s="2"/>
      <c r="D11" s="13" t="s">
        <v>10</v>
      </c>
      <c r="E11" s="1"/>
      <c r="F11" s="13" t="s">
        <v>10</v>
      </c>
      <c r="G11" s="1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17" t="s">
        <v>58</v>
      </c>
      <c r="E13" s="17"/>
      <c r="F13" s="17" t="s">
        <v>20</v>
      </c>
      <c r="G13" s="17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D14" s="20"/>
      <c r="E14" s="20"/>
      <c r="F14" s="20"/>
      <c r="H14" s="21"/>
      <c r="I14" s="21"/>
      <c r="J14" s="21"/>
    </row>
    <row r="15" spans="1:16">
      <c r="A15" s="13">
        <v>2</v>
      </c>
      <c r="B15" s="13">
        <v>68021</v>
      </c>
      <c r="C15" s="22" t="s">
        <v>22</v>
      </c>
      <c r="D15" s="23">
        <v>14.29</v>
      </c>
      <c r="E15" s="24"/>
      <c r="F15" s="23">
        <v>14.43</v>
      </c>
      <c r="G15" s="26"/>
      <c r="H15" s="135">
        <v>14.54</v>
      </c>
      <c r="I15" s="27"/>
      <c r="J15" s="135">
        <v>13.6</v>
      </c>
      <c r="L15" s="134">
        <f>J15/H15-1</f>
        <v>-6.4649243466299855E-2</v>
      </c>
      <c r="N15" s="135">
        <f>+'Sewer Rate Design'!I9</f>
        <v>25.47</v>
      </c>
      <c r="P15" s="134">
        <f>N15/H15-1</f>
        <v>0.75171939477303984</v>
      </c>
    </row>
    <row r="16" spans="1:16">
      <c r="A16" s="13">
        <v>3</v>
      </c>
      <c r="B16" s="13"/>
      <c r="C16" s="4"/>
      <c r="D16" s="24"/>
      <c r="E16" s="24"/>
      <c r="F16" s="29"/>
      <c r="G16" s="26"/>
      <c r="H16" s="26"/>
      <c r="I16" s="27"/>
      <c r="J16" s="26"/>
    </row>
    <row r="17" spans="1:16">
      <c r="A17" s="13">
        <v>4</v>
      </c>
      <c r="B17" s="13"/>
      <c r="C17" s="28" t="s">
        <v>23</v>
      </c>
      <c r="D17" s="23">
        <v>4.5999999999999996</v>
      </c>
      <c r="E17" s="24"/>
      <c r="F17" s="25">
        <v>4.6500000000000004</v>
      </c>
      <c r="G17" s="26"/>
      <c r="H17" s="135">
        <v>4.6900000000000004</v>
      </c>
      <c r="I17" s="27"/>
      <c r="J17" s="135">
        <v>4.3899999999999997</v>
      </c>
      <c r="L17" s="134">
        <f>J17/H17-1</f>
        <v>-6.3965884861407418E-2</v>
      </c>
    </row>
    <row r="18" spans="1:16">
      <c r="A18" s="13"/>
      <c r="B18" s="13"/>
      <c r="C18" s="28" t="str">
        <f>+'Sewer Rate Design'!B52</f>
        <v>0-8k</v>
      </c>
      <c r="D18" s="23"/>
      <c r="E18" s="24"/>
      <c r="F18" s="25"/>
      <c r="G18" s="26"/>
      <c r="H18" s="135"/>
      <c r="I18" s="27"/>
      <c r="J18" s="135"/>
      <c r="N18" s="135">
        <f>+'Sewer Rate Design'!I52</f>
        <v>4.91</v>
      </c>
      <c r="P18" s="134">
        <f>N18/H17-1</f>
        <v>4.6908315565031833E-2</v>
      </c>
    </row>
    <row r="19" spans="1:16">
      <c r="A19" s="13">
        <v>5</v>
      </c>
      <c r="B19" s="13"/>
      <c r="C19" s="28"/>
      <c r="D19" s="29"/>
      <c r="E19" s="24"/>
      <c r="F19" s="29"/>
      <c r="G19" s="26"/>
      <c r="H19" s="135"/>
      <c r="I19" s="27"/>
      <c r="J19" s="135"/>
    </row>
    <row r="20" spans="1:16">
      <c r="A20" s="13">
        <v>8</v>
      </c>
      <c r="C20" s="30" t="s">
        <v>24</v>
      </c>
      <c r="D20" s="31"/>
      <c r="E20" s="31"/>
      <c r="F20" s="29"/>
      <c r="G20" s="32"/>
      <c r="H20" s="135"/>
      <c r="I20" s="27"/>
      <c r="J20" s="135"/>
    </row>
    <row r="21" spans="1:16">
      <c r="A21" s="13">
        <v>9</v>
      </c>
      <c r="B21" s="13">
        <v>68026</v>
      </c>
      <c r="C21" s="22" t="s">
        <v>25</v>
      </c>
      <c r="D21" s="23">
        <v>14.29</v>
      </c>
      <c r="E21" s="24"/>
      <c r="F21" s="23">
        <v>14.43</v>
      </c>
      <c r="G21" s="26"/>
      <c r="H21" s="135">
        <v>14.54</v>
      </c>
      <c r="I21" s="27"/>
      <c r="J21" s="135">
        <v>13.6</v>
      </c>
      <c r="L21" s="134">
        <f t="shared" ref="L21:L28" si="0">J21/H21-1</f>
        <v>-6.4649243466299855E-2</v>
      </c>
      <c r="N21" s="135">
        <f>+'Sewer Rate Design'!I12</f>
        <v>25.47</v>
      </c>
      <c r="P21" s="134">
        <f t="shared" ref="P21:P28" si="1">N21/H21-1</f>
        <v>0.75171939477303984</v>
      </c>
    </row>
    <row r="22" spans="1:16">
      <c r="A22" s="13">
        <v>10</v>
      </c>
      <c r="B22" s="13">
        <v>68027</v>
      </c>
      <c r="C22" s="22" t="s">
        <v>26</v>
      </c>
      <c r="D22" s="23">
        <v>21.06</v>
      </c>
      <c r="E22" s="24"/>
      <c r="F22" s="34">
        <v>21.27</v>
      </c>
      <c r="G22" s="26"/>
      <c r="H22" s="135">
        <v>21.44</v>
      </c>
      <c r="I22" s="27"/>
      <c r="J22" s="135">
        <v>20.03</v>
      </c>
      <c r="L22" s="134">
        <f t="shared" si="0"/>
        <v>-6.5764925373134386E-2</v>
      </c>
      <c r="N22" s="135">
        <f>+'Sewer Rate Design'!I13</f>
        <v>38.21</v>
      </c>
      <c r="P22" s="134">
        <f t="shared" si="1"/>
        <v>0.78218283582089554</v>
      </c>
    </row>
    <row r="23" spans="1:16">
      <c r="A23" s="13">
        <v>11</v>
      </c>
      <c r="B23" s="13">
        <v>68028</v>
      </c>
      <c r="C23" s="22" t="s">
        <v>27</v>
      </c>
      <c r="D23" s="23">
        <v>34.79</v>
      </c>
      <c r="E23" s="24"/>
      <c r="F23" s="23">
        <v>35.130000000000003</v>
      </c>
      <c r="G23" s="26"/>
      <c r="H23" s="135">
        <v>35.4</v>
      </c>
      <c r="I23" s="27"/>
      <c r="J23" s="135">
        <v>33.11</v>
      </c>
      <c r="L23" s="134">
        <f t="shared" si="0"/>
        <v>-6.4689265536723162E-2</v>
      </c>
      <c r="N23" s="135">
        <f>+'Sewer Rate Design'!I14</f>
        <v>63.68</v>
      </c>
      <c r="P23" s="134">
        <f t="shared" si="1"/>
        <v>0.79887005649717513</v>
      </c>
    </row>
    <row r="24" spans="1:16">
      <c r="A24" s="13">
        <v>12</v>
      </c>
      <c r="B24" s="13">
        <v>68029</v>
      </c>
      <c r="C24" s="22" t="s">
        <v>28</v>
      </c>
      <c r="D24" s="23">
        <v>70.31</v>
      </c>
      <c r="E24" s="24"/>
      <c r="F24" s="23">
        <v>71</v>
      </c>
      <c r="G24" s="26"/>
      <c r="H24" s="135">
        <v>71.55</v>
      </c>
      <c r="I24" s="33"/>
      <c r="J24" s="135">
        <v>66.91</v>
      </c>
      <c r="L24" s="134">
        <f t="shared" si="0"/>
        <v>-6.4849755415793187E-2</v>
      </c>
      <c r="N24" s="135">
        <f>+'Sewer Rate Design'!I15</f>
        <v>127.37</v>
      </c>
      <c r="P24" s="134">
        <f t="shared" si="1"/>
        <v>0.78015373864430471</v>
      </c>
    </row>
    <row r="25" spans="1:16">
      <c r="A25" s="13">
        <v>13</v>
      </c>
      <c r="B25" s="13">
        <v>68030</v>
      </c>
      <c r="C25" s="22" t="s">
        <v>29</v>
      </c>
      <c r="D25" s="23">
        <v>111.29</v>
      </c>
      <c r="E25" s="24"/>
      <c r="F25" s="25">
        <v>112.38</v>
      </c>
      <c r="G25" s="26"/>
      <c r="H25" s="135">
        <v>113.26</v>
      </c>
      <c r="I25" s="26"/>
      <c r="J25" s="135">
        <v>105.92</v>
      </c>
      <c r="L25" s="134">
        <f t="shared" si="0"/>
        <v>-6.4806639590323178E-2</v>
      </c>
      <c r="N25" s="135">
        <f>+'Sewer Rate Design'!I16</f>
        <v>203.79</v>
      </c>
      <c r="P25" s="134">
        <f t="shared" si="1"/>
        <v>0.79931131908882214</v>
      </c>
    </row>
    <row r="26" spans="1:16">
      <c r="A26" s="13">
        <v>14</v>
      </c>
      <c r="B26" s="13">
        <v>68031</v>
      </c>
      <c r="C26" s="22" t="s">
        <v>30</v>
      </c>
      <c r="D26" s="23">
        <v>225.22</v>
      </c>
      <c r="E26" s="24"/>
      <c r="F26" s="25">
        <v>227.43</v>
      </c>
      <c r="G26" s="26"/>
      <c r="H26" s="135">
        <v>229.2</v>
      </c>
      <c r="I26" s="27"/>
      <c r="J26" s="135">
        <v>214.35</v>
      </c>
      <c r="L26" s="134">
        <f t="shared" si="0"/>
        <v>-6.4790575916230386E-2</v>
      </c>
      <c r="N26" s="135">
        <f>+'Sewer Rate Design'!I17</f>
        <v>407.57</v>
      </c>
      <c r="P26" s="134">
        <f t="shared" si="1"/>
        <v>0.77822862129144865</v>
      </c>
    </row>
    <row r="27" spans="1:16">
      <c r="A27" s="13">
        <v>15</v>
      </c>
      <c r="B27" s="13">
        <v>68032</v>
      </c>
      <c r="C27" s="22" t="s">
        <v>31</v>
      </c>
      <c r="D27" s="23">
        <v>347.8</v>
      </c>
      <c r="E27" s="31"/>
      <c r="F27" s="34">
        <v>351.21</v>
      </c>
      <c r="G27" s="32"/>
      <c r="H27" s="135">
        <v>353.95</v>
      </c>
      <c r="I27" s="27"/>
      <c r="J27" s="135">
        <v>331.01</v>
      </c>
      <c r="L27" s="134">
        <f t="shared" si="0"/>
        <v>-6.4811414041531235E-2</v>
      </c>
      <c r="N27" s="135">
        <f>+'Sewer Rate Design'!I18</f>
        <v>636.83000000000004</v>
      </c>
      <c r="P27" s="134">
        <f t="shared" si="1"/>
        <v>0.79920892781466324</v>
      </c>
    </row>
    <row r="28" spans="1:16">
      <c r="A28" s="13">
        <v>16</v>
      </c>
      <c r="B28" s="13">
        <v>68033</v>
      </c>
      <c r="C28" s="22" t="s">
        <v>32</v>
      </c>
      <c r="D28" s="35">
        <v>703.33</v>
      </c>
      <c r="E28" s="31"/>
      <c r="F28" s="25">
        <v>710.22</v>
      </c>
      <c r="G28" s="32"/>
      <c r="H28" s="135">
        <v>715.76</v>
      </c>
      <c r="I28" s="27"/>
      <c r="J28" s="135">
        <v>669.38</v>
      </c>
      <c r="L28" s="134">
        <f t="shared" si="0"/>
        <v>-6.4798256398792886E-2</v>
      </c>
      <c r="N28" s="135">
        <f>+'Sewer Rate Design'!I19</f>
        <v>1273.6600000000001</v>
      </c>
      <c r="P28" s="134">
        <f t="shared" si="1"/>
        <v>0.77945121269699347</v>
      </c>
    </row>
    <row r="29" spans="1:16">
      <c r="A29" s="13">
        <v>17</v>
      </c>
      <c r="B29" s="13"/>
      <c r="C29" s="22"/>
      <c r="D29" s="26"/>
      <c r="E29" s="24"/>
      <c r="F29" s="27"/>
      <c r="G29" s="26"/>
      <c r="H29" s="135"/>
      <c r="I29" s="27"/>
      <c r="J29" s="135"/>
    </row>
    <row r="30" spans="1:16">
      <c r="A30" s="13">
        <v>18</v>
      </c>
      <c r="B30" s="13"/>
      <c r="C30" s="28" t="s">
        <v>83</v>
      </c>
      <c r="D30" s="35">
        <v>5.54</v>
      </c>
      <c r="E30" s="31"/>
      <c r="F30" s="25">
        <v>5.59</v>
      </c>
      <c r="G30" s="32"/>
      <c r="H30" s="135">
        <v>5.63</v>
      </c>
      <c r="I30" s="27"/>
      <c r="J30" s="135">
        <v>5.27</v>
      </c>
      <c r="L30" s="134">
        <f>J30/H30-1</f>
        <v>-6.3943161634103074E-2</v>
      </c>
      <c r="N30" s="135">
        <f>+'Sewer Rate Design'!I55</f>
        <v>5.65</v>
      </c>
      <c r="P30" s="134">
        <f>N30/H30-1</f>
        <v>3.5523978685614299E-3</v>
      </c>
    </row>
    <row r="31" spans="1:16">
      <c r="A31" s="13">
        <v>19</v>
      </c>
      <c r="B31" s="37"/>
      <c r="C31" s="38"/>
      <c r="D31" s="39"/>
      <c r="E31" s="39"/>
      <c r="F31" s="39"/>
      <c r="G31" s="39"/>
      <c r="H31" s="135"/>
      <c r="I31" s="40"/>
      <c r="J31" s="135"/>
    </row>
    <row r="32" spans="1:16">
      <c r="A32" s="13">
        <v>20</v>
      </c>
      <c r="B32" s="13"/>
      <c r="C32" s="19" t="s">
        <v>75</v>
      </c>
      <c r="H32" s="135"/>
      <c r="I32" s="21"/>
      <c r="J32" s="135"/>
    </row>
    <row r="33" spans="1:16">
      <c r="A33" s="13">
        <v>21</v>
      </c>
      <c r="C33" s="22" t="s">
        <v>83</v>
      </c>
      <c r="D33" s="25">
        <v>0.94</v>
      </c>
      <c r="F33" s="25">
        <v>0.95</v>
      </c>
      <c r="H33" s="135">
        <v>0.96</v>
      </c>
      <c r="I33" s="21"/>
      <c r="J33" s="135">
        <v>0.9</v>
      </c>
      <c r="L33" s="134">
        <f>J33/H33-1</f>
        <v>-6.2499999999999889E-2</v>
      </c>
      <c r="N33" s="135">
        <f>+'Sewer Rate Design'!I60</f>
        <v>1.45</v>
      </c>
      <c r="P33" s="134">
        <f>N33/H33-1</f>
        <v>0.51041666666666674</v>
      </c>
    </row>
    <row r="34" spans="1:16">
      <c r="H34" s="21"/>
      <c r="I34" s="21"/>
      <c r="J34" s="21"/>
    </row>
    <row r="35" spans="1:16">
      <c r="H35" s="21"/>
      <c r="I35" s="21"/>
      <c r="J35" s="21"/>
    </row>
    <row r="36" spans="1:16">
      <c r="H36" s="21"/>
      <c r="I36" s="21"/>
      <c r="J36" s="21"/>
    </row>
    <row r="37" spans="1:16">
      <c r="H37" s="21"/>
      <c r="I37" s="21"/>
      <c r="J37" s="21"/>
    </row>
    <row r="38" spans="1:16">
      <c r="H38" s="21"/>
      <c r="I38" s="21"/>
      <c r="J38" s="21"/>
    </row>
    <row r="39" spans="1:16">
      <c r="H39" s="21"/>
      <c r="I39" s="21"/>
      <c r="J39" s="21"/>
    </row>
    <row r="40" spans="1:16">
      <c r="H40" s="21"/>
      <c r="I40" s="21"/>
      <c r="J40" s="21"/>
    </row>
    <row r="41" spans="1:16">
      <c r="H41" s="21"/>
      <c r="I41" s="21"/>
      <c r="J41" s="21"/>
    </row>
    <row r="42" spans="1:16">
      <c r="H42" s="21"/>
      <c r="I42" s="21"/>
      <c r="J42" s="21"/>
    </row>
    <row r="43" spans="1:16">
      <c r="H43" s="21"/>
      <c r="I43" s="21"/>
      <c r="J43" s="21"/>
    </row>
    <row r="44" spans="1:16">
      <c r="H44" s="21"/>
      <c r="I44" s="21"/>
      <c r="J44" s="21"/>
    </row>
    <row r="45" spans="1:16">
      <c r="H45" s="21"/>
      <c r="I45" s="21"/>
      <c r="J45" s="21"/>
    </row>
    <row r="46" spans="1:16">
      <c r="H46" s="21"/>
      <c r="I46" s="21"/>
      <c r="J46" s="21"/>
    </row>
    <row r="47" spans="1:16">
      <c r="H47" s="21"/>
      <c r="I47" s="21"/>
      <c r="J47" s="21"/>
    </row>
    <row r="48" spans="1:16">
      <c r="H48" s="21"/>
      <c r="I48" s="21"/>
      <c r="J48" s="21"/>
    </row>
    <row r="49" spans="8:10">
      <c r="H49" s="21"/>
      <c r="I49" s="21"/>
      <c r="J49" s="21"/>
    </row>
    <row r="87" spans="8:8">
      <c r="H87" s="42"/>
    </row>
    <row r="90" spans="8:8">
      <c r="H90" s="42"/>
    </row>
    <row r="213" spans="1:7">
      <c r="A213" s="43"/>
      <c r="B213" s="43"/>
      <c r="C213" s="44"/>
      <c r="D213" s="43"/>
      <c r="E213" s="43"/>
      <c r="F213" s="43"/>
      <c r="G213" s="43"/>
    </row>
    <row r="214" spans="1:7">
      <c r="A214" s="43"/>
      <c r="B214" s="43"/>
      <c r="C214" s="44"/>
      <c r="D214" s="43"/>
      <c r="E214" s="43"/>
      <c r="F214" s="43"/>
      <c r="G214" s="43"/>
    </row>
    <row r="215" spans="1:7">
      <c r="A215" s="43"/>
      <c r="B215" s="43"/>
      <c r="C215" s="44"/>
      <c r="D215" s="43"/>
      <c r="E215" s="43"/>
      <c r="F215" s="43"/>
      <c r="G215" s="43"/>
    </row>
    <row r="216" spans="1:7">
      <c r="A216" s="43"/>
      <c r="B216" s="43"/>
      <c r="C216" s="44"/>
      <c r="D216" s="43"/>
      <c r="E216" s="43"/>
      <c r="F216" s="43"/>
      <c r="G216" s="43"/>
    </row>
    <row r="217" spans="1:7">
      <c r="A217" s="43"/>
      <c r="B217" s="43"/>
      <c r="C217" s="44"/>
      <c r="D217" s="43"/>
      <c r="E217" s="43"/>
      <c r="F217" s="43"/>
      <c r="G217" s="43"/>
    </row>
    <row r="247" spans="1:7">
      <c r="A247" s="43"/>
      <c r="B247" s="43"/>
      <c r="C247" s="44"/>
      <c r="D247" s="43"/>
      <c r="E247" s="43"/>
      <c r="F247" s="43"/>
      <c r="G247" s="43"/>
    </row>
    <row r="316" spans="1:2">
      <c r="A316" s="1"/>
      <c r="B316" s="1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</sheetData>
  <pageMargins left="0.7" right="0.7" top="0.75" bottom="0.75" header="0.3" footer="0.3"/>
  <pageSetup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8"/>
  <sheetViews>
    <sheetView zoomScaleNormal="100" workbookViewId="0">
      <selection activeCell="J25" sqref="J25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E1" s="1"/>
      <c r="F1" s="1"/>
      <c r="G1" s="1"/>
      <c r="H1" s="1" t="s">
        <v>1</v>
      </c>
      <c r="I1" s="1"/>
      <c r="J1" s="3"/>
    </row>
    <row r="2" spans="1:16">
      <c r="A2" s="1"/>
      <c r="B2" s="1"/>
      <c r="C2" s="2"/>
      <c r="E2" s="1"/>
      <c r="F2" s="1"/>
      <c r="G2" s="1"/>
      <c r="H2" s="1"/>
      <c r="I2" s="1"/>
      <c r="J2" s="3"/>
    </row>
    <row r="3" spans="1:16">
      <c r="A3" s="1" t="s">
        <v>84</v>
      </c>
      <c r="B3" s="1"/>
      <c r="C3" s="2"/>
      <c r="E3" s="1"/>
      <c r="F3" s="1"/>
      <c r="G3" s="1"/>
      <c r="H3" s="1"/>
      <c r="I3" s="1"/>
      <c r="J3" s="3"/>
    </row>
    <row r="4" spans="1:16">
      <c r="A4" s="1" t="s">
        <v>34</v>
      </c>
      <c r="B4" s="1"/>
      <c r="C4" s="2"/>
      <c r="E4" s="1"/>
      <c r="F4" s="1"/>
      <c r="G4" s="1"/>
      <c r="H4" s="1"/>
      <c r="I4" s="1"/>
      <c r="J4" s="5"/>
    </row>
    <row r="5" spans="1:16">
      <c r="A5" s="1" t="s">
        <v>35</v>
      </c>
      <c r="B5" s="1"/>
      <c r="C5" s="2"/>
      <c r="E5" s="1"/>
      <c r="F5" s="1"/>
      <c r="G5" s="1"/>
      <c r="H5" s="1"/>
      <c r="I5" s="1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1"/>
      <c r="I6" s="1"/>
      <c r="J6" s="3"/>
      <c r="K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  <c r="K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  <c r="K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1">
        <v>-2</v>
      </c>
      <c r="E10" s="13"/>
      <c r="F10" s="12">
        <v>-2</v>
      </c>
      <c r="G10" s="12"/>
      <c r="H10" s="11"/>
      <c r="J10" s="11"/>
      <c r="K10" s="11"/>
      <c r="L10" s="11"/>
      <c r="M10" s="11"/>
      <c r="N10" s="11"/>
      <c r="P10" s="11"/>
    </row>
    <row r="11" spans="1:16">
      <c r="C11" s="2"/>
      <c r="D11" s="45" t="s">
        <v>37</v>
      </c>
      <c r="E11" s="46"/>
      <c r="F11" s="45" t="s">
        <v>37</v>
      </c>
      <c r="G11" s="46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45" t="s">
        <v>39</v>
      </c>
      <c r="E12" s="46"/>
      <c r="F12" s="45" t="s">
        <v>39</v>
      </c>
      <c r="G12" s="46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18" t="s">
        <v>85</v>
      </c>
      <c r="E13" s="48"/>
      <c r="F13" s="18" t="s">
        <v>86</v>
      </c>
      <c r="G13" s="48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J14" s="21"/>
      <c r="K14" s="21"/>
    </row>
    <row r="15" spans="1:16">
      <c r="A15" s="13">
        <v>2</v>
      </c>
      <c r="B15" s="13">
        <v>68021</v>
      </c>
      <c r="C15" s="22" t="s">
        <v>22</v>
      </c>
      <c r="D15" s="25">
        <v>29.34</v>
      </c>
      <c r="E15" s="26"/>
      <c r="F15" s="23">
        <v>34.6</v>
      </c>
      <c r="G15" s="26"/>
      <c r="H15" s="135">
        <v>43.6</v>
      </c>
      <c r="I15" s="26"/>
      <c r="J15" s="135">
        <v>56.8</v>
      </c>
      <c r="K15" s="27"/>
      <c r="L15" s="134">
        <f>+J15/H15-1</f>
        <v>0.30275229357798161</v>
      </c>
      <c r="N15" s="135">
        <f>+'Sewer Rate Design'!I9</f>
        <v>25.47</v>
      </c>
      <c r="P15" s="134">
        <f>N15/H15-1</f>
        <v>-0.41582568807339459</v>
      </c>
    </row>
    <row r="16" spans="1:16">
      <c r="A16" s="13">
        <v>3</v>
      </c>
      <c r="B16" s="13"/>
      <c r="C16" s="22"/>
      <c r="D16" s="27"/>
      <c r="E16" s="26"/>
      <c r="F16" s="26"/>
      <c r="G16" s="26"/>
      <c r="H16" s="135"/>
      <c r="I16" s="26"/>
      <c r="J16" s="135"/>
      <c r="K16" s="27"/>
    </row>
    <row r="17" spans="1:16">
      <c r="A17" s="13">
        <v>4</v>
      </c>
      <c r="B17" s="13"/>
      <c r="C17" s="22" t="s">
        <v>43</v>
      </c>
      <c r="D17" s="27"/>
      <c r="E17" s="32"/>
      <c r="F17" s="26"/>
      <c r="G17" s="32"/>
      <c r="H17" s="135"/>
      <c r="I17" s="32"/>
      <c r="J17" s="135"/>
      <c r="K17" s="33"/>
    </row>
    <row r="18" spans="1:16">
      <c r="A18" s="13">
        <v>5</v>
      </c>
      <c r="B18" s="13"/>
      <c r="C18" s="22" t="s">
        <v>87</v>
      </c>
      <c r="D18" s="25">
        <v>6.59</v>
      </c>
      <c r="E18" s="26"/>
      <c r="F18" s="23">
        <v>7.77</v>
      </c>
      <c r="G18" s="26"/>
      <c r="H18" s="135">
        <v>16.41</v>
      </c>
      <c r="I18" s="26"/>
      <c r="J18" s="135"/>
    </row>
    <row r="19" spans="1:16">
      <c r="A19" s="13"/>
      <c r="B19" s="13"/>
      <c r="C19" s="22" t="s">
        <v>221</v>
      </c>
      <c r="D19" s="25"/>
      <c r="E19" s="26"/>
      <c r="F19" s="23"/>
      <c r="G19" s="26"/>
      <c r="H19" s="135"/>
      <c r="I19" s="26"/>
      <c r="J19" s="135">
        <v>21.38</v>
      </c>
      <c r="K19" s="27"/>
      <c r="L19" s="134">
        <f>+J19/H18-1</f>
        <v>0.30286410725167578</v>
      </c>
    </row>
    <row r="20" spans="1:16">
      <c r="A20" s="13"/>
      <c r="B20" s="13"/>
      <c r="C20" s="22" t="str">
        <f>+'Sewer Rate Design'!B52</f>
        <v>0-8k</v>
      </c>
      <c r="D20" s="25"/>
      <c r="E20" s="26"/>
      <c r="F20" s="23"/>
      <c r="G20" s="26"/>
      <c r="H20" s="135"/>
      <c r="I20" s="26"/>
      <c r="J20" s="135"/>
      <c r="K20" s="27"/>
      <c r="L20" s="134"/>
      <c r="N20" s="135">
        <f>+'Sewer Rate Design'!I52</f>
        <v>4.91</v>
      </c>
      <c r="P20" s="134">
        <f>N20/H18-1</f>
        <v>-0.70079219987812302</v>
      </c>
    </row>
    <row r="21" spans="1:16">
      <c r="A21" s="13">
        <v>6</v>
      </c>
      <c r="B21" s="13"/>
      <c r="C21" s="22"/>
      <c r="D21" s="27"/>
      <c r="E21" s="26"/>
      <c r="F21" s="26"/>
      <c r="G21" s="26"/>
      <c r="H21" s="135"/>
      <c r="I21" s="26"/>
      <c r="J21" s="135"/>
      <c r="K21" s="33"/>
    </row>
    <row r="22" spans="1:16">
      <c r="A22" s="13">
        <v>7</v>
      </c>
      <c r="B22" s="13"/>
      <c r="C22" s="22" t="s">
        <v>24</v>
      </c>
      <c r="D22" s="27"/>
      <c r="E22" s="26"/>
      <c r="F22" s="26"/>
      <c r="G22" s="26"/>
      <c r="H22" s="135"/>
      <c r="I22" s="26"/>
      <c r="J22" s="135"/>
      <c r="K22" s="27"/>
    </row>
    <row r="23" spans="1:16">
      <c r="A23" s="13">
        <v>8</v>
      </c>
      <c r="B23" s="13">
        <v>68026</v>
      </c>
      <c r="C23" s="4" t="s">
        <v>46</v>
      </c>
      <c r="D23" s="25">
        <v>29.34</v>
      </c>
      <c r="E23" s="26"/>
      <c r="F23" s="23">
        <v>34.6</v>
      </c>
      <c r="G23" s="26"/>
      <c r="H23" s="135">
        <v>43.6</v>
      </c>
      <c r="I23" s="26"/>
      <c r="J23" s="135">
        <v>56.8</v>
      </c>
      <c r="K23" s="27"/>
      <c r="L23" s="134">
        <f t="shared" ref="L23:L33" si="0">+J23/H23-1</f>
        <v>0.30275229357798161</v>
      </c>
      <c r="N23" s="135">
        <f>+'Sewer Rate Design'!I12</f>
        <v>25.47</v>
      </c>
      <c r="P23" s="134">
        <f t="shared" ref="P23:P33" si="1">N23/H23-1</f>
        <v>-0.41582568807339459</v>
      </c>
    </row>
    <row r="24" spans="1:16">
      <c r="A24" s="13"/>
      <c r="B24" s="13"/>
      <c r="C24" s="4" t="s">
        <v>115</v>
      </c>
      <c r="D24" s="25"/>
      <c r="E24" s="26"/>
      <c r="F24" s="23"/>
      <c r="G24" s="26"/>
      <c r="H24" s="135"/>
      <c r="I24" s="26"/>
      <c r="J24" s="135"/>
      <c r="K24" s="27"/>
      <c r="L24" s="134"/>
      <c r="N24" s="135">
        <f>+'Sewer Rate Design'!I13</f>
        <v>38.21</v>
      </c>
      <c r="P24" s="134"/>
    </row>
    <row r="25" spans="1:16">
      <c r="A25" s="13">
        <v>9</v>
      </c>
      <c r="B25" s="13">
        <v>68027</v>
      </c>
      <c r="C25" s="4" t="s">
        <v>47</v>
      </c>
      <c r="D25" s="25">
        <v>73.349999999999994</v>
      </c>
      <c r="E25" s="26"/>
      <c r="F25" s="23">
        <v>86.5</v>
      </c>
      <c r="G25" s="26"/>
      <c r="H25" s="135">
        <v>109</v>
      </c>
      <c r="I25" s="26"/>
      <c r="J25" s="135">
        <v>142.01</v>
      </c>
      <c r="K25" s="27"/>
      <c r="L25" s="134">
        <f t="shared" si="0"/>
        <v>0.30284403669724758</v>
      </c>
      <c r="N25" s="135">
        <f>+'Sewer Rate Design'!I14</f>
        <v>63.68</v>
      </c>
      <c r="P25" s="134">
        <f t="shared" si="1"/>
        <v>-0.4157798165137615</v>
      </c>
    </row>
    <row r="26" spans="1:16">
      <c r="A26" s="13">
        <v>10</v>
      </c>
      <c r="B26" s="13">
        <v>68028</v>
      </c>
      <c r="C26" s="4" t="s">
        <v>48</v>
      </c>
      <c r="D26" s="23">
        <v>146.69</v>
      </c>
      <c r="E26" s="26"/>
      <c r="F26" s="23">
        <v>173</v>
      </c>
      <c r="G26" s="26"/>
      <c r="H26" s="135">
        <v>218</v>
      </c>
      <c r="I26" s="26"/>
      <c r="J26" s="135">
        <v>284.01</v>
      </c>
      <c r="K26" s="27"/>
      <c r="L26" s="134">
        <f t="shared" si="0"/>
        <v>0.30279816513761459</v>
      </c>
      <c r="N26" s="135">
        <f>+'Sewer Rate Design'!I15</f>
        <v>127.37</v>
      </c>
      <c r="P26" s="134">
        <f t="shared" si="1"/>
        <v>-0.41573394495412841</v>
      </c>
    </row>
    <row r="27" spans="1:16">
      <c r="A27" s="13">
        <v>11</v>
      </c>
      <c r="B27" s="13">
        <v>68029</v>
      </c>
      <c r="C27" s="4" t="s">
        <v>49</v>
      </c>
      <c r="D27" s="25">
        <v>234.71</v>
      </c>
      <c r="E27" s="26"/>
      <c r="F27" s="23">
        <v>276.8</v>
      </c>
      <c r="G27" s="26"/>
      <c r="H27" s="135">
        <v>348.8</v>
      </c>
      <c r="I27" s="26"/>
      <c r="J27" s="135">
        <v>454.42</v>
      </c>
      <c r="K27" s="27"/>
      <c r="L27" s="134">
        <f t="shared" si="0"/>
        <v>0.30280963302752295</v>
      </c>
      <c r="N27" s="135">
        <f>+'Sewer Rate Design'!I16</f>
        <v>203.79</v>
      </c>
      <c r="P27" s="134">
        <f t="shared" si="1"/>
        <v>-0.41573967889908259</v>
      </c>
    </row>
    <row r="28" spans="1:16">
      <c r="A28" s="13">
        <v>12</v>
      </c>
      <c r="B28" s="13">
        <v>68030</v>
      </c>
      <c r="C28" s="4" t="s">
        <v>50</v>
      </c>
      <c r="D28" s="25">
        <v>469.43</v>
      </c>
      <c r="E28" s="26"/>
      <c r="F28" s="23">
        <v>553.6</v>
      </c>
      <c r="G28" s="26"/>
      <c r="H28" s="135">
        <v>697.6</v>
      </c>
      <c r="I28" s="26"/>
      <c r="J28" s="135">
        <v>908.83</v>
      </c>
      <c r="K28" s="33"/>
      <c r="L28" s="134">
        <f t="shared" si="0"/>
        <v>0.30279529816513762</v>
      </c>
      <c r="N28" s="135">
        <f>+'Sewer Rate Design'!I17</f>
        <v>407.57</v>
      </c>
      <c r="P28" s="134">
        <f t="shared" si="1"/>
        <v>-0.41575401376146792</v>
      </c>
    </row>
    <row r="29" spans="1:16">
      <c r="A29" s="13">
        <v>13</v>
      </c>
      <c r="B29" s="13">
        <v>68031</v>
      </c>
      <c r="C29" s="4" t="s">
        <v>51</v>
      </c>
      <c r="D29" s="34">
        <v>733.47</v>
      </c>
      <c r="E29" s="26"/>
      <c r="F29" s="23">
        <v>865</v>
      </c>
      <c r="G29" s="26"/>
      <c r="H29" s="135">
        <v>1090</v>
      </c>
      <c r="I29" s="26"/>
      <c r="J29" s="135">
        <v>1420.05</v>
      </c>
      <c r="K29" s="27"/>
      <c r="L29" s="134">
        <f t="shared" si="0"/>
        <v>0.30279816513761459</v>
      </c>
      <c r="N29" s="135">
        <f>+'Sewer Rate Design'!I18</f>
        <v>636.83000000000004</v>
      </c>
      <c r="P29" s="134">
        <f t="shared" si="1"/>
        <v>-0.4157522935779816</v>
      </c>
    </row>
    <row r="30" spans="1:16">
      <c r="A30" s="13">
        <v>14</v>
      </c>
      <c r="B30" s="13">
        <v>68032</v>
      </c>
      <c r="C30" s="4" t="s">
        <v>52</v>
      </c>
      <c r="D30" s="25">
        <v>1466.94</v>
      </c>
      <c r="E30" s="26"/>
      <c r="F30" s="23">
        <v>1730</v>
      </c>
      <c r="G30" s="26"/>
      <c r="H30" s="135">
        <v>2180</v>
      </c>
      <c r="I30" s="26"/>
      <c r="J30" s="135">
        <v>2840.1</v>
      </c>
      <c r="K30" s="27"/>
      <c r="L30" s="134">
        <f t="shared" si="0"/>
        <v>0.30279816513761459</v>
      </c>
      <c r="N30" s="135">
        <f>+'Sewer Rate Design'!I19</f>
        <v>1273.6600000000001</v>
      </c>
      <c r="P30" s="134">
        <f t="shared" si="1"/>
        <v>-0.4157522935779816</v>
      </c>
    </row>
    <row r="31" spans="1:16">
      <c r="A31" s="13">
        <v>15</v>
      </c>
      <c r="B31" s="13">
        <v>68033</v>
      </c>
      <c r="C31" s="4"/>
      <c r="D31" s="27"/>
      <c r="E31" s="26"/>
      <c r="F31" s="26"/>
      <c r="G31" s="26"/>
      <c r="H31" s="135"/>
      <c r="I31" s="26"/>
      <c r="J31" s="135"/>
      <c r="K31" s="33"/>
      <c r="L31" s="134"/>
      <c r="N31" s="135"/>
      <c r="P31" s="134"/>
    </row>
    <row r="32" spans="1:16">
      <c r="A32" s="13">
        <v>16</v>
      </c>
      <c r="B32" s="13"/>
      <c r="C32" s="22"/>
      <c r="D32" s="27"/>
      <c r="E32" s="26"/>
      <c r="F32" s="26"/>
      <c r="G32" s="26"/>
      <c r="H32" s="135"/>
      <c r="I32" s="26"/>
      <c r="J32" s="135"/>
      <c r="K32" s="27"/>
      <c r="L32" s="134"/>
      <c r="N32" s="135"/>
      <c r="P32" s="134"/>
    </row>
    <row r="33" spans="1:16">
      <c r="A33" s="13">
        <v>17</v>
      </c>
      <c r="B33" s="13"/>
      <c r="C33" s="22" t="s">
        <v>43</v>
      </c>
      <c r="D33" s="25">
        <v>7.92</v>
      </c>
      <c r="E33" s="26"/>
      <c r="F33" s="23">
        <v>9.34</v>
      </c>
      <c r="G33" s="26"/>
      <c r="H33" s="135">
        <v>19.690000000000001</v>
      </c>
      <c r="I33" s="26"/>
      <c r="J33" s="135">
        <v>25.65</v>
      </c>
      <c r="K33" s="27"/>
      <c r="L33" s="134">
        <f t="shared" si="0"/>
        <v>0.3026917216861349</v>
      </c>
      <c r="N33" s="135">
        <f>+'Sewer Rate Design'!I55</f>
        <v>5.65</v>
      </c>
      <c r="P33" s="134">
        <f t="shared" si="1"/>
        <v>-0.71305231081767395</v>
      </c>
    </row>
    <row r="34" spans="1:16">
      <c r="A34" s="13"/>
      <c r="B34" s="13"/>
      <c r="C34" s="22"/>
      <c r="D34" s="27"/>
      <c r="E34" s="26"/>
      <c r="F34" s="26"/>
      <c r="G34" s="26"/>
      <c r="H34" s="27"/>
      <c r="I34" s="26"/>
      <c r="J34" s="26"/>
      <c r="K34" s="27"/>
    </row>
    <row r="35" spans="1:16" s="50" customFormat="1">
      <c r="A35" s="13"/>
      <c r="B35" s="13"/>
      <c r="C35" s="22"/>
      <c r="D35" s="33"/>
      <c r="E35" s="49"/>
      <c r="F35" s="49"/>
      <c r="G35" s="49"/>
      <c r="H35" s="33"/>
      <c r="I35" s="49"/>
      <c r="J35" s="49"/>
      <c r="K35" s="27"/>
      <c r="L35" s="4"/>
    </row>
    <row r="36" spans="1:16">
      <c r="A36" s="13"/>
      <c r="B36" s="13"/>
      <c r="C36" s="22"/>
      <c r="D36" s="27"/>
      <c r="E36" s="49"/>
      <c r="F36" s="49"/>
      <c r="G36" s="49"/>
      <c r="H36" s="27"/>
      <c r="I36" s="49"/>
      <c r="J36" s="49"/>
      <c r="K36" s="27"/>
    </row>
    <row r="37" spans="1:16">
      <c r="A37" s="13"/>
      <c r="B37" s="13"/>
      <c r="C37" s="22"/>
      <c r="D37" s="27"/>
      <c r="E37" s="49"/>
      <c r="F37" s="49"/>
      <c r="G37" s="49"/>
      <c r="H37" s="27"/>
      <c r="I37" s="49"/>
      <c r="J37" s="49"/>
      <c r="K37" s="33"/>
    </row>
    <row r="38" spans="1:16">
      <c r="A38" s="13"/>
      <c r="B38" s="13"/>
      <c r="C38" s="51"/>
      <c r="D38" s="27"/>
      <c r="E38" s="49"/>
      <c r="F38" s="49"/>
      <c r="G38" s="49"/>
      <c r="H38" s="27"/>
      <c r="I38" s="49"/>
      <c r="J38" s="49"/>
      <c r="K38" s="27"/>
    </row>
    <row r="39" spans="1:16">
      <c r="A39" s="13"/>
      <c r="B39" s="13"/>
      <c r="C39" s="28"/>
      <c r="D39" s="27"/>
      <c r="E39" s="49"/>
      <c r="F39" s="49"/>
      <c r="G39" s="49"/>
      <c r="H39" s="27"/>
      <c r="I39" s="49"/>
      <c r="J39" s="49"/>
      <c r="K39" s="27"/>
    </row>
    <row r="40" spans="1:16">
      <c r="A40" s="13"/>
      <c r="B40" s="13"/>
      <c r="C40" s="4"/>
      <c r="D40" s="27"/>
      <c r="E40" s="49"/>
      <c r="F40" s="49"/>
      <c r="G40" s="49"/>
      <c r="H40" s="27"/>
      <c r="I40" s="49"/>
      <c r="J40" s="49"/>
      <c r="K40" s="27"/>
    </row>
    <row r="41" spans="1:16">
      <c r="A41" s="13"/>
      <c r="C41" s="30"/>
      <c r="D41" s="27"/>
      <c r="E41" s="32"/>
      <c r="F41" s="32"/>
      <c r="G41" s="32"/>
      <c r="H41" s="27"/>
      <c r="I41" s="32"/>
      <c r="J41" s="32"/>
      <c r="K41" s="27"/>
    </row>
    <row r="42" spans="1:16">
      <c r="A42" s="13"/>
      <c r="B42" s="13"/>
      <c r="C42" s="22"/>
      <c r="D42" s="26"/>
      <c r="E42" s="26"/>
      <c r="F42" s="26"/>
      <c r="G42" s="26"/>
      <c r="H42" s="26"/>
      <c r="I42" s="26"/>
      <c r="J42" s="26"/>
      <c r="K42" s="27"/>
    </row>
    <row r="43" spans="1:16">
      <c r="A43" s="13"/>
      <c r="B43" s="13"/>
      <c r="C43" s="22"/>
      <c r="D43" s="33"/>
      <c r="E43" s="26"/>
      <c r="F43" s="26"/>
      <c r="G43" s="26"/>
      <c r="H43" s="33"/>
      <c r="I43" s="26"/>
      <c r="J43" s="26"/>
      <c r="K43" s="27"/>
    </row>
    <row r="44" spans="1:16">
      <c r="A44" s="13"/>
      <c r="B44" s="13"/>
      <c r="C44" s="22"/>
      <c r="D44" s="26"/>
      <c r="E44" s="26"/>
      <c r="F44" s="26"/>
      <c r="G44" s="26"/>
      <c r="H44" s="26"/>
      <c r="I44" s="26"/>
      <c r="J44" s="26"/>
      <c r="K44" s="27"/>
    </row>
    <row r="45" spans="1:16">
      <c r="A45" s="13"/>
      <c r="B45" s="13"/>
      <c r="C45" s="22"/>
      <c r="D45" s="26"/>
      <c r="E45" s="26"/>
      <c r="F45" s="26"/>
      <c r="G45" s="26"/>
      <c r="H45" s="26"/>
      <c r="I45" s="26"/>
      <c r="J45" s="26"/>
      <c r="K45" s="33"/>
    </row>
    <row r="46" spans="1:16">
      <c r="A46" s="13"/>
      <c r="B46" s="13"/>
      <c r="C46" s="22"/>
      <c r="D46" s="27"/>
      <c r="E46" s="26"/>
      <c r="F46" s="26"/>
      <c r="G46" s="26"/>
      <c r="H46" s="27"/>
      <c r="I46" s="26"/>
      <c r="J46" s="26"/>
      <c r="K46" s="26"/>
    </row>
    <row r="47" spans="1:16">
      <c r="A47" s="13"/>
      <c r="B47" s="13"/>
      <c r="C47" s="22"/>
      <c r="D47" s="27"/>
      <c r="E47" s="26"/>
      <c r="F47" s="26"/>
      <c r="G47" s="26"/>
      <c r="H47" s="27"/>
      <c r="I47" s="26"/>
      <c r="J47" s="26"/>
      <c r="K47" s="27"/>
    </row>
    <row r="48" spans="1:16">
      <c r="A48" s="13"/>
      <c r="B48" s="13"/>
      <c r="C48" s="22"/>
      <c r="D48" s="33"/>
      <c r="E48" s="32"/>
      <c r="F48" s="26"/>
      <c r="G48" s="32"/>
      <c r="H48" s="33"/>
      <c r="I48" s="32"/>
      <c r="J48" s="26"/>
      <c r="K48" s="27"/>
    </row>
    <row r="49" spans="1:12">
      <c r="A49" s="13"/>
      <c r="B49" s="13"/>
      <c r="C49" s="22"/>
      <c r="D49" s="27"/>
      <c r="E49" s="32"/>
      <c r="F49" s="49"/>
      <c r="G49" s="32"/>
      <c r="H49" s="27"/>
      <c r="I49" s="32"/>
      <c r="J49" s="49"/>
      <c r="K49" s="27"/>
    </row>
    <row r="50" spans="1:12">
      <c r="A50" s="13"/>
      <c r="B50" s="13"/>
      <c r="C50" s="22"/>
      <c r="D50" s="27"/>
      <c r="E50" s="32"/>
      <c r="F50" s="49"/>
      <c r="G50" s="32"/>
      <c r="H50" s="27"/>
      <c r="I50" s="32"/>
      <c r="J50" s="49"/>
      <c r="K50" s="33"/>
    </row>
    <row r="51" spans="1:12">
      <c r="A51" s="13"/>
      <c r="B51" s="13"/>
      <c r="C51" s="22"/>
      <c r="D51" s="27"/>
      <c r="E51" s="49"/>
      <c r="F51" s="49"/>
      <c r="G51" s="49"/>
      <c r="H51" s="27"/>
      <c r="I51" s="49"/>
      <c r="J51" s="49"/>
      <c r="K51" s="27"/>
    </row>
    <row r="52" spans="1:12">
      <c r="A52" s="13"/>
      <c r="B52" s="13"/>
      <c r="C52" s="22"/>
      <c r="D52" s="27"/>
      <c r="E52" s="26"/>
      <c r="F52" s="26"/>
      <c r="G52" s="26"/>
      <c r="H52" s="27"/>
      <c r="I52" s="26"/>
      <c r="J52" s="26"/>
      <c r="K52" s="27"/>
    </row>
    <row r="53" spans="1:12">
      <c r="A53" s="13"/>
      <c r="B53" s="13"/>
      <c r="C53" s="28"/>
      <c r="D53" s="27"/>
      <c r="E53" s="32"/>
      <c r="F53" s="49"/>
      <c r="G53" s="32"/>
      <c r="H53" s="27"/>
      <c r="I53" s="32"/>
      <c r="J53" s="49"/>
      <c r="K53" s="27"/>
    </row>
    <row r="54" spans="1:12">
      <c r="A54" s="13"/>
      <c r="B54" s="13"/>
      <c r="C54" s="4"/>
      <c r="D54" s="27"/>
      <c r="E54" s="32"/>
      <c r="F54" s="32"/>
      <c r="G54" s="32"/>
      <c r="H54" s="27"/>
      <c r="I54" s="32"/>
      <c r="J54" s="32"/>
      <c r="K54" s="27"/>
    </row>
    <row r="55" spans="1:12">
      <c r="A55" s="45"/>
      <c r="B55" s="45"/>
      <c r="C55" s="30"/>
      <c r="D55" s="36"/>
      <c r="E55" s="52"/>
      <c r="F55" s="52"/>
      <c r="G55" s="52"/>
      <c r="H55" s="36"/>
      <c r="I55" s="52"/>
      <c r="J55" s="52"/>
      <c r="K55" s="36"/>
      <c r="L55" s="50"/>
    </row>
    <row r="56" spans="1:12">
      <c r="A56" s="45"/>
      <c r="B56" s="45"/>
      <c r="C56" s="22"/>
      <c r="D56" s="36"/>
      <c r="E56" s="52"/>
      <c r="F56" s="52"/>
      <c r="G56" s="52"/>
      <c r="H56" s="36"/>
      <c r="I56" s="52"/>
      <c r="J56" s="52"/>
      <c r="K56" s="36"/>
      <c r="L56" s="50"/>
    </row>
    <row r="57" spans="1:12">
      <c r="A57" s="45"/>
      <c r="B57" s="45"/>
      <c r="C57" s="28"/>
      <c r="D57" s="36"/>
      <c r="E57" s="52"/>
      <c r="F57" s="52"/>
      <c r="G57" s="52"/>
      <c r="H57" s="36"/>
      <c r="I57" s="52"/>
      <c r="J57" s="52"/>
      <c r="K57" s="36"/>
      <c r="L57" s="50"/>
    </row>
    <row r="58" spans="1:12">
      <c r="A58" s="45"/>
      <c r="B58" s="45"/>
      <c r="C58" s="50"/>
      <c r="D58" s="50"/>
      <c r="E58" s="50"/>
      <c r="F58" s="50"/>
      <c r="G58" s="50"/>
      <c r="H58" s="50"/>
      <c r="I58" s="50"/>
      <c r="J58" s="50"/>
      <c r="K58" s="53"/>
      <c r="L58" s="50"/>
    </row>
    <row r="59" spans="1:12">
      <c r="A59" s="13"/>
      <c r="B59" s="13"/>
      <c r="C59" s="4"/>
      <c r="K59" s="21"/>
    </row>
    <row r="60" spans="1:12">
      <c r="A60" s="13"/>
      <c r="B60" s="13"/>
      <c r="C60" s="4"/>
      <c r="K60" s="21"/>
    </row>
    <row r="61" spans="1:12">
      <c r="A61" s="13"/>
      <c r="B61" s="13"/>
      <c r="J61" s="54"/>
      <c r="K61" s="21"/>
    </row>
    <row r="62" spans="1:12">
      <c r="A62" s="37"/>
      <c r="B62" s="37"/>
      <c r="C62" s="38"/>
      <c r="D62" s="39"/>
      <c r="E62" s="39"/>
      <c r="F62" s="39"/>
      <c r="G62" s="39"/>
      <c r="H62" s="39"/>
      <c r="I62" s="39"/>
      <c r="J62" s="40"/>
      <c r="K62" s="40"/>
    </row>
    <row r="63" spans="1:12">
      <c r="A63" s="13"/>
      <c r="B63" s="13"/>
      <c r="J63" s="21"/>
      <c r="K63" s="21"/>
    </row>
    <row r="64" spans="1:12">
      <c r="J64" s="21"/>
      <c r="K64" s="21"/>
    </row>
    <row r="65" spans="10:11">
      <c r="J65" s="21"/>
      <c r="K65" s="21"/>
    </row>
    <row r="66" spans="10:11">
      <c r="J66" s="21"/>
      <c r="K66" s="21"/>
    </row>
    <row r="67" spans="10:11">
      <c r="J67" s="21"/>
      <c r="K67" s="21"/>
    </row>
    <row r="68" spans="10:11">
      <c r="J68" s="21"/>
      <c r="K68" s="21"/>
    </row>
    <row r="69" spans="10:11">
      <c r="J69" s="21"/>
      <c r="K69" s="21"/>
    </row>
    <row r="70" spans="10:11">
      <c r="J70" s="21"/>
      <c r="K70" s="21"/>
    </row>
    <row r="71" spans="10:11">
      <c r="J71" s="21"/>
      <c r="K71" s="21"/>
    </row>
    <row r="72" spans="10:11">
      <c r="J72" s="21"/>
      <c r="K72" s="21"/>
    </row>
    <row r="73" spans="10:11">
      <c r="J73" s="21"/>
      <c r="K73" s="21"/>
    </row>
    <row r="74" spans="10:11">
      <c r="J74" s="21"/>
      <c r="K74" s="21"/>
    </row>
    <row r="75" spans="10:11">
      <c r="J75" s="21"/>
      <c r="K75" s="21"/>
    </row>
    <row r="76" spans="10:11">
      <c r="J76" s="21"/>
      <c r="K76" s="21"/>
    </row>
    <row r="77" spans="10:11">
      <c r="J77" s="21"/>
      <c r="K77" s="21"/>
    </row>
    <row r="78" spans="10:11">
      <c r="J78" s="21"/>
      <c r="K78" s="21"/>
    </row>
    <row r="79" spans="10:11">
      <c r="J79" s="21"/>
      <c r="K79" s="21"/>
    </row>
    <row r="80" spans="10:11">
      <c r="J80" s="21"/>
      <c r="K80" s="21"/>
    </row>
    <row r="118" spans="10:10">
      <c r="J118" s="42"/>
    </row>
    <row r="121" spans="10:10">
      <c r="J121" s="42"/>
    </row>
    <row r="244" spans="1:9">
      <c r="A244" s="43"/>
      <c r="B244" s="43"/>
      <c r="C244" s="44"/>
      <c r="D244" s="43"/>
      <c r="E244" s="43"/>
      <c r="F244" s="43"/>
      <c r="G244" s="43"/>
      <c r="H244" s="43"/>
      <c r="I244" s="43"/>
    </row>
    <row r="245" spans="1:9">
      <c r="A245" s="43"/>
      <c r="B245" s="43"/>
      <c r="C245" s="44"/>
      <c r="D245" s="43"/>
      <c r="E245" s="43"/>
      <c r="F245" s="43"/>
      <c r="G245" s="43"/>
      <c r="H245" s="43"/>
      <c r="I245" s="43"/>
    </row>
    <row r="246" spans="1:9">
      <c r="A246" s="43"/>
      <c r="B246" s="43"/>
      <c r="C246" s="44"/>
      <c r="D246" s="43"/>
      <c r="E246" s="43"/>
      <c r="F246" s="43"/>
      <c r="G246" s="43"/>
      <c r="H246" s="43"/>
      <c r="I246" s="43"/>
    </row>
    <row r="247" spans="1:9">
      <c r="A247" s="43"/>
      <c r="B247" s="43"/>
      <c r="C247" s="44"/>
      <c r="D247" s="43"/>
      <c r="E247" s="43"/>
      <c r="F247" s="43"/>
      <c r="G247" s="43"/>
      <c r="H247" s="43"/>
      <c r="I247" s="43"/>
    </row>
    <row r="248" spans="1:9">
      <c r="A248" s="43"/>
      <c r="B248" s="43"/>
      <c r="C248" s="44"/>
      <c r="D248" s="43"/>
      <c r="E248" s="43"/>
      <c r="F248" s="43"/>
      <c r="G248" s="43"/>
      <c r="H248" s="43"/>
      <c r="I248" s="43"/>
    </row>
    <row r="278" spans="1:9">
      <c r="A278" s="43"/>
      <c r="B278" s="43"/>
      <c r="C278" s="44"/>
      <c r="D278" s="43"/>
      <c r="E278" s="43"/>
      <c r="F278" s="43"/>
      <c r="G278" s="43"/>
      <c r="H278" s="43"/>
      <c r="I278" s="43"/>
    </row>
    <row r="347" spans="1:2">
      <c r="A347" s="1"/>
      <c r="B347" s="1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</sheetData>
  <pageMargins left="0.7" right="0.7" top="0.75" bottom="0.75" header="0.3" footer="0.3"/>
  <pageSetup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1"/>
  <sheetViews>
    <sheetView zoomScaleNormal="100" workbookViewId="0">
      <selection activeCell="L28" sqref="L28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hidden="1" customWidth="1"/>
    <col min="8" max="8" width="11.7109375" style="4" hidden="1" customWidth="1"/>
    <col min="9" max="9" width="2.7109375" style="4" customWidth="1"/>
    <col min="10" max="10" width="11.7109375" style="4" customWidth="1"/>
    <col min="11" max="11" width="2.7109375" style="4" customWidth="1"/>
    <col min="12" max="12" width="11.7109375" style="4" customWidth="1"/>
    <col min="13" max="13" width="1.7109375" style="4" customWidth="1"/>
    <col min="14" max="14" width="10.85546875" style="4"/>
    <col min="15" max="15" width="1.7109375" style="4" customWidth="1"/>
    <col min="16" max="16" width="10.85546875" style="4"/>
    <col min="17" max="17" width="1.7109375" style="4" customWidth="1"/>
    <col min="18" max="16384" width="10.85546875" style="4"/>
  </cols>
  <sheetData>
    <row r="1" spans="1:18">
      <c r="A1" s="1" t="s">
        <v>0</v>
      </c>
      <c r="B1" s="1"/>
      <c r="C1" s="2"/>
      <c r="D1" s="1"/>
      <c r="E1" s="1"/>
      <c r="F1" s="1"/>
      <c r="G1" s="1"/>
      <c r="H1" s="1"/>
      <c r="I1" s="1"/>
      <c r="J1" s="3" t="s">
        <v>1</v>
      </c>
      <c r="L1" s="3"/>
    </row>
    <row r="2" spans="1:18">
      <c r="A2" s="1"/>
      <c r="B2" s="1"/>
      <c r="C2" s="2"/>
      <c r="D2" s="1"/>
      <c r="E2" s="1"/>
      <c r="F2" s="1"/>
      <c r="G2" s="1"/>
      <c r="H2" s="1"/>
      <c r="I2" s="1"/>
      <c r="J2" s="3"/>
      <c r="L2" s="3"/>
    </row>
    <row r="3" spans="1:18">
      <c r="A3" s="1" t="s">
        <v>148</v>
      </c>
      <c r="B3" s="1"/>
      <c r="C3" s="2"/>
      <c r="D3" s="1"/>
      <c r="E3" s="1"/>
      <c r="F3" s="1"/>
      <c r="G3" s="1"/>
      <c r="H3" s="1"/>
      <c r="I3" s="1"/>
      <c r="J3" s="3" t="s">
        <v>2</v>
      </c>
      <c r="L3" s="3"/>
    </row>
    <row r="4" spans="1:18">
      <c r="A4" s="1" t="s">
        <v>34</v>
      </c>
      <c r="B4" s="1"/>
      <c r="C4" s="2"/>
      <c r="D4" s="1"/>
      <c r="E4" s="1"/>
      <c r="F4" s="1"/>
      <c r="G4" s="1"/>
      <c r="H4" s="1"/>
      <c r="I4" s="1"/>
      <c r="J4" s="5" t="s">
        <v>3</v>
      </c>
      <c r="L4" s="3"/>
    </row>
    <row r="5" spans="1:18">
      <c r="A5" s="1" t="s">
        <v>4</v>
      </c>
      <c r="B5" s="1"/>
      <c r="C5" s="2"/>
      <c r="D5" s="1"/>
      <c r="E5" s="1"/>
      <c r="F5" s="1"/>
      <c r="G5" s="1"/>
      <c r="H5" s="1"/>
      <c r="I5" s="1"/>
      <c r="J5" s="3" t="s">
        <v>5</v>
      </c>
      <c r="L5" s="3"/>
    </row>
    <row r="6" spans="1:18">
      <c r="A6" s="1" t="s">
        <v>6</v>
      </c>
      <c r="B6" s="1"/>
      <c r="C6" s="2"/>
      <c r="D6" s="1"/>
      <c r="E6" s="1"/>
      <c r="F6" s="1"/>
      <c r="G6" s="1"/>
      <c r="H6" s="1"/>
      <c r="I6" s="1"/>
      <c r="J6" s="3"/>
      <c r="K6" s="3"/>
      <c r="L6" s="3"/>
    </row>
    <row r="7" spans="1:18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8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8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R9" s="7"/>
    </row>
    <row r="10" spans="1:18">
      <c r="A10" s="9"/>
      <c r="B10" s="10" t="s">
        <v>9</v>
      </c>
      <c r="C10" s="11">
        <v>-1</v>
      </c>
      <c r="D10" s="12">
        <v>-2</v>
      </c>
      <c r="E10" s="12"/>
      <c r="F10" s="12">
        <v>-3</v>
      </c>
      <c r="G10" s="12"/>
      <c r="H10" s="12">
        <v>-4</v>
      </c>
      <c r="I10" s="13"/>
      <c r="J10" s="11"/>
      <c r="L10" s="11"/>
      <c r="M10" s="11"/>
      <c r="N10" s="11"/>
      <c r="O10" s="11"/>
      <c r="P10" s="11"/>
      <c r="R10" s="11"/>
    </row>
    <row r="11" spans="1:18">
      <c r="C11" s="2"/>
      <c r="D11" s="13" t="s">
        <v>10</v>
      </c>
      <c r="E11" s="1"/>
      <c r="F11" s="13" t="s">
        <v>10</v>
      </c>
      <c r="G11" s="1"/>
      <c r="H11" s="13" t="s">
        <v>10</v>
      </c>
      <c r="I11" s="1"/>
      <c r="K11" s="13"/>
      <c r="L11" s="13"/>
      <c r="M11" s="13"/>
      <c r="N11" s="13" t="s">
        <v>216</v>
      </c>
      <c r="P11" s="13" t="s">
        <v>217</v>
      </c>
      <c r="R11" s="13" t="s">
        <v>216</v>
      </c>
    </row>
    <row r="12" spans="1:18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13</v>
      </c>
      <c r="I12" s="1"/>
      <c r="J12" s="13" t="s">
        <v>11</v>
      </c>
      <c r="K12" s="13"/>
      <c r="L12" s="13" t="s">
        <v>15</v>
      </c>
      <c r="M12" s="13"/>
      <c r="N12" s="13" t="s">
        <v>218</v>
      </c>
      <c r="P12" s="13" t="s">
        <v>219</v>
      </c>
      <c r="R12" s="13" t="s">
        <v>218</v>
      </c>
    </row>
    <row r="13" spans="1:18">
      <c r="A13" s="14" t="s">
        <v>16</v>
      </c>
      <c r="B13" s="15" t="s">
        <v>17</v>
      </c>
      <c r="C13" s="16" t="s">
        <v>18</v>
      </c>
      <c r="D13" s="17" t="s">
        <v>88</v>
      </c>
      <c r="E13" s="57"/>
      <c r="F13" s="17" t="s">
        <v>89</v>
      </c>
      <c r="G13" s="57"/>
      <c r="H13" s="17" t="s">
        <v>90</v>
      </c>
      <c r="I13" s="17"/>
      <c r="J13" s="129" t="s">
        <v>14</v>
      </c>
      <c r="K13" s="131"/>
      <c r="L13" s="132" t="s">
        <v>14</v>
      </c>
      <c r="M13" s="130"/>
      <c r="N13" s="133" t="s">
        <v>220</v>
      </c>
      <c r="P13" s="132" t="s">
        <v>14</v>
      </c>
      <c r="R13" s="132" t="s">
        <v>220</v>
      </c>
    </row>
    <row r="14" spans="1:18">
      <c r="A14" s="13">
        <v>1</v>
      </c>
      <c r="B14" s="13"/>
      <c r="C14" s="19" t="s">
        <v>21</v>
      </c>
      <c r="D14" s="20"/>
      <c r="E14" s="20"/>
      <c r="F14" s="20"/>
      <c r="G14" s="20"/>
      <c r="H14" s="20"/>
      <c r="J14" s="21"/>
      <c r="K14" s="21"/>
      <c r="L14" s="21"/>
    </row>
    <row r="15" spans="1:18">
      <c r="A15" s="13">
        <v>2</v>
      </c>
      <c r="B15" s="13">
        <v>68021</v>
      </c>
      <c r="C15" s="22" t="s">
        <v>22</v>
      </c>
      <c r="D15" s="23">
        <v>12.45</v>
      </c>
      <c r="E15" s="24"/>
      <c r="F15" s="23">
        <v>14.98</v>
      </c>
      <c r="G15" s="24"/>
      <c r="H15" s="23">
        <v>15.09</v>
      </c>
      <c r="I15" s="26"/>
      <c r="J15" s="135">
        <v>15.19</v>
      </c>
      <c r="K15" s="27"/>
      <c r="L15" s="135">
        <v>24.1</v>
      </c>
      <c r="N15" s="134">
        <f>+L15/J15-1</f>
        <v>0.58657011191573427</v>
      </c>
      <c r="P15" s="135">
        <f>+'Sewer Rate Design'!I9</f>
        <v>25.47</v>
      </c>
      <c r="R15" s="134">
        <f>+P15/J15-1</f>
        <v>0.67676102699144169</v>
      </c>
    </row>
    <row r="16" spans="1:18">
      <c r="A16" s="13">
        <v>3</v>
      </c>
      <c r="B16" s="13"/>
      <c r="C16" s="4"/>
      <c r="D16" s="24"/>
      <c r="E16" s="24"/>
      <c r="F16" s="26"/>
      <c r="G16" s="24"/>
      <c r="H16" s="27"/>
      <c r="I16" s="26"/>
      <c r="K16" s="27"/>
    </row>
    <row r="17" spans="1:18">
      <c r="A17" s="13">
        <v>4</v>
      </c>
      <c r="B17" s="13"/>
      <c r="C17" s="28" t="s">
        <v>55</v>
      </c>
      <c r="D17" s="23">
        <v>1.99</v>
      </c>
      <c r="E17" s="24"/>
      <c r="F17" s="23">
        <v>1.87</v>
      </c>
      <c r="G17" s="24"/>
      <c r="H17" s="25">
        <v>1.88</v>
      </c>
      <c r="I17" s="26"/>
      <c r="J17" s="135">
        <v>1.89</v>
      </c>
      <c r="K17" s="27"/>
      <c r="L17" s="135">
        <v>3</v>
      </c>
      <c r="N17" s="134">
        <f>+L17/J17-1</f>
        <v>0.58730158730158744</v>
      </c>
    </row>
    <row r="18" spans="1:18">
      <c r="A18" s="13"/>
      <c r="B18" s="13"/>
      <c r="C18" s="28" t="str">
        <f>+'Sewer Rate Design'!B52</f>
        <v>0-8k</v>
      </c>
      <c r="D18" s="23"/>
      <c r="E18" s="24"/>
      <c r="F18" s="23"/>
      <c r="G18" s="24"/>
      <c r="H18" s="25"/>
      <c r="I18" s="26"/>
      <c r="J18" s="135"/>
      <c r="K18" s="27"/>
      <c r="L18" s="135"/>
      <c r="N18" s="134"/>
      <c r="P18" s="135">
        <f>+'Sewer Rate Design'!I52</f>
        <v>4.91</v>
      </c>
    </row>
    <row r="19" spans="1:18">
      <c r="A19" s="13">
        <v>5</v>
      </c>
      <c r="B19" s="13"/>
      <c r="C19" s="28"/>
      <c r="D19" s="28"/>
      <c r="E19" s="28"/>
      <c r="F19" s="28"/>
      <c r="G19" s="28"/>
      <c r="H19" s="28"/>
      <c r="I19" s="28"/>
      <c r="K19" s="27"/>
    </row>
    <row r="20" spans="1:18">
      <c r="A20" s="13">
        <v>6</v>
      </c>
      <c r="B20" s="13"/>
      <c r="C20" s="22" t="s">
        <v>59</v>
      </c>
      <c r="D20" s="23">
        <v>0</v>
      </c>
      <c r="E20" s="24"/>
      <c r="F20" s="23">
        <v>21.78</v>
      </c>
      <c r="G20" s="24"/>
      <c r="H20" s="25">
        <v>21.94</v>
      </c>
      <c r="I20" s="26"/>
      <c r="J20" s="135">
        <v>22.08</v>
      </c>
      <c r="K20" s="27"/>
      <c r="L20" s="135">
        <v>35.03</v>
      </c>
      <c r="N20" s="134">
        <f>+L20/J20-1</f>
        <v>0.58650362318840599</v>
      </c>
      <c r="P20" s="135">
        <f>+'Sewer Rate Design'!I24</f>
        <v>35.659999999999997</v>
      </c>
      <c r="R20" s="134">
        <f>+P20/J20-1</f>
        <v>0.61503623188405787</v>
      </c>
    </row>
    <row r="21" spans="1:18">
      <c r="A21" s="13">
        <v>7</v>
      </c>
      <c r="B21" s="13"/>
      <c r="C21" s="28"/>
      <c r="D21" s="29"/>
      <c r="E21" s="24"/>
      <c r="F21" s="29"/>
      <c r="G21" s="24"/>
      <c r="H21" s="29"/>
      <c r="I21" s="26"/>
      <c r="K21" s="27"/>
    </row>
    <row r="22" spans="1:18">
      <c r="A22" s="13">
        <v>8</v>
      </c>
      <c r="B22" s="13"/>
      <c r="C22" s="19" t="s">
        <v>91</v>
      </c>
      <c r="D22" s="20"/>
      <c r="E22" s="20"/>
      <c r="F22" s="20"/>
      <c r="G22" s="20"/>
      <c r="H22" s="20"/>
      <c r="K22" s="21"/>
    </row>
    <row r="23" spans="1:18">
      <c r="A23" s="13">
        <v>9</v>
      </c>
      <c r="B23" s="13"/>
      <c r="C23" s="22" t="s">
        <v>22</v>
      </c>
      <c r="D23" s="23">
        <v>4.5</v>
      </c>
      <c r="E23" s="26"/>
      <c r="F23" s="23">
        <v>4.6399999999999997</v>
      </c>
      <c r="G23" s="24"/>
      <c r="H23" s="23">
        <v>4.67</v>
      </c>
      <c r="I23" s="26"/>
      <c r="J23" s="135">
        <v>4.7</v>
      </c>
      <c r="K23" s="27"/>
      <c r="L23" s="135">
        <v>7.46</v>
      </c>
      <c r="N23" s="134">
        <f>+L23/J23-1</f>
        <v>0.58723404255319145</v>
      </c>
      <c r="P23" s="135">
        <f>+'Sewer Rate Design'!I23</f>
        <v>7.64</v>
      </c>
      <c r="R23" s="134">
        <f>+P23/J23-1</f>
        <v>0.62553191489361692</v>
      </c>
    </row>
    <row r="24" spans="1:18">
      <c r="A24" s="13">
        <v>10</v>
      </c>
      <c r="B24" s="13"/>
      <c r="C24" s="4"/>
      <c r="D24" s="26"/>
      <c r="E24" s="26"/>
      <c r="F24" s="26"/>
      <c r="G24" s="24"/>
      <c r="H24" s="27"/>
      <c r="I24" s="26"/>
      <c r="K24" s="27"/>
    </row>
    <row r="25" spans="1:18">
      <c r="A25" s="13">
        <v>11</v>
      </c>
      <c r="B25" s="13"/>
      <c r="C25" s="55" t="s">
        <v>61</v>
      </c>
      <c r="D25" s="23">
        <v>0.45</v>
      </c>
      <c r="E25" s="26"/>
      <c r="F25" s="23">
        <v>0.47</v>
      </c>
      <c r="G25" s="24"/>
      <c r="H25" s="25">
        <v>0.47</v>
      </c>
      <c r="I25" s="26"/>
      <c r="J25" s="135">
        <v>0.47</v>
      </c>
      <c r="K25" s="27"/>
      <c r="L25" s="135">
        <v>0.75</v>
      </c>
      <c r="N25" s="134">
        <f>+L25/J25-1</f>
        <v>0.59574468085106402</v>
      </c>
      <c r="P25" s="135">
        <f>+'Sewer Rate Design'!I60</f>
        <v>1.45</v>
      </c>
      <c r="R25" s="134">
        <f>+P25/J25-1</f>
        <v>2.0851063829787235</v>
      </c>
    </row>
    <row r="26" spans="1:18">
      <c r="A26" s="13">
        <v>12</v>
      </c>
      <c r="B26" s="13"/>
      <c r="C26" s="28"/>
      <c r="D26" s="20"/>
      <c r="E26" s="20"/>
      <c r="F26" s="20"/>
      <c r="G26" s="20"/>
      <c r="H26" s="20"/>
      <c r="I26" s="20"/>
      <c r="K26" s="27"/>
    </row>
    <row r="27" spans="1:18">
      <c r="A27" s="13">
        <v>13</v>
      </c>
      <c r="C27" s="30" t="s">
        <v>92</v>
      </c>
      <c r="D27" s="31"/>
      <c r="E27" s="31"/>
      <c r="F27" s="31"/>
      <c r="G27" s="31"/>
      <c r="H27" s="29"/>
      <c r="I27" s="32"/>
      <c r="K27" s="27"/>
    </row>
    <row r="28" spans="1:18">
      <c r="A28" s="13">
        <v>14</v>
      </c>
      <c r="B28" s="13">
        <v>68026</v>
      </c>
      <c r="C28" s="58" t="s">
        <v>66</v>
      </c>
      <c r="D28" s="23">
        <v>12.45</v>
      </c>
      <c r="E28" s="24"/>
      <c r="F28" s="23">
        <v>14.98</v>
      </c>
      <c r="G28" s="24"/>
      <c r="H28" s="23">
        <v>15.09</v>
      </c>
      <c r="I28" s="26"/>
      <c r="J28" s="135">
        <v>15.19</v>
      </c>
      <c r="K28" s="27"/>
      <c r="L28" s="135">
        <v>24.1</v>
      </c>
      <c r="N28" s="134">
        <f t="shared" ref="N28:N41" si="0">+L28/J28-1</f>
        <v>0.58657011191573427</v>
      </c>
      <c r="P28" s="135">
        <f>+'Sewer Rate Design'!I12</f>
        <v>25.47</v>
      </c>
      <c r="R28" s="134">
        <f t="shared" ref="R28:R36" si="1">+P28/J28-1</f>
        <v>0.67676102699144169</v>
      </c>
    </row>
    <row r="29" spans="1:18">
      <c r="A29" s="13"/>
      <c r="B29" s="13"/>
      <c r="C29" s="58" t="s">
        <v>115</v>
      </c>
      <c r="D29" s="23"/>
      <c r="E29" s="24"/>
      <c r="F29" s="23"/>
      <c r="G29" s="24"/>
      <c r="H29" s="23"/>
      <c r="I29" s="26"/>
      <c r="J29" s="135">
        <v>22.77</v>
      </c>
      <c r="K29" s="27"/>
      <c r="L29" s="135">
        <f>ROUND(L28/J28*J29,2)</f>
        <v>36.130000000000003</v>
      </c>
      <c r="N29" s="134">
        <f t="shared" si="0"/>
        <v>0.58673693456302156</v>
      </c>
      <c r="P29" s="135">
        <f>+'Sewer Rate Design'!I13</f>
        <v>38.21</v>
      </c>
      <c r="R29" s="134">
        <f t="shared" si="1"/>
        <v>0.67808519982433024</v>
      </c>
    </row>
    <row r="30" spans="1:18">
      <c r="A30" s="13">
        <v>15</v>
      </c>
      <c r="B30" s="13">
        <v>68027</v>
      </c>
      <c r="C30" s="59" t="s">
        <v>67</v>
      </c>
      <c r="D30" s="23">
        <v>18.7</v>
      </c>
      <c r="E30" s="24"/>
      <c r="F30" s="23">
        <v>22.47</v>
      </c>
      <c r="G30" s="24"/>
      <c r="H30" s="34">
        <v>22.63</v>
      </c>
      <c r="I30" s="26"/>
      <c r="J30" s="135">
        <v>37.96</v>
      </c>
      <c r="K30" s="27"/>
      <c r="L30" s="135">
        <v>60.25</v>
      </c>
      <c r="N30" s="134">
        <f t="shared" si="0"/>
        <v>0.58719704952581653</v>
      </c>
      <c r="P30" s="135">
        <f>+'Sewer Rate Design'!I14</f>
        <v>63.68</v>
      </c>
      <c r="R30" s="134">
        <f t="shared" si="1"/>
        <v>0.67755532139093777</v>
      </c>
    </row>
    <row r="31" spans="1:18">
      <c r="A31" s="13">
        <v>16</v>
      </c>
      <c r="B31" s="13">
        <v>68028</v>
      </c>
      <c r="C31" s="59" t="s">
        <v>68</v>
      </c>
      <c r="D31" s="23">
        <v>31.15</v>
      </c>
      <c r="E31" s="24"/>
      <c r="F31" s="23">
        <v>37.450000000000003</v>
      </c>
      <c r="G31" s="24"/>
      <c r="H31" s="23">
        <v>37.72</v>
      </c>
      <c r="I31" s="26"/>
      <c r="J31" s="135">
        <v>75.92</v>
      </c>
      <c r="K31" s="27"/>
      <c r="L31" s="135">
        <v>120.5</v>
      </c>
      <c r="N31" s="134">
        <f t="shared" si="0"/>
        <v>0.58719704952581653</v>
      </c>
      <c r="P31" s="135">
        <f>+'Sewer Rate Design'!I15</f>
        <v>127.37</v>
      </c>
      <c r="R31" s="134">
        <f t="shared" si="1"/>
        <v>0.67768703898840887</v>
      </c>
    </row>
    <row r="32" spans="1:18">
      <c r="A32" s="13">
        <v>17</v>
      </c>
      <c r="B32" s="13">
        <v>68029</v>
      </c>
      <c r="C32" s="59" t="s">
        <v>69</v>
      </c>
      <c r="D32" s="23">
        <v>62.28</v>
      </c>
      <c r="E32" s="24"/>
      <c r="F32" s="23">
        <v>74.900000000000006</v>
      </c>
      <c r="G32" s="24"/>
      <c r="H32" s="23">
        <v>75.44</v>
      </c>
      <c r="I32" s="26"/>
      <c r="J32" s="135">
        <v>121.46</v>
      </c>
      <c r="K32" s="33"/>
      <c r="L32" s="135">
        <v>192.8</v>
      </c>
      <c r="N32" s="134">
        <f t="shared" si="0"/>
        <v>0.58735386135353229</v>
      </c>
      <c r="P32" s="135">
        <f>+'Sewer Rate Design'!I16</f>
        <v>203.79</v>
      </c>
      <c r="R32" s="134">
        <f t="shared" si="1"/>
        <v>0.67783632471595578</v>
      </c>
    </row>
    <row r="33" spans="1:18">
      <c r="A33" s="13">
        <v>18</v>
      </c>
      <c r="B33" s="13">
        <v>68030</v>
      </c>
      <c r="C33" s="59" t="s">
        <v>70</v>
      </c>
      <c r="D33" s="23">
        <v>99.67</v>
      </c>
      <c r="E33" s="24"/>
      <c r="F33" s="23">
        <v>119.84</v>
      </c>
      <c r="G33" s="24"/>
      <c r="H33" s="25">
        <v>120.77</v>
      </c>
      <c r="I33" s="26"/>
      <c r="J33" s="135">
        <v>242.93</v>
      </c>
      <c r="K33" s="26"/>
      <c r="L33" s="135">
        <v>385.6</v>
      </c>
      <c r="N33" s="134">
        <f t="shared" si="0"/>
        <v>0.58728851932655513</v>
      </c>
      <c r="P33" s="135">
        <f>+'Sewer Rate Design'!I17</f>
        <v>407.57</v>
      </c>
      <c r="R33" s="134">
        <f t="shared" si="1"/>
        <v>0.67772609393652483</v>
      </c>
    </row>
    <row r="34" spans="1:18">
      <c r="A34" s="13">
        <v>19</v>
      </c>
      <c r="B34" s="13">
        <v>68031</v>
      </c>
      <c r="C34" s="59" t="s">
        <v>71</v>
      </c>
      <c r="D34" s="23">
        <v>199.33</v>
      </c>
      <c r="E34" s="24"/>
      <c r="F34" s="23">
        <v>239.68</v>
      </c>
      <c r="G34" s="24"/>
      <c r="H34" s="25">
        <v>241.41</v>
      </c>
      <c r="I34" s="26"/>
      <c r="J34" s="135">
        <v>379.58</v>
      </c>
      <c r="K34" s="27"/>
      <c r="L34" s="135">
        <v>602.5</v>
      </c>
      <c r="N34" s="134">
        <f t="shared" si="0"/>
        <v>0.58728067864481792</v>
      </c>
      <c r="P34" s="135">
        <f>+'Sewer Rate Design'!I18</f>
        <v>636.83000000000004</v>
      </c>
      <c r="R34" s="134">
        <f t="shared" si="1"/>
        <v>0.67772274619316097</v>
      </c>
    </row>
    <row r="35" spans="1:18">
      <c r="A35" s="13">
        <v>20</v>
      </c>
      <c r="B35" s="13">
        <v>68032</v>
      </c>
      <c r="C35" s="59" t="s">
        <v>72</v>
      </c>
      <c r="D35" s="23">
        <v>311.45</v>
      </c>
      <c r="E35" s="31"/>
      <c r="F35" s="23">
        <v>374.5</v>
      </c>
      <c r="G35" s="31"/>
      <c r="H35" s="34">
        <v>377.2</v>
      </c>
      <c r="I35" s="32"/>
      <c r="J35" s="135">
        <v>759.15</v>
      </c>
      <c r="K35" s="27"/>
      <c r="L35" s="135">
        <v>1205</v>
      </c>
      <c r="N35" s="134">
        <f t="shared" si="0"/>
        <v>0.58730158730158744</v>
      </c>
      <c r="P35" s="135">
        <f>+'Sewer Rate Design'!I19</f>
        <v>1273.6600000000001</v>
      </c>
      <c r="R35" s="134">
        <f t="shared" si="1"/>
        <v>0.67774484620957676</v>
      </c>
    </row>
    <row r="36" spans="1:18">
      <c r="A36" s="13">
        <v>21</v>
      </c>
      <c r="B36" s="13">
        <v>68033</v>
      </c>
      <c r="C36" s="58" t="s">
        <v>73</v>
      </c>
      <c r="D36" s="35">
        <v>622.89</v>
      </c>
      <c r="E36" s="31"/>
      <c r="F36" s="35">
        <v>749</v>
      </c>
      <c r="G36" s="31"/>
      <c r="H36" s="25">
        <v>754.39</v>
      </c>
      <c r="I36" s="32"/>
      <c r="J36" s="135">
        <v>1214.6500000000001</v>
      </c>
      <c r="K36" s="27"/>
      <c r="L36" s="135">
        <v>1927.29</v>
      </c>
      <c r="N36" s="134">
        <f t="shared" si="0"/>
        <v>0.58670398880335894</v>
      </c>
      <c r="P36" s="135">
        <f>+'Sewer Rate Design'!I20</f>
        <v>2037.86</v>
      </c>
      <c r="R36" s="134">
        <f t="shared" si="1"/>
        <v>0.67773432676079515</v>
      </c>
    </row>
    <row r="37" spans="1:18">
      <c r="A37" s="13">
        <v>22</v>
      </c>
      <c r="B37" s="13"/>
      <c r="C37" s="58" t="s">
        <v>74</v>
      </c>
      <c r="D37" s="35">
        <v>1121.97</v>
      </c>
      <c r="E37" s="31"/>
      <c r="F37" s="35">
        <v>1198.4000000000001</v>
      </c>
      <c r="G37" s="31"/>
      <c r="H37" s="25">
        <v>1207.03</v>
      </c>
      <c r="I37" s="32"/>
      <c r="K37" s="27"/>
      <c r="N37" s="134"/>
    </row>
    <row r="38" spans="1:18">
      <c r="A38" s="13">
        <v>23</v>
      </c>
      <c r="B38" s="13"/>
      <c r="C38" s="58"/>
      <c r="D38" s="26"/>
      <c r="E38" s="24"/>
      <c r="F38" s="24"/>
      <c r="G38" s="24"/>
      <c r="H38" s="27"/>
      <c r="I38" s="26"/>
      <c r="K38" s="27"/>
      <c r="N38" s="134"/>
    </row>
    <row r="39" spans="1:18">
      <c r="A39" s="13">
        <v>24</v>
      </c>
      <c r="B39" s="13"/>
      <c r="C39" s="55" t="s">
        <v>61</v>
      </c>
      <c r="D39" s="35">
        <v>2.38</v>
      </c>
      <c r="E39" s="31"/>
      <c r="F39" s="35">
        <v>2.2400000000000002</v>
      </c>
      <c r="G39" s="31"/>
      <c r="H39" s="25">
        <v>2.2599999999999998</v>
      </c>
      <c r="I39" s="32"/>
      <c r="J39" s="135">
        <v>2.27</v>
      </c>
      <c r="K39" s="27"/>
      <c r="L39" s="135">
        <v>3.6</v>
      </c>
      <c r="N39" s="134">
        <f t="shared" si="0"/>
        <v>0.58590308370044064</v>
      </c>
      <c r="P39" s="135">
        <f>+'Sewer Rate Design'!I55</f>
        <v>5.65</v>
      </c>
      <c r="R39" s="134">
        <f>+P39/J39-1</f>
        <v>1.4889867841409692</v>
      </c>
    </row>
    <row r="40" spans="1:18">
      <c r="A40" s="13">
        <v>25</v>
      </c>
      <c r="B40" s="37"/>
      <c r="C40" s="38"/>
      <c r="D40" s="39"/>
      <c r="E40" s="60"/>
      <c r="F40" s="39"/>
      <c r="G40" s="60"/>
      <c r="H40" s="39"/>
      <c r="I40" s="39"/>
      <c r="K40" s="40"/>
      <c r="N40" s="134"/>
    </row>
    <row r="41" spans="1:18">
      <c r="A41" s="13">
        <v>26</v>
      </c>
      <c r="C41" s="22" t="s">
        <v>59</v>
      </c>
      <c r="D41" s="25">
        <v>0</v>
      </c>
      <c r="E41" s="20"/>
      <c r="F41" s="25">
        <v>25.87</v>
      </c>
      <c r="G41" s="20"/>
      <c r="H41" s="25">
        <v>26.06</v>
      </c>
      <c r="J41" s="135">
        <v>26.22</v>
      </c>
      <c r="K41" s="21"/>
      <c r="L41" s="135">
        <v>41.6</v>
      </c>
      <c r="N41" s="134">
        <f t="shared" si="0"/>
        <v>0.58657513348588886</v>
      </c>
      <c r="P41" s="135">
        <f>+'Sewer Rate Design'!I25</f>
        <v>44.58</v>
      </c>
      <c r="R41" s="134">
        <f>+P41/J41-1</f>
        <v>0.70022883295194505</v>
      </c>
    </row>
    <row r="42" spans="1:18">
      <c r="A42" s="13"/>
      <c r="J42" s="21"/>
      <c r="K42" s="21"/>
      <c r="L42" s="21"/>
    </row>
    <row r="43" spans="1:18">
      <c r="J43" s="21"/>
      <c r="K43" s="21"/>
      <c r="L43" s="21"/>
    </row>
    <row r="44" spans="1:18">
      <c r="J44" s="21"/>
      <c r="K44" s="21"/>
      <c r="L44" s="21"/>
    </row>
    <row r="45" spans="1:18">
      <c r="J45" s="21"/>
      <c r="K45" s="21"/>
      <c r="L45" s="21"/>
    </row>
    <row r="46" spans="1:18">
      <c r="J46" s="21"/>
      <c r="K46" s="21"/>
      <c r="L46" s="21"/>
    </row>
    <row r="47" spans="1:18">
      <c r="J47" s="21"/>
      <c r="K47" s="21"/>
      <c r="L47" s="21"/>
    </row>
    <row r="48" spans="1:18">
      <c r="J48" s="21"/>
      <c r="K48" s="21"/>
      <c r="L48" s="21"/>
    </row>
    <row r="49" spans="10:12">
      <c r="J49" s="21"/>
      <c r="K49" s="21"/>
      <c r="L49" s="21"/>
    </row>
    <row r="50" spans="10:12">
      <c r="J50" s="21"/>
      <c r="K50" s="21"/>
      <c r="L50" s="21"/>
    </row>
    <row r="51" spans="10:12">
      <c r="J51" s="21"/>
      <c r="K51" s="21"/>
      <c r="L51" s="21"/>
    </row>
    <row r="52" spans="10:12">
      <c r="J52" s="21"/>
      <c r="K52" s="21"/>
      <c r="L52" s="21"/>
    </row>
    <row r="53" spans="10:12">
      <c r="J53" s="21"/>
      <c r="K53" s="21"/>
      <c r="L53" s="21"/>
    </row>
    <row r="91" spans="10:10">
      <c r="J91" s="42"/>
    </row>
    <row r="94" spans="10:10">
      <c r="J94" s="42"/>
    </row>
    <row r="217" spans="1:9">
      <c r="A217" s="43"/>
      <c r="B217" s="43"/>
      <c r="C217" s="44"/>
      <c r="D217" s="43"/>
      <c r="E217" s="43"/>
      <c r="F217" s="43"/>
      <c r="G217" s="43"/>
      <c r="H217" s="43"/>
      <c r="I217" s="43"/>
    </row>
    <row r="218" spans="1:9">
      <c r="A218" s="43"/>
      <c r="B218" s="43"/>
      <c r="C218" s="44"/>
      <c r="D218" s="43"/>
      <c r="E218" s="43"/>
      <c r="F218" s="43"/>
      <c r="G218" s="43"/>
      <c r="H218" s="43"/>
      <c r="I218" s="43"/>
    </row>
    <row r="219" spans="1:9">
      <c r="A219" s="43"/>
      <c r="B219" s="43"/>
      <c r="C219" s="44"/>
      <c r="D219" s="43"/>
      <c r="E219" s="43"/>
      <c r="F219" s="43"/>
      <c r="G219" s="43"/>
      <c r="H219" s="43"/>
      <c r="I219" s="43"/>
    </row>
    <row r="220" spans="1:9">
      <c r="A220" s="43"/>
      <c r="B220" s="43"/>
      <c r="C220" s="44"/>
      <c r="D220" s="43"/>
      <c r="E220" s="43"/>
      <c r="F220" s="43"/>
      <c r="G220" s="43"/>
      <c r="H220" s="43"/>
      <c r="I220" s="43"/>
    </row>
    <row r="221" spans="1:9">
      <c r="A221" s="43"/>
      <c r="B221" s="43"/>
      <c r="C221" s="44"/>
      <c r="D221" s="43"/>
      <c r="E221" s="43"/>
      <c r="F221" s="43"/>
      <c r="G221" s="43"/>
      <c r="H221" s="43"/>
      <c r="I221" s="43"/>
    </row>
    <row r="251" spans="1:9">
      <c r="A251" s="43"/>
      <c r="B251" s="43"/>
      <c r="C251" s="44"/>
      <c r="D251" s="43"/>
      <c r="E251" s="43"/>
      <c r="F251" s="43"/>
      <c r="G251" s="43"/>
      <c r="H251" s="43"/>
      <c r="I251" s="43"/>
    </row>
    <row r="320" spans="1:2">
      <c r="A320" s="1"/>
      <c r="B320" s="1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</sheetData>
  <pageMargins left="0.7" right="0.7" top="0.75" bottom="0.75" header="0.3" footer="0.3"/>
  <pageSetup scale="8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6"/>
  <sheetViews>
    <sheetView zoomScaleNormal="100" workbookViewId="0"/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2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E1" s="1"/>
      <c r="F1" s="1" t="s">
        <v>1</v>
      </c>
      <c r="G1" s="1"/>
      <c r="H1" s="1"/>
      <c r="I1" s="1"/>
      <c r="J1" s="1"/>
    </row>
    <row r="2" spans="1:16">
      <c r="A2" s="1"/>
      <c r="B2" s="1"/>
      <c r="C2" s="2"/>
      <c r="E2" s="1"/>
      <c r="F2" s="1"/>
      <c r="G2" s="1"/>
      <c r="H2" s="1"/>
      <c r="I2" s="1"/>
      <c r="J2" s="1"/>
    </row>
    <row r="3" spans="1:16">
      <c r="A3" s="1" t="s">
        <v>93</v>
      </c>
      <c r="B3" s="1"/>
      <c r="C3" s="2"/>
      <c r="E3" s="1"/>
      <c r="F3" s="1" t="s">
        <v>2</v>
      </c>
      <c r="G3" s="1"/>
      <c r="H3" s="1"/>
      <c r="I3" s="1"/>
      <c r="J3" s="1"/>
    </row>
    <row r="4" spans="1:16">
      <c r="A4" s="1" t="s">
        <v>94</v>
      </c>
      <c r="B4" s="1"/>
      <c r="C4" s="2"/>
      <c r="E4" s="1"/>
      <c r="F4" s="1" t="s">
        <v>3</v>
      </c>
      <c r="G4" s="1"/>
      <c r="H4" s="1"/>
      <c r="I4" s="1"/>
      <c r="J4" s="1"/>
    </row>
    <row r="5" spans="1:16">
      <c r="A5" s="1" t="s">
        <v>35</v>
      </c>
      <c r="B5" s="1"/>
      <c r="C5" s="2"/>
      <c r="E5" s="1"/>
      <c r="F5" s="1" t="s">
        <v>36</v>
      </c>
      <c r="G5" s="1"/>
      <c r="H5" s="1"/>
      <c r="I5" s="1"/>
      <c r="J5" s="1"/>
    </row>
    <row r="6" spans="1:16">
      <c r="A6" s="1" t="s">
        <v>6</v>
      </c>
      <c r="B6" s="1"/>
      <c r="C6" s="2"/>
      <c r="D6" s="1"/>
      <c r="E6" s="1"/>
      <c r="F6" s="1"/>
      <c r="G6" s="1"/>
      <c r="H6" s="1"/>
      <c r="I6" s="1"/>
      <c r="J6" s="1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1">
        <v>-2</v>
      </c>
      <c r="E10" s="13"/>
      <c r="F10" s="12">
        <v>-3</v>
      </c>
      <c r="G10" s="12"/>
      <c r="H10" s="11"/>
      <c r="J10" s="11"/>
      <c r="K10" s="11"/>
      <c r="L10" s="11"/>
      <c r="M10" s="11"/>
      <c r="N10" s="11"/>
      <c r="P10" s="11"/>
    </row>
    <row r="11" spans="1:16">
      <c r="C11" s="2"/>
      <c r="D11" s="45" t="s">
        <v>37</v>
      </c>
      <c r="E11" s="46"/>
      <c r="F11" s="45" t="s">
        <v>38</v>
      </c>
      <c r="G11" s="46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45" t="s">
        <v>39</v>
      </c>
      <c r="E12" s="46"/>
      <c r="F12" s="45" t="s">
        <v>39</v>
      </c>
      <c r="G12" s="46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47" t="s">
        <v>95</v>
      </c>
      <c r="E13" s="56"/>
      <c r="F13" s="47" t="s">
        <v>96</v>
      </c>
      <c r="G13" s="48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</row>
    <row r="15" spans="1:16">
      <c r="A15" s="13">
        <v>2</v>
      </c>
      <c r="B15" s="13">
        <v>68050</v>
      </c>
      <c r="C15" s="22" t="s">
        <v>97</v>
      </c>
      <c r="D15" s="25">
        <v>95.35</v>
      </c>
      <c r="E15" s="24"/>
      <c r="F15" s="25">
        <v>96.91</v>
      </c>
      <c r="G15" s="26"/>
      <c r="H15" s="135">
        <v>97.29</v>
      </c>
      <c r="I15" s="135"/>
      <c r="J15" s="135">
        <v>107.82</v>
      </c>
      <c r="L15" s="134">
        <f>J15/H15-1</f>
        <v>0.10823311748381115</v>
      </c>
      <c r="N15" s="135">
        <f>+'Sewer Rate Design'!I42</f>
        <v>71.33</v>
      </c>
      <c r="P15" s="134">
        <f>+N15/H15-1</f>
        <v>-0.26683112344536963</v>
      </c>
    </row>
    <row r="16" spans="1:16">
      <c r="A16" s="13">
        <v>3</v>
      </c>
      <c r="B16" s="13"/>
      <c r="C16" s="22"/>
      <c r="D16" s="24"/>
      <c r="E16" s="24"/>
      <c r="F16" s="24"/>
      <c r="G16" s="26"/>
    </row>
    <row r="17" spans="1:16">
      <c r="A17" s="13">
        <v>4</v>
      </c>
      <c r="B17" s="13"/>
      <c r="C17" s="22"/>
      <c r="D17" s="29"/>
      <c r="E17" s="31"/>
      <c r="F17" s="24"/>
      <c r="G17" s="32"/>
    </row>
    <row r="18" spans="1:16">
      <c r="A18" s="13">
        <v>5</v>
      </c>
      <c r="B18" s="13"/>
      <c r="C18" s="22" t="s">
        <v>45</v>
      </c>
      <c r="D18" s="29"/>
      <c r="E18" s="24"/>
      <c r="F18" s="24"/>
      <c r="G18" s="26"/>
    </row>
    <row r="19" spans="1:16">
      <c r="A19" s="13">
        <v>6</v>
      </c>
      <c r="B19" s="13">
        <v>68026</v>
      </c>
      <c r="C19" s="4" t="s">
        <v>46</v>
      </c>
      <c r="D19" s="25">
        <v>60.81</v>
      </c>
      <c r="E19" s="24"/>
      <c r="F19" s="25">
        <v>61.81</v>
      </c>
      <c r="G19" s="26"/>
      <c r="H19" s="135">
        <v>62.06</v>
      </c>
      <c r="I19" s="135"/>
      <c r="J19" s="135">
        <v>68.77</v>
      </c>
      <c r="L19" s="134">
        <f t="shared" ref="L19:L29" si="0">J19/H19-1</f>
        <v>0.10812117305833047</v>
      </c>
      <c r="N19" s="135">
        <f>+'Sewer Rate Design'!I32</f>
        <v>50.95</v>
      </c>
      <c r="P19" s="134">
        <f t="shared" ref="P19:P26" si="1">+N19/H19-1</f>
        <v>-0.17902030293264581</v>
      </c>
    </row>
    <row r="20" spans="1:16">
      <c r="A20" s="13"/>
      <c r="B20" s="13"/>
      <c r="C20" s="4" t="s">
        <v>115</v>
      </c>
      <c r="D20" s="25"/>
      <c r="E20" s="24"/>
      <c r="F20" s="25"/>
      <c r="G20" s="26"/>
      <c r="H20" s="135"/>
      <c r="I20" s="135"/>
      <c r="J20" s="135"/>
      <c r="L20" s="134"/>
      <c r="N20" s="135">
        <f>+'Sewer Rate Design'!I33</f>
        <v>76.42</v>
      </c>
      <c r="P20" s="134"/>
    </row>
    <row r="21" spans="1:16">
      <c r="A21" s="13">
        <v>7</v>
      </c>
      <c r="B21" s="13">
        <v>68027</v>
      </c>
      <c r="C21" s="4" t="s">
        <v>47</v>
      </c>
      <c r="D21" s="25">
        <v>152.03</v>
      </c>
      <c r="E21" s="24"/>
      <c r="F21" s="25">
        <v>154.52000000000001</v>
      </c>
      <c r="G21" s="26"/>
      <c r="H21" s="135">
        <v>155.13</v>
      </c>
      <c r="I21" s="135"/>
      <c r="J21" s="135">
        <v>171.93</v>
      </c>
      <c r="L21" s="134">
        <f t="shared" si="0"/>
        <v>0.10829626764649003</v>
      </c>
      <c r="N21" s="135">
        <f>+'Sewer Rate Design'!I34</f>
        <v>127.37</v>
      </c>
      <c r="P21" s="134">
        <f t="shared" si="1"/>
        <v>-0.17894668987300966</v>
      </c>
    </row>
    <row r="22" spans="1:16">
      <c r="A22" s="13">
        <v>8</v>
      </c>
      <c r="B22" s="13">
        <v>68028</v>
      </c>
      <c r="C22" s="4" t="s">
        <v>48</v>
      </c>
      <c r="D22" s="25">
        <v>304.06</v>
      </c>
      <c r="E22" s="24"/>
      <c r="F22" s="25">
        <v>309.05</v>
      </c>
      <c r="G22" s="26"/>
      <c r="H22" s="135">
        <v>310.27999999999997</v>
      </c>
      <c r="I22" s="135"/>
      <c r="J22" s="135">
        <v>343.85</v>
      </c>
      <c r="L22" s="134">
        <f t="shared" si="0"/>
        <v>0.10819260023204857</v>
      </c>
      <c r="N22" s="135">
        <f>+'Sewer Rate Design'!I35</f>
        <v>254.73</v>
      </c>
      <c r="P22" s="134">
        <f t="shared" si="1"/>
        <v>-0.17903184220703872</v>
      </c>
    </row>
    <row r="23" spans="1:16">
      <c r="A23" s="13">
        <v>9</v>
      </c>
      <c r="B23" s="13">
        <v>68029</v>
      </c>
      <c r="C23" s="4" t="s">
        <v>49</v>
      </c>
      <c r="D23" s="25">
        <v>486.5</v>
      </c>
      <c r="E23" s="24"/>
      <c r="F23" s="25">
        <v>494.48</v>
      </c>
      <c r="G23" s="26"/>
      <c r="H23" s="135">
        <v>496.44</v>
      </c>
      <c r="I23" s="135"/>
      <c r="J23" s="135">
        <v>550.16</v>
      </c>
      <c r="L23" s="134">
        <f t="shared" si="0"/>
        <v>0.10821045846426558</v>
      </c>
      <c r="N23" s="135">
        <f>+'Sewer Rate Design'!I36</f>
        <v>407.57</v>
      </c>
      <c r="P23" s="134">
        <f t="shared" si="1"/>
        <v>-0.17901458383691882</v>
      </c>
    </row>
    <row r="24" spans="1:16">
      <c r="A24" s="13">
        <v>10</v>
      </c>
      <c r="B24" s="13">
        <v>68030</v>
      </c>
      <c r="C24" s="4" t="s">
        <v>50</v>
      </c>
      <c r="D24" s="25">
        <v>973</v>
      </c>
      <c r="E24" s="24"/>
      <c r="F24" s="23">
        <v>988.96</v>
      </c>
      <c r="G24" s="26"/>
      <c r="H24" s="135">
        <v>992.89</v>
      </c>
      <c r="I24" s="135"/>
      <c r="J24" s="135">
        <f>ROUND(J23/H23*H24,2)</f>
        <v>1100.33</v>
      </c>
      <c r="L24" s="134">
        <f t="shared" si="0"/>
        <v>0.10820936861082298</v>
      </c>
      <c r="N24" s="135">
        <f>+'Sewer Rate Design'!I37</f>
        <v>815.14</v>
      </c>
      <c r="P24" s="134">
        <f t="shared" si="1"/>
        <v>-0.17902285248114091</v>
      </c>
    </row>
    <row r="25" spans="1:16">
      <c r="A25" s="13">
        <v>11</v>
      </c>
      <c r="B25" s="13">
        <v>68031</v>
      </c>
      <c r="C25" s="4" t="s">
        <v>51</v>
      </c>
      <c r="D25" s="25">
        <v>1520.29</v>
      </c>
      <c r="E25" s="24"/>
      <c r="F25" s="25">
        <v>1545.22</v>
      </c>
      <c r="G25" s="26"/>
      <c r="H25" s="135">
        <v>1551.36</v>
      </c>
      <c r="I25" s="135"/>
      <c r="J25" s="135">
        <v>1719.25</v>
      </c>
      <c r="L25" s="134">
        <f t="shared" si="0"/>
        <v>0.10822117367986817</v>
      </c>
      <c r="N25" s="135">
        <f>+'Sewer Rate Design'!I38</f>
        <v>1273.6600000000001</v>
      </c>
      <c r="P25" s="134">
        <f t="shared" si="1"/>
        <v>-0.17900422854785469</v>
      </c>
    </row>
    <row r="26" spans="1:16">
      <c r="A26" s="13">
        <v>12</v>
      </c>
      <c r="B26" s="13">
        <v>68032</v>
      </c>
      <c r="C26" s="4" t="s">
        <v>52</v>
      </c>
      <c r="D26" s="25">
        <v>3040.59</v>
      </c>
      <c r="E26" s="24"/>
      <c r="F26" s="25">
        <v>3090.46</v>
      </c>
      <c r="G26" s="26"/>
      <c r="H26" s="135">
        <v>3102.73</v>
      </c>
      <c r="I26" s="135"/>
      <c r="J26" s="135">
        <v>3438.5</v>
      </c>
      <c r="L26" s="134">
        <f t="shared" si="0"/>
        <v>0.10821760191831054</v>
      </c>
      <c r="N26" s="135">
        <f>+'Sewer Rate Design'!I39</f>
        <v>2547.3200000000002</v>
      </c>
      <c r="P26" s="134">
        <f t="shared" si="1"/>
        <v>-0.17900687459108588</v>
      </c>
    </row>
    <row r="27" spans="1:16">
      <c r="A27" s="13">
        <v>13</v>
      </c>
      <c r="B27" s="13">
        <v>68033</v>
      </c>
      <c r="C27" s="22"/>
      <c r="D27" s="33"/>
      <c r="E27" s="24"/>
      <c r="F27" s="26"/>
      <c r="G27" s="26"/>
      <c r="L27" s="134"/>
    </row>
    <row r="28" spans="1:16">
      <c r="A28" s="13">
        <v>14</v>
      </c>
      <c r="B28" s="13"/>
      <c r="C28" s="22"/>
      <c r="D28" s="27"/>
      <c r="E28" s="24"/>
      <c r="F28" s="26"/>
      <c r="G28" s="26"/>
      <c r="L28" s="134"/>
    </row>
    <row r="29" spans="1:16">
      <c r="A29" s="13">
        <v>15</v>
      </c>
      <c r="B29" s="13"/>
      <c r="C29" s="22" t="s">
        <v>43</v>
      </c>
      <c r="D29" s="25">
        <v>3.51</v>
      </c>
      <c r="E29" s="24"/>
      <c r="F29" s="25">
        <v>3.57</v>
      </c>
      <c r="G29" s="26"/>
      <c r="H29" s="135">
        <v>3.58</v>
      </c>
      <c r="I29" s="135"/>
      <c r="J29" s="135">
        <v>3.97</v>
      </c>
      <c r="L29" s="134">
        <f t="shared" si="0"/>
        <v>0.1089385474860336</v>
      </c>
      <c r="N29" s="135">
        <f>+'Sewer Rate Design'!I55</f>
        <v>5.65</v>
      </c>
      <c r="P29" s="134">
        <f>+N29/H29-1</f>
        <v>0.57821229050279332</v>
      </c>
    </row>
    <row r="30" spans="1:16">
      <c r="A30" s="13"/>
      <c r="B30" s="13"/>
      <c r="C30" s="22"/>
      <c r="D30" s="27"/>
      <c r="E30" s="26"/>
      <c r="F30" s="26"/>
      <c r="G30" s="26"/>
      <c r="H30" s="26"/>
      <c r="I30" s="26"/>
      <c r="J30" s="27"/>
    </row>
    <row r="31" spans="1:16">
      <c r="A31" s="13"/>
      <c r="B31" s="13"/>
      <c r="C31" s="22"/>
      <c r="D31" s="27"/>
      <c r="E31" s="26"/>
      <c r="F31" s="26"/>
      <c r="G31" s="26"/>
      <c r="H31" s="26"/>
      <c r="I31" s="26"/>
      <c r="J31" s="27"/>
    </row>
    <row r="32" spans="1:16">
      <c r="A32" s="13"/>
      <c r="B32" s="13"/>
      <c r="C32" s="22"/>
      <c r="D32" s="27"/>
      <c r="E32" s="26"/>
      <c r="F32" s="26"/>
      <c r="G32" s="26"/>
      <c r="H32" s="26"/>
      <c r="I32" s="26"/>
      <c r="J32" s="27"/>
    </row>
    <row r="33" spans="1:11" s="50" customFormat="1">
      <c r="A33" s="13"/>
      <c r="B33" s="13"/>
      <c r="C33" s="22"/>
      <c r="D33" s="33"/>
      <c r="E33" s="49"/>
      <c r="F33" s="49"/>
      <c r="G33" s="49"/>
      <c r="H33" s="49"/>
      <c r="I33" s="49"/>
      <c r="J33" s="33"/>
      <c r="K33" s="4"/>
    </row>
    <row r="34" spans="1:11">
      <c r="A34" s="13"/>
      <c r="B34" s="13"/>
      <c r="C34" s="22"/>
      <c r="D34" s="27"/>
      <c r="E34" s="49"/>
      <c r="F34" s="49"/>
      <c r="G34" s="49"/>
      <c r="H34" s="49"/>
      <c r="I34" s="49"/>
      <c r="J34" s="27"/>
    </row>
    <row r="35" spans="1:11">
      <c r="A35" s="13"/>
      <c r="B35" s="13"/>
      <c r="C35" s="22"/>
      <c r="D35" s="27"/>
      <c r="E35" s="49"/>
      <c r="F35" s="49"/>
      <c r="G35" s="49"/>
      <c r="H35" s="49"/>
      <c r="I35" s="49"/>
      <c r="J35" s="27"/>
    </row>
    <row r="36" spans="1:11">
      <c r="A36" s="13"/>
      <c r="B36" s="13"/>
      <c r="C36" s="51"/>
      <c r="D36" s="27"/>
      <c r="E36" s="49"/>
      <c r="F36" s="49"/>
      <c r="G36" s="49"/>
      <c r="H36" s="49"/>
      <c r="I36" s="49"/>
      <c r="J36" s="27"/>
    </row>
    <row r="37" spans="1:11">
      <c r="A37" s="13"/>
      <c r="B37" s="13"/>
      <c r="C37" s="28"/>
      <c r="D37" s="27"/>
      <c r="E37" s="49"/>
      <c r="F37" s="49"/>
      <c r="G37" s="49"/>
      <c r="H37" s="49"/>
      <c r="I37" s="49"/>
      <c r="J37" s="27"/>
    </row>
    <row r="38" spans="1:11">
      <c r="A38" s="13"/>
      <c r="B38" s="13"/>
      <c r="C38" s="4"/>
      <c r="D38" s="27"/>
      <c r="E38" s="49"/>
      <c r="F38" s="49"/>
      <c r="G38" s="49"/>
      <c r="H38" s="49"/>
      <c r="I38" s="49"/>
      <c r="J38" s="27"/>
    </row>
    <row r="39" spans="1:11">
      <c r="A39" s="13"/>
      <c r="C39" s="30"/>
      <c r="D39" s="27"/>
      <c r="E39" s="32"/>
      <c r="F39" s="32"/>
      <c r="G39" s="32"/>
      <c r="H39" s="32"/>
      <c r="I39" s="32"/>
      <c r="J39" s="27"/>
    </row>
    <row r="40" spans="1:11">
      <c r="A40" s="13"/>
      <c r="B40" s="13"/>
      <c r="C40" s="22"/>
      <c r="D40" s="26"/>
      <c r="E40" s="26"/>
      <c r="F40" s="26"/>
      <c r="G40" s="26"/>
      <c r="H40" s="26"/>
      <c r="I40" s="26"/>
      <c r="J40" s="26"/>
    </row>
    <row r="41" spans="1:11">
      <c r="A41" s="13"/>
      <c r="B41" s="13"/>
      <c r="C41" s="22"/>
      <c r="D41" s="33"/>
      <c r="E41" s="26"/>
      <c r="F41" s="26"/>
      <c r="G41" s="26"/>
      <c r="H41" s="26"/>
      <c r="I41" s="26"/>
      <c r="J41" s="33"/>
    </row>
    <row r="42" spans="1:11">
      <c r="A42" s="13"/>
      <c r="B42" s="13"/>
      <c r="C42" s="22"/>
      <c r="D42" s="26"/>
      <c r="E42" s="26"/>
      <c r="F42" s="26"/>
      <c r="G42" s="26"/>
      <c r="H42" s="26"/>
      <c r="I42" s="26"/>
      <c r="J42" s="26"/>
    </row>
    <row r="43" spans="1:11">
      <c r="A43" s="13"/>
      <c r="B43" s="13"/>
      <c r="C43" s="22"/>
      <c r="D43" s="26"/>
      <c r="E43" s="26"/>
      <c r="F43" s="26"/>
      <c r="G43" s="26"/>
      <c r="H43" s="26"/>
      <c r="I43" s="26"/>
      <c r="J43" s="26"/>
    </row>
    <row r="44" spans="1:11">
      <c r="A44" s="13"/>
      <c r="B44" s="13"/>
      <c r="C44" s="22"/>
      <c r="D44" s="27"/>
      <c r="E44" s="26"/>
      <c r="F44" s="26"/>
      <c r="G44" s="26"/>
      <c r="H44" s="26"/>
      <c r="I44" s="26"/>
      <c r="J44" s="27"/>
    </row>
    <row r="45" spans="1:11">
      <c r="A45" s="13"/>
      <c r="B45" s="13"/>
      <c r="C45" s="22"/>
      <c r="D45" s="27"/>
      <c r="E45" s="26"/>
      <c r="F45" s="26"/>
      <c r="G45" s="26"/>
      <c r="H45" s="26"/>
      <c r="I45" s="26"/>
      <c r="J45" s="27"/>
    </row>
    <row r="46" spans="1:11">
      <c r="A46" s="13"/>
      <c r="B46" s="13"/>
      <c r="C46" s="22"/>
      <c r="D46" s="33"/>
      <c r="E46" s="32"/>
      <c r="F46" s="26"/>
      <c r="G46" s="32"/>
      <c r="H46" s="32"/>
      <c r="I46" s="32"/>
      <c r="J46" s="33"/>
    </row>
    <row r="47" spans="1:11">
      <c r="A47" s="13"/>
      <c r="B47" s="13"/>
      <c r="C47" s="22"/>
      <c r="D47" s="27"/>
      <c r="E47" s="32"/>
      <c r="F47" s="49"/>
      <c r="G47" s="32"/>
      <c r="H47" s="32"/>
      <c r="I47" s="32"/>
      <c r="J47" s="27"/>
    </row>
    <row r="48" spans="1:11">
      <c r="A48" s="13"/>
      <c r="B48" s="13"/>
      <c r="C48" s="22"/>
      <c r="D48" s="27"/>
      <c r="E48" s="32"/>
      <c r="F48" s="49"/>
      <c r="G48" s="32"/>
      <c r="H48" s="32"/>
      <c r="I48" s="32"/>
      <c r="J48" s="27"/>
    </row>
    <row r="49" spans="1:11">
      <c r="A49" s="13"/>
      <c r="B49" s="13"/>
      <c r="C49" s="22"/>
      <c r="D49" s="27"/>
      <c r="E49" s="49"/>
      <c r="F49" s="49"/>
      <c r="G49" s="49"/>
      <c r="H49" s="49"/>
      <c r="I49" s="49"/>
      <c r="J49" s="27"/>
    </row>
    <row r="50" spans="1:11">
      <c r="A50" s="13"/>
      <c r="B50" s="13"/>
      <c r="C50" s="22"/>
      <c r="D50" s="27"/>
      <c r="E50" s="26"/>
      <c r="F50" s="26"/>
      <c r="G50" s="26"/>
      <c r="H50" s="26"/>
      <c r="I50" s="26"/>
      <c r="J50" s="27"/>
    </row>
    <row r="51" spans="1:11">
      <c r="A51" s="13"/>
      <c r="B51" s="13"/>
      <c r="C51" s="28"/>
      <c r="D51" s="27"/>
      <c r="E51" s="32"/>
      <c r="F51" s="49"/>
      <c r="G51" s="32"/>
      <c r="H51" s="32"/>
      <c r="I51" s="32"/>
      <c r="J51" s="27"/>
    </row>
    <row r="52" spans="1:11">
      <c r="A52" s="13"/>
      <c r="B52" s="13"/>
      <c r="C52" s="4"/>
      <c r="D52" s="27"/>
      <c r="E52" s="32"/>
      <c r="F52" s="32"/>
      <c r="G52" s="32"/>
      <c r="H52" s="32"/>
      <c r="I52" s="32"/>
      <c r="J52" s="27"/>
    </row>
    <row r="53" spans="1:11">
      <c r="A53" s="45"/>
      <c r="B53" s="45"/>
      <c r="C53" s="30"/>
      <c r="D53" s="36"/>
      <c r="E53" s="52"/>
      <c r="F53" s="52"/>
      <c r="G53" s="52"/>
      <c r="H53" s="52"/>
      <c r="I53" s="52"/>
      <c r="J53" s="36"/>
      <c r="K53" s="50"/>
    </row>
    <row r="54" spans="1:11">
      <c r="A54" s="45"/>
      <c r="B54" s="45"/>
      <c r="C54" s="22"/>
      <c r="D54" s="36"/>
      <c r="E54" s="52"/>
      <c r="F54" s="52"/>
      <c r="G54" s="52"/>
      <c r="H54" s="52"/>
      <c r="I54" s="52"/>
      <c r="J54" s="36"/>
      <c r="K54" s="50"/>
    </row>
    <row r="55" spans="1:11">
      <c r="A55" s="45"/>
      <c r="B55" s="45"/>
      <c r="C55" s="28"/>
      <c r="D55" s="36"/>
      <c r="E55" s="52"/>
      <c r="F55" s="52"/>
      <c r="G55" s="52"/>
      <c r="H55" s="52"/>
      <c r="I55" s="52"/>
      <c r="J55" s="36"/>
      <c r="K55" s="50"/>
    </row>
    <row r="56" spans="1:11">
      <c r="A56" s="45"/>
      <c r="B56" s="45"/>
      <c r="C56" s="50"/>
      <c r="D56" s="50"/>
      <c r="E56" s="50"/>
      <c r="F56" s="50"/>
      <c r="G56" s="50"/>
      <c r="H56" s="50"/>
      <c r="I56" s="50"/>
      <c r="J56" s="50"/>
      <c r="K56" s="50"/>
    </row>
    <row r="57" spans="1:11">
      <c r="A57" s="13"/>
      <c r="B57" s="13"/>
      <c r="C57" s="4"/>
    </row>
    <row r="58" spans="1:11">
      <c r="A58" s="13"/>
      <c r="B58" s="13"/>
      <c r="C58" s="4"/>
    </row>
    <row r="59" spans="1:11">
      <c r="A59" s="13"/>
      <c r="B59" s="13"/>
    </row>
    <row r="60" spans="1:11">
      <c r="A60" s="37"/>
      <c r="B60" s="37"/>
      <c r="C60" s="38"/>
      <c r="D60" s="39"/>
      <c r="E60" s="39"/>
      <c r="F60" s="39"/>
      <c r="G60" s="39"/>
      <c r="H60" s="39"/>
      <c r="I60" s="39"/>
      <c r="J60" s="39"/>
    </row>
    <row r="61" spans="1:11">
      <c r="A61" s="13"/>
      <c r="B61" s="13"/>
    </row>
    <row r="242" spans="1:10">
      <c r="A242" s="43"/>
      <c r="B242" s="43"/>
      <c r="C242" s="44"/>
      <c r="D242" s="43"/>
      <c r="E242" s="43"/>
      <c r="F242" s="43"/>
      <c r="G242" s="43"/>
      <c r="H242" s="43"/>
      <c r="I242" s="43"/>
      <c r="J242" s="43"/>
    </row>
    <row r="243" spans="1:10">
      <c r="A243" s="43"/>
      <c r="B243" s="43"/>
      <c r="C243" s="44"/>
      <c r="D243" s="43"/>
      <c r="E243" s="43"/>
      <c r="F243" s="43"/>
      <c r="G243" s="43"/>
      <c r="H243" s="43"/>
      <c r="I243" s="43"/>
      <c r="J243" s="43"/>
    </row>
    <row r="244" spans="1:10">
      <c r="A244" s="43"/>
      <c r="B244" s="43"/>
      <c r="C244" s="44"/>
      <c r="D244" s="43"/>
      <c r="E244" s="43"/>
      <c r="F244" s="43"/>
      <c r="G244" s="43"/>
      <c r="H244" s="43"/>
      <c r="I244" s="43"/>
      <c r="J244" s="43"/>
    </row>
    <row r="245" spans="1:10">
      <c r="A245" s="43"/>
      <c r="B245" s="43"/>
      <c r="C245" s="44"/>
      <c r="D245" s="43"/>
      <c r="E245" s="43"/>
      <c r="F245" s="43"/>
      <c r="G245" s="43"/>
      <c r="H245" s="43"/>
      <c r="I245" s="43"/>
      <c r="J245" s="43"/>
    </row>
    <row r="246" spans="1:10">
      <c r="A246" s="43"/>
      <c r="B246" s="43"/>
      <c r="C246" s="44"/>
      <c r="D246" s="43"/>
      <c r="E246" s="43"/>
      <c r="F246" s="43"/>
      <c r="G246" s="43"/>
      <c r="H246" s="43"/>
      <c r="I246" s="43"/>
      <c r="J246" s="43"/>
    </row>
    <row r="276" spans="1:10">
      <c r="A276" s="43"/>
      <c r="B276" s="43"/>
      <c r="C276" s="44"/>
      <c r="D276" s="43"/>
      <c r="E276" s="43"/>
      <c r="F276" s="43"/>
      <c r="G276" s="43"/>
      <c r="H276" s="43"/>
      <c r="I276" s="43"/>
      <c r="J276" s="43"/>
    </row>
    <row r="345" spans="1:2">
      <c r="A345" s="1"/>
      <c r="B345" s="1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</sheetData>
  <pageMargins left="0.7" right="0.7" top="0.75" bottom="0.75" header="0.3" footer="0.3"/>
  <pageSetup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zoomScaleNormal="100" workbookViewId="0"/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D1" s="1"/>
      <c r="E1" s="1"/>
      <c r="F1" s="1"/>
      <c r="G1" s="1"/>
      <c r="H1" s="3"/>
      <c r="J1" s="3"/>
    </row>
    <row r="2" spans="1:16">
      <c r="A2" s="1"/>
      <c r="B2" s="1"/>
      <c r="C2" s="2"/>
      <c r="D2" s="1"/>
      <c r="E2" s="1"/>
      <c r="F2" s="1"/>
      <c r="G2" s="1"/>
      <c r="H2" s="3"/>
      <c r="J2" s="3"/>
    </row>
    <row r="3" spans="1:16">
      <c r="A3" s="1" t="s">
        <v>149</v>
      </c>
      <c r="B3" s="1"/>
      <c r="C3" s="2"/>
      <c r="D3" s="1"/>
      <c r="E3" s="1"/>
      <c r="F3" s="1"/>
      <c r="G3" s="1"/>
      <c r="H3" s="3"/>
      <c r="J3" s="3"/>
    </row>
    <row r="4" spans="1:16">
      <c r="A4" s="1" t="s">
        <v>34</v>
      </c>
      <c r="B4" s="1"/>
      <c r="C4" s="2"/>
      <c r="D4" s="1"/>
      <c r="E4" s="1"/>
      <c r="F4" s="1"/>
      <c r="G4" s="1"/>
      <c r="H4" s="5"/>
      <c r="J4" s="3"/>
    </row>
    <row r="5" spans="1:16">
      <c r="A5" s="1" t="s">
        <v>4</v>
      </c>
      <c r="B5" s="1"/>
      <c r="C5" s="2"/>
      <c r="D5" s="1"/>
      <c r="E5" s="1"/>
      <c r="F5" s="1"/>
      <c r="G5" s="1"/>
      <c r="H5" s="3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3"/>
      <c r="I6" s="3"/>
      <c r="J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2">
        <v>-3</v>
      </c>
      <c r="E10" s="12"/>
      <c r="F10" s="12">
        <v>-4</v>
      </c>
      <c r="G10" s="13"/>
      <c r="H10" s="11"/>
      <c r="J10" s="11"/>
      <c r="K10" s="11"/>
      <c r="L10" s="11"/>
      <c r="M10" s="11"/>
      <c r="N10" s="11"/>
      <c r="P10" s="11"/>
    </row>
    <row r="11" spans="1:16">
      <c r="C11" s="2"/>
      <c r="D11" s="13" t="s">
        <v>10</v>
      </c>
      <c r="E11" s="1"/>
      <c r="F11" s="13" t="s">
        <v>10</v>
      </c>
      <c r="G11" s="1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17" t="s">
        <v>98</v>
      </c>
      <c r="E13" s="57"/>
      <c r="F13" s="17" t="s">
        <v>99</v>
      </c>
      <c r="G13" s="17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D14" s="20"/>
      <c r="E14" s="20"/>
      <c r="F14" s="20"/>
      <c r="H14" s="21"/>
      <c r="I14" s="21"/>
      <c r="J14" s="21"/>
    </row>
    <row r="15" spans="1:16">
      <c r="A15" s="13">
        <v>2</v>
      </c>
      <c r="B15" s="13">
        <v>68021</v>
      </c>
      <c r="C15" s="22" t="s">
        <v>22</v>
      </c>
      <c r="D15" s="23">
        <v>25.78</v>
      </c>
      <c r="E15" s="24"/>
      <c r="F15" s="23">
        <v>26.12</v>
      </c>
      <c r="G15" s="26"/>
      <c r="H15" s="135">
        <v>26.37</v>
      </c>
      <c r="I15" s="135"/>
      <c r="J15" s="135">
        <v>47.27</v>
      </c>
      <c r="L15" s="134">
        <f>+J15/H15-1</f>
        <v>0.79256731133864244</v>
      </c>
      <c r="N15" s="135">
        <f>+'Sewer Rate Design'!I9</f>
        <v>25.47</v>
      </c>
      <c r="P15" s="134">
        <f>N15/H15-1</f>
        <v>-3.4129692832764569E-2</v>
      </c>
    </row>
    <row r="16" spans="1:16">
      <c r="A16" s="13">
        <v>3</v>
      </c>
      <c r="B16" s="13"/>
      <c r="C16" s="4"/>
      <c r="D16" s="24"/>
      <c r="E16" s="24"/>
      <c r="F16" s="29"/>
      <c r="G16" s="26"/>
      <c r="H16" s="135"/>
      <c r="I16" s="135"/>
      <c r="J16" s="135"/>
    </row>
    <row r="17" spans="1:16">
      <c r="A17" s="13">
        <v>4</v>
      </c>
      <c r="B17" s="13"/>
      <c r="C17" s="28" t="s">
        <v>55</v>
      </c>
      <c r="D17" s="23">
        <v>2.75</v>
      </c>
      <c r="E17" s="24"/>
      <c r="F17" s="25">
        <v>2.79</v>
      </c>
      <c r="G17" s="26"/>
      <c r="H17" s="135">
        <v>2.82</v>
      </c>
      <c r="I17" s="135"/>
      <c r="J17" s="135">
        <v>5.05</v>
      </c>
      <c r="L17" s="134">
        <f>+J17/H17-1</f>
        <v>0.79078014184397172</v>
      </c>
    </row>
    <row r="18" spans="1:16">
      <c r="A18" s="13"/>
      <c r="B18" s="13"/>
      <c r="C18" s="28" t="str">
        <f>+'Sewer Rate Design'!B52</f>
        <v>0-8k</v>
      </c>
      <c r="D18" s="23"/>
      <c r="E18" s="24"/>
      <c r="F18" s="25"/>
      <c r="G18" s="26"/>
      <c r="H18" s="135"/>
      <c r="I18" s="135"/>
      <c r="J18" s="135"/>
      <c r="N18" s="135">
        <f>+'Sewer Rate Design'!I52</f>
        <v>4.91</v>
      </c>
      <c r="P18" s="134">
        <f>+N18/H17-1</f>
        <v>0.74113475177304977</v>
      </c>
    </row>
    <row r="19" spans="1:16">
      <c r="A19" s="13">
        <v>5</v>
      </c>
      <c r="B19" s="13"/>
      <c r="C19" s="28"/>
      <c r="D19" s="29"/>
      <c r="E19" s="24"/>
      <c r="F19" s="29"/>
      <c r="G19" s="26"/>
      <c r="H19" s="135"/>
      <c r="I19" s="135"/>
      <c r="J19" s="135"/>
    </row>
    <row r="20" spans="1:16">
      <c r="A20" s="13">
        <v>8</v>
      </c>
      <c r="C20" s="30" t="s">
        <v>24</v>
      </c>
      <c r="D20" s="31"/>
      <c r="E20" s="31"/>
      <c r="F20" s="29"/>
      <c r="G20" s="32"/>
      <c r="H20" s="135"/>
      <c r="I20" s="135"/>
      <c r="J20" s="135"/>
    </row>
    <row r="21" spans="1:16">
      <c r="A21" s="13">
        <v>9</v>
      </c>
      <c r="B21" s="13">
        <v>68026</v>
      </c>
      <c r="C21" s="22" t="s">
        <v>25</v>
      </c>
      <c r="D21" s="23">
        <v>25.78</v>
      </c>
      <c r="E21" s="24"/>
      <c r="F21" s="23">
        <v>26.12</v>
      </c>
      <c r="G21" s="26"/>
      <c r="H21" s="135">
        <v>26.37</v>
      </c>
      <c r="I21" s="135"/>
      <c r="J21" s="135">
        <v>47.27</v>
      </c>
      <c r="L21" s="134">
        <f t="shared" ref="L21:L28" si="0">+J21/H21-1</f>
        <v>0.79256731133864244</v>
      </c>
      <c r="N21" s="135">
        <f>+'Sewer Rate Design'!I12</f>
        <v>25.47</v>
      </c>
      <c r="P21" s="134">
        <f t="shared" ref="P21:P28" si="1">N21/H21-1</f>
        <v>-3.4129692832764569E-2</v>
      </c>
    </row>
    <row r="22" spans="1:16">
      <c r="A22" s="13"/>
      <c r="B22" s="13"/>
      <c r="C22" s="22" t="s">
        <v>26</v>
      </c>
      <c r="D22" s="23"/>
      <c r="E22" s="24"/>
      <c r="F22" s="23"/>
      <c r="G22" s="26"/>
      <c r="H22" s="135"/>
      <c r="I22" s="135"/>
      <c r="J22" s="135"/>
      <c r="L22" s="134"/>
      <c r="N22" s="135">
        <f>+'Sewer Rate Design'!I13</f>
        <v>38.21</v>
      </c>
      <c r="P22" s="134"/>
    </row>
    <row r="23" spans="1:16">
      <c r="A23" s="13">
        <v>10</v>
      </c>
      <c r="B23" s="13">
        <v>68028</v>
      </c>
      <c r="C23" s="22" t="s">
        <v>27</v>
      </c>
      <c r="D23" s="23">
        <v>64.459999999999994</v>
      </c>
      <c r="E23" s="24"/>
      <c r="F23" s="23">
        <v>65.319999999999993</v>
      </c>
      <c r="G23" s="26"/>
      <c r="H23" s="135">
        <v>65.95</v>
      </c>
      <c r="I23" s="135"/>
      <c r="J23" s="135">
        <v>118.21</v>
      </c>
      <c r="L23" s="134">
        <f t="shared" si="0"/>
        <v>0.79241849886277471</v>
      </c>
      <c r="N23" s="135">
        <f>+'Sewer Rate Design'!I14</f>
        <v>63.68</v>
      </c>
      <c r="P23" s="134">
        <f t="shared" si="1"/>
        <v>-3.4420015163002304E-2</v>
      </c>
    </row>
    <row r="24" spans="1:16">
      <c r="A24" s="13">
        <v>11</v>
      </c>
      <c r="B24" s="13">
        <v>68029</v>
      </c>
      <c r="C24" s="22" t="s">
        <v>28</v>
      </c>
      <c r="D24" s="23">
        <v>128.91999999999999</v>
      </c>
      <c r="E24" s="24"/>
      <c r="F24" s="23">
        <v>130.63</v>
      </c>
      <c r="G24" s="26"/>
      <c r="H24" s="135">
        <v>131.88</v>
      </c>
      <c r="I24" s="135"/>
      <c r="J24" s="135">
        <v>236.39</v>
      </c>
      <c r="L24" s="134">
        <f t="shared" si="0"/>
        <v>0.7924628450106157</v>
      </c>
      <c r="N24" s="135">
        <f>+'Sewer Rate Design'!I15</f>
        <v>127.37</v>
      </c>
      <c r="P24" s="134">
        <f t="shared" si="1"/>
        <v>-3.4197755535335106E-2</v>
      </c>
    </row>
    <row r="25" spans="1:16">
      <c r="A25" s="13">
        <v>12</v>
      </c>
      <c r="B25" s="13">
        <v>68030</v>
      </c>
      <c r="C25" s="22" t="s">
        <v>29</v>
      </c>
      <c r="D25" s="23">
        <v>206.27</v>
      </c>
      <c r="E25" s="24"/>
      <c r="F25" s="25">
        <v>209.01</v>
      </c>
      <c r="G25" s="26"/>
      <c r="H25" s="135">
        <v>211.02</v>
      </c>
      <c r="I25" s="135"/>
      <c r="J25" s="135">
        <v>378.24</v>
      </c>
      <c r="L25" s="134">
        <f t="shared" si="0"/>
        <v>0.79243673585442131</v>
      </c>
      <c r="N25" s="135">
        <f>+'Sewer Rate Design'!I16</f>
        <v>203.79</v>
      </c>
      <c r="P25" s="134">
        <f t="shared" si="1"/>
        <v>-3.4262155245948334E-2</v>
      </c>
    </row>
    <row r="26" spans="1:16">
      <c r="A26" s="13">
        <v>13</v>
      </c>
      <c r="B26" s="13">
        <v>68031</v>
      </c>
      <c r="C26" s="22" t="s">
        <v>30</v>
      </c>
      <c r="D26" s="23">
        <v>412.53</v>
      </c>
      <c r="E26" s="24"/>
      <c r="F26" s="25">
        <v>418.02</v>
      </c>
      <c r="G26" s="26"/>
      <c r="H26" s="135">
        <v>422.03</v>
      </c>
      <c r="I26" s="135"/>
      <c r="J26" s="135">
        <v>756.46</v>
      </c>
      <c r="L26" s="134">
        <f t="shared" si="0"/>
        <v>0.79243181764329562</v>
      </c>
      <c r="N26" s="135">
        <f>+'Sewer Rate Design'!I17</f>
        <v>407.57</v>
      </c>
      <c r="P26" s="134">
        <f t="shared" si="1"/>
        <v>-3.4262967087647755E-2</v>
      </c>
    </row>
    <row r="27" spans="1:16">
      <c r="A27" s="13">
        <v>14</v>
      </c>
      <c r="B27" s="13">
        <v>68032</v>
      </c>
      <c r="C27" s="22" t="s">
        <v>31</v>
      </c>
      <c r="D27" s="23">
        <v>644.6</v>
      </c>
      <c r="E27" s="31"/>
      <c r="F27" s="34">
        <v>653.16999999999996</v>
      </c>
      <c r="G27" s="32"/>
      <c r="H27" s="135">
        <v>659.44</v>
      </c>
      <c r="I27" s="135"/>
      <c r="J27" s="135">
        <v>1182</v>
      </c>
      <c r="L27" s="134">
        <f t="shared" si="0"/>
        <v>0.79242994055562277</v>
      </c>
      <c r="N27" s="135">
        <f>+'Sewer Rate Design'!I18</f>
        <v>636.83000000000004</v>
      </c>
      <c r="P27" s="134">
        <f t="shared" si="1"/>
        <v>-3.4286667475433741E-2</v>
      </c>
    </row>
    <row r="28" spans="1:16">
      <c r="A28" s="13">
        <v>15</v>
      </c>
      <c r="B28" s="13">
        <v>68033</v>
      </c>
      <c r="C28" s="22" t="s">
        <v>32</v>
      </c>
      <c r="D28" s="35">
        <v>1289.19</v>
      </c>
      <c r="E28" s="31"/>
      <c r="F28" s="25">
        <v>1306.3399999999999</v>
      </c>
      <c r="G28" s="32"/>
      <c r="H28" s="135">
        <v>1318.88</v>
      </c>
      <c r="I28" s="135"/>
      <c r="J28" s="135">
        <v>2364</v>
      </c>
      <c r="L28" s="134">
        <f t="shared" si="0"/>
        <v>0.79242994055562277</v>
      </c>
      <c r="N28" s="135">
        <f>+'Sewer Rate Design'!I19</f>
        <v>1273.6600000000001</v>
      </c>
      <c r="P28" s="134">
        <f t="shared" si="1"/>
        <v>-3.4286667475433741E-2</v>
      </c>
    </row>
    <row r="29" spans="1:16">
      <c r="A29" s="13">
        <v>16</v>
      </c>
      <c r="B29" s="13"/>
      <c r="C29" s="22"/>
      <c r="D29" s="26"/>
      <c r="E29" s="24"/>
      <c r="F29" s="27"/>
      <c r="G29" s="26"/>
      <c r="H29" s="135"/>
      <c r="I29" s="135"/>
      <c r="J29" s="135"/>
      <c r="N29" s="135"/>
    </row>
    <row r="30" spans="1:16">
      <c r="A30" s="13">
        <v>17</v>
      </c>
      <c r="B30" s="13"/>
      <c r="C30" s="28" t="s">
        <v>24</v>
      </c>
      <c r="D30" s="35">
        <v>3.3</v>
      </c>
      <c r="E30" s="31"/>
      <c r="F30" s="25">
        <v>3.34</v>
      </c>
      <c r="G30" s="32"/>
      <c r="H30" s="135">
        <v>3.37</v>
      </c>
      <c r="I30" s="135"/>
      <c r="J30" s="135">
        <v>6.04</v>
      </c>
      <c r="L30" s="134">
        <f>+J30/H30-1</f>
        <v>0.79228486646884266</v>
      </c>
      <c r="N30" s="135">
        <f>+'Sewer Rate Design'!I55</f>
        <v>5.65</v>
      </c>
      <c r="P30" s="134">
        <f>N30/H30-1</f>
        <v>0.67655786350148372</v>
      </c>
    </row>
    <row r="31" spans="1:16">
      <c r="A31" s="37"/>
      <c r="B31" s="37"/>
      <c r="C31" s="38"/>
      <c r="D31" s="39"/>
      <c r="E31" s="39"/>
      <c r="F31" s="39"/>
      <c r="G31" s="39"/>
      <c r="H31" s="40"/>
      <c r="I31" s="40"/>
      <c r="J31" s="40"/>
    </row>
    <row r="32" spans="1:16">
      <c r="A32" s="13"/>
      <c r="B32" s="13"/>
      <c r="H32" s="21"/>
      <c r="I32" s="21"/>
      <c r="J32" s="21"/>
    </row>
    <row r="33" spans="8:10">
      <c r="H33" s="21"/>
      <c r="I33" s="21"/>
      <c r="J33" s="21"/>
    </row>
    <row r="34" spans="8:10">
      <c r="H34" s="21"/>
      <c r="I34" s="21"/>
      <c r="J34" s="21"/>
    </row>
    <row r="35" spans="8:10">
      <c r="H35" s="21"/>
      <c r="I35" s="21"/>
      <c r="J35" s="21"/>
    </row>
    <row r="36" spans="8:10">
      <c r="H36" s="21"/>
      <c r="I36" s="21"/>
      <c r="J36" s="21"/>
    </row>
    <row r="37" spans="8:10">
      <c r="H37" s="21"/>
      <c r="I37" s="21"/>
      <c r="J37" s="21"/>
    </row>
    <row r="38" spans="8:10">
      <c r="H38" s="21"/>
      <c r="I38" s="21"/>
      <c r="J38" s="21"/>
    </row>
    <row r="39" spans="8:10">
      <c r="H39" s="21"/>
      <c r="I39" s="21"/>
      <c r="J39" s="21"/>
    </row>
    <row r="40" spans="8:10">
      <c r="H40" s="21"/>
      <c r="I40" s="21"/>
      <c r="J40" s="21"/>
    </row>
    <row r="41" spans="8:10">
      <c r="H41" s="21"/>
      <c r="I41" s="21"/>
      <c r="J41" s="21"/>
    </row>
    <row r="42" spans="8:10">
      <c r="H42" s="21"/>
      <c r="I42" s="21"/>
      <c r="J42" s="21"/>
    </row>
    <row r="43" spans="8:10">
      <c r="H43" s="21"/>
      <c r="I43" s="21"/>
      <c r="J43" s="21"/>
    </row>
    <row r="44" spans="8:10">
      <c r="H44" s="21"/>
      <c r="I44" s="21"/>
      <c r="J44" s="21"/>
    </row>
    <row r="45" spans="8:10">
      <c r="H45" s="21"/>
      <c r="I45" s="21"/>
      <c r="J45" s="21"/>
    </row>
    <row r="46" spans="8:10">
      <c r="H46" s="21"/>
      <c r="I46" s="21"/>
      <c r="J46" s="21"/>
    </row>
    <row r="47" spans="8:10">
      <c r="H47" s="21"/>
      <c r="I47" s="21"/>
      <c r="J47" s="21"/>
    </row>
    <row r="48" spans="8:10">
      <c r="H48" s="21"/>
      <c r="I48" s="21"/>
      <c r="J48" s="21"/>
    </row>
    <row r="49" spans="8:10">
      <c r="H49" s="21"/>
      <c r="I49" s="21"/>
      <c r="J49" s="21"/>
    </row>
    <row r="87" spans="8:8">
      <c r="H87" s="42"/>
    </row>
    <row r="90" spans="8:8">
      <c r="H90" s="42"/>
    </row>
    <row r="213" spans="1:7">
      <c r="A213" s="43"/>
      <c r="B213" s="43"/>
      <c r="C213" s="44"/>
      <c r="D213" s="43"/>
      <c r="E213" s="43"/>
      <c r="F213" s="43"/>
      <c r="G213" s="43"/>
    </row>
    <row r="214" spans="1:7">
      <c r="A214" s="43"/>
      <c r="B214" s="43"/>
      <c r="C214" s="44"/>
      <c r="D214" s="43"/>
      <c r="E214" s="43"/>
      <c r="F214" s="43"/>
      <c r="G214" s="43"/>
    </row>
    <row r="215" spans="1:7">
      <c r="A215" s="43"/>
      <c r="B215" s="43"/>
      <c r="C215" s="44"/>
      <c r="D215" s="43"/>
      <c r="E215" s="43"/>
      <c r="F215" s="43"/>
      <c r="G215" s="43"/>
    </row>
    <row r="216" spans="1:7">
      <c r="A216" s="43"/>
      <c r="B216" s="43"/>
      <c r="C216" s="44"/>
      <c r="D216" s="43"/>
      <c r="E216" s="43"/>
      <c r="F216" s="43"/>
      <c r="G216" s="43"/>
    </row>
    <row r="217" spans="1:7">
      <c r="A217" s="43"/>
      <c r="B217" s="43"/>
      <c r="C217" s="44"/>
      <c r="D217" s="43"/>
      <c r="E217" s="43"/>
      <c r="F217" s="43"/>
      <c r="G217" s="43"/>
    </row>
    <row r="247" spans="1:7">
      <c r="A247" s="43"/>
      <c r="B247" s="43"/>
      <c r="C247" s="44"/>
      <c r="D247" s="43"/>
      <c r="E247" s="43"/>
      <c r="F247" s="43"/>
      <c r="G247" s="43"/>
    </row>
    <row r="316" spans="1:2">
      <c r="A316" s="1"/>
      <c r="B316" s="1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</sheetData>
  <pageMargins left="0.7" right="0.7" top="0.75" bottom="0.75" header="0.3" footer="0.3"/>
  <pageSetup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zoomScaleNormal="100" workbookViewId="0"/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2.7109375" style="4" customWidth="1"/>
    <col min="5" max="5" width="11.7109375" style="4" customWidth="1"/>
    <col min="6" max="6" width="2.7109375" style="4" customWidth="1"/>
    <col min="7" max="7" width="11.7109375" style="4" customWidth="1"/>
    <col min="8" max="8" width="1.7109375" style="4" customWidth="1"/>
    <col min="9" max="9" width="10.85546875" style="4"/>
    <col min="10" max="10" width="1.7109375" style="4" customWidth="1"/>
    <col min="11" max="11" width="10.85546875" style="4"/>
    <col min="12" max="12" width="1.7109375" style="4" customWidth="1"/>
    <col min="13" max="16384" width="10.85546875" style="4"/>
  </cols>
  <sheetData>
    <row r="1" spans="1:13">
      <c r="A1" s="1" t="s">
        <v>0</v>
      </c>
      <c r="B1" s="1"/>
      <c r="C1" s="2"/>
      <c r="D1" s="1"/>
      <c r="E1" s="3"/>
      <c r="G1" s="3"/>
    </row>
    <row r="2" spans="1:13">
      <c r="A2" s="1"/>
      <c r="B2" s="1"/>
      <c r="C2" s="2"/>
      <c r="D2" s="1"/>
      <c r="E2" s="3"/>
      <c r="G2" s="3"/>
    </row>
    <row r="3" spans="1:13">
      <c r="A3" s="1" t="s">
        <v>150</v>
      </c>
      <c r="B3" s="1"/>
      <c r="C3" s="2"/>
      <c r="D3" s="1"/>
      <c r="E3" s="3"/>
      <c r="G3" s="3"/>
    </row>
    <row r="4" spans="1:13">
      <c r="A4" s="1" t="s">
        <v>34</v>
      </c>
      <c r="B4" s="1"/>
      <c r="C4" s="2"/>
      <c r="D4" s="1"/>
      <c r="E4" s="5"/>
      <c r="G4" s="3"/>
    </row>
    <row r="5" spans="1:13">
      <c r="A5" s="1" t="s">
        <v>4</v>
      </c>
      <c r="B5" s="1"/>
      <c r="C5" s="2"/>
      <c r="D5" s="1"/>
      <c r="E5" s="3"/>
      <c r="G5" s="3"/>
    </row>
    <row r="6" spans="1:13">
      <c r="A6" s="1" t="s">
        <v>6</v>
      </c>
      <c r="B6" s="1"/>
      <c r="C6" s="2"/>
      <c r="D6" s="1"/>
      <c r="E6" s="3"/>
      <c r="F6" s="3"/>
      <c r="G6" s="3"/>
    </row>
    <row r="7" spans="1:13">
      <c r="A7" s="1" t="s">
        <v>7</v>
      </c>
      <c r="B7" s="1"/>
      <c r="C7" s="2"/>
      <c r="D7" s="1"/>
      <c r="E7" s="1"/>
      <c r="F7" s="1"/>
      <c r="G7" s="1"/>
    </row>
    <row r="8" spans="1:13">
      <c r="A8" s="6" t="s">
        <v>8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M9" s="7"/>
    </row>
    <row r="10" spans="1:13">
      <c r="A10" s="9"/>
      <c r="B10" s="10" t="s">
        <v>9</v>
      </c>
      <c r="C10" s="11"/>
      <c r="D10" s="13"/>
      <c r="E10" s="11"/>
      <c r="G10" s="11"/>
      <c r="H10" s="11"/>
      <c r="I10" s="11"/>
      <c r="J10" s="11"/>
      <c r="K10" s="11"/>
      <c r="M10" s="11"/>
    </row>
    <row r="11" spans="1:13">
      <c r="C11" s="2"/>
      <c r="D11" s="1"/>
      <c r="F11" s="13"/>
      <c r="G11" s="13"/>
      <c r="H11" s="13"/>
      <c r="I11" s="13" t="s">
        <v>216</v>
      </c>
      <c r="K11" s="13" t="s">
        <v>217</v>
      </c>
      <c r="M11" s="13" t="s">
        <v>216</v>
      </c>
    </row>
    <row r="12" spans="1:13">
      <c r="A12" s="13" t="s">
        <v>12</v>
      </c>
      <c r="C12" s="2"/>
      <c r="D12" s="1"/>
      <c r="E12" s="13" t="s">
        <v>11</v>
      </c>
      <c r="F12" s="13"/>
      <c r="G12" s="13" t="s">
        <v>15</v>
      </c>
      <c r="H12" s="13"/>
      <c r="I12" s="13" t="s">
        <v>218</v>
      </c>
      <c r="K12" s="13" t="s">
        <v>219</v>
      </c>
      <c r="M12" s="13" t="s">
        <v>218</v>
      </c>
    </row>
    <row r="13" spans="1:13">
      <c r="A13" s="14" t="s">
        <v>16</v>
      </c>
      <c r="B13" s="15" t="s">
        <v>17</v>
      </c>
      <c r="C13" s="16" t="s">
        <v>18</v>
      </c>
      <c r="D13" s="61"/>
      <c r="E13" s="129" t="s">
        <v>14</v>
      </c>
      <c r="F13" s="131"/>
      <c r="G13" s="132" t="s">
        <v>14</v>
      </c>
      <c r="H13" s="130"/>
      <c r="I13" s="133" t="s">
        <v>220</v>
      </c>
      <c r="K13" s="132" t="s">
        <v>14</v>
      </c>
      <c r="M13" s="132" t="s">
        <v>220</v>
      </c>
    </row>
    <row r="14" spans="1:13">
      <c r="A14" s="13">
        <v>1</v>
      </c>
      <c r="B14" s="13"/>
      <c r="C14" s="19" t="s">
        <v>21</v>
      </c>
      <c r="E14" s="21"/>
      <c r="F14" s="21"/>
      <c r="G14" s="21"/>
    </row>
    <row r="15" spans="1:13">
      <c r="A15" s="13">
        <v>2</v>
      </c>
      <c r="B15" s="13">
        <v>68021</v>
      </c>
      <c r="C15" s="22" t="s">
        <v>22</v>
      </c>
      <c r="D15" s="26"/>
      <c r="E15" s="135">
        <v>9.7200000000000006</v>
      </c>
      <c r="F15" s="135"/>
      <c r="G15" s="135">
        <v>12.65</v>
      </c>
      <c r="I15" s="134">
        <f>+G15/E15-1</f>
        <v>0.30144032921810693</v>
      </c>
      <c r="K15" s="135">
        <f>+'Sewer Rate Design'!I9</f>
        <v>25.47</v>
      </c>
      <c r="M15" s="134">
        <f>+K15/E15-1</f>
        <v>1.6203703703703702</v>
      </c>
    </row>
    <row r="16" spans="1:13">
      <c r="A16" s="13">
        <v>3</v>
      </c>
      <c r="B16" s="13"/>
      <c r="C16" s="4"/>
      <c r="D16" s="26"/>
      <c r="E16" s="135"/>
      <c r="F16" s="135"/>
      <c r="G16" s="135"/>
    </row>
    <row r="17" spans="1:13">
      <c r="A17" s="13">
        <v>4</v>
      </c>
      <c r="B17" s="13"/>
      <c r="C17" s="28" t="s">
        <v>23</v>
      </c>
      <c r="D17" s="26"/>
      <c r="E17" s="135">
        <v>7.21</v>
      </c>
      <c r="F17" s="135"/>
      <c r="G17" s="135">
        <v>9.3800000000000008</v>
      </c>
      <c r="I17" s="134">
        <f>+G17/E17-1</f>
        <v>0.30097087378640786</v>
      </c>
    </row>
    <row r="18" spans="1:13">
      <c r="A18" s="13"/>
      <c r="B18" s="13"/>
      <c r="C18" s="28" t="str">
        <f>+'Sewer Rate Design'!B52</f>
        <v>0-8k</v>
      </c>
      <c r="D18" s="26"/>
      <c r="E18" s="135"/>
      <c r="F18" s="135"/>
      <c r="G18" s="135"/>
      <c r="K18" s="135">
        <f>+'Sewer Rate Design'!I52</f>
        <v>4.91</v>
      </c>
      <c r="M18" s="134">
        <f>K18/E17-1</f>
        <v>-0.31900138696255198</v>
      </c>
    </row>
    <row r="19" spans="1:13">
      <c r="A19" s="13">
        <v>5</v>
      </c>
      <c r="B19" s="13"/>
      <c r="C19" s="28"/>
      <c r="D19" s="26"/>
      <c r="E19" s="135"/>
      <c r="F19" s="135"/>
      <c r="G19" s="135"/>
    </row>
    <row r="20" spans="1:13">
      <c r="A20" s="13">
        <v>6</v>
      </c>
      <c r="B20" s="13"/>
      <c r="C20" s="22" t="s">
        <v>100</v>
      </c>
      <c r="D20" s="26"/>
      <c r="E20" s="135">
        <v>24.32</v>
      </c>
      <c r="F20" s="135"/>
      <c r="G20" s="135">
        <v>31.64</v>
      </c>
      <c r="I20" s="134">
        <f>+G20/E20-1</f>
        <v>0.30098684210526327</v>
      </c>
      <c r="K20" s="135">
        <f>+'Sewer Rate Design'!I24</f>
        <v>35.659999999999997</v>
      </c>
      <c r="M20" s="134">
        <f>+K20/E20-1</f>
        <v>0.46628289473684204</v>
      </c>
    </row>
    <row r="21" spans="1:13">
      <c r="A21" s="37"/>
      <c r="B21" s="37"/>
      <c r="C21" s="38"/>
      <c r="D21" s="39"/>
      <c r="E21" s="40"/>
      <c r="F21" s="40"/>
      <c r="G21" s="40"/>
    </row>
    <row r="22" spans="1:13">
      <c r="A22" s="13"/>
      <c r="B22" s="13"/>
      <c r="E22" s="21"/>
      <c r="F22" s="21"/>
      <c r="G22" s="21"/>
    </row>
    <row r="23" spans="1:13">
      <c r="E23" s="21"/>
      <c r="F23" s="21"/>
      <c r="G23" s="21"/>
    </row>
    <row r="24" spans="1:13">
      <c r="E24" s="21"/>
      <c r="F24" s="21"/>
      <c r="G24" s="21"/>
    </row>
    <row r="25" spans="1:13">
      <c r="E25" s="21"/>
      <c r="F25" s="21"/>
      <c r="G25" s="21"/>
    </row>
    <row r="26" spans="1:13">
      <c r="E26" s="21"/>
      <c r="F26" s="21"/>
      <c r="G26" s="21"/>
    </row>
    <row r="27" spans="1:13">
      <c r="E27" s="21"/>
      <c r="F27" s="21"/>
      <c r="G27" s="21"/>
    </row>
    <row r="28" spans="1:13">
      <c r="E28" s="21"/>
      <c r="F28" s="21"/>
      <c r="G28" s="21"/>
    </row>
    <row r="29" spans="1:13">
      <c r="E29" s="21"/>
      <c r="F29" s="21"/>
      <c r="G29" s="21"/>
    </row>
    <row r="30" spans="1:13">
      <c r="E30" s="21"/>
      <c r="F30" s="21"/>
      <c r="G30" s="21"/>
    </row>
    <row r="31" spans="1:13">
      <c r="E31" s="21"/>
      <c r="F31" s="21"/>
      <c r="G31" s="21"/>
    </row>
    <row r="32" spans="1:13">
      <c r="E32" s="21"/>
      <c r="F32" s="21"/>
      <c r="G32" s="21"/>
    </row>
    <row r="33" spans="5:7">
      <c r="E33" s="21"/>
      <c r="F33" s="21"/>
      <c r="G33" s="21"/>
    </row>
    <row r="34" spans="5:7">
      <c r="E34" s="21"/>
      <c r="F34" s="21"/>
      <c r="G34" s="21"/>
    </row>
    <row r="35" spans="5:7">
      <c r="E35" s="21"/>
      <c r="F35" s="21"/>
      <c r="G35" s="21"/>
    </row>
    <row r="36" spans="5:7">
      <c r="E36" s="21"/>
      <c r="F36" s="21"/>
      <c r="G36" s="21"/>
    </row>
    <row r="37" spans="5:7">
      <c r="E37" s="21"/>
      <c r="F37" s="21"/>
      <c r="G37" s="21"/>
    </row>
    <row r="38" spans="5:7">
      <c r="E38" s="21"/>
      <c r="F38" s="21"/>
      <c r="G38" s="21"/>
    </row>
    <row r="39" spans="5:7">
      <c r="E39" s="21"/>
      <c r="F39" s="21"/>
      <c r="G39" s="21"/>
    </row>
    <row r="77" spans="5:5">
      <c r="E77" s="42"/>
    </row>
    <row r="80" spans="5:5">
      <c r="E80" s="42"/>
    </row>
    <row r="203" spans="1:4">
      <c r="A203" s="43"/>
      <c r="B203" s="43"/>
      <c r="C203" s="44"/>
      <c r="D203" s="43"/>
    </row>
    <row r="204" spans="1:4">
      <c r="A204" s="43"/>
      <c r="B204" s="43"/>
      <c r="C204" s="44"/>
      <c r="D204" s="43"/>
    </row>
    <row r="205" spans="1:4">
      <c r="A205" s="43"/>
      <c r="B205" s="43"/>
      <c r="C205" s="44"/>
      <c r="D205" s="43"/>
    </row>
    <row r="206" spans="1:4">
      <c r="A206" s="43"/>
      <c r="B206" s="43"/>
      <c r="C206" s="44"/>
      <c r="D206" s="43"/>
    </row>
    <row r="207" spans="1:4">
      <c r="A207" s="43"/>
      <c r="B207" s="43"/>
      <c r="C207" s="44"/>
      <c r="D207" s="43"/>
    </row>
    <row r="237" spans="1:4">
      <c r="A237" s="43"/>
      <c r="B237" s="43"/>
      <c r="C237" s="44"/>
      <c r="D237" s="43"/>
    </row>
    <row r="306" spans="1:2">
      <c r="A306" s="1"/>
      <c r="B306" s="1"/>
    </row>
    <row r="323" spans="1:2">
      <c r="A323" s="43"/>
      <c r="B323" s="43"/>
    </row>
    <row r="324" spans="1:2">
      <c r="A324" s="43"/>
      <c r="B324" s="43"/>
    </row>
    <row r="325" spans="1:2">
      <c r="A325" s="43"/>
      <c r="B325" s="43"/>
    </row>
    <row r="326" spans="1:2">
      <c r="A326" s="43"/>
      <c r="B326" s="43"/>
    </row>
    <row r="327" spans="1:2">
      <c r="A327" s="43"/>
      <c r="B327" s="43"/>
    </row>
    <row r="328" spans="1:2">
      <c r="A328" s="43"/>
      <c r="B328" s="43"/>
    </row>
    <row r="329" spans="1:2">
      <c r="A329" s="43"/>
      <c r="B329" s="43"/>
    </row>
    <row r="330" spans="1:2">
      <c r="A330" s="43"/>
      <c r="B330" s="43"/>
    </row>
    <row r="331" spans="1:2">
      <c r="A331" s="43"/>
      <c r="B331" s="43"/>
    </row>
    <row r="332" spans="1:2">
      <c r="A332" s="43"/>
      <c r="B332" s="43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</sheetData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activeCell="K67" sqref="K67"/>
    </sheetView>
  </sheetViews>
  <sheetFormatPr defaultRowHeight="15"/>
  <cols>
    <col min="1" max="1" width="24.140625" customWidth="1"/>
    <col min="2" max="2" width="6.42578125" customWidth="1"/>
    <col min="3" max="3" width="10.85546875" customWidth="1"/>
    <col min="4" max="4" width="1.7109375" customWidth="1"/>
    <col min="5" max="5" width="10.5703125" customWidth="1"/>
    <col min="6" max="6" width="1.7109375" customWidth="1"/>
    <col min="7" max="7" width="10.140625" bestFit="1" customWidth="1"/>
    <col min="8" max="8" width="1.7109375" customWidth="1"/>
    <col min="9" max="9" width="10.5703125" bestFit="1" customWidth="1"/>
    <col min="10" max="10" width="1.7109375" customWidth="1"/>
    <col min="11" max="11" width="12.5703125" bestFit="1" customWidth="1"/>
  </cols>
  <sheetData>
    <row r="1" spans="1:11" ht="18.75">
      <c r="A1" s="63" t="s">
        <v>183</v>
      </c>
      <c r="K1" s="107" t="s">
        <v>278</v>
      </c>
    </row>
    <row r="2" spans="1:11">
      <c r="A2" t="s">
        <v>184</v>
      </c>
      <c r="K2" s="107" t="s">
        <v>279</v>
      </c>
    </row>
    <row r="3" spans="1:11">
      <c r="A3" t="s">
        <v>287</v>
      </c>
      <c r="K3" s="107" t="s">
        <v>280</v>
      </c>
    </row>
    <row r="6" spans="1:11">
      <c r="A6" s="95" t="s">
        <v>185</v>
      </c>
    </row>
    <row r="7" spans="1:11">
      <c r="A7" s="64" t="s">
        <v>213</v>
      </c>
      <c r="B7" s="64"/>
      <c r="E7" s="96" t="s">
        <v>186</v>
      </c>
      <c r="G7" s="96" t="s">
        <v>187</v>
      </c>
      <c r="K7" s="96" t="s">
        <v>188</v>
      </c>
    </row>
    <row r="8" spans="1:11">
      <c r="A8" s="89" t="s">
        <v>113</v>
      </c>
      <c r="B8" s="64"/>
      <c r="C8" s="162" t="s">
        <v>189</v>
      </c>
      <c r="E8" s="162" t="s">
        <v>202</v>
      </c>
      <c r="G8" s="162" t="s">
        <v>189</v>
      </c>
      <c r="I8" s="162" t="s">
        <v>14</v>
      </c>
      <c r="K8" s="162" t="s">
        <v>190</v>
      </c>
    </row>
    <row r="9" spans="1:11">
      <c r="A9" s="89" t="s">
        <v>205</v>
      </c>
      <c r="B9" s="64"/>
      <c r="C9" s="112">
        <f>+'S-Bills Summary'!AG10</f>
        <v>231250</v>
      </c>
      <c r="D9" s="112"/>
      <c r="E9" s="113">
        <v>1</v>
      </c>
      <c r="F9" s="112"/>
      <c r="G9" s="112">
        <f>+C9*E9</f>
        <v>231250</v>
      </c>
      <c r="H9" s="112"/>
      <c r="I9" s="114">
        <f>ROUND(G$46*E9,2)</f>
        <v>25.47</v>
      </c>
      <c r="J9" s="111"/>
      <c r="K9" s="144">
        <f>+C9*I9</f>
        <v>5889937.5</v>
      </c>
    </row>
    <row r="10" spans="1:11">
      <c r="A10" s="89"/>
      <c r="B10" s="64"/>
      <c r="C10" s="112"/>
      <c r="D10" s="112"/>
      <c r="E10" s="112"/>
      <c r="F10" s="112"/>
      <c r="G10" s="112"/>
      <c r="H10" s="112"/>
      <c r="I10" s="112"/>
      <c r="J10" s="111"/>
      <c r="K10" s="145"/>
    </row>
    <row r="11" spans="1:11">
      <c r="A11" s="89" t="s">
        <v>24</v>
      </c>
      <c r="B11" s="64"/>
      <c r="C11" s="112"/>
      <c r="D11" s="112"/>
      <c r="E11" s="112"/>
      <c r="F11" s="112"/>
      <c r="G11" s="112"/>
      <c r="H11" s="112"/>
      <c r="I11" s="112"/>
      <c r="J11" s="111"/>
      <c r="K11" s="145"/>
    </row>
    <row r="12" spans="1:11">
      <c r="A12" s="89" t="s">
        <v>114</v>
      </c>
      <c r="B12" s="64"/>
      <c r="C12" s="112">
        <f>+'S-Bills Summary'!AG17</f>
        <v>2701</v>
      </c>
      <c r="D12" s="112"/>
      <c r="E12" s="113">
        <f>+'S-Rate Summary'!AL16</f>
        <v>1</v>
      </c>
      <c r="F12" s="112"/>
      <c r="G12" s="112">
        <f t="shared" ref="G12:G25" si="0">+C12*E12</f>
        <v>2701</v>
      </c>
      <c r="H12" s="112"/>
      <c r="I12" s="115">
        <f t="shared" ref="I12:I25" si="1">ROUND(G$46*E12,2)</f>
        <v>25.47</v>
      </c>
      <c r="J12" s="111"/>
      <c r="K12" s="146">
        <f t="shared" ref="K12:K25" si="2">+C12*I12</f>
        <v>68794.47</v>
      </c>
    </row>
    <row r="13" spans="1:11">
      <c r="A13" s="89" t="s">
        <v>115</v>
      </c>
      <c r="B13" s="64"/>
      <c r="C13" s="112">
        <f>+'S-Bills Summary'!AG18</f>
        <v>0</v>
      </c>
      <c r="D13" s="112"/>
      <c r="E13" s="113">
        <f>+'S-Rate Summary'!AL17</f>
        <v>1.5</v>
      </c>
      <c r="F13" s="112"/>
      <c r="G13" s="112">
        <f t="shared" si="0"/>
        <v>0</v>
      </c>
      <c r="H13" s="112"/>
      <c r="I13" s="115">
        <f t="shared" si="1"/>
        <v>38.21</v>
      </c>
      <c r="J13" s="111"/>
      <c r="K13" s="146">
        <f t="shared" si="2"/>
        <v>0</v>
      </c>
    </row>
    <row r="14" spans="1:11">
      <c r="A14" s="89" t="s">
        <v>116</v>
      </c>
      <c r="B14" s="64"/>
      <c r="C14" s="112">
        <f>+'S-Bills Summary'!AG19</f>
        <v>1350</v>
      </c>
      <c r="D14" s="112"/>
      <c r="E14" s="113">
        <f>+'S-Rate Summary'!AL18</f>
        <v>2.5</v>
      </c>
      <c r="F14" s="112"/>
      <c r="G14" s="112">
        <f t="shared" si="0"/>
        <v>3375</v>
      </c>
      <c r="H14" s="112"/>
      <c r="I14" s="115">
        <f t="shared" si="1"/>
        <v>63.68</v>
      </c>
      <c r="J14" s="111"/>
      <c r="K14" s="146">
        <f t="shared" si="2"/>
        <v>85968</v>
      </c>
    </row>
    <row r="15" spans="1:11">
      <c r="A15" s="89" t="s">
        <v>117</v>
      </c>
      <c r="B15" s="64"/>
      <c r="C15" s="112">
        <f>+'S-Bills Summary'!AG20</f>
        <v>1789</v>
      </c>
      <c r="D15" s="112"/>
      <c r="E15" s="113">
        <f>+'S-Rate Summary'!AL19</f>
        <v>5</v>
      </c>
      <c r="F15" s="112"/>
      <c r="G15" s="112">
        <f t="shared" si="0"/>
        <v>8945</v>
      </c>
      <c r="H15" s="112"/>
      <c r="I15" s="115">
        <f t="shared" si="1"/>
        <v>127.37</v>
      </c>
      <c r="J15" s="111"/>
      <c r="K15" s="146">
        <f t="shared" si="2"/>
        <v>227864.93000000002</v>
      </c>
    </row>
    <row r="16" spans="1:11">
      <c r="A16" s="89" t="s">
        <v>69</v>
      </c>
      <c r="B16" s="64"/>
      <c r="C16" s="112">
        <f>+'S-Bills Summary'!AG21</f>
        <v>1720</v>
      </c>
      <c r="D16" s="112"/>
      <c r="E16" s="113">
        <f>+'S-Rate Summary'!AL20</f>
        <v>8</v>
      </c>
      <c r="F16" s="112"/>
      <c r="G16" s="112">
        <f t="shared" si="0"/>
        <v>13760</v>
      </c>
      <c r="H16" s="112"/>
      <c r="I16" s="115">
        <f t="shared" si="1"/>
        <v>203.79</v>
      </c>
      <c r="J16" s="111"/>
      <c r="K16" s="146">
        <f t="shared" si="2"/>
        <v>350518.8</v>
      </c>
    </row>
    <row r="17" spans="1:11">
      <c r="A17" s="89" t="s">
        <v>70</v>
      </c>
      <c r="B17" s="64"/>
      <c r="C17" s="112">
        <f>+'S-Bills Summary'!AG22</f>
        <v>360</v>
      </c>
      <c r="D17" s="112"/>
      <c r="E17" s="113">
        <f>+'S-Rate Summary'!AL21</f>
        <v>16</v>
      </c>
      <c r="F17" s="112"/>
      <c r="G17" s="112">
        <f t="shared" si="0"/>
        <v>5760</v>
      </c>
      <c r="H17" s="112"/>
      <c r="I17" s="115">
        <f t="shared" si="1"/>
        <v>407.57</v>
      </c>
      <c r="J17" s="111"/>
      <c r="K17" s="146">
        <f t="shared" si="2"/>
        <v>146725.20000000001</v>
      </c>
    </row>
    <row r="18" spans="1:11">
      <c r="A18" s="89" t="s">
        <v>71</v>
      </c>
      <c r="B18" s="64"/>
      <c r="C18" s="112">
        <f>+'S-Bills Summary'!AG23</f>
        <v>108</v>
      </c>
      <c r="D18" s="112"/>
      <c r="E18" s="113">
        <f>+'S-Rate Summary'!AL22</f>
        <v>25</v>
      </c>
      <c r="F18" s="112"/>
      <c r="G18" s="112">
        <f t="shared" si="0"/>
        <v>2700</v>
      </c>
      <c r="H18" s="112"/>
      <c r="I18" s="115">
        <f t="shared" si="1"/>
        <v>636.83000000000004</v>
      </c>
      <c r="J18" s="111"/>
      <c r="K18" s="146">
        <f t="shared" si="2"/>
        <v>68777.64</v>
      </c>
    </row>
    <row r="19" spans="1:11">
      <c r="A19" s="89" t="s">
        <v>72</v>
      </c>
      <c r="B19" s="64"/>
      <c r="C19" s="112">
        <f>+'S-Bills Summary'!AG24</f>
        <v>59</v>
      </c>
      <c r="D19" s="112"/>
      <c r="E19" s="113">
        <f>+'S-Rate Summary'!AL23</f>
        <v>50</v>
      </c>
      <c r="F19" s="112"/>
      <c r="G19" s="112">
        <f t="shared" si="0"/>
        <v>2950</v>
      </c>
      <c r="H19" s="112"/>
      <c r="I19" s="115">
        <f t="shared" si="1"/>
        <v>1273.6600000000001</v>
      </c>
      <c r="J19" s="111"/>
      <c r="K19" s="146">
        <f t="shared" si="2"/>
        <v>75145.94</v>
      </c>
    </row>
    <row r="20" spans="1:11">
      <c r="A20" s="89" t="s">
        <v>73</v>
      </c>
      <c r="B20" s="64"/>
      <c r="C20" s="112">
        <f>+'S-Bills Summary'!AG25</f>
        <v>36</v>
      </c>
      <c r="D20" s="112"/>
      <c r="E20" s="113">
        <f>+'S-Rate Summary'!AL24</f>
        <v>80</v>
      </c>
      <c r="F20" s="112"/>
      <c r="G20" s="112">
        <f t="shared" si="0"/>
        <v>2880</v>
      </c>
      <c r="H20" s="112"/>
      <c r="I20" s="115">
        <f t="shared" si="1"/>
        <v>2037.86</v>
      </c>
      <c r="J20" s="111"/>
      <c r="K20" s="146">
        <f t="shared" si="2"/>
        <v>73362.959999999992</v>
      </c>
    </row>
    <row r="21" spans="1:11">
      <c r="A21" s="89" t="s">
        <v>74</v>
      </c>
      <c r="B21" s="64"/>
      <c r="C21" s="112">
        <f>+'S-Bills Summary'!AG26</f>
        <v>12</v>
      </c>
      <c r="D21" s="112"/>
      <c r="E21" s="113">
        <f>+'S-Rate Summary'!AL25</f>
        <v>145</v>
      </c>
      <c r="F21" s="112"/>
      <c r="G21" s="112">
        <f t="shared" si="0"/>
        <v>1740</v>
      </c>
      <c r="H21" s="112"/>
      <c r="I21" s="115">
        <f t="shared" si="1"/>
        <v>3693.62</v>
      </c>
      <c r="J21" s="111"/>
      <c r="K21" s="146">
        <f t="shared" si="2"/>
        <v>44323.44</v>
      </c>
    </row>
    <row r="22" spans="1:11">
      <c r="A22" s="91" t="s">
        <v>204</v>
      </c>
      <c r="B22" s="64"/>
      <c r="C22" s="112">
        <f>+'S-Bills Summary'!AG32</f>
        <v>12</v>
      </c>
      <c r="D22" s="112"/>
      <c r="E22" s="113">
        <v>33.6</v>
      </c>
      <c r="F22" s="112"/>
      <c r="G22" s="112">
        <f t="shared" si="0"/>
        <v>403.20000000000005</v>
      </c>
      <c r="H22" s="112"/>
      <c r="I22" s="114">
        <f t="shared" si="1"/>
        <v>855.9</v>
      </c>
      <c r="J22" s="111"/>
      <c r="K22" s="146">
        <f t="shared" si="2"/>
        <v>10270.799999999999</v>
      </c>
    </row>
    <row r="23" spans="1:11">
      <c r="A23" s="89" t="s">
        <v>206</v>
      </c>
      <c r="B23" s="64"/>
      <c r="C23" s="112">
        <f>+'S-Bills Summary'!AG35</f>
        <v>8206</v>
      </c>
      <c r="D23" s="112"/>
      <c r="E23" s="143">
        <v>0.3</v>
      </c>
      <c r="F23" s="112"/>
      <c r="G23" s="112">
        <f t="shared" si="0"/>
        <v>2461.7999999999997</v>
      </c>
      <c r="H23" s="112"/>
      <c r="I23" s="114">
        <f t="shared" si="1"/>
        <v>7.64</v>
      </c>
      <c r="J23" s="111"/>
      <c r="K23" s="146">
        <f t="shared" si="2"/>
        <v>62693.84</v>
      </c>
    </row>
    <row r="24" spans="1:11">
      <c r="A24" s="89" t="s">
        <v>200</v>
      </c>
      <c r="B24" s="64"/>
      <c r="C24" s="112">
        <f>+'S-Bills Summary'!AG13</f>
        <v>36867</v>
      </c>
      <c r="D24" s="112"/>
      <c r="E24" s="143">
        <f>+'S-Rate Summary'!AL12</f>
        <v>1.4</v>
      </c>
      <c r="F24" s="112"/>
      <c r="G24" s="112">
        <f t="shared" si="0"/>
        <v>51613.799999999996</v>
      </c>
      <c r="H24" s="112"/>
      <c r="I24" s="114">
        <f t="shared" si="1"/>
        <v>35.659999999999997</v>
      </c>
      <c r="J24" s="111"/>
      <c r="K24" s="146">
        <f t="shared" si="2"/>
        <v>1314677.22</v>
      </c>
    </row>
    <row r="25" spans="1:11">
      <c r="A25" s="89" t="s">
        <v>201</v>
      </c>
      <c r="B25" s="64"/>
      <c r="C25" s="112">
        <f>+'S-Bills Summary'!AG29</f>
        <v>6372</v>
      </c>
      <c r="D25" s="112"/>
      <c r="E25" s="143">
        <f>+'S-Rate Summary'!AL29</f>
        <v>1.75</v>
      </c>
      <c r="F25" s="112"/>
      <c r="G25" s="112">
        <f t="shared" si="0"/>
        <v>11151</v>
      </c>
      <c r="H25" s="112"/>
      <c r="I25" s="114">
        <f t="shared" si="1"/>
        <v>44.58</v>
      </c>
      <c r="J25" s="111"/>
      <c r="K25" s="146">
        <f t="shared" si="2"/>
        <v>284063.76</v>
      </c>
    </row>
    <row r="26" spans="1:11">
      <c r="A26" s="89"/>
      <c r="B26" s="64"/>
      <c r="C26" s="112"/>
      <c r="D26" s="112"/>
      <c r="E26" s="112"/>
      <c r="F26" s="112"/>
      <c r="G26" s="112"/>
      <c r="H26" s="112"/>
      <c r="I26" s="112"/>
      <c r="J26" s="111"/>
      <c r="K26" s="145"/>
    </row>
    <row r="27" spans="1:11">
      <c r="A27" s="64" t="s">
        <v>214</v>
      </c>
      <c r="B27" s="64"/>
      <c r="E27" s="96"/>
      <c r="G27" s="96"/>
      <c r="K27" s="147"/>
    </row>
    <row r="28" spans="1:11">
      <c r="A28" s="123" t="s">
        <v>113</v>
      </c>
      <c r="B28" s="64"/>
      <c r="C28" s="96"/>
      <c r="E28" s="96"/>
      <c r="G28" s="96"/>
      <c r="I28" s="96"/>
      <c r="K28" s="147"/>
    </row>
    <row r="29" spans="1:11">
      <c r="A29" s="123" t="s">
        <v>205</v>
      </c>
      <c r="B29" s="64"/>
      <c r="C29" s="112">
        <f>+'S-Bills Summary'!AI10</f>
        <v>12374</v>
      </c>
      <c r="D29" s="112"/>
      <c r="E29" s="113">
        <f>+E9*2</f>
        <v>2</v>
      </c>
      <c r="F29" s="112"/>
      <c r="G29" s="112">
        <f>+C29*E29</f>
        <v>24748</v>
      </c>
      <c r="H29" s="112"/>
      <c r="I29" s="114">
        <f>ROUND(G$46*E29,2)</f>
        <v>50.95</v>
      </c>
      <c r="J29" s="111"/>
      <c r="K29" s="144">
        <f>+C29*I29</f>
        <v>630455.30000000005</v>
      </c>
    </row>
    <row r="30" spans="1:11">
      <c r="A30" s="123"/>
      <c r="B30" s="64"/>
      <c r="C30" s="112"/>
      <c r="D30" s="112"/>
      <c r="E30" s="112"/>
      <c r="F30" s="112"/>
      <c r="G30" s="112"/>
      <c r="H30" s="112"/>
      <c r="I30" s="112"/>
      <c r="J30" s="111"/>
      <c r="K30" s="145"/>
    </row>
    <row r="31" spans="1:11">
      <c r="A31" s="123" t="s">
        <v>24</v>
      </c>
      <c r="B31" s="64"/>
      <c r="C31" s="112"/>
      <c r="D31" s="112"/>
      <c r="E31" s="112"/>
      <c r="F31" s="112"/>
      <c r="G31" s="112"/>
      <c r="H31" s="112"/>
      <c r="I31" s="112"/>
      <c r="J31" s="111"/>
      <c r="K31" s="145"/>
    </row>
    <row r="32" spans="1:11">
      <c r="A32" s="123" t="s">
        <v>114</v>
      </c>
      <c r="B32" s="64"/>
      <c r="C32" s="112">
        <f>+'S-Bills Summary'!AI17</f>
        <v>12</v>
      </c>
      <c r="D32" s="112"/>
      <c r="E32" s="113">
        <f t="shared" ref="E32:E41" si="3">+E12*2</f>
        <v>2</v>
      </c>
      <c r="F32" s="112"/>
      <c r="G32" s="112">
        <f t="shared" ref="G32:G42" si="4">+C32*E32</f>
        <v>24</v>
      </c>
      <c r="H32" s="112"/>
      <c r="I32" s="115">
        <f t="shared" ref="I32:I43" si="5">ROUND(G$46*E32,2)</f>
        <v>50.95</v>
      </c>
      <c r="J32" s="111"/>
      <c r="K32" s="146">
        <f t="shared" ref="K32:K42" si="6">+C32*I32</f>
        <v>611.40000000000009</v>
      </c>
    </row>
    <row r="33" spans="1:11">
      <c r="A33" s="123" t="s">
        <v>115</v>
      </c>
      <c r="B33" s="64"/>
      <c r="C33" s="112">
        <f>+'S-Bills Summary'!AI18</f>
        <v>0</v>
      </c>
      <c r="D33" s="112"/>
      <c r="E33" s="113">
        <f t="shared" si="3"/>
        <v>3</v>
      </c>
      <c r="F33" s="112"/>
      <c r="G33" s="112">
        <f t="shared" si="4"/>
        <v>0</v>
      </c>
      <c r="H33" s="112"/>
      <c r="I33" s="115">
        <f t="shared" si="5"/>
        <v>76.42</v>
      </c>
      <c r="J33" s="111"/>
      <c r="K33" s="146">
        <f t="shared" si="6"/>
        <v>0</v>
      </c>
    </row>
    <row r="34" spans="1:11">
      <c r="A34" s="123" t="s">
        <v>116</v>
      </c>
      <c r="B34" s="64"/>
      <c r="C34" s="112">
        <f>+'S-Bills Summary'!AI19</f>
        <v>1164</v>
      </c>
      <c r="D34" s="112"/>
      <c r="E34" s="113">
        <f t="shared" si="3"/>
        <v>5</v>
      </c>
      <c r="F34" s="112"/>
      <c r="G34" s="112">
        <f t="shared" si="4"/>
        <v>5820</v>
      </c>
      <c r="H34" s="112"/>
      <c r="I34" s="115">
        <f t="shared" si="5"/>
        <v>127.37</v>
      </c>
      <c r="J34" s="111"/>
      <c r="K34" s="146">
        <f t="shared" si="6"/>
        <v>148258.68</v>
      </c>
    </row>
    <row r="35" spans="1:11">
      <c r="A35" s="123" t="s">
        <v>117</v>
      </c>
      <c r="B35" s="64"/>
      <c r="C35" s="112">
        <f>+'S-Bills Summary'!AI20</f>
        <v>136</v>
      </c>
      <c r="D35" s="112"/>
      <c r="E35" s="113">
        <f t="shared" si="3"/>
        <v>10</v>
      </c>
      <c r="F35" s="112"/>
      <c r="G35" s="112">
        <f t="shared" si="4"/>
        <v>1360</v>
      </c>
      <c r="H35" s="112"/>
      <c r="I35" s="115">
        <f t="shared" si="5"/>
        <v>254.73</v>
      </c>
      <c r="J35" s="111"/>
      <c r="K35" s="146">
        <f t="shared" si="6"/>
        <v>34643.279999999999</v>
      </c>
    </row>
    <row r="36" spans="1:11">
      <c r="A36" s="123" t="s">
        <v>69</v>
      </c>
      <c r="B36" s="64"/>
      <c r="C36" s="112">
        <f>+'S-Bills Summary'!AI21</f>
        <v>434</v>
      </c>
      <c r="D36" s="112"/>
      <c r="E36" s="113">
        <f t="shared" si="3"/>
        <v>16</v>
      </c>
      <c r="F36" s="112"/>
      <c r="G36" s="112">
        <f t="shared" si="4"/>
        <v>6944</v>
      </c>
      <c r="H36" s="112"/>
      <c r="I36" s="115">
        <f t="shared" si="5"/>
        <v>407.57</v>
      </c>
      <c r="J36" s="111"/>
      <c r="K36" s="146">
        <f t="shared" si="6"/>
        <v>176885.38</v>
      </c>
    </row>
    <row r="37" spans="1:11">
      <c r="A37" s="123" t="s">
        <v>70</v>
      </c>
      <c r="B37" s="64"/>
      <c r="C37" s="112">
        <f>+'S-Bills Summary'!AI22</f>
        <v>6</v>
      </c>
      <c r="D37" s="112"/>
      <c r="E37" s="113">
        <f t="shared" si="3"/>
        <v>32</v>
      </c>
      <c r="F37" s="112"/>
      <c r="G37" s="112">
        <f t="shared" si="4"/>
        <v>192</v>
      </c>
      <c r="H37" s="112"/>
      <c r="I37" s="115">
        <f t="shared" si="5"/>
        <v>815.14</v>
      </c>
      <c r="J37" s="111"/>
      <c r="K37" s="146">
        <f t="shared" si="6"/>
        <v>4890.84</v>
      </c>
    </row>
    <row r="38" spans="1:11">
      <c r="A38" s="123" t="s">
        <v>71</v>
      </c>
      <c r="B38" s="64"/>
      <c r="C38" s="112">
        <f>+'S-Bills Summary'!AI23</f>
        <v>6</v>
      </c>
      <c r="D38" s="112"/>
      <c r="E38" s="113">
        <f t="shared" si="3"/>
        <v>50</v>
      </c>
      <c r="F38" s="112"/>
      <c r="G38" s="112">
        <f t="shared" si="4"/>
        <v>300</v>
      </c>
      <c r="H38" s="112"/>
      <c r="I38" s="115">
        <f t="shared" si="5"/>
        <v>1273.6600000000001</v>
      </c>
      <c r="J38" s="111"/>
      <c r="K38" s="146">
        <f t="shared" si="6"/>
        <v>7641.9600000000009</v>
      </c>
    </row>
    <row r="39" spans="1:11">
      <c r="A39" s="123" t="s">
        <v>72</v>
      </c>
      <c r="B39" s="64"/>
      <c r="C39" s="112">
        <f>+'S-Bills Summary'!AI24</f>
        <v>55</v>
      </c>
      <c r="D39" s="112"/>
      <c r="E39" s="113">
        <f t="shared" si="3"/>
        <v>100</v>
      </c>
      <c r="F39" s="112"/>
      <c r="G39" s="112">
        <f t="shared" si="4"/>
        <v>5500</v>
      </c>
      <c r="H39" s="112"/>
      <c r="I39" s="115">
        <f t="shared" si="5"/>
        <v>2547.3200000000002</v>
      </c>
      <c r="J39" s="111"/>
      <c r="K39" s="146">
        <f t="shared" si="6"/>
        <v>140102.6</v>
      </c>
    </row>
    <row r="40" spans="1:11">
      <c r="A40" s="123" t="s">
        <v>73</v>
      </c>
      <c r="B40" s="64"/>
      <c r="C40" s="112">
        <f>+'S-Bills Summary'!AI25</f>
        <v>0</v>
      </c>
      <c r="D40" s="112"/>
      <c r="E40" s="113">
        <f t="shared" si="3"/>
        <v>160</v>
      </c>
      <c r="F40" s="112"/>
      <c r="G40" s="112">
        <f t="shared" si="4"/>
        <v>0</v>
      </c>
      <c r="H40" s="112"/>
      <c r="I40" s="115">
        <f t="shared" si="5"/>
        <v>4075.72</v>
      </c>
      <c r="J40" s="111"/>
      <c r="K40" s="146">
        <f t="shared" si="6"/>
        <v>0</v>
      </c>
    </row>
    <row r="41" spans="1:11">
      <c r="A41" s="123" t="s">
        <v>74</v>
      </c>
      <c r="B41" s="64"/>
      <c r="C41" s="112">
        <f>+'S-Bills Summary'!AI26</f>
        <v>0</v>
      </c>
      <c r="D41" s="112"/>
      <c r="E41" s="113">
        <f t="shared" si="3"/>
        <v>290</v>
      </c>
      <c r="F41" s="112"/>
      <c r="G41" s="112">
        <f t="shared" si="4"/>
        <v>0</v>
      </c>
      <c r="H41" s="112"/>
      <c r="I41" s="115">
        <f t="shared" si="5"/>
        <v>7387.24</v>
      </c>
      <c r="J41" s="111"/>
      <c r="K41" s="146">
        <f t="shared" si="6"/>
        <v>0</v>
      </c>
    </row>
    <row r="42" spans="1:11">
      <c r="A42" s="123" t="s">
        <v>200</v>
      </c>
      <c r="B42" s="64"/>
      <c r="C42" s="112">
        <f>+'S-Bills Summary'!AI13</f>
        <v>5670</v>
      </c>
      <c r="D42" s="112"/>
      <c r="E42" s="143">
        <f>+E24*2</f>
        <v>2.8</v>
      </c>
      <c r="F42" s="112"/>
      <c r="G42" s="112">
        <f t="shared" si="4"/>
        <v>15875.999999999998</v>
      </c>
      <c r="H42" s="112"/>
      <c r="I42" s="115">
        <f t="shared" si="5"/>
        <v>71.33</v>
      </c>
      <c r="J42" s="111"/>
      <c r="K42" s="146">
        <f t="shared" si="6"/>
        <v>404441.1</v>
      </c>
    </row>
    <row r="43" spans="1:11">
      <c r="A43" s="123" t="s">
        <v>201</v>
      </c>
      <c r="B43" s="64"/>
      <c r="C43" s="112"/>
      <c r="D43" s="112"/>
      <c r="E43" s="143">
        <f>+E25*2</f>
        <v>3.5</v>
      </c>
      <c r="F43" s="112"/>
      <c r="G43" s="112"/>
      <c r="H43" s="112"/>
      <c r="I43" s="115">
        <f t="shared" si="5"/>
        <v>89.16</v>
      </c>
      <c r="J43" s="111"/>
      <c r="K43" s="146"/>
    </row>
    <row r="44" spans="1:11">
      <c r="A44" s="64"/>
      <c r="B44" s="64"/>
      <c r="C44" s="116">
        <f>SUM(C9:C41)</f>
        <v>305029</v>
      </c>
      <c r="D44" s="117"/>
      <c r="E44" s="117"/>
      <c r="F44" s="117"/>
      <c r="G44" s="116">
        <f>SUM(G9:G42)</f>
        <v>402454.8</v>
      </c>
      <c r="H44" s="117"/>
      <c r="I44" s="117"/>
      <c r="J44" s="110"/>
      <c r="K44" s="148">
        <f>SUM(K9:K42)</f>
        <v>10251055.040000001</v>
      </c>
    </row>
    <row r="45" spans="1:11">
      <c r="A45" s="99" t="s">
        <v>191</v>
      </c>
      <c r="B45" s="64"/>
      <c r="C45" s="118"/>
      <c r="D45" s="117"/>
      <c r="E45" s="117"/>
      <c r="F45" s="117"/>
      <c r="G45" s="118">
        <f>+'S-Revenue Summary'!AK46</f>
        <v>10251823.268049145</v>
      </c>
      <c r="H45" s="117"/>
      <c r="I45" s="117"/>
      <c r="K45" s="149"/>
    </row>
    <row r="46" spans="1:11">
      <c r="A46" s="99" t="s">
        <v>192</v>
      </c>
      <c r="B46" s="64"/>
      <c r="C46" s="118"/>
      <c r="D46" s="117"/>
      <c r="E46" s="117"/>
      <c r="F46" s="117"/>
      <c r="G46" s="119">
        <f>G45/G44</f>
        <v>25.473228963970975</v>
      </c>
      <c r="H46" s="117"/>
      <c r="I46" s="117"/>
    </row>
    <row r="48" spans="1:11">
      <c r="A48" s="95" t="s">
        <v>193</v>
      </c>
    </row>
    <row r="49" spans="1:13">
      <c r="A49" s="95"/>
      <c r="C49" s="102">
        <v>1000</v>
      </c>
      <c r="E49" s="96" t="s">
        <v>130</v>
      </c>
      <c r="G49" s="96" t="s">
        <v>187</v>
      </c>
      <c r="K49" s="96" t="s">
        <v>188</v>
      </c>
    </row>
    <row r="50" spans="1:13">
      <c r="A50" s="95"/>
      <c r="C50" s="162" t="s">
        <v>194</v>
      </c>
      <c r="E50" s="162" t="s">
        <v>202</v>
      </c>
      <c r="G50" s="162" t="s">
        <v>130</v>
      </c>
      <c r="I50" s="162" t="s">
        <v>14</v>
      </c>
      <c r="K50" s="162" t="s">
        <v>190</v>
      </c>
    </row>
    <row r="51" spans="1:13">
      <c r="A51" s="103" t="s">
        <v>195</v>
      </c>
    </row>
    <row r="52" spans="1:13">
      <c r="A52" s="89" t="s">
        <v>208</v>
      </c>
      <c r="B52" s="89" t="s">
        <v>120</v>
      </c>
      <c r="C52" s="104">
        <f>+'S-Usage Summary'!AV21</f>
        <v>1087046</v>
      </c>
      <c r="E52" s="105">
        <f>+'[13]Rate Summary'!AC17</f>
        <v>1</v>
      </c>
      <c r="G52" s="97">
        <f>E52*C52</f>
        <v>1087046</v>
      </c>
      <c r="I52" s="98">
        <f>ROUND(+G$63*E52,2)+M52</f>
        <v>4.91</v>
      </c>
      <c r="K52" s="150">
        <f>+I52*C52</f>
        <v>5337395.8600000003</v>
      </c>
      <c r="M52" s="124"/>
    </row>
    <row r="53" spans="1:13">
      <c r="A53" s="91" t="s">
        <v>209</v>
      </c>
      <c r="B53" s="91" t="s">
        <v>210</v>
      </c>
      <c r="C53" s="104">
        <f>+'S-Usage Summary'!AV22</f>
        <v>103650</v>
      </c>
      <c r="E53" s="105">
        <v>1</v>
      </c>
      <c r="G53" s="97">
        <f>E53*C53</f>
        <v>103650</v>
      </c>
      <c r="I53" s="98">
        <f>ROUND(+G$63*E53,2)+M53</f>
        <v>4.91</v>
      </c>
      <c r="K53" s="146">
        <f>+I53*C53</f>
        <v>508921.5</v>
      </c>
      <c r="M53" s="124"/>
    </row>
    <row r="54" spans="1:13">
      <c r="A54" s="99" t="s">
        <v>196</v>
      </c>
      <c r="E54" s="105"/>
      <c r="K54" s="146"/>
      <c r="M54" s="124"/>
    </row>
    <row r="55" spans="1:13">
      <c r="A55" s="89" t="s">
        <v>273</v>
      </c>
      <c r="C55" s="104">
        <f>+'S-Usage Summary'!AV10</f>
        <v>373150</v>
      </c>
      <c r="E55" s="105">
        <v>1.1499999999999999</v>
      </c>
      <c r="G55" s="97">
        <f>E55*C55</f>
        <v>429122.49999999994</v>
      </c>
      <c r="I55" s="98">
        <f>ROUND(+G$63*E55,2)+M55</f>
        <v>5.65</v>
      </c>
      <c r="K55" s="146">
        <f>+I55*C55</f>
        <v>2108297.5</v>
      </c>
      <c r="M55" s="124">
        <v>0</v>
      </c>
    </row>
    <row r="56" spans="1:13">
      <c r="A56" s="163" t="s">
        <v>274</v>
      </c>
      <c r="C56" s="104">
        <f>+'S-Usage Summary'!AV11</f>
        <v>242305</v>
      </c>
      <c r="E56" s="105">
        <v>1.1499999999999999</v>
      </c>
      <c r="G56" s="97">
        <f>E56*C56</f>
        <v>278650.75</v>
      </c>
      <c r="I56" s="98">
        <f>+I55</f>
        <v>5.65</v>
      </c>
      <c r="K56" s="146">
        <f>+I56*C56</f>
        <v>1369023.25</v>
      </c>
      <c r="M56" s="124"/>
    </row>
    <row r="57" spans="1:13">
      <c r="A57" s="99" t="s">
        <v>211</v>
      </c>
      <c r="E57" s="105"/>
      <c r="K57" s="146"/>
      <c r="M57" s="124"/>
    </row>
    <row r="58" spans="1:13">
      <c r="A58" s="91" t="s">
        <v>197</v>
      </c>
      <c r="C58" s="104">
        <f>+'S-Usage Summary'!AV13</f>
        <v>1986</v>
      </c>
      <c r="E58" s="105">
        <v>0.95</v>
      </c>
      <c r="G58" s="97">
        <f>E58*C58</f>
        <v>1886.6999999999998</v>
      </c>
      <c r="I58" s="98">
        <f>ROUND(+G$63*E58,2)+M58</f>
        <v>4.66</v>
      </c>
      <c r="K58" s="146">
        <f>+I58*C58</f>
        <v>9254.76</v>
      </c>
      <c r="M58" s="124"/>
    </row>
    <row r="59" spans="1:13">
      <c r="A59" s="99" t="s">
        <v>212</v>
      </c>
      <c r="E59" s="105"/>
      <c r="K59" s="146"/>
      <c r="M59" s="124"/>
    </row>
    <row r="60" spans="1:13">
      <c r="A60" s="91" t="s">
        <v>197</v>
      </c>
      <c r="C60" s="104">
        <f>+'S-Usage Summary'!AV16</f>
        <v>132247</v>
      </c>
      <c r="E60" s="105">
        <v>0.3</v>
      </c>
      <c r="G60" s="97">
        <f>E60*C60</f>
        <v>39674.1</v>
      </c>
      <c r="I60" s="98">
        <f>ROUND(+G$63*E60,2)+M60</f>
        <v>1.45</v>
      </c>
      <c r="K60" s="146">
        <f>+I60*C60</f>
        <v>191758.15</v>
      </c>
      <c r="M60" s="124">
        <v>-0.02</v>
      </c>
    </row>
    <row r="61" spans="1:13">
      <c r="C61" s="106">
        <f>SUM(C52:C60)</f>
        <v>1940384</v>
      </c>
      <c r="G61" s="106">
        <f>SUM(G52:G60)</f>
        <v>1940030.05</v>
      </c>
      <c r="K61" s="151">
        <f>SUM(K52:K60)</f>
        <v>9524651.0199999996</v>
      </c>
    </row>
    <row r="62" spans="1:13">
      <c r="A62" s="99" t="s">
        <v>191</v>
      </c>
      <c r="B62" s="64"/>
      <c r="C62" s="100"/>
      <c r="G62" s="100">
        <f>'S-Revenue Summary'!AK47</f>
        <v>9523614.7319508549</v>
      </c>
      <c r="K62" s="149"/>
    </row>
    <row r="63" spans="1:13">
      <c r="A63" s="99" t="s">
        <v>192</v>
      </c>
      <c r="B63" s="64"/>
      <c r="C63" s="100"/>
      <c r="G63" s="101">
        <f>G62/G61</f>
        <v>4.9090037197881831</v>
      </c>
      <c r="K63" s="149"/>
    </row>
    <row r="64" spans="1:13">
      <c r="K64" s="149"/>
    </row>
    <row r="65" spans="8:11" ht="15.75" thickBot="1">
      <c r="H65" s="107"/>
      <c r="I65" s="107" t="s">
        <v>198</v>
      </c>
      <c r="K65" s="257">
        <f>+K61+K44</f>
        <v>19775706.060000002</v>
      </c>
    </row>
    <row r="66" spans="8:11" ht="15.75" thickTop="1">
      <c r="K66" s="149"/>
    </row>
    <row r="67" spans="8:11">
      <c r="I67" s="107" t="s">
        <v>191</v>
      </c>
      <c r="K67" s="149">
        <f>'S-Revenue Summary'!AK48</f>
        <v>19775438</v>
      </c>
    </row>
    <row r="68" spans="8:11">
      <c r="I68" s="107" t="s">
        <v>199</v>
      </c>
      <c r="K68" s="149">
        <f>+K65-K67</f>
        <v>268.06000000238419</v>
      </c>
    </row>
  </sheetData>
  <printOptions horizontalCentered="1"/>
  <pageMargins left="0.2" right="0.2" top="0.5" bottom="0.25" header="0.3" footer="0.3"/>
  <pageSetup scale="7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zoomScaleNormal="100" workbookViewId="0">
      <selection activeCell="J15" sqref="J15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D1" s="1"/>
      <c r="E1" s="1"/>
      <c r="F1" s="1"/>
      <c r="G1" s="1"/>
      <c r="H1" s="3"/>
      <c r="J1" s="3"/>
    </row>
    <row r="2" spans="1:16">
      <c r="A2" s="1"/>
      <c r="B2" s="1"/>
      <c r="C2" s="2"/>
      <c r="D2" s="1"/>
      <c r="E2" s="1"/>
      <c r="F2" s="1"/>
      <c r="G2" s="1"/>
      <c r="H2" s="3"/>
      <c r="J2" s="3"/>
    </row>
    <row r="3" spans="1:16">
      <c r="A3" s="1" t="s">
        <v>151</v>
      </c>
      <c r="B3" s="1"/>
      <c r="C3" s="2"/>
      <c r="D3" s="1"/>
      <c r="E3" s="1"/>
      <c r="F3" s="1"/>
      <c r="G3" s="1"/>
      <c r="H3" s="3"/>
      <c r="J3" s="3"/>
    </row>
    <row r="4" spans="1:16">
      <c r="A4" s="1" t="s">
        <v>34</v>
      </c>
      <c r="B4" s="1"/>
      <c r="C4" s="2"/>
      <c r="D4" s="1"/>
      <c r="E4" s="1"/>
      <c r="F4" s="1"/>
      <c r="G4" s="1"/>
      <c r="H4" s="5"/>
      <c r="J4" s="3"/>
    </row>
    <row r="5" spans="1:16">
      <c r="A5" s="1" t="s">
        <v>4</v>
      </c>
      <c r="B5" s="1"/>
      <c r="C5" s="2"/>
      <c r="D5" s="1"/>
      <c r="E5" s="1"/>
      <c r="F5" s="1"/>
      <c r="G5" s="1"/>
      <c r="H5" s="3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3"/>
      <c r="I6" s="3"/>
      <c r="J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2"/>
      <c r="E10" s="12"/>
      <c r="F10" s="12"/>
      <c r="G10" s="13"/>
      <c r="H10" s="11"/>
      <c r="J10" s="11"/>
      <c r="K10" s="11"/>
      <c r="L10" s="11"/>
      <c r="M10" s="11"/>
      <c r="N10" s="11"/>
      <c r="P10" s="11"/>
    </row>
    <row r="11" spans="1:16">
      <c r="C11" s="2"/>
      <c r="D11" s="13" t="s">
        <v>10</v>
      </c>
      <c r="E11" s="1"/>
      <c r="F11" s="13" t="s">
        <v>10</v>
      </c>
      <c r="G11" s="1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61" t="s">
        <v>98</v>
      </c>
      <c r="E13" s="62"/>
      <c r="F13" s="61" t="s">
        <v>99</v>
      </c>
      <c r="G13" s="61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D14" s="20"/>
      <c r="E14" s="20"/>
      <c r="F14" s="20"/>
      <c r="H14" s="21"/>
      <c r="I14" s="21"/>
      <c r="J14" s="21"/>
    </row>
    <row r="15" spans="1:16">
      <c r="A15" s="13">
        <v>2</v>
      </c>
      <c r="B15" s="13">
        <v>68021</v>
      </c>
      <c r="C15" s="22" t="s">
        <v>22</v>
      </c>
      <c r="D15" s="23">
        <v>12.5</v>
      </c>
      <c r="E15" s="24"/>
      <c r="F15" s="23">
        <v>12.57</v>
      </c>
      <c r="G15" s="26"/>
      <c r="H15" s="135">
        <v>12.63</v>
      </c>
      <c r="I15" s="135"/>
      <c r="J15" s="135">
        <v>16.43</v>
      </c>
      <c r="L15" s="134">
        <f>+J15/H15-1</f>
        <v>0.30087094220110844</v>
      </c>
      <c r="N15" s="135">
        <f>+'Sewer Rate Design'!I9</f>
        <v>25.47</v>
      </c>
      <c r="P15" s="134">
        <f>+N15/H15-1</f>
        <v>1.0166270783847979</v>
      </c>
    </row>
    <row r="16" spans="1:16">
      <c r="A16" s="13">
        <v>3</v>
      </c>
      <c r="B16" s="13"/>
      <c r="C16" s="4"/>
      <c r="D16" s="24"/>
      <c r="E16" s="24"/>
      <c r="F16" s="29"/>
      <c r="G16" s="26"/>
      <c r="H16" s="135"/>
      <c r="I16" s="135"/>
      <c r="J16" s="135"/>
    </row>
    <row r="17" spans="1:16">
      <c r="A17" s="13">
        <v>4</v>
      </c>
      <c r="B17" s="13"/>
      <c r="C17" s="28" t="s">
        <v>23</v>
      </c>
      <c r="D17" s="23">
        <v>10.62</v>
      </c>
      <c r="E17" s="24"/>
      <c r="F17" s="25">
        <v>10.68</v>
      </c>
      <c r="G17" s="26"/>
      <c r="H17" s="135">
        <v>10.73</v>
      </c>
      <c r="I17" s="135"/>
      <c r="J17" s="135">
        <v>13.96</v>
      </c>
      <c r="L17" s="134">
        <f>+J17/H17-1</f>
        <v>0.30102516309412874</v>
      </c>
    </row>
    <row r="18" spans="1:16">
      <c r="A18" s="13"/>
      <c r="B18" s="13"/>
      <c r="C18" s="28" t="str">
        <f>+'Sewer Rate Design'!B52</f>
        <v>0-8k</v>
      </c>
      <c r="D18" s="23"/>
      <c r="E18" s="24"/>
      <c r="F18" s="25"/>
      <c r="G18" s="26"/>
      <c r="H18" s="135"/>
      <c r="I18" s="135"/>
      <c r="J18" s="135"/>
      <c r="L18" s="134"/>
      <c r="N18" s="135">
        <f>+'Sewer Rate Design'!I52</f>
        <v>4.91</v>
      </c>
      <c r="P18" s="134">
        <f>+N18/H17-1</f>
        <v>-0.54240447343895615</v>
      </c>
    </row>
    <row r="19" spans="1:16">
      <c r="A19" s="13">
        <v>5</v>
      </c>
      <c r="B19" s="13"/>
      <c r="C19" s="28"/>
      <c r="D19" s="29"/>
      <c r="E19" s="24"/>
      <c r="F19" s="29"/>
      <c r="G19" s="26"/>
      <c r="H19" s="135"/>
      <c r="I19" s="135"/>
      <c r="J19" s="135"/>
    </row>
    <row r="20" spans="1:16">
      <c r="A20" s="13">
        <v>8</v>
      </c>
      <c r="C20" s="30" t="s">
        <v>24</v>
      </c>
      <c r="D20" s="31"/>
      <c r="E20" s="31"/>
      <c r="F20" s="29"/>
      <c r="G20" s="32"/>
      <c r="H20" s="135"/>
      <c r="I20" s="135"/>
      <c r="J20" s="135"/>
    </row>
    <row r="21" spans="1:16">
      <c r="A21" s="13">
        <v>9</v>
      </c>
      <c r="B21" s="13">
        <v>68026</v>
      </c>
      <c r="C21" s="22" t="s">
        <v>25</v>
      </c>
      <c r="D21" s="23">
        <v>12.5</v>
      </c>
      <c r="E21" s="24"/>
      <c r="F21" s="23">
        <v>12.57</v>
      </c>
      <c r="G21" s="26"/>
      <c r="H21" s="135">
        <v>12.63</v>
      </c>
      <c r="I21" s="135"/>
      <c r="J21" s="135">
        <f>ROUND(H21*(1+L$15),2)</f>
        <v>16.43</v>
      </c>
      <c r="L21" s="134">
        <f t="shared" ref="L21:L28" si="0">+J21/H21-1</f>
        <v>0.30087094220110844</v>
      </c>
      <c r="N21" s="135">
        <f>+'Sewer Rate Design'!I12</f>
        <v>25.47</v>
      </c>
      <c r="P21" s="134">
        <f t="shared" ref="P21:P30" si="1">+N21/H21-1</f>
        <v>1.0166270783847979</v>
      </c>
    </row>
    <row r="22" spans="1:16">
      <c r="A22" s="13">
        <v>10</v>
      </c>
      <c r="B22" s="13">
        <v>68027</v>
      </c>
      <c r="C22" s="22" t="s">
        <v>26</v>
      </c>
      <c r="D22" s="23">
        <v>18.739999999999998</v>
      </c>
      <c r="E22" s="24"/>
      <c r="F22" s="34">
        <v>18.84</v>
      </c>
      <c r="G22" s="26"/>
      <c r="H22" s="135">
        <v>18.920000000000002</v>
      </c>
      <c r="I22" s="135"/>
      <c r="J22" s="135">
        <v>24.62</v>
      </c>
      <c r="L22" s="134">
        <f t="shared" si="0"/>
        <v>0.30126849894291752</v>
      </c>
      <c r="N22" s="135">
        <f>+'Sewer Rate Design'!I13</f>
        <v>38.21</v>
      </c>
      <c r="P22" s="134">
        <f t="shared" si="1"/>
        <v>1.0195560253699787</v>
      </c>
    </row>
    <row r="23" spans="1:16">
      <c r="A23" s="13">
        <v>11</v>
      </c>
      <c r="B23" s="13">
        <v>68028</v>
      </c>
      <c r="C23" s="22" t="s">
        <v>27</v>
      </c>
      <c r="D23" s="23">
        <v>31.24</v>
      </c>
      <c r="E23" s="24"/>
      <c r="F23" s="23">
        <v>31.4</v>
      </c>
      <c r="G23" s="26"/>
      <c r="H23" s="135">
        <v>31.54</v>
      </c>
      <c r="I23" s="135"/>
      <c r="J23" s="135">
        <v>41.04</v>
      </c>
      <c r="L23" s="134">
        <f t="shared" si="0"/>
        <v>0.3012048192771084</v>
      </c>
      <c r="N23" s="135">
        <f>+'Sewer Rate Design'!I14</f>
        <v>63.68</v>
      </c>
      <c r="P23" s="134">
        <f t="shared" si="1"/>
        <v>1.0190234622701331</v>
      </c>
    </row>
    <row r="24" spans="1:16">
      <c r="A24" s="13">
        <v>12</v>
      </c>
      <c r="B24" s="13">
        <v>68029</v>
      </c>
      <c r="C24" s="22" t="s">
        <v>28</v>
      </c>
      <c r="D24" s="23">
        <v>62.48</v>
      </c>
      <c r="E24" s="24"/>
      <c r="F24" s="23">
        <v>62.8</v>
      </c>
      <c r="G24" s="26"/>
      <c r="H24" s="135">
        <v>63.08</v>
      </c>
      <c r="I24" s="135"/>
      <c r="J24" s="135">
        <v>82.07</v>
      </c>
      <c r="L24" s="134">
        <f t="shared" si="0"/>
        <v>0.3010462904248572</v>
      </c>
      <c r="N24" s="135">
        <f>+'Sewer Rate Design'!I15</f>
        <v>127.37</v>
      </c>
      <c r="P24" s="134">
        <f t="shared" si="1"/>
        <v>1.0191819911223843</v>
      </c>
    </row>
    <row r="25" spans="1:16">
      <c r="A25" s="13">
        <v>13</v>
      </c>
      <c r="B25" s="13">
        <v>68030</v>
      </c>
      <c r="C25" s="22" t="s">
        <v>29</v>
      </c>
      <c r="D25" s="23">
        <v>99.95</v>
      </c>
      <c r="E25" s="24"/>
      <c r="F25" s="25">
        <v>100.47</v>
      </c>
      <c r="G25" s="26"/>
      <c r="H25" s="135">
        <v>100.92</v>
      </c>
      <c r="I25" s="135"/>
      <c r="J25" s="135">
        <v>131.31</v>
      </c>
      <c r="L25" s="134">
        <f t="shared" si="0"/>
        <v>0.30112960760998808</v>
      </c>
      <c r="N25" s="135">
        <f>+'Sewer Rate Design'!I16</f>
        <v>203.79</v>
      </c>
      <c r="P25" s="134">
        <f t="shared" si="1"/>
        <v>1.0193222354340072</v>
      </c>
    </row>
    <row r="26" spans="1:16">
      <c r="A26" s="13">
        <v>14</v>
      </c>
      <c r="B26" s="13">
        <v>68031</v>
      </c>
      <c r="C26" s="22" t="s">
        <v>30</v>
      </c>
      <c r="D26" s="23">
        <v>199.89</v>
      </c>
      <c r="E26" s="24"/>
      <c r="F26" s="25">
        <v>200.93</v>
      </c>
      <c r="G26" s="26"/>
      <c r="H26" s="135">
        <v>201.83</v>
      </c>
      <c r="I26" s="135"/>
      <c r="J26" s="135">
        <v>262.60000000000002</v>
      </c>
      <c r="L26" s="134">
        <f t="shared" si="0"/>
        <v>0.30109498092454046</v>
      </c>
      <c r="N26" s="135">
        <f>+'Sewer Rate Design'!I17</f>
        <v>407.57</v>
      </c>
      <c r="P26" s="134">
        <f t="shared" si="1"/>
        <v>1.0193727394341772</v>
      </c>
    </row>
    <row r="27" spans="1:16">
      <c r="A27" s="13">
        <v>15</v>
      </c>
      <c r="B27" s="13">
        <v>68032</v>
      </c>
      <c r="C27" s="22" t="s">
        <v>31</v>
      </c>
      <c r="D27" s="23">
        <v>312.35000000000002</v>
      </c>
      <c r="E27" s="31"/>
      <c r="F27" s="34">
        <v>313.97000000000003</v>
      </c>
      <c r="G27" s="32"/>
      <c r="H27" s="135">
        <v>315.38</v>
      </c>
      <c r="I27" s="135"/>
      <c r="J27" s="135">
        <v>410.34</v>
      </c>
      <c r="L27" s="134">
        <f t="shared" si="0"/>
        <v>0.30109708922569589</v>
      </c>
      <c r="N27" s="135">
        <f>+'Sewer Rate Design'!I18</f>
        <v>636.83000000000004</v>
      </c>
      <c r="P27" s="134">
        <f t="shared" si="1"/>
        <v>1.019246623121314</v>
      </c>
    </row>
    <row r="28" spans="1:16">
      <c r="A28" s="13">
        <v>16</v>
      </c>
      <c r="B28" s="13">
        <v>68033</v>
      </c>
      <c r="C28" s="22" t="s">
        <v>32</v>
      </c>
      <c r="D28" s="35">
        <v>624.69000000000005</v>
      </c>
      <c r="E28" s="31"/>
      <c r="F28" s="25">
        <v>627.94000000000005</v>
      </c>
      <c r="G28" s="32"/>
      <c r="H28" s="135">
        <v>630.77</v>
      </c>
      <c r="I28" s="135"/>
      <c r="J28" s="135">
        <v>820.69</v>
      </c>
      <c r="L28" s="134">
        <f t="shared" si="0"/>
        <v>0.30109231574107853</v>
      </c>
      <c r="N28" s="135">
        <f>+'Sewer Rate Design'!I19</f>
        <v>1273.6600000000001</v>
      </c>
      <c r="P28" s="134">
        <f t="shared" si="1"/>
        <v>1.0192146107138895</v>
      </c>
    </row>
    <row r="29" spans="1:16">
      <c r="A29" s="13">
        <v>17</v>
      </c>
      <c r="B29" s="13"/>
      <c r="C29" s="22"/>
      <c r="D29" s="26"/>
      <c r="E29" s="24"/>
      <c r="F29" s="27"/>
      <c r="G29" s="26"/>
      <c r="H29" s="135"/>
      <c r="I29" s="135"/>
      <c r="J29" s="135"/>
      <c r="N29" s="135"/>
      <c r="P29" s="134"/>
    </row>
    <row r="30" spans="1:16">
      <c r="A30" s="13">
        <v>18</v>
      </c>
      <c r="B30" s="13"/>
      <c r="C30" s="28" t="s">
        <v>222</v>
      </c>
      <c r="D30" s="35">
        <v>14.09</v>
      </c>
      <c r="E30" s="31"/>
      <c r="F30" s="25">
        <v>14.16</v>
      </c>
      <c r="G30" s="32"/>
      <c r="H30" s="135">
        <v>14.22</v>
      </c>
      <c r="I30" s="135"/>
      <c r="J30" s="135">
        <v>18.5</v>
      </c>
      <c r="L30" s="134">
        <f>+J30/H30-1</f>
        <v>0.30098452883263005</v>
      </c>
      <c r="N30" s="135">
        <f>+'Sewer Rate Design'!I55</f>
        <v>5.65</v>
      </c>
      <c r="P30" s="134">
        <f t="shared" si="1"/>
        <v>-0.6026722925457102</v>
      </c>
    </row>
    <row r="31" spans="1:16">
      <c r="A31" s="37"/>
      <c r="B31" s="37"/>
      <c r="C31" s="38"/>
      <c r="D31" s="39"/>
      <c r="E31" s="39"/>
      <c r="F31" s="39"/>
      <c r="G31" s="39"/>
      <c r="H31" s="135"/>
      <c r="I31" s="135"/>
      <c r="J31" s="135"/>
    </row>
    <row r="32" spans="1:16">
      <c r="A32" s="13"/>
      <c r="B32" s="13"/>
      <c r="H32" s="21"/>
      <c r="I32" s="21"/>
      <c r="J32" s="21"/>
    </row>
    <row r="33" spans="8:10">
      <c r="H33" s="21"/>
      <c r="I33" s="21"/>
      <c r="J33" s="21"/>
    </row>
    <row r="34" spans="8:10">
      <c r="H34" s="21"/>
      <c r="I34" s="21"/>
      <c r="J34" s="21"/>
    </row>
    <row r="35" spans="8:10">
      <c r="H35" s="21"/>
      <c r="I35" s="21"/>
      <c r="J35" s="21"/>
    </row>
    <row r="36" spans="8:10">
      <c r="H36" s="21"/>
      <c r="I36" s="21"/>
      <c r="J36" s="21"/>
    </row>
    <row r="37" spans="8:10">
      <c r="H37" s="21"/>
      <c r="I37" s="21"/>
      <c r="J37" s="21"/>
    </row>
    <row r="38" spans="8:10">
      <c r="H38" s="21"/>
      <c r="I38" s="21"/>
      <c r="J38" s="21"/>
    </row>
    <row r="39" spans="8:10">
      <c r="H39" s="21"/>
      <c r="I39" s="21"/>
      <c r="J39" s="21"/>
    </row>
    <row r="40" spans="8:10">
      <c r="H40" s="21"/>
      <c r="I40" s="21"/>
      <c r="J40" s="21"/>
    </row>
    <row r="41" spans="8:10">
      <c r="H41" s="21"/>
      <c r="I41" s="21"/>
      <c r="J41" s="21"/>
    </row>
    <row r="42" spans="8:10">
      <c r="H42" s="21"/>
      <c r="I42" s="21"/>
      <c r="J42" s="21"/>
    </row>
    <row r="43" spans="8:10">
      <c r="H43" s="21"/>
      <c r="I43" s="21"/>
      <c r="J43" s="21"/>
    </row>
    <row r="44" spans="8:10">
      <c r="H44" s="21"/>
      <c r="I44" s="21"/>
      <c r="J44" s="21"/>
    </row>
    <row r="45" spans="8:10">
      <c r="H45" s="21"/>
      <c r="I45" s="21"/>
      <c r="J45" s="21"/>
    </row>
    <row r="46" spans="8:10">
      <c r="H46" s="21"/>
      <c r="I46" s="21"/>
      <c r="J46" s="21"/>
    </row>
    <row r="47" spans="8:10">
      <c r="H47" s="21"/>
      <c r="I47" s="21"/>
      <c r="J47" s="21"/>
    </row>
    <row r="48" spans="8:10">
      <c r="H48" s="21"/>
      <c r="I48" s="21"/>
      <c r="J48" s="21"/>
    </row>
    <row r="49" spans="8:10">
      <c r="H49" s="21"/>
      <c r="I49" s="21"/>
      <c r="J49" s="21"/>
    </row>
    <row r="87" spans="8:8">
      <c r="H87" s="42"/>
    </row>
    <row r="90" spans="8:8">
      <c r="H90" s="42"/>
    </row>
    <row r="213" spans="1:7">
      <c r="A213" s="43"/>
      <c r="B213" s="43"/>
      <c r="C213" s="44"/>
      <c r="D213" s="43"/>
      <c r="E213" s="43"/>
      <c r="F213" s="43"/>
      <c r="G213" s="43"/>
    </row>
    <row r="214" spans="1:7">
      <c r="A214" s="43"/>
      <c r="B214" s="43"/>
      <c r="C214" s="44"/>
      <c r="D214" s="43"/>
      <c r="E214" s="43"/>
      <c r="F214" s="43"/>
      <c r="G214" s="43"/>
    </row>
    <row r="215" spans="1:7">
      <c r="A215" s="43"/>
      <c r="B215" s="43"/>
      <c r="C215" s="44"/>
      <c r="D215" s="43"/>
      <c r="E215" s="43"/>
      <c r="F215" s="43"/>
      <c r="G215" s="43"/>
    </row>
    <row r="216" spans="1:7">
      <c r="A216" s="43"/>
      <c r="B216" s="43"/>
      <c r="C216" s="44"/>
      <c r="D216" s="43"/>
      <c r="E216" s="43"/>
      <c r="F216" s="43"/>
      <c r="G216" s="43"/>
    </row>
    <row r="217" spans="1:7">
      <c r="A217" s="43"/>
      <c r="B217" s="43"/>
      <c r="C217" s="44"/>
      <c r="D217" s="43"/>
      <c r="E217" s="43"/>
      <c r="F217" s="43"/>
      <c r="G217" s="43"/>
    </row>
    <row r="247" spans="1:7">
      <c r="A247" s="43"/>
      <c r="B247" s="43"/>
      <c r="C247" s="44"/>
      <c r="D247" s="43"/>
      <c r="E247" s="43"/>
      <c r="F247" s="43"/>
      <c r="G247" s="43"/>
    </row>
    <row r="316" spans="1:2">
      <c r="A316" s="1"/>
      <c r="B316" s="1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</sheetData>
  <pageMargins left="0.7" right="0.7" top="0.75" bottom="0.75" header="0.3" footer="0.3"/>
  <pageSetup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zoomScaleNormal="100" workbookViewId="0">
      <selection activeCell="J30" sqref="J30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" width="10.85546875" style="4"/>
    <col min="17" max="17" width="1.7109375" style="4" customWidth="1"/>
    <col min="18" max="16384" width="10.85546875" style="4"/>
  </cols>
  <sheetData>
    <row r="1" spans="1:16">
      <c r="A1" s="1" t="s">
        <v>0</v>
      </c>
      <c r="B1" s="1"/>
      <c r="C1" s="2"/>
      <c r="D1" s="1"/>
      <c r="E1" s="1"/>
      <c r="F1" s="1"/>
      <c r="G1" s="1"/>
      <c r="H1" s="3" t="s">
        <v>1</v>
      </c>
      <c r="J1" s="3"/>
    </row>
    <row r="2" spans="1:16">
      <c r="A2" s="1"/>
      <c r="B2" s="1"/>
      <c r="C2" s="2"/>
      <c r="D2" s="1"/>
      <c r="E2" s="1"/>
      <c r="F2" s="1"/>
      <c r="G2" s="1"/>
      <c r="H2" s="3"/>
      <c r="J2" s="3"/>
    </row>
    <row r="3" spans="1:16">
      <c r="A3" s="1" t="s">
        <v>152</v>
      </c>
      <c r="B3" s="1"/>
      <c r="C3" s="2"/>
      <c r="D3" s="1"/>
      <c r="E3" s="1"/>
      <c r="F3" s="1"/>
      <c r="G3" s="1"/>
      <c r="H3" s="3"/>
      <c r="J3" s="3"/>
    </row>
    <row r="4" spans="1:16">
      <c r="A4" s="1" t="s">
        <v>34</v>
      </c>
      <c r="B4" s="1"/>
      <c r="C4" s="2"/>
      <c r="D4" s="1"/>
      <c r="E4" s="1"/>
      <c r="F4" s="1"/>
      <c r="G4" s="1"/>
      <c r="H4" s="5"/>
      <c r="J4" s="3"/>
    </row>
    <row r="5" spans="1:16">
      <c r="A5" s="1" t="s">
        <v>4</v>
      </c>
      <c r="B5" s="1"/>
      <c r="C5" s="2"/>
      <c r="D5" s="1"/>
      <c r="E5" s="1"/>
      <c r="F5" s="1"/>
      <c r="G5" s="1"/>
      <c r="H5" s="3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3"/>
      <c r="I6" s="3"/>
      <c r="J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2">
        <v>-3</v>
      </c>
      <c r="E10" s="12"/>
      <c r="F10" s="12">
        <v>-4</v>
      </c>
      <c r="G10" s="13"/>
      <c r="H10" s="11"/>
      <c r="J10" s="11"/>
      <c r="K10" s="11"/>
      <c r="L10" s="11"/>
      <c r="M10" s="11"/>
      <c r="N10" s="11"/>
      <c r="P10" s="11"/>
    </row>
    <row r="11" spans="1:16">
      <c r="C11" s="2"/>
      <c r="D11" s="13" t="s">
        <v>10</v>
      </c>
      <c r="E11" s="1"/>
      <c r="F11" s="13" t="s">
        <v>10</v>
      </c>
      <c r="G11" s="1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61" t="s">
        <v>98</v>
      </c>
      <c r="E13" s="61"/>
      <c r="F13" s="61" t="s">
        <v>99</v>
      </c>
      <c r="G13" s="61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D14" s="20"/>
      <c r="E14" s="20"/>
      <c r="F14" s="20"/>
      <c r="H14" s="21"/>
      <c r="I14" s="21"/>
      <c r="J14" s="21"/>
    </row>
    <row r="15" spans="1:16">
      <c r="A15" s="13">
        <v>2</v>
      </c>
      <c r="B15" s="13">
        <v>68021</v>
      </c>
      <c r="C15" s="22" t="s">
        <v>22</v>
      </c>
      <c r="D15" s="23">
        <v>12.96</v>
      </c>
      <c r="E15" s="24"/>
      <c r="F15" s="25">
        <v>13.05</v>
      </c>
      <c r="G15" s="26"/>
      <c r="H15" s="135">
        <v>13.09</v>
      </c>
      <c r="I15" s="135"/>
      <c r="J15" s="135">
        <v>12.68</v>
      </c>
      <c r="L15" s="134">
        <f>J15/H15-1</f>
        <v>-3.1321619556913705E-2</v>
      </c>
      <c r="N15" s="135">
        <f>+'Sewer Rate Design'!I9</f>
        <v>25.47</v>
      </c>
      <c r="P15" s="134">
        <f>+N15/H15-1</f>
        <v>0.94576012223071038</v>
      </c>
    </row>
    <row r="16" spans="1:16">
      <c r="A16" s="13">
        <v>3</v>
      </c>
      <c r="B16" s="13"/>
      <c r="C16" s="4"/>
      <c r="D16" s="24"/>
      <c r="E16" s="24"/>
      <c r="F16" s="29"/>
      <c r="G16" s="26"/>
      <c r="H16" s="135"/>
      <c r="I16" s="135"/>
      <c r="J16" s="135"/>
    </row>
    <row r="17" spans="1:16">
      <c r="A17" s="13">
        <v>4</v>
      </c>
      <c r="B17" s="13"/>
      <c r="C17" s="28" t="s">
        <v>101</v>
      </c>
      <c r="D17" s="23">
        <v>8.0299999999999994</v>
      </c>
      <c r="E17" s="24"/>
      <c r="F17" s="25">
        <v>8.09</v>
      </c>
      <c r="G17" s="26"/>
      <c r="H17" s="135">
        <v>8.11</v>
      </c>
      <c r="I17" s="135"/>
      <c r="J17" s="135">
        <v>7.85</v>
      </c>
      <c r="L17" s="134">
        <f>J17/H17-1</f>
        <v>-3.2059186189889011E-2</v>
      </c>
    </row>
    <row r="18" spans="1:16">
      <c r="A18" s="13"/>
      <c r="B18" s="13"/>
      <c r="C18" s="28" t="str">
        <f>+'Sewer Rate Design'!B52</f>
        <v>0-8k</v>
      </c>
      <c r="D18" s="23"/>
      <c r="E18" s="24"/>
      <c r="F18" s="25"/>
      <c r="G18" s="26"/>
      <c r="H18" s="135"/>
      <c r="I18" s="135"/>
      <c r="J18" s="135"/>
      <c r="N18" s="135">
        <f>+'Sewer Rate Design'!I52</f>
        <v>4.91</v>
      </c>
      <c r="P18" s="134">
        <f>N18/H17-1</f>
        <v>-0.39457459926017258</v>
      </c>
    </row>
    <row r="19" spans="1:16">
      <c r="A19" s="13">
        <v>5</v>
      </c>
      <c r="B19" s="13"/>
      <c r="C19" s="28"/>
      <c r="D19" s="29"/>
      <c r="E19" s="24"/>
      <c r="F19" s="29"/>
      <c r="G19" s="26"/>
      <c r="H19" s="135"/>
      <c r="I19" s="135"/>
      <c r="J19" s="135"/>
    </row>
    <row r="20" spans="1:16">
      <c r="A20" s="13">
        <v>8</v>
      </c>
      <c r="C20" s="30" t="s">
        <v>24</v>
      </c>
      <c r="D20" s="31"/>
      <c r="E20" s="31"/>
      <c r="F20" s="29"/>
      <c r="G20" s="32"/>
      <c r="H20" s="135"/>
      <c r="I20" s="135"/>
      <c r="J20" s="135"/>
    </row>
    <row r="21" spans="1:16">
      <c r="A21" s="13">
        <v>9</v>
      </c>
      <c r="B21" s="13">
        <v>68026</v>
      </c>
      <c r="C21" s="22" t="s">
        <v>25</v>
      </c>
      <c r="D21" s="23">
        <v>12.96</v>
      </c>
      <c r="E21" s="24"/>
      <c r="F21" s="25">
        <v>13.05</v>
      </c>
      <c r="G21" s="26"/>
      <c r="H21" s="135">
        <v>13.09</v>
      </c>
      <c r="I21" s="135"/>
      <c r="J21" s="135">
        <v>12.68</v>
      </c>
      <c r="L21" s="134">
        <f>J21/H21-1</f>
        <v>-3.1321619556913705E-2</v>
      </c>
      <c r="N21" s="135">
        <f>+'Sewer Rate Design'!I12</f>
        <v>25.47</v>
      </c>
      <c r="P21" s="134">
        <f t="shared" ref="P21:P30" si="0">+N21/H21-1</f>
        <v>0.94576012223071038</v>
      </c>
    </row>
    <row r="22" spans="1:16">
      <c r="A22" s="13"/>
      <c r="B22" s="13"/>
      <c r="C22" s="22" t="s">
        <v>26</v>
      </c>
      <c r="D22" s="23"/>
      <c r="E22" s="24"/>
      <c r="F22" s="25"/>
      <c r="G22" s="26"/>
      <c r="H22" s="135"/>
      <c r="I22" s="135"/>
      <c r="J22" s="135"/>
      <c r="N22" s="135">
        <f>+'Sewer Rate Design'!I13</f>
        <v>38.21</v>
      </c>
      <c r="P22" s="134"/>
    </row>
    <row r="23" spans="1:16">
      <c r="A23" s="13">
        <v>11</v>
      </c>
      <c r="B23" s="13">
        <v>68028</v>
      </c>
      <c r="C23" s="22" t="s">
        <v>27</v>
      </c>
      <c r="D23" s="23">
        <v>32.409999999999997</v>
      </c>
      <c r="E23" s="24"/>
      <c r="F23" s="34">
        <v>32.630000000000003</v>
      </c>
      <c r="G23" s="26"/>
      <c r="H23" s="135">
        <v>32.72</v>
      </c>
      <c r="I23" s="135"/>
      <c r="J23" s="135">
        <v>31.68</v>
      </c>
      <c r="L23" s="134">
        <f t="shared" ref="L23:L28" si="1">J23/H23-1</f>
        <v>-3.1784841075794601E-2</v>
      </c>
      <c r="N23" s="135">
        <f>+'Sewer Rate Design'!I14</f>
        <v>63.68</v>
      </c>
      <c r="P23" s="134">
        <f t="shared" si="0"/>
        <v>0.94621026894865534</v>
      </c>
    </row>
    <row r="24" spans="1:16">
      <c r="A24" s="13">
        <v>12</v>
      </c>
      <c r="B24" s="13">
        <v>68029</v>
      </c>
      <c r="C24" s="22" t="s">
        <v>28</v>
      </c>
      <c r="D24" s="23">
        <v>64.819999999999993</v>
      </c>
      <c r="E24" s="24"/>
      <c r="F24" s="23">
        <v>65.27</v>
      </c>
      <c r="G24" s="26"/>
      <c r="H24" s="135">
        <v>65.459999999999994</v>
      </c>
      <c r="I24" s="135"/>
      <c r="J24" s="135">
        <v>63.38</v>
      </c>
      <c r="L24" s="134">
        <f t="shared" si="1"/>
        <v>-3.1775129850290074E-2</v>
      </c>
      <c r="N24" s="135">
        <f>+'Sewer Rate Design'!I15</f>
        <v>127.37</v>
      </c>
      <c r="P24" s="134">
        <f t="shared" si="0"/>
        <v>0.94576840818820673</v>
      </c>
    </row>
    <row r="25" spans="1:16">
      <c r="A25" s="13">
        <v>13</v>
      </c>
      <c r="B25" s="13">
        <v>68030</v>
      </c>
      <c r="C25" s="22" t="s">
        <v>29</v>
      </c>
      <c r="D25" s="23">
        <v>103.72</v>
      </c>
      <c r="E25" s="24"/>
      <c r="F25" s="23">
        <v>104.44</v>
      </c>
      <c r="G25" s="26"/>
      <c r="H25" s="135">
        <v>104.74</v>
      </c>
      <c r="I25" s="135"/>
      <c r="J25" s="135">
        <v>101.42</v>
      </c>
      <c r="L25" s="134">
        <f t="shared" si="1"/>
        <v>-3.1697536757685607E-2</v>
      </c>
      <c r="N25" s="135">
        <f>+'Sewer Rate Design'!I16</f>
        <v>203.79</v>
      </c>
      <c r="P25" s="134">
        <f t="shared" si="0"/>
        <v>0.94567500477372546</v>
      </c>
    </row>
    <row r="26" spans="1:16">
      <c r="A26" s="13">
        <v>14</v>
      </c>
      <c r="B26" s="13">
        <v>68031</v>
      </c>
      <c r="C26" s="22" t="s">
        <v>30</v>
      </c>
      <c r="D26" s="23">
        <v>207.44</v>
      </c>
      <c r="E26" s="24"/>
      <c r="F26" s="25">
        <v>208.87</v>
      </c>
      <c r="G26" s="26"/>
      <c r="H26" s="135">
        <v>209.48</v>
      </c>
      <c r="I26" s="135"/>
      <c r="J26" s="135">
        <v>202.02</v>
      </c>
      <c r="L26" s="134">
        <f t="shared" si="1"/>
        <v>-3.5611991598243131E-2</v>
      </c>
      <c r="N26" s="135">
        <f>+'Sewer Rate Design'!I17</f>
        <v>407.57</v>
      </c>
      <c r="P26" s="134">
        <f t="shared" si="0"/>
        <v>0.94562726751957227</v>
      </c>
    </row>
    <row r="27" spans="1:16">
      <c r="A27" s="13">
        <v>15</v>
      </c>
      <c r="B27" s="13">
        <v>68032</v>
      </c>
      <c r="C27" s="22" t="s">
        <v>31</v>
      </c>
      <c r="D27" s="23">
        <v>324.12</v>
      </c>
      <c r="E27" s="31"/>
      <c r="F27" s="25">
        <v>326.36</v>
      </c>
      <c r="G27" s="32"/>
      <c r="H27" s="135">
        <v>327.31</v>
      </c>
      <c r="I27" s="135"/>
      <c r="J27" s="135">
        <v>316.93</v>
      </c>
      <c r="L27" s="134">
        <f t="shared" si="1"/>
        <v>-3.171305490208054E-2</v>
      </c>
      <c r="N27" s="135">
        <f>+'Sewer Rate Design'!I18</f>
        <v>636.83000000000004</v>
      </c>
      <c r="P27" s="134">
        <f t="shared" si="0"/>
        <v>0.9456478567718678</v>
      </c>
    </row>
    <row r="28" spans="1:16">
      <c r="A28" s="13">
        <v>16</v>
      </c>
      <c r="B28" s="13">
        <v>68033</v>
      </c>
      <c r="C28" s="22" t="s">
        <v>32</v>
      </c>
      <c r="D28" s="35">
        <v>648.25</v>
      </c>
      <c r="E28" s="31"/>
      <c r="F28" s="34">
        <v>652.72</v>
      </c>
      <c r="G28" s="32"/>
      <c r="H28" s="135">
        <v>654.61</v>
      </c>
      <c r="I28" s="135"/>
      <c r="J28" s="135">
        <v>633.86</v>
      </c>
      <c r="L28" s="134">
        <f t="shared" si="1"/>
        <v>-3.1698263087945544E-2</v>
      </c>
      <c r="N28" s="135">
        <f>+'Sewer Rate Design'!I19</f>
        <v>1273.6600000000001</v>
      </c>
      <c r="P28" s="134">
        <f t="shared" si="0"/>
        <v>0.94567757901651373</v>
      </c>
    </row>
    <row r="29" spans="1:16">
      <c r="A29" s="13">
        <v>17</v>
      </c>
      <c r="B29" s="13"/>
      <c r="C29" s="22"/>
      <c r="D29" s="26"/>
      <c r="E29" s="24"/>
      <c r="F29" s="29"/>
      <c r="G29" s="26"/>
      <c r="H29" s="135"/>
      <c r="I29" s="135"/>
      <c r="J29" s="135"/>
    </row>
    <row r="30" spans="1:16">
      <c r="A30" s="13">
        <v>18</v>
      </c>
      <c r="B30" s="13"/>
      <c r="C30" s="28" t="s">
        <v>24</v>
      </c>
      <c r="D30" s="35">
        <v>9.64</v>
      </c>
      <c r="E30" s="31"/>
      <c r="F30" s="25">
        <v>9.7100000000000009</v>
      </c>
      <c r="G30" s="32"/>
      <c r="H30" s="135">
        <v>9.74</v>
      </c>
      <c r="I30" s="135"/>
      <c r="J30" s="135">
        <v>9.43</v>
      </c>
      <c r="L30" s="134">
        <f>J30/H30-1</f>
        <v>-3.1827515400410733E-2</v>
      </c>
      <c r="N30" s="135">
        <f>+'Sewer Rate Design'!I55</f>
        <v>5.65</v>
      </c>
      <c r="P30" s="134">
        <f t="shared" si="0"/>
        <v>-0.41991786447638602</v>
      </c>
    </row>
    <row r="31" spans="1:16">
      <c r="A31" s="37"/>
      <c r="B31" s="37"/>
      <c r="C31" s="38"/>
      <c r="D31" s="39"/>
      <c r="E31" s="39"/>
      <c r="F31" s="39"/>
      <c r="G31" s="39"/>
      <c r="H31" s="40"/>
      <c r="I31" s="40"/>
      <c r="J31" s="40"/>
    </row>
    <row r="32" spans="1:16">
      <c r="A32" s="13"/>
      <c r="B32" s="13"/>
      <c r="H32" s="21"/>
      <c r="I32" s="21"/>
      <c r="J32" s="21"/>
    </row>
    <row r="33" spans="8:10">
      <c r="H33" s="21"/>
      <c r="I33" s="21"/>
      <c r="J33" s="21"/>
    </row>
    <row r="34" spans="8:10">
      <c r="H34" s="21"/>
      <c r="I34" s="21"/>
      <c r="J34" s="21"/>
    </row>
    <row r="35" spans="8:10">
      <c r="H35" s="21"/>
      <c r="I35" s="21"/>
      <c r="J35" s="21"/>
    </row>
    <row r="36" spans="8:10">
      <c r="H36" s="21"/>
      <c r="I36" s="21"/>
      <c r="J36" s="21"/>
    </row>
    <row r="37" spans="8:10">
      <c r="H37" s="21"/>
      <c r="I37" s="21"/>
      <c r="J37" s="21"/>
    </row>
    <row r="38" spans="8:10">
      <c r="H38" s="21"/>
      <c r="I38" s="21"/>
      <c r="J38" s="21"/>
    </row>
    <row r="39" spans="8:10">
      <c r="H39" s="21"/>
      <c r="I39" s="21"/>
      <c r="J39" s="21"/>
    </row>
    <row r="40" spans="8:10">
      <c r="H40" s="21"/>
      <c r="I40" s="21"/>
      <c r="J40" s="21"/>
    </row>
    <row r="41" spans="8:10">
      <c r="H41" s="21"/>
      <c r="I41" s="21"/>
      <c r="J41" s="21"/>
    </row>
    <row r="42" spans="8:10">
      <c r="H42" s="21"/>
      <c r="I42" s="21"/>
      <c r="J42" s="21"/>
    </row>
    <row r="43" spans="8:10">
      <c r="H43" s="21"/>
      <c r="I43" s="21"/>
      <c r="J43" s="21"/>
    </row>
    <row r="44" spans="8:10">
      <c r="H44" s="21"/>
      <c r="I44" s="21"/>
      <c r="J44" s="21"/>
    </row>
    <row r="45" spans="8:10">
      <c r="H45" s="21"/>
      <c r="I45" s="21"/>
      <c r="J45" s="21"/>
    </row>
    <row r="46" spans="8:10">
      <c r="H46" s="21"/>
      <c r="I46" s="21"/>
      <c r="J46" s="21"/>
    </row>
    <row r="47" spans="8:10">
      <c r="H47" s="21"/>
      <c r="I47" s="21"/>
      <c r="J47" s="21"/>
    </row>
    <row r="48" spans="8:10">
      <c r="H48" s="21"/>
      <c r="I48" s="21"/>
      <c r="J48" s="21"/>
    </row>
    <row r="49" spans="8:10">
      <c r="H49" s="21"/>
      <c r="I49" s="21"/>
      <c r="J49" s="21"/>
    </row>
    <row r="87" spans="8:8">
      <c r="H87" s="42"/>
    </row>
    <row r="90" spans="8:8">
      <c r="H90" s="42"/>
    </row>
    <row r="213" spans="1:7">
      <c r="A213" s="43"/>
      <c r="B213" s="43"/>
      <c r="C213" s="44"/>
      <c r="D213" s="43"/>
      <c r="E213" s="43"/>
      <c r="F213" s="43"/>
      <c r="G213" s="43"/>
    </row>
    <row r="214" spans="1:7">
      <c r="A214" s="43"/>
      <c r="B214" s="43"/>
      <c r="C214" s="44"/>
      <c r="D214" s="43"/>
      <c r="E214" s="43"/>
      <c r="F214" s="43"/>
      <c r="G214" s="43"/>
    </row>
    <row r="215" spans="1:7">
      <c r="A215" s="43"/>
      <c r="B215" s="43"/>
      <c r="C215" s="44"/>
      <c r="D215" s="43"/>
      <c r="E215" s="43"/>
      <c r="F215" s="43"/>
      <c r="G215" s="43"/>
    </row>
    <row r="216" spans="1:7">
      <c r="A216" s="43"/>
      <c r="B216" s="43"/>
      <c r="C216" s="44"/>
      <c r="D216" s="43"/>
      <c r="E216" s="43"/>
      <c r="F216" s="43"/>
      <c r="G216" s="43"/>
    </row>
    <row r="217" spans="1:7">
      <c r="A217" s="43"/>
      <c r="B217" s="43"/>
      <c r="C217" s="44"/>
      <c r="D217" s="43"/>
      <c r="E217" s="43"/>
      <c r="F217" s="43"/>
      <c r="G217" s="43"/>
    </row>
    <row r="247" spans="1:7">
      <c r="A247" s="43"/>
      <c r="B247" s="43"/>
      <c r="C247" s="44"/>
      <c r="D247" s="43"/>
      <c r="E247" s="43"/>
      <c r="F247" s="43"/>
      <c r="G247" s="43"/>
    </row>
    <row r="316" spans="1:2">
      <c r="A316" s="1"/>
      <c r="B316" s="1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</sheetData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topLeftCell="I28" zoomScale="90" zoomScaleNormal="90" workbookViewId="0">
      <selection activeCell="Y58" sqref="Y58"/>
    </sheetView>
  </sheetViews>
  <sheetFormatPr defaultRowHeight="15"/>
  <cols>
    <col min="1" max="1" width="19.5703125" style="64" customWidth="1"/>
    <col min="2" max="2" width="4.42578125" style="64" bestFit="1" customWidth="1"/>
    <col min="3" max="3" width="9.85546875" style="64" bestFit="1" customWidth="1"/>
    <col min="4" max="4" width="2.7109375" style="64" customWidth="1"/>
    <col min="5" max="5" width="9.42578125" style="64" bestFit="1" customWidth="1"/>
    <col min="6" max="6" width="2.7109375" style="64" customWidth="1"/>
    <col min="7" max="7" width="9.5703125" style="64" bestFit="1" customWidth="1"/>
    <col min="8" max="8" width="2.7109375" style="64" customWidth="1"/>
    <col min="9" max="9" width="8.5703125" style="64" bestFit="1" customWidth="1"/>
    <col min="10" max="10" width="2.7109375" style="64" customWidth="1"/>
    <col min="11" max="11" width="7.85546875" style="64" bestFit="1" customWidth="1"/>
    <col min="12" max="12" width="2.7109375" style="64" customWidth="1"/>
    <col min="13" max="13" width="9.7109375" style="64" bestFit="1" customWidth="1"/>
    <col min="14" max="14" width="2.7109375" style="64" customWidth="1"/>
    <col min="15" max="15" width="9.7109375" style="64" bestFit="1" customWidth="1"/>
    <col min="16" max="16" width="2.7109375" style="64" customWidth="1"/>
    <col min="17" max="17" width="9.5703125" style="64" bestFit="1" customWidth="1"/>
    <col min="18" max="18" width="2.7109375" style="64" customWidth="1"/>
    <col min="19" max="19" width="10.28515625" style="64" bestFit="1" customWidth="1"/>
    <col min="20" max="20" width="2.7109375" style="64" customWidth="1"/>
    <col min="21" max="21" width="9.7109375" style="64" bestFit="1" customWidth="1"/>
    <col min="22" max="22" width="2.7109375" style="64" customWidth="1"/>
    <col min="23" max="23" width="7.85546875" style="64" customWidth="1"/>
    <col min="24" max="24" width="2.7109375" style="64" customWidth="1"/>
    <col min="25" max="25" width="7.85546875" style="64" bestFit="1" customWidth="1"/>
    <col min="26" max="26" width="2.7109375" style="64" customWidth="1"/>
    <col min="27" max="27" width="10.140625" style="64" bestFit="1" customWidth="1"/>
    <col min="28" max="28" width="2.7109375" style="64" customWidth="1"/>
    <col min="29" max="29" width="9.85546875" style="64" bestFit="1" customWidth="1"/>
    <col min="30" max="30" width="2.7109375" style="64" customWidth="1"/>
    <col min="31" max="31" width="9.42578125" style="64" bestFit="1" customWidth="1"/>
    <col min="32" max="32" width="2.7109375" style="64" customWidth="1"/>
    <col min="33" max="33" width="11.42578125" style="64" bestFit="1" customWidth="1"/>
    <col min="34" max="34" width="1.7109375" style="64" customWidth="1"/>
    <col min="35" max="35" width="5.7109375" style="64" bestFit="1" customWidth="1"/>
    <col min="36" max="36" width="1.7109375" style="64" customWidth="1"/>
    <col min="37" max="37" width="10.5703125" style="64" bestFit="1" customWidth="1"/>
    <col min="38" max="38" width="1.7109375" style="64" customWidth="1"/>
    <col min="39" max="39" width="7.7109375" style="64" bestFit="1" customWidth="1"/>
    <col min="40" max="16384" width="9.140625" style="64"/>
  </cols>
  <sheetData>
    <row r="1" spans="1:34" ht="18.75">
      <c r="A1" s="63" t="s">
        <v>183</v>
      </c>
      <c r="AG1" s="163" t="str">
        <f>+'Sewer Rate Design'!$K$1</f>
        <v>Docket No. 160101 -WS</v>
      </c>
    </row>
    <row r="2" spans="1:34">
      <c r="A2" s="64" t="s">
        <v>172</v>
      </c>
      <c r="AG2" s="163" t="str">
        <f>+'Sewer Rate Design'!$K$2</f>
        <v>Exhibit JFG-Rate Design</v>
      </c>
    </row>
    <row r="3" spans="1:34">
      <c r="AG3" s="107" t="s">
        <v>281</v>
      </c>
    </row>
    <row r="4" spans="1:34">
      <c r="E4" s="80" t="s">
        <v>143</v>
      </c>
      <c r="I4" s="65"/>
      <c r="O4" s="80" t="s">
        <v>143</v>
      </c>
      <c r="W4" s="80" t="s">
        <v>143</v>
      </c>
      <c r="Y4" s="65"/>
      <c r="AA4" s="65"/>
      <c r="AC4" s="65"/>
    </row>
    <row r="5" spans="1:34">
      <c r="C5" s="65" t="s">
        <v>105</v>
      </c>
      <c r="E5" s="65" t="s">
        <v>169</v>
      </c>
      <c r="G5" s="64" t="s">
        <v>106</v>
      </c>
      <c r="I5" s="65" t="s">
        <v>171</v>
      </c>
      <c r="K5" s="64" t="s">
        <v>141</v>
      </c>
      <c r="M5" s="65" t="s">
        <v>108</v>
      </c>
      <c r="N5" s="65"/>
      <c r="O5" s="65" t="s">
        <v>132</v>
      </c>
      <c r="Q5" s="64" t="s">
        <v>138</v>
      </c>
      <c r="S5" s="64" t="s">
        <v>139</v>
      </c>
      <c r="U5" s="65" t="s">
        <v>109</v>
      </c>
      <c r="W5" s="65" t="s">
        <v>170</v>
      </c>
      <c r="Y5" s="65" t="s">
        <v>110</v>
      </c>
      <c r="AA5" s="65" t="s">
        <v>111</v>
      </c>
      <c r="AC5" s="65" t="s">
        <v>140</v>
      </c>
      <c r="AE5" s="64" t="s">
        <v>112</v>
      </c>
    </row>
    <row r="6" spans="1:34">
      <c r="A6" s="64" t="s">
        <v>104</v>
      </c>
      <c r="C6" s="82">
        <v>1</v>
      </c>
      <c r="E6" s="82">
        <f>+C6+1</f>
        <v>2</v>
      </c>
      <c r="G6" s="82">
        <f>+E6+1</f>
        <v>3</v>
      </c>
      <c r="I6" s="82">
        <f>+G6+1</f>
        <v>4</v>
      </c>
      <c r="K6" s="82">
        <f>+I6+1</f>
        <v>5</v>
      </c>
      <c r="M6" s="82">
        <f>+K6+1</f>
        <v>6</v>
      </c>
      <c r="N6" s="65"/>
      <c r="O6" s="82">
        <f>+M6+1</f>
        <v>7</v>
      </c>
      <c r="Q6" s="82">
        <f>+O6+1</f>
        <v>8</v>
      </c>
      <c r="R6" s="65"/>
      <c r="S6" s="82">
        <f>+Q6+1</f>
        <v>9</v>
      </c>
      <c r="U6" s="82">
        <f>+S6+1</f>
        <v>10</v>
      </c>
      <c r="W6" s="82">
        <f>+U6+1</f>
        <v>11</v>
      </c>
      <c r="Y6" s="82">
        <f>+W6+1</f>
        <v>12</v>
      </c>
      <c r="AA6" s="82">
        <f>+Y6+1</f>
        <v>13</v>
      </c>
      <c r="AC6" s="82">
        <f>+AA6+1</f>
        <v>14</v>
      </c>
      <c r="AE6" s="82">
        <f>+AC6+1</f>
        <v>15</v>
      </c>
      <c r="AG6" s="87" t="s">
        <v>180</v>
      </c>
    </row>
    <row r="7" spans="1:34">
      <c r="A7" s="77"/>
      <c r="C7" s="65"/>
      <c r="D7" s="79"/>
      <c r="E7" s="79"/>
      <c r="G7" s="65"/>
      <c r="I7" s="65"/>
      <c r="K7" s="65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G7" s="65"/>
    </row>
    <row r="8" spans="1:34">
      <c r="A8" s="77" t="s">
        <v>137</v>
      </c>
      <c r="C8" s="84">
        <f>'S-Bills Summary'!C10*'S-Rate Summary'!C8</f>
        <v>372918</v>
      </c>
      <c r="D8" s="68"/>
      <c r="E8" s="84">
        <f>'S-Bills Summary'!E10*'S-Rate Summary'!E8</f>
        <v>222712</v>
      </c>
      <c r="F8" s="68"/>
      <c r="G8" s="84">
        <f>'S-Bills Summary'!G10*'S-Rate Summary'!G8</f>
        <v>289808.31</v>
      </c>
      <c r="H8" s="69"/>
      <c r="I8" s="84">
        <f>'S-Bills Summary'!I10*'S-Rate Summary'!I8</f>
        <v>15426.84</v>
      </c>
      <c r="J8" s="69"/>
      <c r="K8" s="84">
        <f>'S-Bills Summary'!K10*'S-Rate Summary'!K8</f>
        <v>0</v>
      </c>
      <c r="L8" s="69"/>
      <c r="M8" s="84">
        <f>'S-Bills Summary'!M10*'S-Rate Summary'!M8</f>
        <v>905458.97</v>
      </c>
      <c r="N8" s="52"/>
      <c r="O8" s="84">
        <f>'S-Bills Summary'!O10*'S-Rate Summary'!O8</f>
        <v>401907.51999999996</v>
      </c>
      <c r="P8" s="69"/>
      <c r="Q8" s="84">
        <f>'S-Bills Summary'!Q10*'S-Rate Summary'!Q8</f>
        <v>214130.58</v>
      </c>
      <c r="R8" s="36"/>
      <c r="S8" s="84">
        <f>'S-Bills Summary'!S10*'S-Rate Summary'!S8</f>
        <v>415638.8</v>
      </c>
      <c r="T8" s="69"/>
      <c r="U8" s="84">
        <f>'S-Bills Summary'!U10*'S-Rate Summary'!U8</f>
        <v>1453105.78</v>
      </c>
      <c r="V8" s="69"/>
      <c r="W8" s="84">
        <f>'S-Bills Summary'!W10*'S-Rate Summary'!W8</f>
        <v>0</v>
      </c>
      <c r="X8" s="69"/>
      <c r="Y8" s="84">
        <f>'S-Bills Summary'!Y10*'S-Rate Summary'!Y8</f>
        <v>26159.040000000001</v>
      </c>
      <c r="Z8" s="69"/>
      <c r="AA8" s="84">
        <f>'S-Bills Summary'!AA10*'S-Rate Summary'!AA8</f>
        <v>18662.400000000001</v>
      </c>
      <c r="AB8" s="69"/>
      <c r="AC8" s="84">
        <f>'S-Bills Summary'!AC10*'S-Rate Summary'!AC8</f>
        <v>177628.32</v>
      </c>
      <c r="AD8" s="69"/>
      <c r="AE8" s="84">
        <f>'S-Bills Summary'!AE10*'S-Rate Summary'!AE8</f>
        <v>218550.63999999998</v>
      </c>
      <c r="AF8" s="69"/>
      <c r="AG8" s="92">
        <f>SUM(C8:AE8)</f>
        <v>4732107.2</v>
      </c>
      <c r="AH8" s="69"/>
    </row>
    <row r="9" spans="1:34">
      <c r="A9" s="55"/>
      <c r="B9" s="77"/>
      <c r="C9" s="52"/>
      <c r="D9" s="79"/>
      <c r="E9" s="79"/>
      <c r="J9" s="77"/>
      <c r="L9" s="77"/>
      <c r="N9" s="79"/>
      <c r="P9" s="77"/>
      <c r="R9" s="52"/>
      <c r="T9" s="77"/>
      <c r="V9" s="79"/>
      <c r="AF9" s="77"/>
      <c r="AG9" s="70"/>
    </row>
    <row r="10" spans="1:34">
      <c r="A10" s="75" t="s">
        <v>126</v>
      </c>
      <c r="B10" s="74"/>
      <c r="C10" s="52"/>
      <c r="E10" s="84">
        <f>'S-Bills Summary'!E13*'S-Rate Summary'!E12</f>
        <v>293220</v>
      </c>
      <c r="I10" s="84">
        <f>'S-Bills Summary'!I13*'S-Rate Summary'!I12</f>
        <v>793.08</v>
      </c>
      <c r="J10" s="74"/>
      <c r="K10" s="84">
        <f>'S-Bills Summary'!K13*'S-Rate Summary'!K12</f>
        <v>694489.14</v>
      </c>
      <c r="L10" s="74"/>
      <c r="M10" s="84">
        <f>'S-Bills Summary'!M13*'S-Rate Summary'!M12</f>
        <v>0</v>
      </c>
      <c r="N10" s="70"/>
      <c r="O10" s="84">
        <f>'S-Bills Summary'!O13*'S-Rate Summary'!O12</f>
        <v>702.24</v>
      </c>
      <c r="P10" s="77"/>
      <c r="Q10" s="84">
        <f>'S-Bills Summary'!Q13*'S-Rate Summary'!Q12</f>
        <v>0</v>
      </c>
      <c r="R10" s="52"/>
      <c r="S10" s="84">
        <f>'S-Bills Summary'!S13*'S-Rate Summary'!S12</f>
        <v>0</v>
      </c>
      <c r="T10" s="74"/>
      <c r="U10" s="84">
        <f>'S-Bills Summary'!U13*'S-Rate Summary'!U12</f>
        <v>161095.67999999999</v>
      </c>
      <c r="V10" s="70"/>
      <c r="W10" s="84">
        <f>'S-Bills Summary'!W13*'S-Rate Summary'!W12</f>
        <v>550564.11</v>
      </c>
      <c r="Y10" s="84">
        <f>'S-Bills Summary'!Y13*'S-Rate Summary'!Y12</f>
        <v>0</v>
      </c>
      <c r="AA10" s="84">
        <f>'S-Bills Summary'!AA13*'S-Rate Summary'!AA12</f>
        <v>875.52</v>
      </c>
      <c r="AC10" s="84">
        <f>'S-Bills Summary'!AC13*'S-Rate Summary'!AC12</f>
        <v>0</v>
      </c>
      <c r="AE10" s="84">
        <f>'S-Bills Summary'!AE13*'S-Rate Summary'!AE12</f>
        <v>0</v>
      </c>
      <c r="AF10" s="74"/>
      <c r="AG10" s="92">
        <f>SUM(C10:AE10)</f>
        <v>1701739.77</v>
      </c>
    </row>
    <row r="11" spans="1:34">
      <c r="A11" s="75"/>
      <c r="B11" s="74"/>
      <c r="C11" s="85">
        <f>SUM(C8:C10)</f>
        <v>372918</v>
      </c>
      <c r="E11" s="85">
        <f>SUM(E8:E10)</f>
        <v>515932</v>
      </c>
      <c r="G11" s="85">
        <f>SUM(G8:G10)</f>
        <v>289808.31</v>
      </c>
      <c r="I11" s="85">
        <f>SUM(I8:I10)</f>
        <v>16219.92</v>
      </c>
      <c r="J11" s="74"/>
      <c r="K11" s="85">
        <f>SUM(K8:K10)</f>
        <v>694489.14</v>
      </c>
      <c r="L11" s="74"/>
      <c r="M11" s="85">
        <f>SUM(M8:M10)</f>
        <v>905458.97</v>
      </c>
      <c r="N11" s="70"/>
      <c r="O11" s="85">
        <f>SUM(O8:O10)</f>
        <v>402609.75999999995</v>
      </c>
      <c r="P11" s="77"/>
      <c r="Q11" s="85">
        <f>SUM(Q8:Q10)</f>
        <v>214130.58</v>
      </c>
      <c r="R11" s="52"/>
      <c r="S11" s="85">
        <f>SUM(S8:S10)</f>
        <v>415638.8</v>
      </c>
      <c r="T11" s="74"/>
      <c r="U11" s="85">
        <f>SUM(U8:U10)</f>
        <v>1614201.46</v>
      </c>
      <c r="V11" s="70"/>
      <c r="W11" s="85">
        <f>SUM(W8:W10)</f>
        <v>550564.11</v>
      </c>
      <c r="Y11" s="85">
        <f>SUM(Y8:Y10)</f>
        <v>26159.040000000001</v>
      </c>
      <c r="AA11" s="85">
        <f>SUM(AA8:AA10)</f>
        <v>19537.920000000002</v>
      </c>
      <c r="AC11" s="85">
        <f>SUM(AC8:AC10)</f>
        <v>177628.32</v>
      </c>
      <c r="AE11" s="85">
        <f>SUM(AE8:AE10)</f>
        <v>218550.63999999998</v>
      </c>
      <c r="AF11" s="74"/>
      <c r="AG11" s="85">
        <f>SUM(AG8:AG10)</f>
        <v>6433846.9700000007</v>
      </c>
    </row>
    <row r="12" spans="1:34">
      <c r="A12" s="75"/>
      <c r="B12" s="74"/>
      <c r="C12" s="86"/>
      <c r="E12" s="52"/>
      <c r="I12" s="52"/>
      <c r="J12" s="74"/>
      <c r="K12" s="52"/>
      <c r="L12" s="74"/>
      <c r="M12" s="52"/>
      <c r="N12" s="70"/>
      <c r="O12" s="52"/>
      <c r="P12" s="77"/>
      <c r="Q12" s="52"/>
      <c r="R12" s="52"/>
      <c r="S12" s="52"/>
      <c r="T12" s="74"/>
      <c r="U12" s="52"/>
      <c r="V12" s="70"/>
      <c r="W12" s="52"/>
      <c r="Y12" s="52"/>
      <c r="AA12" s="52"/>
      <c r="AC12" s="52"/>
      <c r="AE12" s="52"/>
      <c r="AF12" s="74"/>
      <c r="AG12" s="70"/>
    </row>
    <row r="13" spans="1:34">
      <c r="A13" s="77" t="s">
        <v>173</v>
      </c>
      <c r="B13" s="76"/>
      <c r="C13" s="84">
        <f>'S-Usage Summary'!C7*'S-Rate Summary'!C10</f>
        <v>270767.52</v>
      </c>
      <c r="D13" s="76"/>
      <c r="E13" s="84">
        <f>'S-Usage Summary'!F7*'S-Rate Summary'!E10</f>
        <v>239491.43999999997</v>
      </c>
      <c r="G13" s="84">
        <f>'S-Usage Summary'!I7*'S-Rate Summary'!G10</f>
        <v>261472.11000000002</v>
      </c>
      <c r="I13" s="84">
        <f>'S-Usage Summary'!L7*'S-Rate Summary'!I10</f>
        <v>11312.67</v>
      </c>
      <c r="K13" s="84">
        <v>0</v>
      </c>
      <c r="M13" s="84">
        <f>'S-Usage Summary'!R7*'S-Rate Summary'!M10</f>
        <v>1010508.93</v>
      </c>
      <c r="O13" s="84">
        <f>'S-Usage Summary'!U7*'S-Rate Summary'!O10</f>
        <v>367102.53</v>
      </c>
      <c r="P13" s="74"/>
      <c r="Q13" s="84">
        <f>'S-Usage Summary'!X7*'S-Rate Summary'!Q10</f>
        <v>288144.22000000003</v>
      </c>
      <c r="R13" s="52"/>
      <c r="S13" s="84">
        <f>'S-Usage Summary'!AA7*'S-Rate Summary'!S10</f>
        <v>282809.94</v>
      </c>
      <c r="U13" s="84">
        <f>'S-Usage Summary'!AD7*'S-Rate Summary'!U10</f>
        <v>1290259.53</v>
      </c>
      <c r="W13" s="84">
        <f>'S-Usage Summary'!AF7*'S-Rate Summary'!W10</f>
        <v>0</v>
      </c>
      <c r="Y13" s="84">
        <f>'S-Usage Summary'!AJ7*'S-Rate Summary'!Y10</f>
        <v>5081.6399999999994</v>
      </c>
      <c r="AA13" s="84">
        <f>'S-Usage Summary'!AM7*'S-Rate Summary'!AA10</f>
        <v>25076.38</v>
      </c>
      <c r="AC13" s="84">
        <f>'S-Usage Summary'!AP7*'S-Rate Summary'!AC10</f>
        <v>270857.39</v>
      </c>
      <c r="AE13" s="84">
        <f>'S-Usage Summary'!AS7*'S-Rate Summary'!AE10</f>
        <v>578137.56999999995</v>
      </c>
      <c r="AG13" s="92">
        <f>SUM(C13:AE13)</f>
        <v>4901021.870000001</v>
      </c>
    </row>
    <row r="14" spans="1:34">
      <c r="A14" s="77"/>
      <c r="B14" s="76"/>
      <c r="C14" s="84"/>
      <c r="D14" s="76"/>
      <c r="P14" s="74"/>
      <c r="R14" s="52"/>
    </row>
    <row r="15" spans="1:34">
      <c r="A15" s="64" t="s">
        <v>121</v>
      </c>
      <c r="B15" s="77"/>
    </row>
    <row r="16" spans="1:34">
      <c r="A16" s="77" t="s">
        <v>113</v>
      </c>
      <c r="B16" s="77"/>
      <c r="E16" s="80" t="s">
        <v>143</v>
      </c>
      <c r="I16" s="65"/>
      <c r="O16" s="80" t="s">
        <v>143</v>
      </c>
      <c r="Q16" s="80"/>
      <c r="S16" s="80"/>
      <c r="U16" s="80"/>
      <c r="W16" s="80" t="s">
        <v>143</v>
      </c>
      <c r="Y16" s="80"/>
      <c r="AA16" s="80"/>
      <c r="AC16" s="80"/>
      <c r="AE16" s="80"/>
    </row>
    <row r="17" spans="1:33">
      <c r="A17" s="77" t="s">
        <v>114</v>
      </c>
      <c r="B17" s="77"/>
      <c r="C17" s="84">
        <f>'S-Bills Summary'!C17*'S-Rate Summary'!C16</f>
        <v>756</v>
      </c>
      <c r="D17" s="68"/>
      <c r="E17" s="84">
        <f>'S-Bills Summary'!E17*'S-Rate Summary'!E16</f>
        <v>2751.55</v>
      </c>
      <c r="F17" s="68"/>
      <c r="G17" s="84">
        <f>'S-Bills Summary'!G17*'S-Rate Summary'!G16</f>
        <v>330.36</v>
      </c>
      <c r="H17" s="68"/>
      <c r="I17" s="84">
        <f>'S-Bills Summary'!I17*'S-Rate Summary'!I16</f>
        <v>991.38</v>
      </c>
      <c r="J17" s="68"/>
      <c r="K17" s="84">
        <f>'S-Bills Summary'!K17*'S-Rate Summary'!K16</f>
        <v>9845.4</v>
      </c>
      <c r="L17" s="84"/>
      <c r="M17" s="84">
        <f>'S-Bills Summary'!M17*'S-Rate Summary'!M16</f>
        <v>5654.61</v>
      </c>
      <c r="N17" s="84"/>
      <c r="O17" s="84">
        <f>'S-Bills Summary'!O17*'S-Rate Summary'!O16</f>
        <v>0</v>
      </c>
      <c r="P17" s="84"/>
      <c r="Q17" s="84">
        <f>'S-Bills Summary'!Q17*'S-Rate Summary'!Q16</f>
        <v>697.92</v>
      </c>
      <c r="R17" s="84"/>
      <c r="S17" s="84">
        <f>'S-Bills Summary'!S17*'S-Rate Summary'!S16</f>
        <v>11815.6</v>
      </c>
      <c r="T17" s="84"/>
      <c r="U17" s="84">
        <f>'S-Bills Summary'!U17*'S-Rate Summary'!U16</f>
        <v>18987.5</v>
      </c>
      <c r="V17" s="84"/>
      <c r="W17" s="84">
        <f>'S-Bills Summary'!W17*'S-Rate Summary'!W16</f>
        <v>744.72</v>
      </c>
      <c r="X17" s="84"/>
      <c r="Y17" s="84">
        <f>'S-Bills Summary'!Y17*'S-Rate Summary'!Y16</f>
        <v>316.44</v>
      </c>
      <c r="Z17" s="84"/>
      <c r="AA17" s="84">
        <f>'S-Bills Summary'!AA17*'S-Rate Summary'!AA16</f>
        <v>0</v>
      </c>
      <c r="AB17" s="84"/>
      <c r="AC17" s="84">
        <f>'S-Bills Summary'!AC17*'S-Rate Summary'!AC16</f>
        <v>0</v>
      </c>
      <c r="AD17" s="84"/>
      <c r="AE17" s="84">
        <f>'S-Bills Summary'!AE17*'S-Rate Summary'!AE16</f>
        <v>314.15999999999997</v>
      </c>
      <c r="AF17" s="68"/>
      <c r="AG17" s="92">
        <f t="shared" ref="AG17:AG28" si="0">SUM(C17:AE17)</f>
        <v>53205.640000000007</v>
      </c>
    </row>
    <row r="18" spans="1:33">
      <c r="A18" s="77" t="s">
        <v>115</v>
      </c>
      <c r="B18" s="77"/>
      <c r="C18" s="84">
        <f>'S-Bills Summary'!C18*'S-Rate Summary'!C17</f>
        <v>0</v>
      </c>
      <c r="D18" s="68"/>
      <c r="E18" s="84">
        <f>'S-Bills Summary'!E18*'S-Rate Summary'!E17</f>
        <v>0</v>
      </c>
      <c r="F18" s="68"/>
      <c r="G18" s="84">
        <f>'S-Bills Summary'!G18*'S-Rate Summary'!G17</f>
        <v>0</v>
      </c>
      <c r="H18" s="68"/>
      <c r="I18" s="84">
        <f>'S-Bills Summary'!I18*'S-Rate Summary'!I17</f>
        <v>0</v>
      </c>
      <c r="J18" s="68"/>
      <c r="K18" s="84">
        <f>'S-Bills Summary'!K18*'S-Rate Summary'!K17</f>
        <v>0</v>
      </c>
      <c r="L18" s="84"/>
      <c r="M18" s="84">
        <f>'S-Bills Summary'!M18*'S-Rate Summary'!M17</f>
        <v>0</v>
      </c>
      <c r="N18" s="84"/>
      <c r="O18" s="84">
        <f>'S-Bills Summary'!O18*'S-Rate Summary'!O17</f>
        <v>0</v>
      </c>
      <c r="P18" s="84"/>
      <c r="Q18" s="84">
        <f>'S-Bills Summary'!Q18*'S-Rate Summary'!Q17</f>
        <v>0</v>
      </c>
      <c r="R18" s="84"/>
      <c r="S18" s="84">
        <f>'S-Bills Summary'!S18*'S-Rate Summary'!S17</f>
        <v>0</v>
      </c>
      <c r="T18" s="84"/>
      <c r="U18" s="84">
        <f>'S-Bills Summary'!U18*'S-Rate Summary'!U17</f>
        <v>0</v>
      </c>
      <c r="V18" s="84"/>
      <c r="W18" s="84">
        <f>'S-Bills Summary'!W18*'S-Rate Summary'!W17</f>
        <v>0</v>
      </c>
      <c r="X18" s="84"/>
      <c r="Y18" s="84">
        <f>'S-Bills Summary'!Y18*'S-Rate Summary'!Y17</f>
        <v>0</v>
      </c>
      <c r="Z18" s="84"/>
      <c r="AA18" s="84">
        <f>'S-Bills Summary'!AA18*'S-Rate Summary'!AA17</f>
        <v>0</v>
      </c>
      <c r="AB18" s="84"/>
      <c r="AC18" s="84">
        <f>'S-Bills Summary'!AC18*'S-Rate Summary'!AC17</f>
        <v>0</v>
      </c>
      <c r="AD18" s="84"/>
      <c r="AE18" s="84">
        <f>'S-Bills Summary'!AE18*'S-Rate Summary'!AE17</f>
        <v>0</v>
      </c>
      <c r="AF18" s="68"/>
      <c r="AG18" s="92">
        <f t="shared" si="0"/>
        <v>0</v>
      </c>
    </row>
    <row r="19" spans="1:33">
      <c r="A19" s="77" t="s">
        <v>116</v>
      </c>
      <c r="B19" s="77"/>
      <c r="C19" s="84">
        <f>'S-Bills Summary'!C19*'S-Rate Summary'!C18</f>
        <v>630.48</v>
      </c>
      <c r="D19" s="68"/>
      <c r="E19" s="84">
        <f>'S-Bills Summary'!E19*'S-Rate Summary'!E18</f>
        <v>11685.119999999999</v>
      </c>
      <c r="F19" s="68"/>
      <c r="G19" s="84">
        <f>'S-Bills Summary'!G19*'S-Rate Summary'!G18</f>
        <v>825.72</v>
      </c>
      <c r="H19" s="68"/>
      <c r="I19" s="84">
        <f>'S-Bills Summary'!I19*'S-Rate Summary'!I18</f>
        <v>1088.6399999999999</v>
      </c>
      <c r="J19" s="68"/>
      <c r="K19" s="84">
        <f>'S-Bills Summary'!K19*'S-Rate Summary'!K18</f>
        <v>4877.51</v>
      </c>
      <c r="L19" s="84"/>
      <c r="M19" s="84">
        <f>'S-Bills Summary'!M19*'S-Rate Summary'!M18</f>
        <v>8032.9800000000005</v>
      </c>
      <c r="N19" s="84"/>
      <c r="O19" s="84">
        <f>'S-Bills Summary'!O19*'S-Rate Summary'!O18</f>
        <v>76654.399999999994</v>
      </c>
      <c r="P19" s="84"/>
      <c r="Q19" s="84">
        <f>'S-Bills Summary'!Q19*'S-Rate Summary'!Q18</f>
        <v>0</v>
      </c>
      <c r="R19" s="84"/>
      <c r="S19" s="84">
        <f>'S-Bills Summary'!S19*'S-Rate Summary'!S18</f>
        <v>2616</v>
      </c>
      <c r="T19" s="84"/>
      <c r="U19" s="84">
        <f>'S-Bills Summary'!U19*'S-Rate Summary'!U18</f>
        <v>28659.8</v>
      </c>
      <c r="V19" s="84"/>
      <c r="W19" s="84">
        <f>'S-Bills Summary'!W19*'S-Rate Summary'!W18</f>
        <v>37851.72</v>
      </c>
      <c r="X19" s="84"/>
      <c r="Y19" s="84">
        <f>'S-Bills Summary'!Y19*'S-Rate Summary'!Y18</f>
        <v>0</v>
      </c>
      <c r="Z19" s="84"/>
      <c r="AA19" s="84">
        <f>'S-Bills Summary'!AA19*'S-Rate Summary'!AA18</f>
        <v>0</v>
      </c>
      <c r="AB19" s="84"/>
      <c r="AC19" s="84">
        <f>'S-Bills Summary'!AC19*'S-Rate Summary'!AC18</f>
        <v>756.96</v>
      </c>
      <c r="AD19" s="84"/>
      <c r="AE19" s="84">
        <f>'S-Bills Summary'!AE19*'S-Rate Summary'!AE18</f>
        <v>1177.92</v>
      </c>
      <c r="AF19" s="68"/>
      <c r="AG19" s="92">
        <f t="shared" si="0"/>
        <v>174857.25</v>
      </c>
    </row>
    <row r="20" spans="1:33">
      <c r="A20" s="77" t="s">
        <v>117</v>
      </c>
      <c r="B20" s="77"/>
      <c r="C20" s="84">
        <f>'S-Bills Summary'!C20*'S-Rate Summary'!C19</f>
        <v>1260.48</v>
      </c>
      <c r="D20" s="68"/>
      <c r="E20" s="84">
        <f>'S-Bills Summary'!E20*'S-Rate Summary'!E19</f>
        <v>51122.400000000001</v>
      </c>
      <c r="F20" s="68"/>
      <c r="G20" s="84">
        <f>'S-Bills Summary'!G20*'S-Rate Summary'!G19</f>
        <v>0</v>
      </c>
      <c r="H20" s="68"/>
      <c r="I20" s="84">
        <f>'S-Bills Summary'!I20*'S-Rate Summary'!I19</f>
        <v>0</v>
      </c>
      <c r="J20" s="68"/>
      <c r="K20" s="84">
        <f>'S-Bills Summary'!K20*'S-Rate Summary'!K19</f>
        <v>6852.7000000000007</v>
      </c>
      <c r="L20" s="84"/>
      <c r="M20" s="84">
        <f>'S-Bills Summary'!M20*'S-Rate Summary'!M19</f>
        <v>2793.6000000000004</v>
      </c>
      <c r="N20" s="84"/>
      <c r="O20" s="84">
        <f>'S-Bills Summary'!O20*'S-Rate Summary'!O19</f>
        <v>0</v>
      </c>
      <c r="P20" s="84"/>
      <c r="Q20" s="84">
        <f>'S-Bills Summary'!Q20*'S-Rate Summary'!Q19</f>
        <v>858.59999999999991</v>
      </c>
      <c r="R20" s="84"/>
      <c r="S20" s="84">
        <f>'S-Bills Summary'!S20*'S-Rate Summary'!S19</f>
        <v>15914</v>
      </c>
      <c r="T20" s="84"/>
      <c r="U20" s="84">
        <f>'S-Bills Summary'!U20*'S-Rate Summary'!U19</f>
        <v>88294.96</v>
      </c>
      <c r="V20" s="84"/>
      <c r="W20" s="84">
        <f>'S-Bills Summary'!W20*'S-Rate Summary'!W19</f>
        <v>42198.079999999994</v>
      </c>
      <c r="X20" s="84"/>
      <c r="Y20" s="84">
        <f>'S-Bills Summary'!Y20*'S-Rate Summary'!Y19</f>
        <v>0</v>
      </c>
      <c r="Z20" s="84"/>
      <c r="AA20" s="84">
        <f>'S-Bills Summary'!AA20*'S-Rate Summary'!AA19</f>
        <v>0</v>
      </c>
      <c r="AB20" s="84"/>
      <c r="AC20" s="84">
        <f>'S-Bills Summary'!AC20*'S-Rate Summary'!AC19</f>
        <v>0</v>
      </c>
      <c r="AD20" s="84"/>
      <c r="AE20" s="84">
        <f>'S-Bills Summary'!AE20*'S-Rate Summary'!AE19</f>
        <v>0</v>
      </c>
      <c r="AF20" s="68"/>
      <c r="AG20" s="92">
        <f t="shared" si="0"/>
        <v>209294.81999999998</v>
      </c>
    </row>
    <row r="21" spans="1:33">
      <c r="A21" s="77" t="s">
        <v>69</v>
      </c>
      <c r="B21" s="77"/>
      <c r="C21" s="84">
        <f>'S-Bills Summary'!C21*'S-Rate Summary'!C20</f>
        <v>0</v>
      </c>
      <c r="D21" s="68"/>
      <c r="E21" s="84">
        <f>'S-Bills Summary'!E21*'S-Rate Summary'!E20</f>
        <v>65432.639999999999</v>
      </c>
      <c r="F21" s="68"/>
      <c r="G21" s="84">
        <f>'S-Bills Summary'!G21*'S-Rate Summary'!G20</f>
        <v>0</v>
      </c>
      <c r="H21" s="68"/>
      <c r="I21" s="84">
        <f>'S-Bills Summary'!I21*'S-Rate Summary'!I20</f>
        <v>0</v>
      </c>
      <c r="J21" s="68"/>
      <c r="K21" s="84">
        <f>'S-Bills Summary'!K21*'S-Rate Summary'!K20</f>
        <v>1799.42</v>
      </c>
      <c r="L21" s="84"/>
      <c r="M21" s="84">
        <f>'S-Bills Summary'!M21*'S-Rate Summary'!M20</f>
        <v>2235</v>
      </c>
      <c r="N21" s="84"/>
      <c r="O21" s="84">
        <f>'S-Bills Summary'!O21*'S-Rate Summary'!O20</f>
        <v>70315.75</v>
      </c>
      <c r="P21" s="84"/>
      <c r="Q21" s="84">
        <f>'S-Bills Summary'!Q21*'S-Rate Summary'!Q20</f>
        <v>1359.1200000000001</v>
      </c>
      <c r="R21" s="84"/>
      <c r="S21" s="84">
        <f>'S-Bills Summary'!S21*'S-Rate Summary'!S20</f>
        <v>33484.800000000003</v>
      </c>
      <c r="T21" s="84"/>
      <c r="U21" s="84">
        <f>'S-Bills Summary'!U21*'S-Rate Summary'!U20</f>
        <v>147452.44</v>
      </c>
      <c r="V21" s="84"/>
      <c r="W21" s="84">
        <f>'S-Bills Summary'!W21*'S-Rate Summary'!W20</f>
        <v>110706.12</v>
      </c>
      <c r="X21" s="84"/>
      <c r="Y21" s="84">
        <f>'S-Bills Summary'!Y21*'S-Rate Summary'!Y20</f>
        <v>2532.2400000000002</v>
      </c>
      <c r="Z21" s="84"/>
      <c r="AA21" s="84">
        <f>'S-Bills Summary'!AA21*'S-Rate Summary'!AA20</f>
        <v>0</v>
      </c>
      <c r="AB21" s="84"/>
      <c r="AC21" s="84">
        <f>'S-Bills Summary'!AC21*'S-Rate Summary'!AC20</f>
        <v>1211.04</v>
      </c>
      <c r="AD21" s="84"/>
      <c r="AE21" s="84">
        <f>'S-Bills Summary'!AE21*'S-Rate Summary'!AE20</f>
        <v>1256.8799999999999</v>
      </c>
      <c r="AF21" s="68"/>
      <c r="AG21" s="92">
        <f t="shared" si="0"/>
        <v>437785.44999999995</v>
      </c>
    </row>
    <row r="22" spans="1:33">
      <c r="A22" s="77" t="s">
        <v>70</v>
      </c>
      <c r="B22" s="77"/>
      <c r="C22" s="84">
        <f>'S-Bills Summary'!C22*'S-Rate Summary'!C21</f>
        <v>0</v>
      </c>
      <c r="D22" s="68"/>
      <c r="E22" s="84">
        <f>'S-Bills Summary'!E22*'S-Rate Summary'!E21</f>
        <v>1557.96</v>
      </c>
      <c r="F22" s="68"/>
      <c r="G22" s="84">
        <f>'S-Bills Summary'!G22*'S-Rate Summary'!G21</f>
        <v>0</v>
      </c>
      <c r="H22" s="68"/>
      <c r="I22" s="84">
        <f>'S-Bills Summary'!I22*'S-Rate Summary'!I21</f>
        <v>0</v>
      </c>
      <c r="J22" s="68"/>
      <c r="K22" s="84">
        <f>'S-Bills Summary'!K22*'S-Rate Summary'!K21</f>
        <v>12382.560000000001</v>
      </c>
      <c r="L22" s="84"/>
      <c r="M22" s="84">
        <f>'S-Bills Summary'!M22*'S-Rate Summary'!M21</f>
        <v>0</v>
      </c>
      <c r="N22" s="84"/>
      <c r="O22" s="84">
        <f>'S-Bills Summary'!O22*'S-Rate Summary'!O21</f>
        <v>4500.12</v>
      </c>
      <c r="P22" s="84"/>
      <c r="Q22" s="84">
        <f>'S-Bills Summary'!Q22*'S-Rate Summary'!Q21</f>
        <v>0</v>
      </c>
      <c r="R22" s="84"/>
      <c r="S22" s="84">
        <f>'S-Bills Summary'!S22*'S-Rate Summary'!S21</f>
        <v>58598.400000000001</v>
      </c>
      <c r="T22" s="84"/>
      <c r="U22" s="84">
        <f>'S-Bills Summary'!U22*'S-Rate Summary'!U21</f>
        <v>51501.16</v>
      </c>
      <c r="V22" s="84"/>
      <c r="W22" s="84">
        <f>'S-Bills Summary'!W22*'S-Rate Summary'!W21</f>
        <v>0</v>
      </c>
      <c r="X22" s="84"/>
      <c r="Y22" s="84">
        <f>'S-Bills Summary'!Y22*'S-Rate Summary'!Y21</f>
        <v>0</v>
      </c>
      <c r="Z22" s="84"/>
      <c r="AA22" s="84">
        <f>'S-Bills Summary'!AA22*'S-Rate Summary'!AA21</f>
        <v>0</v>
      </c>
      <c r="AB22" s="84"/>
      <c r="AC22" s="84">
        <f>'S-Bills Summary'!AC22*'S-Rate Summary'!AC21</f>
        <v>0</v>
      </c>
      <c r="AD22" s="84"/>
      <c r="AE22" s="84">
        <f>'S-Bills Summary'!AE22*'S-Rate Summary'!AE21</f>
        <v>2513.7599999999998</v>
      </c>
      <c r="AF22" s="68"/>
      <c r="AG22" s="92">
        <f t="shared" si="0"/>
        <v>131053.96</v>
      </c>
    </row>
    <row r="23" spans="1:33">
      <c r="A23" s="77" t="s">
        <v>71</v>
      </c>
      <c r="B23" s="77"/>
      <c r="C23" s="84">
        <f>'S-Bills Summary'!C23*'S-Rate Summary'!C22</f>
        <v>0</v>
      </c>
      <c r="D23" s="68"/>
      <c r="E23" s="84">
        <f>'S-Bills Summary'!E23*'S-Rate Summary'!E22</f>
        <v>0</v>
      </c>
      <c r="F23" s="68"/>
      <c r="G23" s="84">
        <f>'S-Bills Summary'!G23*'S-Rate Summary'!G22</f>
        <v>0</v>
      </c>
      <c r="H23" s="68"/>
      <c r="I23" s="84">
        <f>'S-Bills Summary'!I23*'S-Rate Summary'!I22</f>
        <v>10886.4</v>
      </c>
      <c r="J23" s="68"/>
      <c r="K23" s="84">
        <f>'S-Bills Summary'!K23*'S-Rate Summary'!K22</f>
        <v>0</v>
      </c>
      <c r="L23" s="84"/>
      <c r="M23" s="84">
        <f>'S-Bills Summary'!M23*'S-Rate Summary'!M22</f>
        <v>0</v>
      </c>
      <c r="N23" s="84"/>
      <c r="O23" s="84">
        <f>'S-Bills Summary'!O23*'S-Rate Summary'!O22</f>
        <v>0</v>
      </c>
      <c r="P23" s="84"/>
      <c r="Q23" s="84">
        <f>'S-Bills Summary'!Q23*'S-Rate Summary'!Q22</f>
        <v>0</v>
      </c>
      <c r="R23" s="84"/>
      <c r="S23" s="84">
        <f>'S-Bills Summary'!S23*'S-Rate Summary'!S22</f>
        <v>0</v>
      </c>
      <c r="T23" s="84"/>
      <c r="U23" s="84">
        <f>'S-Bills Summary'!U23*'S-Rate Summary'!U22</f>
        <v>27329.759999999998</v>
      </c>
      <c r="V23" s="84"/>
      <c r="W23" s="84">
        <f>'S-Bills Summary'!W23*'S-Rate Summary'!W22</f>
        <v>9308.16</v>
      </c>
      <c r="X23" s="84"/>
      <c r="Y23" s="84">
        <f>'S-Bills Summary'!Y23*'S-Rate Summary'!Y22</f>
        <v>0</v>
      </c>
      <c r="Z23" s="84"/>
      <c r="AA23" s="84">
        <f>'S-Bills Summary'!AA23*'S-Rate Summary'!AA22</f>
        <v>0</v>
      </c>
      <c r="AB23" s="84"/>
      <c r="AC23" s="84">
        <f>'S-Bills Summary'!AC23*'S-Rate Summary'!AC22</f>
        <v>0</v>
      </c>
      <c r="AD23" s="84"/>
      <c r="AE23" s="84">
        <f>'S-Bills Summary'!AE23*'S-Rate Summary'!AE22</f>
        <v>0</v>
      </c>
      <c r="AF23" s="68"/>
      <c r="AG23" s="92">
        <f t="shared" si="0"/>
        <v>47524.319999999992</v>
      </c>
    </row>
    <row r="24" spans="1:33">
      <c r="A24" s="77" t="s">
        <v>72</v>
      </c>
      <c r="B24" s="77"/>
      <c r="C24" s="84">
        <f>'S-Bills Summary'!C24*'S-Rate Summary'!C23</f>
        <v>0</v>
      </c>
      <c r="D24" s="68"/>
      <c r="E24" s="84">
        <f>'S-Bills Summary'!E24*'S-Rate Summary'!E23</f>
        <v>0</v>
      </c>
      <c r="F24" s="68"/>
      <c r="G24" s="84">
        <f>'S-Bills Summary'!G24*'S-Rate Summary'!G23</f>
        <v>16513.68</v>
      </c>
      <c r="H24" s="68"/>
      <c r="I24" s="84">
        <f>'S-Bills Summary'!I24*'S-Rate Summary'!I23</f>
        <v>0</v>
      </c>
      <c r="J24" s="68"/>
      <c r="K24" s="84">
        <f>'S-Bills Summary'!K24*'S-Rate Summary'!K23</f>
        <v>0</v>
      </c>
      <c r="L24" s="84"/>
      <c r="M24" s="84">
        <f>'S-Bills Summary'!M24*'S-Rate Summary'!M23</f>
        <v>0</v>
      </c>
      <c r="N24" s="84"/>
      <c r="O24" s="84">
        <f>'S-Bills Summary'!O24*'S-Rate Summary'!O23</f>
        <v>125988.23999999999</v>
      </c>
      <c r="P24" s="84"/>
      <c r="Q24" s="84">
        <f>'S-Bills Summary'!Q24*'S-Rate Summary'!Q23</f>
        <v>0</v>
      </c>
      <c r="R24" s="84"/>
      <c r="S24" s="84">
        <f>'S-Bills Summary'!S24*'S-Rate Summary'!S23</f>
        <v>52320</v>
      </c>
      <c r="T24" s="84"/>
      <c r="U24" s="84">
        <f>'S-Bills Summary'!U24*'S-Rate Summary'!U23</f>
        <v>17460.45</v>
      </c>
      <c r="V24" s="84"/>
      <c r="W24" s="84">
        <f>'S-Bills Summary'!W24*'S-Rate Summary'!W23</f>
        <v>40335.49</v>
      </c>
      <c r="X24" s="84"/>
      <c r="Y24" s="84">
        <f>'S-Bills Summary'!Y24*'S-Rate Summary'!Y23</f>
        <v>0</v>
      </c>
      <c r="Z24" s="84"/>
      <c r="AA24" s="84">
        <f>'S-Bills Summary'!AA24*'S-Rate Summary'!AA23</f>
        <v>0</v>
      </c>
      <c r="AB24" s="84"/>
      <c r="AC24" s="84">
        <f>'S-Bills Summary'!AC24*'S-Rate Summary'!AC23</f>
        <v>0</v>
      </c>
      <c r="AD24" s="84"/>
      <c r="AE24" s="84">
        <f>'S-Bills Summary'!AE24*'S-Rate Summary'!AE23</f>
        <v>0</v>
      </c>
      <c r="AF24" s="68"/>
      <c r="AG24" s="92">
        <f t="shared" si="0"/>
        <v>252617.86</v>
      </c>
    </row>
    <row r="25" spans="1:33">
      <c r="A25" s="77" t="s">
        <v>73</v>
      </c>
      <c r="B25" s="77"/>
      <c r="C25" s="84">
        <f>'S-Bills Summary'!C25*'S-Rate Summary'!C24</f>
        <v>0</v>
      </c>
      <c r="E25" s="84">
        <f>'S-Bills Summary'!E25*'S-Rate Summary'!E24</f>
        <v>0</v>
      </c>
      <c r="G25" s="84">
        <f>'S-Bills Summary'!G25*'S-Rate Summary'!G24</f>
        <v>0</v>
      </c>
      <c r="H25" s="68"/>
      <c r="I25" s="84">
        <f>'S-Bills Summary'!I25*'S-Rate Summary'!I24</f>
        <v>0</v>
      </c>
      <c r="K25" s="84">
        <f>'S-Bills Summary'!K25*'S-Rate Summary'!K24</f>
        <v>0</v>
      </c>
      <c r="L25" s="84"/>
      <c r="M25" s="84">
        <f>'S-Bills Summary'!M25*'S-Rate Summary'!M24</f>
        <v>50287.680000000008</v>
      </c>
      <c r="N25" s="84"/>
      <c r="O25" s="84">
        <f>'S-Bills Summary'!O25*'S-Rate Summary'!O24</f>
        <v>0</v>
      </c>
      <c r="P25" s="84"/>
      <c r="Q25" s="84">
        <f>'S-Bills Summary'!Q25*'S-Rate Summary'!Q24</f>
        <v>0</v>
      </c>
      <c r="R25" s="84"/>
      <c r="S25" s="84">
        <f>'S-Bills Summary'!S25*'S-Rate Summary'!S24</f>
        <v>0</v>
      </c>
      <c r="T25" s="84"/>
      <c r="U25" s="84">
        <f>'S-Bills Summary'!U25*'S-Rate Summary'!U24</f>
        <v>14575.800000000001</v>
      </c>
      <c r="V25" s="84"/>
      <c r="W25" s="84">
        <f>'S-Bills Summary'!W25*'S-Rate Summary'!W24</f>
        <v>0</v>
      </c>
      <c r="X25" s="84"/>
      <c r="Y25" s="84">
        <f>'S-Bills Summary'!Y25*'S-Rate Summary'!Y24</f>
        <v>0</v>
      </c>
      <c r="Z25" s="84"/>
      <c r="AA25" s="84">
        <f>'S-Bills Summary'!AA25*'S-Rate Summary'!AA24</f>
        <v>0</v>
      </c>
      <c r="AB25" s="84"/>
      <c r="AC25" s="84">
        <f>'S-Bills Summary'!AC25*'S-Rate Summary'!AC24</f>
        <v>0</v>
      </c>
      <c r="AD25" s="84"/>
      <c r="AE25" s="84">
        <f>'S-Bills Summary'!AE25*'S-Rate Summary'!AE24</f>
        <v>0</v>
      </c>
      <c r="AG25" s="92">
        <f t="shared" si="0"/>
        <v>64863.48000000001</v>
      </c>
    </row>
    <row r="26" spans="1:33">
      <c r="A26" s="77" t="s">
        <v>74</v>
      </c>
      <c r="B26" s="77"/>
      <c r="C26" s="84">
        <f>'S-Bills Summary'!C26*'S-Rate Summary'!C25</f>
        <v>0</v>
      </c>
      <c r="E26" s="84">
        <f>'S-Bills Summary'!E26*'S-Rate Summary'!E25</f>
        <v>0</v>
      </c>
      <c r="G26" s="84">
        <f>'S-Bills Summary'!G26*'S-Rate Summary'!G25</f>
        <v>0</v>
      </c>
      <c r="I26" s="84">
        <f>'S-Bills Summary'!I26*'S-Rate Summary'!I25</f>
        <v>0</v>
      </c>
      <c r="K26" s="84">
        <f>'S-Bills Summary'!K26*'S-Rate Summary'!K25</f>
        <v>0</v>
      </c>
      <c r="L26" s="84"/>
      <c r="M26" s="84">
        <f>'S-Bills Summary'!M26*'S-Rate Summary'!M25</f>
        <v>40485.96</v>
      </c>
      <c r="N26" s="84"/>
      <c r="O26" s="84">
        <f>'S-Bills Summary'!O26*'S-Rate Summary'!O25</f>
        <v>0</v>
      </c>
      <c r="P26" s="84"/>
      <c r="Q26" s="84">
        <f>'S-Bills Summary'!Q26*'S-Rate Summary'!Q25</f>
        <v>0</v>
      </c>
      <c r="R26" s="84"/>
      <c r="S26" s="84">
        <f>'S-Bills Summary'!S26*'S-Rate Summary'!S25</f>
        <v>0</v>
      </c>
      <c r="T26" s="84"/>
      <c r="U26" s="84">
        <f>'S-Bills Summary'!U26*'S-Rate Summary'!U25</f>
        <v>0</v>
      </c>
      <c r="V26" s="84"/>
      <c r="W26" s="84">
        <f>'S-Bills Summary'!W26*'S-Rate Summary'!W25</f>
        <v>0</v>
      </c>
      <c r="X26" s="84"/>
      <c r="Y26" s="84">
        <f>'S-Bills Summary'!Y26*'S-Rate Summary'!Y25</f>
        <v>0</v>
      </c>
      <c r="Z26" s="84"/>
      <c r="AA26" s="84">
        <f>'S-Bills Summary'!AA26*'S-Rate Summary'!AA25</f>
        <v>0</v>
      </c>
      <c r="AB26" s="84"/>
      <c r="AC26" s="84">
        <f>'S-Bills Summary'!AC26*'S-Rate Summary'!AC25</f>
        <v>0</v>
      </c>
      <c r="AD26" s="84"/>
      <c r="AE26" s="84">
        <f>'S-Bills Summary'!AE26*'S-Rate Summary'!AE25</f>
        <v>0</v>
      </c>
      <c r="AG26" s="92">
        <f t="shared" si="0"/>
        <v>40485.96</v>
      </c>
    </row>
    <row r="27" spans="1:33">
      <c r="A27" s="77"/>
      <c r="B27" s="77"/>
      <c r="C27" s="84"/>
      <c r="E27" s="84"/>
      <c r="G27" s="84"/>
      <c r="I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G27" s="92"/>
    </row>
    <row r="28" spans="1:33">
      <c r="A28" s="75" t="s">
        <v>134</v>
      </c>
      <c r="B28" s="77"/>
      <c r="C28" s="36"/>
      <c r="D28" s="77"/>
      <c r="E28" s="36"/>
      <c r="F28" s="77"/>
      <c r="G28" s="36"/>
      <c r="H28" s="77"/>
      <c r="I28" s="36"/>
      <c r="J28" s="77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>
        <f>'S-Bills Summary'!U29*'S-Rate Summary'!U29</f>
        <v>167073.84</v>
      </c>
      <c r="V28" s="84"/>
      <c r="W28" s="84">
        <f>'S-Bills Summary'!W29*'S-Rate Summary'!W29</f>
        <v>0</v>
      </c>
      <c r="X28" s="84"/>
      <c r="Y28" s="84">
        <f>'S-Bills Summary'!Y29*'S-Rate Summary'!Y29</f>
        <v>0</v>
      </c>
      <c r="Z28" s="84"/>
      <c r="AA28" s="84">
        <f>'S-Bills Summary'!AA29*'S-Rate Summary'!AA29</f>
        <v>0</v>
      </c>
      <c r="AB28" s="84"/>
      <c r="AC28" s="84">
        <f>'S-Bills Summary'!AC29*'S-Rate Summary'!AC29</f>
        <v>0</v>
      </c>
      <c r="AD28" s="84"/>
      <c r="AE28" s="84">
        <f>'S-Bills Summary'!AE29*'S-Rate Summary'!AE29</f>
        <v>0</v>
      </c>
      <c r="AG28" s="92">
        <f t="shared" si="0"/>
        <v>167073.84</v>
      </c>
    </row>
    <row r="29" spans="1:33">
      <c r="A29" s="77"/>
      <c r="B29" s="77"/>
      <c r="C29" s="85">
        <f>SUM(C17:C28)</f>
        <v>2646.96</v>
      </c>
      <c r="E29" s="85">
        <f>SUM(E17:E28)</f>
        <v>132549.67000000001</v>
      </c>
      <c r="G29" s="85">
        <f>SUM(G17:G28)</f>
        <v>17669.760000000002</v>
      </c>
      <c r="I29" s="85">
        <f>SUM(I17:I28)</f>
        <v>12966.42</v>
      </c>
      <c r="K29" s="85">
        <f>SUM(K17:K28)</f>
        <v>35757.589999999997</v>
      </c>
      <c r="M29" s="85">
        <f>SUM(M17:M28)</f>
        <v>109489.83000000002</v>
      </c>
      <c r="N29" s="68"/>
      <c r="O29" s="85">
        <f>SUM(O17:O28)</f>
        <v>277458.51</v>
      </c>
      <c r="Q29" s="85">
        <f>SUM(Q17:Q28)</f>
        <v>2915.6400000000003</v>
      </c>
      <c r="S29" s="85">
        <f>SUM(S17:S28)</f>
        <v>174748.79999999999</v>
      </c>
      <c r="U29" s="85">
        <f>SUM(U17:U28)</f>
        <v>561335.71</v>
      </c>
      <c r="V29" s="68"/>
      <c r="W29" s="85">
        <f>SUM(W17:W28)</f>
        <v>241144.28999999998</v>
      </c>
      <c r="Y29" s="85">
        <f>SUM(Y17:Y28)</f>
        <v>2848.6800000000003</v>
      </c>
      <c r="AA29" s="85">
        <f>SUM(AA17:AA28)</f>
        <v>0</v>
      </c>
      <c r="AC29" s="85">
        <f>SUM(AC17:AC28)</f>
        <v>1968</v>
      </c>
      <c r="AE29" s="85">
        <f>SUM(AE17:AE28)</f>
        <v>5262.7199999999993</v>
      </c>
      <c r="AG29" s="85">
        <f>SUM(AG17:AG28)</f>
        <v>1578762.5799999998</v>
      </c>
    </row>
    <row r="30" spans="1:33">
      <c r="B30" s="77"/>
      <c r="V30" s="68"/>
    </row>
    <row r="31" spans="1:33">
      <c r="A31" s="77" t="s">
        <v>174</v>
      </c>
      <c r="B31" s="77"/>
      <c r="C31" s="84">
        <f>'S-Usage Summary'!C10*'S-Rate Summary'!C27</f>
        <v>11359.62</v>
      </c>
      <c r="D31" s="77"/>
      <c r="E31" s="84">
        <f>+'S-Usage Summary'!F10*'S-Rate Summary'!E27</f>
        <v>274457.25</v>
      </c>
      <c r="F31" s="77"/>
      <c r="G31" s="84">
        <f>'S-Usage Summary'!I10*'S-Rate Summary'!G27</f>
        <v>69497.36</v>
      </c>
      <c r="H31" s="77"/>
      <c r="I31" s="84">
        <f>'S-Usage Summary'!L10*'S-Rate Summary'!I27</f>
        <v>16486.239999999998</v>
      </c>
      <c r="J31" s="77"/>
      <c r="K31" s="84">
        <f>'S-Usage Summary'!O10*'S-Rate Summary'!K27</f>
        <v>68874.819999999992</v>
      </c>
      <c r="L31" s="77"/>
      <c r="M31" s="84">
        <f>'S-Usage Summary'!R10*'S-Rate Summary'!M27</f>
        <v>103167.9</v>
      </c>
      <c r="N31" s="77"/>
      <c r="O31" s="84">
        <f>'S-Usage Summary'!U10*'S-Rate Summary'!O27</f>
        <v>740724</v>
      </c>
      <c r="P31" s="77"/>
      <c r="Q31" s="84">
        <f>'S-Usage Summary'!X10*'S-Rate Summary'!Q27</f>
        <v>11490.83</v>
      </c>
      <c r="R31" s="77"/>
      <c r="S31" s="84">
        <f>'S-Usage Summary'!AA10*'S-Rate Summary'!S27</f>
        <v>320277.54000000004</v>
      </c>
      <c r="T31" s="77"/>
      <c r="U31" s="84">
        <f>'S-Usage Summary'!AD10*'S-Rate Summary'!U27</f>
        <v>579835.18000000005</v>
      </c>
      <c r="V31" s="77"/>
      <c r="W31" s="84">
        <f>'S-Usage Summary'!AG10*'S-Rate Summary'!W27</f>
        <v>204503.92</v>
      </c>
      <c r="X31" s="77"/>
      <c r="Y31" s="84">
        <f>'S-Usage Summary'!AJ10*'S-Rate Summary'!Y27</f>
        <v>13894.51</v>
      </c>
      <c r="Z31" s="77"/>
      <c r="AA31" s="84">
        <f>'S-Usage Summary'!AL10*'S-Rate Summary'!AA27</f>
        <v>0</v>
      </c>
      <c r="AB31" s="77"/>
      <c r="AC31" s="84">
        <f>'S-Usage Summary'!AP10*'S-Rate Summary'!AC27</f>
        <v>11503.980000000001</v>
      </c>
      <c r="AD31" s="77"/>
      <c r="AE31" s="84">
        <f>'S-Usage Summary'!AS10*'S-Rate Summary'!AE27</f>
        <v>34586.74</v>
      </c>
      <c r="AF31" s="77"/>
      <c r="AG31" s="92">
        <f t="shared" ref="AG31" si="1">SUM(C31:AE31)</f>
        <v>2460659.89</v>
      </c>
    </row>
    <row r="32" spans="1:33">
      <c r="B32" s="77"/>
      <c r="C32" s="36"/>
      <c r="D32" s="77"/>
      <c r="E32" s="52"/>
      <c r="F32" s="77"/>
      <c r="G32" s="52"/>
      <c r="H32" s="77"/>
      <c r="I32" s="36"/>
      <c r="J32" s="77"/>
      <c r="K32" s="52"/>
      <c r="L32" s="77"/>
      <c r="M32" s="52"/>
      <c r="N32" s="77"/>
      <c r="O32" s="52"/>
      <c r="P32" s="77"/>
      <c r="Q32" s="52"/>
      <c r="R32" s="36"/>
      <c r="S32" s="52"/>
      <c r="T32" s="77"/>
      <c r="U32" s="52"/>
      <c r="V32" s="68"/>
      <c r="W32" s="52"/>
      <c r="X32" s="77"/>
      <c r="Y32" s="52"/>
      <c r="Z32" s="77"/>
      <c r="AA32" s="52"/>
      <c r="AB32" s="77"/>
      <c r="AC32" s="52"/>
      <c r="AD32" s="77"/>
      <c r="AE32" s="52"/>
      <c r="AF32" s="77"/>
      <c r="AG32" s="70"/>
    </row>
    <row r="33" spans="1:39">
      <c r="AF33" s="77"/>
      <c r="AG33" s="70"/>
    </row>
    <row r="34" spans="1:39">
      <c r="B34" s="77"/>
      <c r="V34" s="68"/>
    </row>
    <row r="35" spans="1:39">
      <c r="A35" s="64" t="s">
        <v>128</v>
      </c>
    </row>
    <row r="36" spans="1:39">
      <c r="A36" s="77" t="s">
        <v>129</v>
      </c>
      <c r="C36" s="84"/>
      <c r="D36" s="84"/>
      <c r="E36" s="84"/>
      <c r="F36" s="84"/>
      <c r="G36" s="84"/>
      <c r="H36" s="84"/>
      <c r="I36" s="84">
        <f>+'S-Bills Summary'!I32*'S-Rate Summary'!I32</f>
        <v>4870.08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Y36" s="84"/>
      <c r="AA36" s="84"/>
      <c r="AC36" s="84"/>
      <c r="AE36" s="84"/>
      <c r="AG36" s="92">
        <f t="shared" ref="AG36" si="2">SUM(C36:AE36)</f>
        <v>4870.08</v>
      </c>
    </row>
    <row r="37" spans="1:39"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Y37" s="84"/>
      <c r="AA37" s="84"/>
      <c r="AC37" s="84"/>
      <c r="AE37" s="84"/>
    </row>
    <row r="38" spans="1:39">
      <c r="A38" s="77" t="s">
        <v>130</v>
      </c>
      <c r="C38" s="84"/>
      <c r="D38" s="84"/>
      <c r="E38" s="84"/>
      <c r="F38" s="84"/>
      <c r="G38" s="84"/>
      <c r="H38" s="84"/>
      <c r="I38" s="84">
        <f>'S-Usage Summary'!L13*'S-Rate Summary'!I33</f>
        <v>10625.099999999999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Y38" s="84"/>
      <c r="AA38" s="84"/>
      <c r="AC38" s="84"/>
      <c r="AE38" s="84"/>
      <c r="AG38" s="92">
        <f t="shared" ref="AG38" si="3">SUM(C38:AE38)</f>
        <v>10625.099999999999</v>
      </c>
    </row>
    <row r="39" spans="1:39"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Y39" s="84"/>
      <c r="AA39" s="84"/>
      <c r="AC39" s="84"/>
      <c r="AE39" s="84"/>
    </row>
    <row r="40" spans="1:39">
      <c r="A40" s="64" t="s">
        <v>131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Y40" s="84"/>
      <c r="AA40" s="84"/>
      <c r="AC40" s="84"/>
      <c r="AE40" s="84"/>
    </row>
    <row r="41" spans="1:39">
      <c r="A41" s="77" t="s">
        <v>129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>
        <f>'S-Bills Summary'!M35*'S-Rate Summary'!M36</f>
        <v>51505.02</v>
      </c>
      <c r="N41" s="84"/>
      <c r="O41" s="84"/>
      <c r="P41" s="84"/>
      <c r="Q41" s="84"/>
      <c r="R41" s="84"/>
      <c r="S41" s="84"/>
      <c r="T41" s="84"/>
      <c r="U41" s="84">
        <f>'S-Bills Summary'!U35*'S-Rate Summary'!U36</f>
        <v>5766.9000000000005</v>
      </c>
      <c r="V41" s="84"/>
      <c r="W41" s="84"/>
      <c r="Y41" s="84"/>
      <c r="AA41" s="84"/>
      <c r="AC41" s="84"/>
      <c r="AE41" s="84"/>
      <c r="AG41" s="92">
        <f t="shared" ref="AG41" si="4">SUM(C41:AE41)</f>
        <v>57271.92</v>
      </c>
    </row>
    <row r="42" spans="1:39"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Y42" s="84"/>
      <c r="AA42" s="84"/>
      <c r="AC42" s="84"/>
      <c r="AE42" s="84"/>
    </row>
    <row r="43" spans="1:39">
      <c r="A43" s="77" t="s">
        <v>130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>
        <f>'S-Usage Summary'!R16*'S-Rate Summary'!M37</f>
        <v>116498.8</v>
      </c>
      <c r="N43" s="84"/>
      <c r="O43" s="84"/>
      <c r="P43" s="84"/>
      <c r="Q43" s="84"/>
      <c r="R43" s="84"/>
      <c r="S43" s="84"/>
      <c r="T43" s="84"/>
      <c r="U43" s="84">
        <f>'S-Usage Summary'!AD16*'S-Rate Summary'!U37</f>
        <v>12379.33</v>
      </c>
      <c r="V43" s="84"/>
      <c r="W43" s="84"/>
      <c r="Y43" s="84"/>
      <c r="AA43" s="84"/>
      <c r="AC43" s="84"/>
      <c r="AE43" s="84"/>
      <c r="AG43" s="92">
        <f t="shared" ref="AG43" si="5">SUM(C43:AE43)</f>
        <v>128878.13</v>
      </c>
    </row>
    <row r="44" spans="1:39"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Y44" s="84"/>
      <c r="AA44" s="84"/>
      <c r="AC44" s="84"/>
      <c r="AE44" s="84"/>
    </row>
    <row r="45" spans="1:39">
      <c r="A45" s="99" t="s">
        <v>286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Y45" s="84"/>
      <c r="AA45" s="84"/>
      <c r="AC45" s="84"/>
      <c r="AE45" s="84"/>
      <c r="AK45" s="94" t="s">
        <v>181</v>
      </c>
      <c r="AM45" s="94" t="s">
        <v>182</v>
      </c>
    </row>
    <row r="46" spans="1:39">
      <c r="A46" s="77" t="s">
        <v>175</v>
      </c>
      <c r="C46" s="84">
        <f>+C11+C29+C36+C41</f>
        <v>375564.96</v>
      </c>
      <c r="D46" s="84"/>
      <c r="E46" s="84">
        <f>+E11+E29+E36+E41</f>
        <v>648481.67000000004</v>
      </c>
      <c r="F46" s="84"/>
      <c r="G46" s="84">
        <f>+G11+G29+G36+G41</f>
        <v>307478.07</v>
      </c>
      <c r="H46" s="84"/>
      <c r="I46" s="84">
        <f>+I11+I29+I36+I41</f>
        <v>34056.42</v>
      </c>
      <c r="J46" s="84"/>
      <c r="K46" s="84">
        <f>+K11+K29+K36+K41</f>
        <v>730246.73</v>
      </c>
      <c r="L46" s="84"/>
      <c r="M46" s="84">
        <f>+M11+M29+M36+M41</f>
        <v>1066453.82</v>
      </c>
      <c r="N46" s="84"/>
      <c r="O46" s="84">
        <f>+O11+O29+O36+O41</f>
        <v>680068.27</v>
      </c>
      <c r="P46" s="84"/>
      <c r="Q46" s="84">
        <f>+Q11+Q29+Q36+Q41</f>
        <v>217046.22</v>
      </c>
      <c r="R46" s="84"/>
      <c r="S46" s="84">
        <f>+S11+S29+S36+S41</f>
        <v>590387.6</v>
      </c>
      <c r="T46" s="84"/>
      <c r="U46" s="84">
        <f>+U11+U29+U36+U41</f>
        <v>2181304.0699999998</v>
      </c>
      <c r="V46" s="84"/>
      <c r="W46" s="84">
        <f>+W11+W29+W36+W41</f>
        <v>791708.39999999991</v>
      </c>
      <c r="Y46" s="84">
        <f>+Y11+Y29+Y36+Y41</f>
        <v>29007.72</v>
      </c>
      <c r="AA46" s="84">
        <f>+AA11+AA29+AA36+AA41</f>
        <v>19537.920000000002</v>
      </c>
      <c r="AC46" s="84">
        <f>+AC11+AC29+AC36+AC41</f>
        <v>179596.32</v>
      </c>
      <c r="AE46" s="84">
        <f>+AE11+AE29+AE36+AE41</f>
        <v>223813.36</v>
      </c>
      <c r="AG46" s="84">
        <f>+AG11+AG29+AG36+AG41</f>
        <v>8074751.5500000007</v>
      </c>
      <c r="AI46" s="93">
        <f>AG46/AG48</f>
        <v>0.51841194455713924</v>
      </c>
      <c r="AK46" s="84">
        <f>AK48*AI46</f>
        <v>10251823.268049145</v>
      </c>
      <c r="AM46" s="93">
        <f>+AK46/AG46-1</f>
        <v>0.26961470016364086</v>
      </c>
    </row>
    <row r="47" spans="1:39">
      <c r="A47" s="77" t="s">
        <v>176</v>
      </c>
      <c r="C47" s="84">
        <f>+C13+C31+C38+C43</f>
        <v>282127.14</v>
      </c>
      <c r="D47" s="84"/>
      <c r="E47" s="84">
        <f>+E13+E31+E38+E43</f>
        <v>513948.68999999994</v>
      </c>
      <c r="F47" s="84"/>
      <c r="G47" s="84">
        <f>+G13+G31+G38+G43</f>
        <v>330969.47000000003</v>
      </c>
      <c r="H47" s="84"/>
      <c r="I47" s="84">
        <f>+I13+I31+I38+I43</f>
        <v>38424.009999999995</v>
      </c>
      <c r="J47" s="84"/>
      <c r="K47" s="84">
        <f>+K13+K31+K38+K43</f>
        <v>68874.819999999992</v>
      </c>
      <c r="L47" s="84"/>
      <c r="M47" s="84">
        <f>+M13+M31+M38+M43</f>
        <v>1230175.6300000001</v>
      </c>
      <c r="N47" s="84"/>
      <c r="O47" s="84">
        <f>+O13+O31+O38+O43</f>
        <v>1107826.53</v>
      </c>
      <c r="P47" s="84"/>
      <c r="Q47" s="84">
        <f>+Q13+Q31+Q38+Q43</f>
        <v>299635.05000000005</v>
      </c>
      <c r="R47" s="84"/>
      <c r="S47" s="84">
        <f>+S13+S31+S38+S43</f>
        <v>603087.48</v>
      </c>
      <c r="T47" s="84"/>
      <c r="U47" s="84">
        <f>+U13+U31+U38+U43</f>
        <v>1882474.04</v>
      </c>
      <c r="V47" s="84"/>
      <c r="W47" s="84">
        <f>+W13+W31+W38+W43</f>
        <v>204503.92</v>
      </c>
      <c r="Y47" s="84">
        <f>+Y13+Y31+Y38+Y43</f>
        <v>18976.150000000001</v>
      </c>
      <c r="AA47" s="84">
        <f>+AA13+AA31+AA38+AA43</f>
        <v>25076.38</v>
      </c>
      <c r="AC47" s="84">
        <f>+AC13+AC31+AC38+AC43</f>
        <v>282361.37</v>
      </c>
      <c r="AE47" s="84">
        <f>+AE13+AE31+AE38+AE43</f>
        <v>612724.30999999994</v>
      </c>
      <c r="AG47" s="84">
        <f>+AG13+AG31+AG38+AG43</f>
        <v>7501184.9900000012</v>
      </c>
      <c r="AI47" s="93">
        <f>+AG47/AG48</f>
        <v>0.48158805544286071</v>
      </c>
      <c r="AK47" s="84">
        <f>+AK48-AK46</f>
        <v>9523614.7319508549</v>
      </c>
      <c r="AM47" s="93">
        <f>+AK47/AG47-1</f>
        <v>0.26961470016364086</v>
      </c>
    </row>
    <row r="48" spans="1:39">
      <c r="A48" s="77" t="s">
        <v>177</v>
      </c>
      <c r="C48" s="85">
        <f>SUM(C46:C47)</f>
        <v>657692.10000000009</v>
      </c>
      <c r="D48" s="84"/>
      <c r="E48" s="85">
        <f>SUM(E46:E47)</f>
        <v>1162430.3599999999</v>
      </c>
      <c r="F48" s="84"/>
      <c r="G48" s="85">
        <f>SUM(G46:G47)</f>
        <v>638447.54</v>
      </c>
      <c r="H48" s="84"/>
      <c r="I48" s="85">
        <f>SUM(I46:I47)</f>
        <v>72480.429999999993</v>
      </c>
      <c r="J48" s="84"/>
      <c r="K48" s="85">
        <f>SUM(K46:K47)</f>
        <v>799121.54999999993</v>
      </c>
      <c r="L48" s="84"/>
      <c r="M48" s="85">
        <f>SUM(M46:M47)</f>
        <v>2296629.4500000002</v>
      </c>
      <c r="N48" s="84"/>
      <c r="O48" s="85">
        <f>SUM(O46:O47)</f>
        <v>1787894.8</v>
      </c>
      <c r="P48" s="84"/>
      <c r="Q48" s="85">
        <f>SUM(Q46:Q47)</f>
        <v>516681.27</v>
      </c>
      <c r="R48" s="84"/>
      <c r="S48" s="85">
        <f>SUM(S46:S47)</f>
        <v>1193475.08</v>
      </c>
      <c r="T48" s="84"/>
      <c r="U48" s="85">
        <f>SUM(U46:U47)</f>
        <v>4063778.11</v>
      </c>
      <c r="V48" s="84"/>
      <c r="W48" s="85">
        <f>SUM(W46:W47)</f>
        <v>996212.32</v>
      </c>
      <c r="Y48" s="85">
        <f>SUM(Y46:Y47)</f>
        <v>47983.87</v>
      </c>
      <c r="AA48" s="85">
        <f>SUM(AA46:AA47)</f>
        <v>44614.3</v>
      </c>
      <c r="AC48" s="85">
        <f>SUM(AC46:AC47)</f>
        <v>461957.69</v>
      </c>
      <c r="AE48" s="85">
        <f>SUM(AE46:AE47)</f>
        <v>836537.66999999993</v>
      </c>
      <c r="AG48" s="85">
        <f>SUM(AG46:AG47)</f>
        <v>15575936.540000003</v>
      </c>
      <c r="AK48" s="85">
        <f>+AK56</f>
        <v>19775438</v>
      </c>
      <c r="AM48" s="159"/>
    </row>
    <row r="49" spans="1:39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Y49" s="84"/>
      <c r="AA49" s="84"/>
      <c r="AC49" s="84"/>
      <c r="AE49" s="84"/>
    </row>
    <row r="50" spans="1:39">
      <c r="A50" s="77" t="s">
        <v>178</v>
      </c>
      <c r="C50" s="138">
        <v>660639</v>
      </c>
      <c r="D50" s="84"/>
      <c r="E50" s="138">
        <v>1164165</v>
      </c>
      <c r="F50" s="84"/>
      <c r="G50" s="138">
        <v>639372</v>
      </c>
      <c r="H50" s="84"/>
      <c r="I50" s="138">
        <v>72690</v>
      </c>
      <c r="J50" s="84"/>
      <c r="K50" s="138">
        <v>808813</v>
      </c>
      <c r="L50" s="84"/>
      <c r="M50" s="138">
        <v>2305689</v>
      </c>
      <c r="N50" s="84"/>
      <c r="O50" s="138">
        <v>1790020</v>
      </c>
      <c r="P50" s="84"/>
      <c r="Q50" s="138">
        <v>518122</v>
      </c>
      <c r="R50" s="84"/>
      <c r="S50" s="138">
        <v>1196788</v>
      </c>
      <c r="T50" s="84"/>
      <c r="U50" s="138">
        <v>4075541</v>
      </c>
      <c r="V50" s="84"/>
      <c r="W50" s="138">
        <v>996212</v>
      </c>
      <c r="Y50" s="138">
        <v>48279</v>
      </c>
      <c r="AA50" s="138">
        <v>44614</v>
      </c>
      <c r="AC50" s="138">
        <f>508738-AA50</f>
        <v>464124</v>
      </c>
      <c r="AE50" s="84">
        <v>840136</v>
      </c>
      <c r="AG50" s="92">
        <f t="shared" ref="AG50:AG51" si="6">SUM(C50:AE50)</f>
        <v>15625204</v>
      </c>
      <c r="AK50" s="158" t="e">
        <f>+#REF!</f>
        <v>#REF!</v>
      </c>
    </row>
    <row r="51" spans="1:39">
      <c r="A51" s="77" t="s">
        <v>179</v>
      </c>
      <c r="C51" s="84">
        <f>4639-1693</f>
        <v>2946</v>
      </c>
      <c r="D51" s="84"/>
      <c r="E51" s="84">
        <f>1737-2</f>
        <v>1735</v>
      </c>
      <c r="F51" s="84"/>
      <c r="G51" s="84">
        <v>924</v>
      </c>
      <c r="H51" s="84"/>
      <c r="I51" s="84">
        <v>210</v>
      </c>
      <c r="J51" s="84"/>
      <c r="K51" s="84">
        <f>9691</f>
        <v>9691</v>
      </c>
      <c r="L51" s="84"/>
      <c r="M51" s="84">
        <v>9074</v>
      </c>
      <c r="N51" s="84"/>
      <c r="O51" s="84">
        <v>2125</v>
      </c>
      <c r="P51" s="84"/>
      <c r="Q51" s="84">
        <v>1440</v>
      </c>
      <c r="R51" s="84"/>
      <c r="S51" s="84">
        <v>3313</v>
      </c>
      <c r="T51" s="84"/>
      <c r="U51" s="84">
        <v>11763</v>
      </c>
      <c r="V51" s="84"/>
      <c r="W51" s="84">
        <v>0</v>
      </c>
      <c r="Y51" s="84">
        <f>11+284</f>
        <v>295</v>
      </c>
      <c r="AA51" s="84"/>
      <c r="AC51" s="84">
        <v>2166</v>
      </c>
      <c r="AE51" s="84">
        <v>3600</v>
      </c>
      <c r="AG51" s="92">
        <f t="shared" si="6"/>
        <v>49282</v>
      </c>
      <c r="AM51" s="160"/>
    </row>
    <row r="52" spans="1:39">
      <c r="A52" s="258" t="s">
        <v>285</v>
      </c>
      <c r="C52" s="85">
        <f>+C50-C51</f>
        <v>657693</v>
      </c>
      <c r="D52" s="84"/>
      <c r="E52" s="85">
        <f>+E50-E51</f>
        <v>1162430</v>
      </c>
      <c r="F52" s="84"/>
      <c r="G52" s="85">
        <f>+G50-G51</f>
        <v>638448</v>
      </c>
      <c r="H52" s="84"/>
      <c r="I52" s="85">
        <f>+I50-I51</f>
        <v>72480</v>
      </c>
      <c r="J52" s="84"/>
      <c r="K52" s="85">
        <f>+K50-K51</f>
        <v>799122</v>
      </c>
      <c r="L52" s="84"/>
      <c r="M52" s="85">
        <f>+M50-M51</f>
        <v>2296615</v>
      </c>
      <c r="N52" s="84"/>
      <c r="O52" s="85">
        <f>+O50-O51</f>
        <v>1787895</v>
      </c>
      <c r="P52" s="84"/>
      <c r="Q52" s="85">
        <f>+Q50-Q51</f>
        <v>516682</v>
      </c>
      <c r="R52" s="84"/>
      <c r="S52" s="85">
        <f>+S50-S51</f>
        <v>1193475</v>
      </c>
      <c r="T52" s="84"/>
      <c r="U52" s="85">
        <f>+U50-U51</f>
        <v>4063778</v>
      </c>
      <c r="V52" s="84"/>
      <c r="W52" s="85">
        <f>+W50-W51</f>
        <v>996212</v>
      </c>
      <c r="Y52" s="85">
        <f>+Y50-Y51</f>
        <v>47984</v>
      </c>
      <c r="AA52" s="85">
        <f>+AA50-AA51</f>
        <v>44614</v>
      </c>
      <c r="AC52" s="85">
        <f>+AC50-AC51</f>
        <v>461958</v>
      </c>
      <c r="AE52" s="85">
        <f>+AE50-AE51</f>
        <v>836536</v>
      </c>
      <c r="AG52" s="85">
        <f>+AG50-AG51</f>
        <v>15575922</v>
      </c>
    </row>
    <row r="53" spans="1:39"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AK53" s="242"/>
    </row>
    <row r="54" spans="1:39">
      <c r="C54" s="84">
        <f>+C48-C52</f>
        <v>-0.89999999990686774</v>
      </c>
      <c r="D54" s="84"/>
      <c r="E54" s="84">
        <f>+E48-E52</f>
        <v>0.35999999986961484</v>
      </c>
      <c r="F54" s="84"/>
      <c r="G54" s="84">
        <f>+G48-G52</f>
        <v>-0.4599999999627471</v>
      </c>
      <c r="H54" s="84"/>
      <c r="I54" s="84">
        <f>+I48-I52</f>
        <v>0.42999999999301508</v>
      </c>
      <c r="J54" s="84"/>
      <c r="K54" s="84">
        <f>+K48-K52</f>
        <v>-0.45000000006984919</v>
      </c>
      <c r="L54" s="84"/>
      <c r="M54" s="84">
        <f>+M48-M52</f>
        <v>14.450000000186265</v>
      </c>
      <c r="N54" s="84"/>
      <c r="O54" s="84">
        <f>+O48-O52</f>
        <v>-0.19999999995343387</v>
      </c>
      <c r="P54" s="84"/>
      <c r="Q54" s="84">
        <f>+Q48-Q52</f>
        <v>-0.72999999998137355</v>
      </c>
      <c r="R54" s="84"/>
      <c r="S54" s="84">
        <f>+S48-S52</f>
        <v>8.0000000074505806E-2</v>
      </c>
      <c r="T54" s="84"/>
      <c r="U54" s="84">
        <f>+U48-U52</f>
        <v>0.10999999986961484</v>
      </c>
      <c r="V54" s="84"/>
      <c r="W54" s="84">
        <f>+W48-W52</f>
        <v>0.31999999994877726</v>
      </c>
      <c r="Y54" s="84">
        <f>+Y48-Y52</f>
        <v>-0.12999999999738066</v>
      </c>
      <c r="AA54" s="84">
        <f>+AA48-AA52</f>
        <v>0.30000000000291038</v>
      </c>
      <c r="AC54" s="84">
        <f>+AC48-AC52</f>
        <v>-0.30999999999767169</v>
      </c>
      <c r="AE54" s="84">
        <f>+AE48-AE52</f>
        <v>1.6699999999254942</v>
      </c>
      <c r="AK54" s="86">
        <v>19824720</v>
      </c>
    </row>
    <row r="55" spans="1:39"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AK55" s="241">
        <f>-AG51</f>
        <v>-49282</v>
      </c>
    </row>
    <row r="56" spans="1:39">
      <c r="AK56" s="85">
        <f>+AK54+AK55</f>
        <v>19775438</v>
      </c>
    </row>
  </sheetData>
  <printOptions horizontalCentered="1"/>
  <pageMargins left="0.2" right="0.2" top="0.75" bottom="0.2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opLeftCell="B1" zoomScaleNormal="100" workbookViewId="0">
      <selection activeCell="M51" sqref="M51"/>
    </sheetView>
  </sheetViews>
  <sheetFormatPr defaultRowHeight="15"/>
  <cols>
    <col min="1" max="1" width="16.42578125" style="64" customWidth="1"/>
    <col min="2" max="2" width="2.7109375" style="64" customWidth="1"/>
    <col min="3" max="3" width="8.7109375" style="64" bestFit="1" customWidth="1"/>
    <col min="4" max="4" width="2.7109375" style="64" customWidth="1"/>
    <col min="5" max="5" width="9.42578125" style="64" bestFit="1" customWidth="1"/>
    <col min="6" max="6" width="2.7109375" style="64" customWidth="1"/>
    <col min="7" max="7" width="8.7109375" style="64" bestFit="1" customWidth="1"/>
    <col min="8" max="8" width="2.7109375" style="64" customWidth="1"/>
    <col min="9" max="9" width="8.5703125" style="64" bestFit="1" customWidth="1"/>
    <col min="10" max="10" width="2.7109375" style="64" customWidth="1"/>
    <col min="11" max="11" width="8.5703125" style="64" bestFit="1" customWidth="1"/>
    <col min="12" max="12" width="2.7109375" style="64" customWidth="1"/>
    <col min="13" max="13" width="7.85546875" style="64" bestFit="1" customWidth="1"/>
    <col min="14" max="14" width="2.7109375" style="64" customWidth="1"/>
    <col min="15" max="15" width="8" style="64" bestFit="1" customWidth="1"/>
    <col min="16" max="16" width="2.7109375" style="64" customWidth="1"/>
    <col min="17" max="17" width="9.5703125" style="64" bestFit="1" customWidth="1"/>
    <col min="18" max="18" width="2.7109375" style="64" customWidth="1"/>
    <col min="19" max="19" width="10.140625" style="64" bestFit="1" customWidth="1"/>
    <col min="20" max="20" width="2.7109375" style="64" customWidth="1"/>
    <col min="21" max="21" width="9.140625" style="64"/>
    <col min="22" max="22" width="2.7109375" style="64" customWidth="1"/>
    <col min="23" max="23" width="8.42578125" style="64" bestFit="1" customWidth="1"/>
    <col min="24" max="24" width="2.7109375" style="64" customWidth="1"/>
    <col min="25" max="25" width="7.85546875" style="64" bestFit="1" customWidth="1"/>
    <col min="26" max="26" width="2.7109375" style="64" customWidth="1"/>
    <col min="27" max="27" width="10.140625" style="64" bestFit="1" customWidth="1"/>
    <col min="28" max="28" width="2.7109375" style="64" customWidth="1"/>
    <col min="29" max="29" width="9.85546875" style="64" bestFit="1" customWidth="1"/>
    <col min="30" max="30" width="2.7109375" style="64" customWidth="1"/>
    <col min="31" max="31" width="9.42578125" style="64" bestFit="1" customWidth="1"/>
    <col min="32" max="32" width="2.7109375" style="64" customWidth="1"/>
    <col min="33" max="33" width="10.85546875" style="64" bestFit="1" customWidth="1"/>
    <col min="34" max="34" width="2.7109375" style="64" customWidth="1"/>
    <col min="35" max="35" width="11" style="64" bestFit="1" customWidth="1"/>
    <col min="36" max="16384" width="9.140625" style="64"/>
  </cols>
  <sheetData>
    <row r="1" spans="1:35" ht="18.75">
      <c r="A1" s="63" t="s">
        <v>183</v>
      </c>
      <c r="AI1" s="163" t="str">
        <f>+'Sewer Rate Design'!$K$1</f>
        <v>Docket No. 160101 -WS</v>
      </c>
    </row>
    <row r="2" spans="1:35">
      <c r="A2" s="64" t="s">
        <v>168</v>
      </c>
      <c r="AI2" s="163" t="str">
        <f>+'Sewer Rate Design'!$K$2</f>
        <v>Exhibit JFG-Rate Design</v>
      </c>
    </row>
    <row r="3" spans="1:35">
      <c r="AI3" s="163" t="s">
        <v>282</v>
      </c>
    </row>
    <row r="4" spans="1:35">
      <c r="E4" s="80"/>
      <c r="I4" s="65"/>
      <c r="O4" s="155" t="s">
        <v>143</v>
      </c>
      <c r="W4" s="155" t="s">
        <v>143</v>
      </c>
      <c r="Y4" s="65"/>
      <c r="AA4" s="65"/>
      <c r="AC4" s="65"/>
    </row>
    <row r="5" spans="1:35">
      <c r="A5" s="64" t="s">
        <v>104</v>
      </c>
      <c r="C5" s="65" t="s">
        <v>105</v>
      </c>
      <c r="E5" s="65" t="s">
        <v>169</v>
      </c>
      <c r="G5" s="64" t="s">
        <v>106</v>
      </c>
      <c r="I5" s="65" t="s">
        <v>171</v>
      </c>
      <c r="K5" s="64" t="s">
        <v>141</v>
      </c>
      <c r="M5" s="65" t="s">
        <v>108</v>
      </c>
      <c r="N5" s="65"/>
      <c r="O5" s="65" t="s">
        <v>132</v>
      </c>
      <c r="Q5" s="64" t="s">
        <v>138</v>
      </c>
      <c r="S5" s="64" t="s">
        <v>139</v>
      </c>
      <c r="U5" s="65" t="s">
        <v>109</v>
      </c>
      <c r="W5" s="65" t="s">
        <v>170</v>
      </c>
      <c r="Y5" s="65" t="s">
        <v>110</v>
      </c>
      <c r="AA5" s="65" t="s">
        <v>111</v>
      </c>
      <c r="AC5" s="65" t="s">
        <v>140</v>
      </c>
      <c r="AE5" s="64" t="s">
        <v>112</v>
      </c>
      <c r="AG5" s="122" t="s">
        <v>207</v>
      </c>
      <c r="AI5" s="90" t="s">
        <v>207</v>
      </c>
    </row>
    <row r="6" spans="1:35">
      <c r="A6" s="77" t="s">
        <v>113</v>
      </c>
      <c r="C6" s="82">
        <v>1</v>
      </c>
      <c r="E6" s="82">
        <f>+C6+1</f>
        <v>2</v>
      </c>
      <c r="G6" s="82">
        <f>+E6+1</f>
        <v>3</v>
      </c>
      <c r="I6" s="82">
        <f>+G6+1</f>
        <v>4</v>
      </c>
      <c r="K6" s="82">
        <f>+I6+1</f>
        <v>5</v>
      </c>
      <c r="M6" s="82">
        <f>+K6+1</f>
        <v>6</v>
      </c>
      <c r="N6" s="65"/>
      <c r="O6" s="82">
        <f>+M6+1</f>
        <v>7</v>
      </c>
      <c r="Q6" s="82">
        <f>+O6+1</f>
        <v>8</v>
      </c>
      <c r="R6" s="65"/>
      <c r="S6" s="82">
        <f>+Q6+1</f>
        <v>9</v>
      </c>
      <c r="U6" s="82">
        <f>+S6+1</f>
        <v>10</v>
      </c>
      <c r="W6" s="82">
        <f>+U6+1</f>
        <v>11</v>
      </c>
      <c r="Y6" s="82">
        <f>+W6+1</f>
        <v>12</v>
      </c>
      <c r="AA6" s="82">
        <f>+Y6+1</f>
        <v>13</v>
      </c>
      <c r="AC6" s="82">
        <f>+AA6+1</f>
        <v>14</v>
      </c>
      <c r="AE6" s="82">
        <f>+AC6+1</f>
        <v>15</v>
      </c>
      <c r="AG6" s="121" t="s">
        <v>215</v>
      </c>
      <c r="AI6" s="121" t="s">
        <v>125</v>
      </c>
    </row>
    <row r="7" spans="1:35">
      <c r="A7" s="77" t="s">
        <v>114</v>
      </c>
      <c r="C7" s="80">
        <v>17758</v>
      </c>
      <c r="D7" s="79"/>
      <c r="E7" s="80">
        <v>9172</v>
      </c>
      <c r="F7" s="80"/>
      <c r="G7" s="80"/>
      <c r="H7" s="80"/>
      <c r="I7" s="80"/>
      <c r="J7" s="80"/>
      <c r="K7" s="80"/>
      <c r="L7" s="80"/>
      <c r="M7" s="80">
        <v>38911</v>
      </c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G7" s="120">
        <f>+C7+E7+G7+I7+K7+M7+Q7+S7+U7+Y7+AA7+AC7+AE7</f>
        <v>65841</v>
      </c>
      <c r="AI7" s="109">
        <f>+O7+W7</f>
        <v>0</v>
      </c>
    </row>
    <row r="8" spans="1:35">
      <c r="A8" s="77" t="s">
        <v>116</v>
      </c>
      <c r="E8" s="80">
        <v>12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G8" s="120">
        <f t="shared" ref="AG8:AG9" si="0">+C8+E8+G8+I8+K8+M8+Q8+S8+U8+Y8+AA8+AC8+AE8</f>
        <v>12</v>
      </c>
      <c r="AI8" s="109">
        <f t="shared" ref="AI8:AI9" si="1">+O8+W8</f>
        <v>0</v>
      </c>
    </row>
    <row r="9" spans="1:35">
      <c r="A9" s="77" t="s">
        <v>137</v>
      </c>
      <c r="C9" s="80"/>
      <c r="D9" s="76"/>
      <c r="E9" s="80"/>
      <c r="F9" s="80"/>
      <c r="G9" s="80">
        <v>10527</v>
      </c>
      <c r="H9" s="80"/>
      <c r="I9" s="80">
        <v>1276</v>
      </c>
      <c r="J9" s="80"/>
      <c r="K9" s="80"/>
      <c r="L9" s="80"/>
      <c r="M9" s="80"/>
      <c r="N9" s="80"/>
      <c r="O9" s="80">
        <v>12374</v>
      </c>
      <c r="P9" s="80"/>
      <c r="Q9" s="80">
        <v>14727</v>
      </c>
      <c r="R9" s="80"/>
      <c r="S9" s="80">
        <v>9533</v>
      </c>
      <c r="T9" s="80"/>
      <c r="U9" s="80">
        <v>95662</v>
      </c>
      <c r="V9" s="80"/>
      <c r="W9" s="80"/>
      <c r="X9" s="80"/>
      <c r="Y9" s="80">
        <v>992</v>
      </c>
      <c r="Z9" s="80"/>
      <c r="AA9" s="80">
        <v>1920</v>
      </c>
      <c r="AB9" s="80"/>
      <c r="AC9" s="80">
        <v>14064</v>
      </c>
      <c r="AD9" s="80"/>
      <c r="AE9" s="80">
        <v>16696</v>
      </c>
      <c r="AF9" s="77"/>
      <c r="AG9" s="120">
        <f t="shared" si="0"/>
        <v>165397</v>
      </c>
      <c r="AI9" s="109">
        <f t="shared" si="1"/>
        <v>12374</v>
      </c>
    </row>
    <row r="10" spans="1:35">
      <c r="A10" s="77"/>
      <c r="C10" s="136">
        <f>SUM(C7:C9)</f>
        <v>17758</v>
      </c>
      <c r="D10" s="76"/>
      <c r="E10" s="136">
        <f>SUM(E7:E9)</f>
        <v>9184</v>
      </c>
      <c r="F10" s="80"/>
      <c r="G10" s="136">
        <f>SUM(G7:G9)</f>
        <v>10527</v>
      </c>
      <c r="H10" s="80"/>
      <c r="I10" s="136">
        <f>SUM(I7:I9)</f>
        <v>1276</v>
      </c>
      <c r="J10" s="80"/>
      <c r="K10" s="81">
        <f>SUM(K7:K9)</f>
        <v>0</v>
      </c>
      <c r="L10" s="80"/>
      <c r="M10" s="136">
        <f>SUM(M7:M9)</f>
        <v>38911</v>
      </c>
      <c r="N10" s="80"/>
      <c r="O10" s="136">
        <f>SUM(O7:O9)</f>
        <v>12374</v>
      </c>
      <c r="P10" s="80"/>
      <c r="Q10" s="136">
        <f>SUM(Q7:Q9)</f>
        <v>14727</v>
      </c>
      <c r="R10" s="80"/>
      <c r="S10" s="136">
        <f>SUM(S7:S9)</f>
        <v>9533</v>
      </c>
      <c r="T10" s="80"/>
      <c r="U10" s="136">
        <f>SUM(U7:U9)</f>
        <v>95662</v>
      </c>
      <c r="V10" s="80"/>
      <c r="W10" s="81">
        <f>SUM(W7:W9)</f>
        <v>0</v>
      </c>
      <c r="X10" s="80"/>
      <c r="Y10" s="136">
        <f>SUM(Y7:Y9)</f>
        <v>992</v>
      </c>
      <c r="Z10" s="80"/>
      <c r="AA10" s="136">
        <f>SUM(AA7:AA9)</f>
        <v>1920</v>
      </c>
      <c r="AB10" s="80"/>
      <c r="AC10" s="136">
        <f>SUM(AC7:AC9)</f>
        <v>14064</v>
      </c>
      <c r="AD10" s="80"/>
      <c r="AE10" s="136">
        <f>SUM(AE7:AE9)</f>
        <v>16696</v>
      </c>
      <c r="AF10" s="77"/>
      <c r="AG10" s="127">
        <f>SUM(AG7:AG9)</f>
        <v>231250</v>
      </c>
      <c r="AH10" s="123"/>
      <c r="AI10" s="127">
        <f>SUM(AI7:AI9)</f>
        <v>12374</v>
      </c>
    </row>
    <row r="11" spans="1:35">
      <c r="A11" s="77"/>
      <c r="C11" s="80"/>
      <c r="D11" s="76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77"/>
      <c r="AG11" s="123"/>
      <c r="AH11" s="123"/>
      <c r="AI11" s="70"/>
    </row>
    <row r="12" spans="1:35">
      <c r="A12" s="55"/>
      <c r="B12" s="77"/>
      <c r="C12" s="52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55" t="s">
        <v>143</v>
      </c>
      <c r="P12" s="80"/>
      <c r="Q12" s="80"/>
      <c r="R12" s="80"/>
      <c r="S12" s="80"/>
      <c r="T12" s="80"/>
      <c r="U12" s="80"/>
      <c r="V12" s="80"/>
      <c r="W12" s="155" t="s">
        <v>143</v>
      </c>
      <c r="X12" s="80"/>
      <c r="Y12" s="80"/>
      <c r="Z12" s="80"/>
      <c r="AA12" s="80"/>
      <c r="AB12" s="80"/>
      <c r="AC12" s="80"/>
      <c r="AD12" s="80"/>
      <c r="AE12" s="80"/>
      <c r="AF12" s="77"/>
      <c r="AG12" s="123"/>
      <c r="AH12" s="123"/>
      <c r="AI12" s="70"/>
    </row>
    <row r="13" spans="1:35">
      <c r="A13" s="75" t="s">
        <v>126</v>
      </c>
      <c r="B13" s="74"/>
      <c r="C13" s="52"/>
      <c r="E13" s="137">
        <v>10860</v>
      </c>
      <c r="F13" s="80"/>
      <c r="G13" s="80"/>
      <c r="H13" s="80"/>
      <c r="I13" s="137">
        <v>36</v>
      </c>
      <c r="J13" s="80"/>
      <c r="K13" s="137">
        <v>18639</v>
      </c>
      <c r="L13" s="80"/>
      <c r="M13" s="80"/>
      <c r="N13" s="80"/>
      <c r="O13" s="137">
        <v>11</v>
      </c>
      <c r="P13" s="80"/>
      <c r="Q13" s="80"/>
      <c r="R13" s="80"/>
      <c r="S13" s="80"/>
      <c r="T13" s="80"/>
      <c r="U13" s="137">
        <v>7296</v>
      </c>
      <c r="V13" s="80"/>
      <c r="W13" s="137">
        <v>5659</v>
      </c>
      <c r="X13" s="80"/>
      <c r="Y13" s="80"/>
      <c r="Z13" s="80"/>
      <c r="AA13" s="137">
        <v>36</v>
      </c>
      <c r="AB13" s="80"/>
      <c r="AC13" s="80"/>
      <c r="AD13" s="80"/>
      <c r="AE13" s="80"/>
      <c r="AF13" s="74"/>
      <c r="AG13" s="120">
        <f>+C13+E13+G13+I13+K13+M13+Q13+S13+U13+Y13+AA13+AC13+AE13</f>
        <v>36867</v>
      </c>
      <c r="AI13" s="109">
        <f>+O13+W13</f>
        <v>5670</v>
      </c>
    </row>
    <row r="14" spans="1:35">
      <c r="B14" s="77"/>
      <c r="P14" s="74"/>
      <c r="Q14" s="52"/>
      <c r="R14" s="52"/>
      <c r="S14" s="52"/>
    </row>
    <row r="15" spans="1:35">
      <c r="A15" s="64" t="s">
        <v>121</v>
      </c>
      <c r="B15" s="77"/>
    </row>
    <row r="16" spans="1:35">
      <c r="A16" s="77" t="s">
        <v>113</v>
      </c>
      <c r="B16" s="77"/>
      <c r="D16" s="79"/>
      <c r="E16" s="155"/>
      <c r="I16" s="65"/>
      <c r="O16" s="155" t="s">
        <v>143</v>
      </c>
      <c r="W16" s="155" t="s">
        <v>143</v>
      </c>
    </row>
    <row r="17" spans="1:35">
      <c r="A17" s="77" t="s">
        <v>114</v>
      </c>
      <c r="B17" s="77"/>
      <c r="C17" s="80">
        <v>36</v>
      </c>
      <c r="D17" s="80"/>
      <c r="E17" s="80">
        <v>113</v>
      </c>
      <c r="F17" s="80"/>
      <c r="G17" s="80">
        <v>12</v>
      </c>
      <c r="H17" s="80"/>
      <c r="I17" s="80">
        <v>82</v>
      </c>
      <c r="J17" s="80"/>
      <c r="K17" s="80">
        <v>610</v>
      </c>
      <c r="L17" s="80"/>
      <c r="M17" s="137">
        <f>244-1</f>
        <v>243</v>
      </c>
      <c r="N17" s="80"/>
      <c r="O17" s="80"/>
      <c r="P17" s="80"/>
      <c r="Q17" s="80">
        <v>48</v>
      </c>
      <c r="R17" s="80"/>
      <c r="S17" s="80">
        <v>271</v>
      </c>
      <c r="T17" s="80"/>
      <c r="U17" s="80">
        <f>1249+1</f>
        <v>1250</v>
      </c>
      <c r="V17" s="80"/>
      <c r="W17" s="80">
        <v>12</v>
      </c>
      <c r="X17" s="80"/>
      <c r="Y17" s="80">
        <v>12</v>
      </c>
      <c r="Z17" s="80"/>
      <c r="AA17" s="80"/>
      <c r="AB17" s="80"/>
      <c r="AC17" s="80"/>
      <c r="AD17" s="80"/>
      <c r="AE17" s="80">
        <v>24</v>
      </c>
      <c r="AF17" s="68"/>
      <c r="AG17" s="120">
        <f t="shared" ref="AG17:AG26" si="2">+C17+E17+G17+I17+K17+M17+Q17+S17+U17+Y17+AA17+AC17+AE17</f>
        <v>2701</v>
      </c>
      <c r="AI17" s="109">
        <f t="shared" ref="AI17:AI26" si="3">+O17+W17</f>
        <v>12</v>
      </c>
    </row>
    <row r="18" spans="1:35">
      <c r="A18" s="77" t="s">
        <v>115</v>
      </c>
      <c r="B18" s="77"/>
      <c r="C18" s="80"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68"/>
      <c r="AG18" s="120">
        <f t="shared" si="2"/>
        <v>0</v>
      </c>
      <c r="AI18" s="109">
        <f t="shared" si="3"/>
        <v>0</v>
      </c>
    </row>
    <row r="19" spans="1:35">
      <c r="A19" s="77" t="s">
        <v>116</v>
      </c>
      <c r="B19" s="77"/>
      <c r="C19" s="80">
        <v>12</v>
      </c>
      <c r="D19" s="80"/>
      <c r="E19" s="80">
        <v>192</v>
      </c>
      <c r="F19" s="80"/>
      <c r="G19" s="80">
        <v>12</v>
      </c>
      <c r="H19" s="80"/>
      <c r="I19" s="80">
        <v>36</v>
      </c>
      <c r="J19" s="80"/>
      <c r="K19" s="80">
        <v>121</v>
      </c>
      <c r="L19" s="80"/>
      <c r="M19" s="80">
        <v>138</v>
      </c>
      <c r="N19" s="80"/>
      <c r="O19" s="80">
        <v>920</v>
      </c>
      <c r="P19" s="80"/>
      <c r="Q19" s="80"/>
      <c r="R19" s="80"/>
      <c r="S19" s="80">
        <v>24</v>
      </c>
      <c r="T19" s="80"/>
      <c r="U19" s="80">
        <v>755</v>
      </c>
      <c r="V19" s="80"/>
      <c r="W19" s="80">
        <v>244</v>
      </c>
      <c r="X19" s="80"/>
      <c r="Y19" s="80"/>
      <c r="Z19" s="80"/>
      <c r="AA19" s="80"/>
      <c r="AB19" s="80"/>
      <c r="AC19" s="80">
        <v>24</v>
      </c>
      <c r="AD19" s="80"/>
      <c r="AE19" s="80">
        <v>36</v>
      </c>
      <c r="AF19" s="68"/>
      <c r="AG19" s="120">
        <f t="shared" si="2"/>
        <v>1350</v>
      </c>
      <c r="AI19" s="109">
        <f t="shared" si="3"/>
        <v>1164</v>
      </c>
    </row>
    <row r="20" spans="1:35">
      <c r="A20" s="77" t="s">
        <v>117</v>
      </c>
      <c r="B20" s="77"/>
      <c r="C20" s="80">
        <v>12</v>
      </c>
      <c r="D20" s="80"/>
      <c r="E20" s="80">
        <v>420</v>
      </c>
      <c r="F20" s="80"/>
      <c r="G20" s="80"/>
      <c r="H20" s="80"/>
      <c r="I20" s="80"/>
      <c r="J20" s="80"/>
      <c r="K20" s="80">
        <v>85</v>
      </c>
      <c r="L20" s="80"/>
      <c r="M20" s="80">
        <v>24</v>
      </c>
      <c r="N20" s="80"/>
      <c r="O20" s="80"/>
      <c r="P20" s="80"/>
      <c r="Q20" s="80">
        <v>12</v>
      </c>
      <c r="R20" s="80"/>
      <c r="S20" s="80">
        <v>73</v>
      </c>
      <c r="T20" s="80"/>
      <c r="U20" s="80">
        <v>1163</v>
      </c>
      <c r="V20" s="80"/>
      <c r="W20" s="80">
        <v>136</v>
      </c>
      <c r="X20" s="80"/>
      <c r="Y20" s="80"/>
      <c r="Z20" s="80"/>
      <c r="AA20" s="80"/>
      <c r="AB20" s="80"/>
      <c r="AC20" s="80"/>
      <c r="AD20" s="80"/>
      <c r="AE20" s="80"/>
      <c r="AF20" s="68"/>
      <c r="AG20" s="120">
        <f t="shared" si="2"/>
        <v>1789</v>
      </c>
      <c r="AI20" s="109">
        <f t="shared" si="3"/>
        <v>136</v>
      </c>
    </row>
    <row r="21" spans="1:35">
      <c r="A21" s="77" t="s">
        <v>69</v>
      </c>
      <c r="B21" s="77"/>
      <c r="C21" s="80"/>
      <c r="D21" s="80"/>
      <c r="E21" s="80">
        <v>336</v>
      </c>
      <c r="F21" s="80"/>
      <c r="G21" s="80"/>
      <c r="H21" s="80"/>
      <c r="I21" s="80"/>
      <c r="J21" s="80"/>
      <c r="K21" s="80">
        <v>14</v>
      </c>
      <c r="L21" s="80"/>
      <c r="M21" s="80">
        <v>12</v>
      </c>
      <c r="N21" s="80"/>
      <c r="O21" s="80">
        <v>211</v>
      </c>
      <c r="P21" s="80"/>
      <c r="Q21" s="80">
        <v>12</v>
      </c>
      <c r="R21" s="80"/>
      <c r="S21" s="80">
        <v>96</v>
      </c>
      <c r="T21" s="80"/>
      <c r="U21" s="80">
        <v>1214</v>
      </c>
      <c r="V21" s="80"/>
      <c r="W21" s="80">
        <v>223</v>
      </c>
      <c r="X21" s="80"/>
      <c r="Y21" s="80">
        <v>12</v>
      </c>
      <c r="Z21" s="80"/>
      <c r="AA21" s="80"/>
      <c r="AB21" s="80"/>
      <c r="AC21" s="80">
        <v>12</v>
      </c>
      <c r="AD21" s="80"/>
      <c r="AE21" s="80">
        <v>12</v>
      </c>
      <c r="AF21" s="68"/>
      <c r="AG21" s="120">
        <f t="shared" si="2"/>
        <v>1720</v>
      </c>
      <c r="AI21" s="109">
        <f t="shared" si="3"/>
        <v>434</v>
      </c>
    </row>
    <row r="22" spans="1:35">
      <c r="A22" s="77" t="s">
        <v>70</v>
      </c>
      <c r="B22" s="77"/>
      <c r="C22" s="80"/>
      <c r="D22" s="80"/>
      <c r="E22" s="80">
        <v>4</v>
      </c>
      <c r="F22" s="80"/>
      <c r="G22" s="80"/>
      <c r="H22" s="80"/>
      <c r="I22" s="80"/>
      <c r="J22" s="80"/>
      <c r="K22" s="80">
        <v>48</v>
      </c>
      <c r="L22" s="80"/>
      <c r="M22" s="80"/>
      <c r="N22" s="80"/>
      <c r="O22" s="80">
        <v>6</v>
      </c>
      <c r="P22" s="80"/>
      <c r="Q22" s="80"/>
      <c r="R22" s="80"/>
      <c r="S22" s="80">
        <v>84</v>
      </c>
      <c r="T22" s="80"/>
      <c r="U22" s="80">
        <v>212</v>
      </c>
      <c r="V22" s="80"/>
      <c r="W22" s="80">
        <v>0</v>
      </c>
      <c r="X22" s="80"/>
      <c r="Y22" s="80"/>
      <c r="Z22" s="80"/>
      <c r="AA22" s="80"/>
      <c r="AB22" s="80"/>
      <c r="AC22" s="80"/>
      <c r="AD22" s="80"/>
      <c r="AE22" s="80">
        <v>12</v>
      </c>
      <c r="AF22" s="68"/>
      <c r="AG22" s="120">
        <f t="shared" si="2"/>
        <v>360</v>
      </c>
      <c r="AI22" s="109">
        <f t="shared" si="3"/>
        <v>6</v>
      </c>
    </row>
    <row r="23" spans="1:35">
      <c r="A23" s="77" t="s">
        <v>71</v>
      </c>
      <c r="B23" s="77"/>
      <c r="C23" s="80"/>
      <c r="D23" s="80"/>
      <c r="E23" s="80"/>
      <c r="F23" s="80"/>
      <c r="G23" s="80"/>
      <c r="H23" s="80"/>
      <c r="I23" s="80">
        <v>36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>
        <v>72</v>
      </c>
      <c r="V23" s="80"/>
      <c r="W23" s="80">
        <v>6</v>
      </c>
      <c r="X23" s="80"/>
      <c r="Y23" s="80"/>
      <c r="Z23" s="80"/>
      <c r="AA23" s="80"/>
      <c r="AB23" s="80"/>
      <c r="AC23" s="80"/>
      <c r="AD23" s="80"/>
      <c r="AE23" s="80"/>
      <c r="AF23" s="68"/>
      <c r="AG23" s="120">
        <f t="shared" si="2"/>
        <v>108</v>
      </c>
      <c r="AI23" s="109">
        <f t="shared" si="3"/>
        <v>6</v>
      </c>
    </row>
    <row r="24" spans="1:35">
      <c r="A24" s="77" t="s">
        <v>72</v>
      </c>
      <c r="B24" s="77"/>
      <c r="C24" s="80"/>
      <c r="D24" s="80"/>
      <c r="E24" s="80"/>
      <c r="F24" s="80"/>
      <c r="G24" s="80">
        <v>12</v>
      </c>
      <c r="H24" s="80"/>
      <c r="I24" s="80"/>
      <c r="J24" s="80"/>
      <c r="K24" s="80"/>
      <c r="L24" s="80"/>
      <c r="M24" s="80"/>
      <c r="N24" s="80"/>
      <c r="O24" s="80">
        <v>42</v>
      </c>
      <c r="P24" s="80"/>
      <c r="Q24" s="80"/>
      <c r="R24" s="80"/>
      <c r="S24" s="80">
        <v>24</v>
      </c>
      <c r="T24" s="80"/>
      <c r="U24" s="80">
        <v>23</v>
      </c>
      <c r="V24" s="80"/>
      <c r="W24" s="80">
        <v>13</v>
      </c>
      <c r="X24" s="80"/>
      <c r="Y24" s="80"/>
      <c r="Z24" s="80"/>
      <c r="AA24" s="80"/>
      <c r="AB24" s="80"/>
      <c r="AC24" s="80"/>
      <c r="AD24" s="80"/>
      <c r="AE24" s="80"/>
      <c r="AF24" s="68"/>
      <c r="AG24" s="120">
        <f t="shared" si="2"/>
        <v>59</v>
      </c>
      <c r="AI24" s="109">
        <f t="shared" si="3"/>
        <v>55</v>
      </c>
    </row>
    <row r="25" spans="1:35">
      <c r="A25" s="77" t="s">
        <v>73</v>
      </c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>
        <v>24</v>
      </c>
      <c r="N25" s="80"/>
      <c r="O25" s="80"/>
      <c r="P25" s="80"/>
      <c r="Q25" s="80"/>
      <c r="R25" s="80"/>
      <c r="S25" s="80"/>
      <c r="T25" s="80"/>
      <c r="U25" s="80">
        <v>12</v>
      </c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G25" s="120">
        <f t="shared" si="2"/>
        <v>36</v>
      </c>
      <c r="AI25" s="109">
        <f t="shared" si="3"/>
        <v>0</v>
      </c>
    </row>
    <row r="26" spans="1:35">
      <c r="A26" s="77" t="s">
        <v>74</v>
      </c>
      <c r="B26" s="77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>
        <v>12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G26" s="120">
        <f t="shared" si="2"/>
        <v>12</v>
      </c>
      <c r="AI26" s="109">
        <f t="shared" si="3"/>
        <v>0</v>
      </c>
    </row>
    <row r="27" spans="1:35">
      <c r="B27" s="77"/>
      <c r="C27" s="136">
        <f>SUM(C17:C26)</f>
        <v>60</v>
      </c>
      <c r="D27" s="80"/>
      <c r="E27" s="136">
        <f>SUM(E17:E26)</f>
        <v>1065</v>
      </c>
      <c r="F27" s="80"/>
      <c r="G27" s="136">
        <f>SUM(G17:G26)</f>
        <v>36</v>
      </c>
      <c r="H27" s="80"/>
      <c r="I27" s="136">
        <f>SUM(I17:I26)</f>
        <v>154</v>
      </c>
      <c r="J27" s="80"/>
      <c r="K27" s="136">
        <f>SUM(K17:K26)</f>
        <v>878</v>
      </c>
      <c r="L27" s="80"/>
      <c r="M27" s="136">
        <f>SUM(M17:M26)</f>
        <v>453</v>
      </c>
      <c r="N27" s="80"/>
      <c r="O27" s="136">
        <f>SUM(O17:O26)</f>
        <v>1179</v>
      </c>
      <c r="P27" s="80"/>
      <c r="Q27" s="136">
        <f>SUM(Q17:Q26)</f>
        <v>72</v>
      </c>
      <c r="R27" s="80"/>
      <c r="S27" s="136">
        <f>SUM(S17:S26)</f>
        <v>572</v>
      </c>
      <c r="T27" s="80"/>
      <c r="U27" s="136">
        <f>SUM(U17:U26)</f>
        <v>4701</v>
      </c>
      <c r="V27" s="80"/>
      <c r="W27" s="136">
        <f>SUM(W17:W26)</f>
        <v>634</v>
      </c>
      <c r="X27" s="80"/>
      <c r="Y27" s="136">
        <f>SUM(Y17:Y26)</f>
        <v>24</v>
      </c>
      <c r="Z27" s="80"/>
      <c r="AA27" s="81">
        <f>SUM(AA17:AA26)</f>
        <v>0</v>
      </c>
      <c r="AB27" s="80"/>
      <c r="AC27" s="136">
        <f>SUM(AC17:AC26)</f>
        <v>36</v>
      </c>
      <c r="AD27" s="80"/>
      <c r="AE27" s="136">
        <f>SUM(AE17:AE26)</f>
        <v>84</v>
      </c>
      <c r="AG27" s="128">
        <f>SUM(AG17:AG26)</f>
        <v>8135</v>
      </c>
      <c r="AI27" s="128">
        <f>SUM(AI17:AI26)</f>
        <v>1813</v>
      </c>
    </row>
    <row r="28" spans="1:35">
      <c r="B28" s="77"/>
      <c r="C28" s="83"/>
      <c r="D28" s="80"/>
      <c r="E28" s="83"/>
      <c r="F28" s="80"/>
      <c r="G28" s="83"/>
      <c r="H28" s="80"/>
      <c r="I28" s="83"/>
      <c r="J28" s="80"/>
      <c r="K28" s="83"/>
      <c r="L28" s="80"/>
      <c r="M28" s="83"/>
      <c r="N28" s="80"/>
      <c r="O28" s="83"/>
      <c r="P28" s="80"/>
      <c r="Q28" s="83"/>
      <c r="R28" s="80"/>
      <c r="S28" s="8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</row>
    <row r="29" spans="1:35">
      <c r="A29" s="75" t="s">
        <v>134</v>
      </c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137">
        <v>6372</v>
      </c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77"/>
      <c r="AG29" s="120">
        <f>+C29+E29+G29+I29+K29+M29+Q29+S29+U29+Y29+AA29+AC29+AE29</f>
        <v>6372</v>
      </c>
      <c r="AI29" s="109">
        <f>+O29+W29</f>
        <v>0</v>
      </c>
    </row>
    <row r="30" spans="1:35">
      <c r="B30" s="77"/>
      <c r="V30" s="68"/>
    </row>
    <row r="31" spans="1:35">
      <c r="A31" s="64" t="s">
        <v>128</v>
      </c>
      <c r="AI31" s="109"/>
    </row>
    <row r="32" spans="1:35">
      <c r="A32" s="77" t="s">
        <v>137</v>
      </c>
      <c r="H32" s="77"/>
      <c r="I32" s="137">
        <v>12</v>
      </c>
      <c r="AG32" s="120">
        <f>+C32+E32+G32+I32+K32+M32+Q32+S32+U32+Y32+AA32+AC32+AE32</f>
        <v>12</v>
      </c>
      <c r="AI32" s="109">
        <f>+O32+W32</f>
        <v>0</v>
      </c>
    </row>
    <row r="34" spans="1:35">
      <c r="A34" s="64" t="s">
        <v>131</v>
      </c>
    </row>
    <row r="35" spans="1:35">
      <c r="A35" s="77" t="s">
        <v>137</v>
      </c>
      <c r="H35" s="77"/>
      <c r="I35" s="80"/>
      <c r="M35" s="137">
        <v>6979</v>
      </c>
      <c r="Q35" s="52"/>
      <c r="R35" s="52"/>
      <c r="S35" s="52"/>
      <c r="T35" s="77"/>
      <c r="U35" s="137">
        <v>1227</v>
      </c>
      <c r="AG35" s="120">
        <f>+C35+E35+G35+I35+K35+M35+Q35+S35+U35+Y35+AA35+AC35+AE35</f>
        <v>8206</v>
      </c>
      <c r="AI35" s="109">
        <f>+O35+W35</f>
        <v>0</v>
      </c>
    </row>
  </sheetData>
  <printOptions horizontalCentered="1"/>
  <pageMargins left="0.2" right="0.2" top="0.75" bottom="0.2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opLeftCell="K1" zoomScaleNormal="100" workbookViewId="0">
      <selection activeCell="M51" sqref="M51"/>
    </sheetView>
  </sheetViews>
  <sheetFormatPr defaultRowHeight="15"/>
  <cols>
    <col min="1" max="1" width="19.28515625" style="64" customWidth="1"/>
    <col min="2" max="2" width="2.7109375" style="64" customWidth="1"/>
    <col min="3" max="3" width="7.5703125" style="64" bestFit="1" customWidth="1"/>
    <col min="4" max="4" width="7.140625" style="64" bestFit="1" customWidth="1"/>
    <col min="5" max="5" width="1.7109375" style="64" customWidth="1"/>
    <col min="6" max="6" width="9" style="64" bestFit="1" customWidth="1"/>
    <col min="7" max="7" width="6.140625" style="64" bestFit="1" customWidth="1"/>
    <col min="8" max="8" width="1.7109375" style="64" customWidth="1"/>
    <col min="9" max="9" width="8.7109375" style="64" bestFit="1" customWidth="1"/>
    <col min="10" max="10" width="6.140625" style="64" bestFit="1" customWidth="1"/>
    <col min="11" max="11" width="1.7109375" style="64" customWidth="1"/>
    <col min="12" max="12" width="7.5703125" style="64" customWidth="1"/>
    <col min="13" max="13" width="6.140625" style="64" bestFit="1" customWidth="1"/>
    <col min="14" max="14" width="1.7109375" style="64" customWidth="1"/>
    <col min="15" max="15" width="7.85546875" style="64" bestFit="1" customWidth="1"/>
    <col min="16" max="16" width="5.42578125" style="64" bestFit="1" customWidth="1"/>
    <col min="17" max="17" width="1.7109375" style="64" customWidth="1"/>
    <col min="18" max="18" width="8.5703125" style="64" bestFit="1" customWidth="1"/>
    <col min="19" max="19" width="6.140625" style="64" bestFit="1" customWidth="1"/>
    <col min="20" max="20" width="1.7109375" style="64" customWidth="1"/>
    <col min="21" max="21" width="8.5703125" style="64" bestFit="1" customWidth="1"/>
    <col min="22" max="22" width="6.140625" style="64" bestFit="1" customWidth="1"/>
    <col min="23" max="23" width="1.7109375" style="64" customWidth="1"/>
    <col min="24" max="24" width="7.5703125" style="64" bestFit="1" customWidth="1"/>
    <col min="25" max="25" width="6.140625" style="64" bestFit="1" customWidth="1"/>
    <col min="26" max="26" width="1.7109375" style="64" customWidth="1"/>
    <col min="27" max="27" width="11" style="64" bestFit="1" customWidth="1"/>
    <col min="28" max="28" width="6.140625" style="64" bestFit="1" customWidth="1"/>
    <col min="29" max="29" width="1.7109375" style="64" customWidth="1"/>
    <col min="30" max="30" width="8.5703125" style="64" bestFit="1" customWidth="1"/>
    <col min="31" max="31" width="6.140625" style="64" bestFit="1" customWidth="1"/>
    <col min="32" max="32" width="1.7109375" style="64" customWidth="1"/>
    <col min="33" max="33" width="7.85546875" style="64" bestFit="1" customWidth="1"/>
    <col min="34" max="34" width="5.42578125" style="64" bestFit="1" customWidth="1"/>
    <col min="35" max="35" width="1.7109375" style="64" customWidth="1"/>
    <col min="36" max="36" width="6.5703125" style="64" bestFit="1" customWidth="1"/>
    <col min="37" max="37" width="6.140625" style="64" bestFit="1" customWidth="1"/>
    <col min="38" max="38" width="1.7109375" style="64" customWidth="1"/>
    <col min="39" max="39" width="9.42578125" style="64" customWidth="1"/>
    <col min="40" max="40" width="6.140625" style="64" bestFit="1" customWidth="1"/>
    <col min="41" max="41" width="1.7109375" style="64" customWidth="1"/>
    <col min="42" max="42" width="9.85546875" style="64" bestFit="1" customWidth="1"/>
    <col min="43" max="43" width="6.140625" style="64" bestFit="1" customWidth="1"/>
    <col min="44" max="44" width="1.7109375" style="64" customWidth="1"/>
    <col min="45" max="45" width="9.42578125" style="64" bestFit="1" customWidth="1"/>
    <col min="46" max="46" width="6.140625" style="64" bestFit="1" customWidth="1"/>
    <col min="47" max="47" width="5.140625" style="64" bestFit="1" customWidth="1"/>
    <col min="48" max="48" width="10.5703125" style="64" bestFit="1" customWidth="1"/>
    <col min="49" max="16384" width="9.140625" style="64"/>
  </cols>
  <sheetData>
    <row r="1" spans="1:48" ht="18.75">
      <c r="A1" s="63" t="s">
        <v>183</v>
      </c>
      <c r="AV1" s="163" t="str">
        <f>+'Sewer Rate Design'!$K$1</f>
        <v>Docket No. 160101 -WS</v>
      </c>
    </row>
    <row r="2" spans="1:48">
      <c r="A2" s="64" t="s">
        <v>142</v>
      </c>
      <c r="AV2" s="163" t="str">
        <f>+'Sewer Rate Design'!$K$2</f>
        <v>Exhibit JFG-Rate Design</v>
      </c>
    </row>
    <row r="3" spans="1:48">
      <c r="G3" s="79"/>
      <c r="H3" s="79"/>
      <c r="AV3" s="163" t="s">
        <v>283</v>
      </c>
    </row>
    <row r="4" spans="1:48">
      <c r="F4" s="264"/>
      <c r="G4" s="264"/>
      <c r="L4" s="65"/>
      <c r="U4" s="264" t="s">
        <v>143</v>
      </c>
      <c r="V4" s="264"/>
      <c r="AG4" s="264" t="s">
        <v>143</v>
      </c>
      <c r="AH4" s="264"/>
      <c r="AI4" s="65"/>
      <c r="AJ4" s="65"/>
      <c r="AM4" s="65"/>
      <c r="AP4" s="65"/>
    </row>
    <row r="5" spans="1:48">
      <c r="A5" s="64" t="s">
        <v>104</v>
      </c>
      <c r="C5" s="268" t="s">
        <v>153</v>
      </c>
      <c r="D5" s="268"/>
      <c r="F5" s="268" t="s">
        <v>154</v>
      </c>
      <c r="G5" s="268"/>
      <c r="I5" s="268" t="s">
        <v>155</v>
      </c>
      <c r="J5" s="268"/>
      <c r="L5" s="268" t="s">
        <v>156</v>
      </c>
      <c r="M5" s="268"/>
      <c r="O5" s="268" t="s">
        <v>157</v>
      </c>
      <c r="P5" s="268"/>
      <c r="Q5" s="65"/>
      <c r="R5" s="268" t="s">
        <v>158</v>
      </c>
      <c r="S5" s="268"/>
      <c r="T5" s="65"/>
      <c r="U5" s="268" t="s">
        <v>159</v>
      </c>
      <c r="V5" s="268"/>
      <c r="X5" s="268" t="s">
        <v>160</v>
      </c>
      <c r="Y5" s="268"/>
      <c r="AA5" s="268" t="s">
        <v>161</v>
      </c>
      <c r="AB5" s="268"/>
      <c r="AC5" s="65"/>
      <c r="AD5" s="268" t="s">
        <v>162</v>
      </c>
      <c r="AE5" s="268"/>
      <c r="AG5" s="268" t="s">
        <v>163</v>
      </c>
      <c r="AH5" s="268"/>
      <c r="AI5" s="65"/>
      <c r="AJ5" s="268" t="s">
        <v>164</v>
      </c>
      <c r="AK5" s="268"/>
      <c r="AM5" s="268" t="s">
        <v>165</v>
      </c>
      <c r="AN5" s="268"/>
      <c r="AP5" s="268" t="s">
        <v>166</v>
      </c>
      <c r="AQ5" s="268"/>
      <c r="AS5" s="268" t="s">
        <v>167</v>
      </c>
      <c r="AT5" s="268"/>
      <c r="AV5" s="254" t="s">
        <v>207</v>
      </c>
    </row>
    <row r="6" spans="1:48">
      <c r="A6" s="77"/>
      <c r="C6" s="65"/>
      <c r="F6" s="65"/>
      <c r="I6" s="65"/>
      <c r="L6" s="65"/>
      <c r="O6" s="65"/>
      <c r="R6" s="65"/>
      <c r="S6" s="65"/>
      <c r="T6" s="65"/>
      <c r="U6" s="65"/>
      <c r="X6" s="65"/>
      <c r="Y6" s="65"/>
      <c r="Z6" s="65"/>
      <c r="AA6" s="65"/>
      <c r="AD6" s="65"/>
      <c r="AG6" s="65"/>
      <c r="AJ6" s="65"/>
      <c r="AM6" s="65"/>
      <c r="AP6" s="65"/>
      <c r="AS6" s="65"/>
      <c r="AU6" s="65"/>
    </row>
    <row r="7" spans="1:48">
      <c r="A7" s="77"/>
      <c r="C7" s="137">
        <v>38244</v>
      </c>
      <c r="D7" s="76" t="s">
        <v>118</v>
      </c>
      <c r="E7" s="76"/>
      <c r="F7" s="137">
        <v>43074</v>
      </c>
      <c r="G7" s="76" t="s">
        <v>127</v>
      </c>
      <c r="H7" s="76"/>
      <c r="I7" s="137">
        <v>13471</v>
      </c>
      <c r="J7" s="76" t="s">
        <v>127</v>
      </c>
      <c r="K7" s="76"/>
      <c r="L7" s="137">
        <f>2078-47</f>
        <v>2031</v>
      </c>
      <c r="M7" s="76" t="s">
        <v>118</v>
      </c>
      <c r="N7" s="76"/>
      <c r="O7" s="269" t="s">
        <v>59</v>
      </c>
      <c r="P7" s="269"/>
      <c r="Q7" s="77"/>
      <c r="R7" s="137">
        <v>238891</v>
      </c>
      <c r="S7" s="76" t="s">
        <v>127</v>
      </c>
      <c r="T7" s="76"/>
      <c r="U7" s="137">
        <v>110241</v>
      </c>
      <c r="V7" s="76" t="s">
        <v>133</v>
      </c>
      <c r="W7" s="76"/>
      <c r="X7" s="137">
        <v>61438</v>
      </c>
      <c r="Y7" s="76" t="s">
        <v>118</v>
      </c>
      <c r="Z7" s="76"/>
      <c r="AA7" s="137">
        <v>17234</v>
      </c>
      <c r="AB7" s="76" t="s">
        <v>118</v>
      </c>
      <c r="AC7" s="76"/>
      <c r="AD7" s="137">
        <v>682677</v>
      </c>
      <c r="AE7" s="76" t="s">
        <v>127</v>
      </c>
      <c r="AF7" s="76"/>
      <c r="AG7" s="269" t="s">
        <v>59</v>
      </c>
      <c r="AH7" s="269"/>
      <c r="AI7" s="77"/>
      <c r="AJ7" s="137">
        <v>1802</v>
      </c>
      <c r="AK7" s="76" t="s">
        <v>127</v>
      </c>
      <c r="AL7" s="76"/>
      <c r="AM7" s="137">
        <v>3478</v>
      </c>
      <c r="AN7" s="76" t="s">
        <v>118</v>
      </c>
      <c r="AO7" s="76"/>
      <c r="AP7" s="137">
        <v>25243</v>
      </c>
      <c r="AQ7" s="76" t="s">
        <v>118</v>
      </c>
      <c r="AR7" s="76"/>
      <c r="AS7" s="137">
        <v>71287</v>
      </c>
      <c r="AT7" s="76" t="s">
        <v>120</v>
      </c>
      <c r="AU7" s="52"/>
      <c r="AV7" s="120">
        <f>+C7+F7+I7+L7+R7+U7+X7+AA7+AD7+AJ7+AM7+AP7+AS7</f>
        <v>1309111</v>
      </c>
    </row>
    <row r="8" spans="1:48">
      <c r="A8" s="77"/>
      <c r="C8" s="36"/>
      <c r="D8" s="68"/>
      <c r="E8" s="68"/>
      <c r="F8" s="36"/>
      <c r="G8" s="68"/>
      <c r="H8" s="68"/>
      <c r="I8" s="52"/>
      <c r="J8" s="69"/>
      <c r="K8" s="69"/>
      <c r="L8" s="52"/>
      <c r="M8" s="69"/>
      <c r="N8" s="69"/>
      <c r="O8" s="69"/>
      <c r="P8" s="69"/>
      <c r="Q8" s="69"/>
      <c r="R8" s="52"/>
      <c r="S8" s="52"/>
      <c r="T8" s="52"/>
      <c r="U8" s="36"/>
      <c r="V8" s="69"/>
      <c r="W8" s="69"/>
      <c r="X8" s="36"/>
      <c r="Y8" s="36"/>
      <c r="Z8" s="36"/>
      <c r="AA8" s="36"/>
      <c r="AB8" s="69"/>
      <c r="AC8" s="69"/>
      <c r="AD8" s="52"/>
      <c r="AE8" s="69"/>
      <c r="AF8" s="69"/>
      <c r="AG8" s="69"/>
      <c r="AH8" s="69"/>
      <c r="AI8" s="69"/>
      <c r="AJ8" s="36"/>
      <c r="AK8" s="69"/>
      <c r="AL8" s="69"/>
      <c r="AM8" s="36"/>
      <c r="AN8" s="69"/>
      <c r="AO8" s="69"/>
      <c r="AP8" s="36"/>
      <c r="AQ8" s="69"/>
      <c r="AR8" s="69"/>
      <c r="AS8" s="36"/>
      <c r="AT8" s="69"/>
      <c r="AU8" s="67"/>
      <c r="AV8" s="120"/>
    </row>
    <row r="9" spans="1:48">
      <c r="F9" s="264"/>
      <c r="G9" s="264"/>
      <c r="R9" s="72"/>
      <c r="S9" s="79"/>
      <c r="T9" s="79"/>
      <c r="U9" s="264" t="s">
        <v>143</v>
      </c>
      <c r="V9" s="264"/>
      <c r="AD9" s="72"/>
      <c r="AG9" s="264" t="s">
        <v>143</v>
      </c>
      <c r="AH9" s="264"/>
      <c r="AS9" s="73"/>
    </row>
    <row r="10" spans="1:48">
      <c r="A10" s="64" t="s">
        <v>121</v>
      </c>
      <c r="B10" s="77"/>
      <c r="C10" s="137">
        <v>1338</v>
      </c>
      <c r="F10" s="137">
        <v>41025</v>
      </c>
      <c r="G10" s="80"/>
      <c r="H10" s="80"/>
      <c r="I10" s="137">
        <v>2984</v>
      </c>
      <c r="J10" s="80"/>
      <c r="K10" s="80"/>
      <c r="L10" s="137">
        <v>2468</v>
      </c>
      <c r="M10" s="80"/>
      <c r="N10" s="80"/>
      <c r="O10" s="137">
        <v>22882</v>
      </c>
      <c r="P10" s="80"/>
      <c r="Q10" s="80"/>
      <c r="R10" s="137">
        <v>20229</v>
      </c>
      <c r="S10" s="80"/>
      <c r="T10" s="80"/>
      <c r="U10" s="137">
        <v>185181</v>
      </c>
      <c r="V10" s="80"/>
      <c r="W10" s="80"/>
      <c r="X10" s="137">
        <v>2041</v>
      </c>
      <c r="Y10" s="80"/>
      <c r="Z10" s="80"/>
      <c r="AA10" s="137">
        <v>16266</v>
      </c>
      <c r="AB10" s="80"/>
      <c r="AC10" s="80"/>
      <c r="AD10" s="137">
        <v>255434</v>
      </c>
      <c r="AE10" s="80"/>
      <c r="AF10" s="80"/>
      <c r="AG10" s="137">
        <v>57124</v>
      </c>
      <c r="AH10" s="80"/>
      <c r="AI10" s="80"/>
      <c r="AJ10" s="137">
        <v>4123</v>
      </c>
      <c r="AK10" s="80"/>
      <c r="AL10" s="80"/>
      <c r="AM10" s="80"/>
      <c r="AN10" s="80"/>
      <c r="AO10" s="80"/>
      <c r="AP10" s="137">
        <v>809</v>
      </c>
      <c r="AQ10" s="80"/>
      <c r="AR10" s="80"/>
      <c r="AS10" s="137">
        <v>3551</v>
      </c>
      <c r="AT10" s="80"/>
      <c r="AU10" s="255" t="s">
        <v>276</v>
      </c>
      <c r="AV10" s="120">
        <f>SUM(C10:AT10)-AV11</f>
        <v>373150</v>
      </c>
    </row>
    <row r="11" spans="1:48">
      <c r="A11" s="75"/>
      <c r="B11" s="77"/>
      <c r="C11" s="36"/>
      <c r="D11" s="77"/>
      <c r="E11" s="77"/>
      <c r="F11" s="52"/>
      <c r="G11" s="77"/>
      <c r="H11" s="77"/>
      <c r="I11" s="52"/>
      <c r="J11" s="77"/>
      <c r="K11" s="77"/>
      <c r="L11" s="36"/>
      <c r="M11" s="77"/>
      <c r="N11" s="77"/>
      <c r="O11" s="52"/>
      <c r="P11" s="77"/>
      <c r="Q11" s="77"/>
      <c r="R11" s="36"/>
      <c r="S11" s="77"/>
      <c r="T11" s="77"/>
      <c r="U11" s="36"/>
      <c r="V11" s="77"/>
      <c r="W11" s="77"/>
      <c r="X11" s="36"/>
      <c r="Y11" s="36"/>
      <c r="Z11" s="36"/>
      <c r="AA11" s="36"/>
      <c r="AB11" s="77"/>
      <c r="AC11" s="77"/>
      <c r="AD11" s="36"/>
      <c r="AE11" s="68"/>
      <c r="AF11" s="68"/>
      <c r="AG11" s="77"/>
      <c r="AH11" s="77"/>
      <c r="AI11" s="77"/>
      <c r="AJ11" s="70"/>
      <c r="AK11" s="77"/>
      <c r="AL11" s="77"/>
      <c r="AM11" s="70"/>
      <c r="AN11" s="77"/>
      <c r="AO11" s="77"/>
      <c r="AP11" s="70"/>
      <c r="AQ11" s="77"/>
      <c r="AR11" s="77"/>
      <c r="AS11" s="70"/>
      <c r="AT11" s="77"/>
      <c r="AU11" s="256" t="s">
        <v>277</v>
      </c>
      <c r="AV11" s="120">
        <f>+U10+AG10</f>
        <v>242305</v>
      </c>
    </row>
    <row r="12" spans="1:48">
      <c r="B12" s="77"/>
      <c r="AE12" s="68"/>
      <c r="AF12" s="68"/>
    </row>
    <row r="13" spans="1:48">
      <c r="A13" s="64" t="s">
        <v>128</v>
      </c>
      <c r="L13" s="137">
        <v>1986</v>
      </c>
      <c r="AV13" s="120">
        <f>SUM(C13:AT13)</f>
        <v>1986</v>
      </c>
    </row>
    <row r="14" spans="1:48">
      <c r="A14" s="77"/>
      <c r="J14" s="77"/>
      <c r="K14" s="77"/>
    </row>
    <row r="16" spans="1:48">
      <c r="A16" s="64" t="s">
        <v>131</v>
      </c>
      <c r="R16" s="137">
        <v>105908</v>
      </c>
      <c r="AD16" s="137">
        <v>26339</v>
      </c>
      <c r="AV16" s="120">
        <f>SUM(C16:AT16)</f>
        <v>132247</v>
      </c>
    </row>
    <row r="17" spans="1:48">
      <c r="A17" s="77"/>
      <c r="J17" s="77"/>
      <c r="K17" s="77"/>
      <c r="L17" s="52"/>
      <c r="X17" s="52"/>
      <c r="Y17" s="52"/>
      <c r="Z17" s="52"/>
      <c r="AA17" s="52"/>
      <c r="AB17" s="77"/>
      <c r="AC17" s="77"/>
      <c r="AD17" s="52"/>
    </row>
    <row r="19" spans="1:48">
      <c r="A19" s="99" t="s">
        <v>225</v>
      </c>
      <c r="J19" s="77"/>
      <c r="K19" s="77"/>
      <c r="L19" s="36"/>
      <c r="V19" s="77"/>
      <c r="W19" s="77"/>
      <c r="X19" s="36"/>
      <c r="Y19" s="36"/>
      <c r="Z19" s="36"/>
      <c r="AA19" s="36"/>
      <c r="AB19" s="77"/>
      <c r="AC19" s="77"/>
      <c r="AD19" s="36"/>
    </row>
    <row r="20" spans="1:48">
      <c r="A20" s="64" t="s">
        <v>226</v>
      </c>
      <c r="C20" s="268" t="s">
        <v>153</v>
      </c>
      <c r="D20" s="268"/>
      <c r="F20" s="268" t="s">
        <v>154</v>
      </c>
      <c r="G20" s="268"/>
      <c r="I20" s="268" t="s">
        <v>155</v>
      </c>
      <c r="J20" s="268"/>
      <c r="L20" s="268" t="s">
        <v>156</v>
      </c>
      <c r="M20" s="268"/>
      <c r="O20" s="268" t="s">
        <v>157</v>
      </c>
      <c r="P20" s="268"/>
      <c r="Q20" s="125"/>
      <c r="R20" s="268" t="s">
        <v>158</v>
      </c>
      <c r="S20" s="268"/>
      <c r="T20" s="125"/>
      <c r="U20" s="268" t="s">
        <v>159</v>
      </c>
      <c r="V20" s="268"/>
      <c r="X20" s="268" t="s">
        <v>160</v>
      </c>
      <c r="Y20" s="268"/>
      <c r="AA20" s="268" t="s">
        <v>161</v>
      </c>
      <c r="AB20" s="268"/>
      <c r="AC20" s="125"/>
      <c r="AD20" s="268" t="s">
        <v>162</v>
      </c>
      <c r="AE20" s="268"/>
      <c r="AG20" s="268" t="s">
        <v>163</v>
      </c>
      <c r="AH20" s="268"/>
      <c r="AI20" s="125"/>
      <c r="AJ20" s="268" t="s">
        <v>164</v>
      </c>
      <c r="AK20" s="268"/>
      <c r="AM20" s="268" t="s">
        <v>165</v>
      </c>
      <c r="AN20" s="268"/>
      <c r="AP20" s="268" t="s">
        <v>166</v>
      </c>
      <c r="AQ20" s="268"/>
      <c r="AS20" s="268" t="s">
        <v>167</v>
      </c>
      <c r="AT20" s="268"/>
      <c r="AV20" s="254" t="s">
        <v>207</v>
      </c>
    </row>
    <row r="21" spans="1:48">
      <c r="A21" s="126" t="s">
        <v>120</v>
      </c>
      <c r="C21" s="157">
        <f>39254</f>
        <v>39254</v>
      </c>
      <c r="D21" s="156">
        <v>0.96399999999999997</v>
      </c>
      <c r="F21" s="157">
        <f>39807+72</f>
        <v>39879</v>
      </c>
      <c r="G21" s="156">
        <f>F21/(139+57460)</f>
        <v>0.69235577006545257</v>
      </c>
      <c r="I21" s="157">
        <v>13444</v>
      </c>
      <c r="J21" s="156">
        <v>0.98970000000000002</v>
      </c>
      <c r="L21" s="157">
        <v>2060</v>
      </c>
      <c r="M21" s="156">
        <v>0.99129999999999996</v>
      </c>
      <c r="P21" s="157" t="s">
        <v>228</v>
      </c>
      <c r="R21" s="157">
        <v>212250</v>
      </c>
      <c r="S21" s="156">
        <v>0.6079</v>
      </c>
      <c r="X21" s="157">
        <v>72993</v>
      </c>
      <c r="Y21" s="156">
        <v>0.70369999999999999</v>
      </c>
      <c r="AA21" s="157">
        <f>17932+142</f>
        <v>18074</v>
      </c>
      <c r="AB21" s="156">
        <f>AA21/(20022+149)</f>
        <v>0.89603886768132468</v>
      </c>
      <c r="AD21" s="157">
        <f>414816+172142</f>
        <v>586958</v>
      </c>
      <c r="AE21" s="156">
        <f>AD21/(885086+474387)</f>
        <v>0.43175406940777789</v>
      </c>
      <c r="AJ21" s="157">
        <v>1773</v>
      </c>
      <c r="AK21" s="156">
        <v>0.88029999999999997</v>
      </c>
      <c r="AM21" s="157">
        <v>3487</v>
      </c>
      <c r="AN21" s="156">
        <v>0.96009999999999995</v>
      </c>
      <c r="AP21" s="157">
        <v>25587</v>
      </c>
      <c r="AQ21" s="156">
        <v>0.97</v>
      </c>
      <c r="AS21" s="157">
        <v>71287</v>
      </c>
      <c r="AT21" s="156">
        <v>0.88160000000000005</v>
      </c>
      <c r="AV21" s="120">
        <f>+C21+F21+I21+L21+R21+U21+X21+AA21+AD21+AJ21+AM21+AP21+AS21</f>
        <v>1087046</v>
      </c>
    </row>
    <row r="22" spans="1:48">
      <c r="A22" s="126" t="s">
        <v>227</v>
      </c>
      <c r="U22" s="157">
        <v>103650</v>
      </c>
      <c r="V22" s="156">
        <v>0.7923</v>
      </c>
      <c r="AH22" s="157" t="s">
        <v>228</v>
      </c>
      <c r="AV22" s="120">
        <f>+C22+F22+I22+L22+R22+U22+X22+AA22+AD22+AJ22+AM22+AP22+AS22</f>
        <v>103650</v>
      </c>
    </row>
  </sheetData>
  <mergeCells count="38">
    <mergeCell ref="O7:P7"/>
    <mergeCell ref="AD5:AE5"/>
    <mergeCell ref="C5:D5"/>
    <mergeCell ref="F4:G4"/>
    <mergeCell ref="F5:G5"/>
    <mergeCell ref="I5:J5"/>
    <mergeCell ref="L5:M5"/>
    <mergeCell ref="O5:P5"/>
    <mergeCell ref="R5:S5"/>
    <mergeCell ref="U4:V4"/>
    <mergeCell ref="U5:V5"/>
    <mergeCell ref="X5:Y5"/>
    <mergeCell ref="AA5:AB5"/>
    <mergeCell ref="AS5:AT5"/>
    <mergeCell ref="AG5:AH5"/>
    <mergeCell ref="AG4:AH4"/>
    <mergeCell ref="AG7:AH7"/>
    <mergeCell ref="AJ5:AK5"/>
    <mergeCell ref="AM5:AN5"/>
    <mergeCell ref="AP5:AQ5"/>
    <mergeCell ref="C20:D20"/>
    <mergeCell ref="F20:G20"/>
    <mergeCell ref="I20:J20"/>
    <mergeCell ref="L20:M20"/>
    <mergeCell ref="O20:P20"/>
    <mergeCell ref="AJ20:AK20"/>
    <mergeCell ref="AM20:AN20"/>
    <mergeCell ref="AP20:AQ20"/>
    <mergeCell ref="AS20:AT20"/>
    <mergeCell ref="F9:G9"/>
    <mergeCell ref="U9:V9"/>
    <mergeCell ref="AG9:AH9"/>
    <mergeCell ref="R20:S20"/>
    <mergeCell ref="U20:V20"/>
    <mergeCell ref="X20:Y20"/>
    <mergeCell ref="AA20:AB20"/>
    <mergeCell ref="AD20:AE20"/>
    <mergeCell ref="AG20:AH20"/>
  </mergeCells>
  <printOptions horizontalCentered="1"/>
  <pageMargins left="0.2" right="0.2" top="0.75" bottom="0.25" header="0.3" footer="0.3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topLeftCell="M1" zoomScaleNormal="100" workbookViewId="0">
      <selection activeCell="AH12" sqref="AH12"/>
    </sheetView>
  </sheetViews>
  <sheetFormatPr defaultRowHeight="15"/>
  <cols>
    <col min="1" max="1" width="16.42578125" style="64" customWidth="1"/>
    <col min="2" max="2" width="1.7109375" style="64" customWidth="1"/>
    <col min="3" max="3" width="8.42578125" style="64" bestFit="1" customWidth="1"/>
    <col min="4" max="4" width="4.140625" style="64" bestFit="1" customWidth="1"/>
    <col min="5" max="5" width="8" style="64" bestFit="1" customWidth="1"/>
    <col min="6" max="6" width="5" style="64" bestFit="1" customWidth="1"/>
    <col min="7" max="7" width="8.85546875" style="64" bestFit="1" customWidth="1"/>
    <col min="8" max="8" width="5" style="64" bestFit="1" customWidth="1"/>
    <col min="9" max="9" width="7.28515625" style="64" bestFit="1" customWidth="1"/>
    <col min="10" max="10" width="4.140625" style="64" bestFit="1" customWidth="1"/>
    <col min="11" max="11" width="8" style="64" bestFit="1" customWidth="1"/>
    <col min="12" max="12" width="5.42578125" style="64" bestFit="1" customWidth="1"/>
    <col min="13" max="13" width="8.7109375" style="64" bestFit="1" customWidth="1"/>
    <col min="14" max="14" width="5" style="64" bestFit="1" customWidth="1"/>
    <col min="15" max="15" width="8.7109375" style="64" bestFit="1" customWidth="1"/>
    <col min="16" max="16" width="5" style="64" bestFit="1" customWidth="1"/>
    <col min="17" max="17" width="9.7109375" style="64" bestFit="1" customWidth="1"/>
    <col min="18" max="18" width="4.140625" style="64" bestFit="1" customWidth="1"/>
    <col min="19" max="19" width="10.28515625" style="64" bestFit="1" customWidth="1"/>
    <col min="20" max="20" width="4.140625" style="64" bestFit="1" customWidth="1"/>
    <col min="21" max="21" width="9.28515625" style="64" bestFit="1" customWidth="1"/>
    <col min="22" max="22" width="5" style="64" bestFit="1" customWidth="1"/>
    <col min="23" max="23" width="8.42578125" style="64" bestFit="1" customWidth="1"/>
    <col min="24" max="24" width="5.42578125" style="64" bestFit="1" customWidth="1"/>
    <col min="25" max="25" width="8.28515625" style="64" bestFit="1" customWidth="1"/>
    <col min="26" max="26" width="5" style="64" bestFit="1" customWidth="1"/>
    <col min="27" max="27" width="10.28515625" style="64" bestFit="1" customWidth="1"/>
    <col min="28" max="28" width="4.140625" style="64" bestFit="1" customWidth="1"/>
    <col min="29" max="29" width="10" style="64" bestFit="1" customWidth="1"/>
    <col min="30" max="30" width="4.140625" style="64" bestFit="1" customWidth="1"/>
    <col min="31" max="31" width="9.5703125" style="64" bestFit="1" customWidth="1"/>
    <col min="32" max="32" width="4.140625" style="64" bestFit="1" customWidth="1"/>
    <col min="33" max="33" width="4.140625" style="64" customWidth="1"/>
    <col min="34" max="34" width="6.7109375" style="64" customWidth="1"/>
    <col min="35" max="16384" width="9.140625" style="64"/>
  </cols>
  <sheetData>
    <row r="1" spans="1:51" ht="18.75">
      <c r="A1" s="63" t="s">
        <v>183</v>
      </c>
      <c r="AF1" s="163" t="str">
        <f>+'Sewer Rate Design'!$K$1</f>
        <v>Docket No. 160101 -WS</v>
      </c>
    </row>
    <row r="2" spans="1:51">
      <c r="A2" s="64" t="s">
        <v>122</v>
      </c>
      <c r="AF2" s="163" t="str">
        <f>+'Sewer Rate Design'!$K$2</f>
        <v>Exhibit JFG-Rate Design</v>
      </c>
    </row>
    <row r="3" spans="1:51">
      <c r="AF3" s="163" t="s">
        <v>284</v>
      </c>
    </row>
    <row r="4" spans="1:51">
      <c r="E4" s="65" t="s">
        <v>123</v>
      </c>
      <c r="I4" s="65" t="s">
        <v>102</v>
      </c>
      <c r="W4" s="65" t="s">
        <v>135</v>
      </c>
      <c r="Y4" s="65"/>
      <c r="AA4" s="65" t="s">
        <v>103</v>
      </c>
      <c r="AC4" s="65" t="s">
        <v>103</v>
      </c>
      <c r="AL4" s="64" t="s">
        <v>203</v>
      </c>
    </row>
    <row r="5" spans="1:51">
      <c r="A5" s="64" t="s">
        <v>104</v>
      </c>
      <c r="C5" s="65" t="s">
        <v>105</v>
      </c>
      <c r="E5" s="65" t="s">
        <v>124</v>
      </c>
      <c r="G5" s="64" t="s">
        <v>106</v>
      </c>
      <c r="I5" s="65" t="s">
        <v>107</v>
      </c>
      <c r="K5" s="64" t="s">
        <v>141</v>
      </c>
      <c r="M5" s="65" t="s">
        <v>108</v>
      </c>
      <c r="N5" s="65"/>
      <c r="O5" s="65" t="s">
        <v>132</v>
      </c>
      <c r="Q5" s="64" t="s">
        <v>138</v>
      </c>
      <c r="S5" s="64" t="s">
        <v>139</v>
      </c>
      <c r="U5" s="65" t="s">
        <v>109</v>
      </c>
      <c r="W5" s="65" t="s">
        <v>136</v>
      </c>
      <c r="Y5" s="65" t="s">
        <v>110</v>
      </c>
      <c r="AA5" s="65" t="s">
        <v>111</v>
      </c>
      <c r="AC5" s="65" t="s">
        <v>140</v>
      </c>
      <c r="AE5" s="64" t="s">
        <v>112</v>
      </c>
      <c r="AL5" s="64" t="s">
        <v>202</v>
      </c>
    </row>
    <row r="6" spans="1:51">
      <c r="A6" s="66" t="s">
        <v>113</v>
      </c>
      <c r="C6" s="65">
        <v>1</v>
      </c>
      <c r="E6" s="65">
        <f>+C6+1</f>
        <v>2</v>
      </c>
      <c r="G6" s="65">
        <f>+E6+1</f>
        <v>3</v>
      </c>
      <c r="I6" s="65">
        <f>+G6+1</f>
        <v>4</v>
      </c>
      <c r="K6" s="65">
        <f>+I6+1</f>
        <v>5</v>
      </c>
      <c r="M6" s="65">
        <f>+K6+1</f>
        <v>6</v>
      </c>
      <c r="N6" s="65"/>
      <c r="O6" s="65">
        <f>+M6+1</f>
        <v>7</v>
      </c>
      <c r="Q6" s="65">
        <f>+O6+1</f>
        <v>8</v>
      </c>
      <c r="R6" s="65"/>
      <c r="S6" s="65">
        <f>+Q6+1</f>
        <v>9</v>
      </c>
      <c r="U6" s="65">
        <f>+S6+1</f>
        <v>10</v>
      </c>
      <c r="W6" s="65">
        <f>+U6+1</f>
        <v>11</v>
      </c>
      <c r="Y6" s="65">
        <f>+W6+1</f>
        <v>12</v>
      </c>
      <c r="AA6" s="65">
        <f>+Y6+1</f>
        <v>13</v>
      </c>
      <c r="AC6" s="65">
        <f>+AA6+1</f>
        <v>14</v>
      </c>
      <c r="AE6" s="65">
        <f>+AC6+1</f>
        <v>15</v>
      </c>
      <c r="AI6" s="65"/>
      <c r="AJ6" s="88"/>
      <c r="AK6" s="88"/>
    </row>
    <row r="7" spans="1:51">
      <c r="A7" s="66" t="s">
        <v>129</v>
      </c>
      <c r="C7" s="65"/>
      <c r="D7" s="263"/>
      <c r="E7" s="263"/>
      <c r="G7" s="65"/>
      <c r="I7" s="65"/>
      <c r="K7" s="65"/>
      <c r="M7" s="65"/>
      <c r="N7" s="270" t="s">
        <v>125</v>
      </c>
      <c r="O7" s="270"/>
      <c r="Q7" s="65"/>
      <c r="R7" s="65"/>
      <c r="S7" s="65"/>
      <c r="U7" s="65"/>
      <c r="Y7" s="65"/>
      <c r="AA7" s="65"/>
      <c r="AC7" s="65"/>
      <c r="AE7" s="65"/>
      <c r="AI7" s="65"/>
      <c r="AJ7" s="88"/>
      <c r="AK7" s="88"/>
    </row>
    <row r="8" spans="1:51">
      <c r="A8" s="66" t="s">
        <v>137</v>
      </c>
      <c r="C8" s="36">
        <v>21</v>
      </c>
      <c r="D8" s="68"/>
      <c r="E8" s="52">
        <v>24.25</v>
      </c>
      <c r="F8" s="68"/>
      <c r="G8" s="52">
        <v>27.53</v>
      </c>
      <c r="H8" s="69"/>
      <c r="I8" s="52">
        <v>12.09</v>
      </c>
      <c r="J8" s="69"/>
      <c r="K8" s="69"/>
      <c r="L8" s="69"/>
      <c r="M8" s="52">
        <v>23.27</v>
      </c>
      <c r="N8" s="52"/>
      <c r="O8" s="36">
        <v>32.479999999999997</v>
      </c>
      <c r="P8" s="69"/>
      <c r="Q8" s="36">
        <v>14.54</v>
      </c>
      <c r="R8" s="36"/>
      <c r="S8" s="36">
        <v>43.6</v>
      </c>
      <c r="T8" s="69"/>
      <c r="U8" s="52">
        <v>15.19</v>
      </c>
      <c r="V8" s="69"/>
      <c r="W8" s="69"/>
      <c r="X8" s="69"/>
      <c r="Y8" s="36">
        <v>26.37</v>
      </c>
      <c r="Z8" s="69"/>
      <c r="AA8" s="36">
        <v>9.7200000000000006</v>
      </c>
      <c r="AB8" s="69"/>
      <c r="AC8" s="36">
        <v>12.63</v>
      </c>
      <c r="AD8" s="69"/>
      <c r="AE8" s="36">
        <v>13.09</v>
      </c>
      <c r="AF8" s="69"/>
      <c r="AG8" s="69"/>
      <c r="AH8" s="70">
        <f>AVERAGE(C8:AE8)</f>
        <v>21.212307692307693</v>
      </c>
      <c r="AI8" s="36">
        <f>AVERAGE(C8:AE8)</f>
        <v>21.212307692307693</v>
      </c>
      <c r="AJ8" s="67"/>
      <c r="AK8" s="67"/>
      <c r="AL8" s="69">
        <v>1</v>
      </c>
    </row>
    <row r="9" spans="1:51">
      <c r="M9" s="72"/>
      <c r="N9" s="270" t="s">
        <v>125</v>
      </c>
      <c r="O9" s="270"/>
      <c r="U9" s="72"/>
      <c r="AE9" s="73"/>
    </row>
    <row r="10" spans="1:51">
      <c r="A10" s="55"/>
      <c r="C10" s="52">
        <v>7.08</v>
      </c>
      <c r="D10" s="152" t="s">
        <v>118</v>
      </c>
      <c r="E10" s="52">
        <v>5.56</v>
      </c>
      <c r="F10" s="152" t="s">
        <v>127</v>
      </c>
      <c r="G10" s="52">
        <v>19.41</v>
      </c>
      <c r="H10" s="152" t="s">
        <v>127</v>
      </c>
      <c r="I10" s="52">
        <v>5.57</v>
      </c>
      <c r="J10" s="152" t="s">
        <v>118</v>
      </c>
      <c r="K10" s="66"/>
      <c r="M10" s="70">
        <v>4.2300000000000004</v>
      </c>
      <c r="N10" s="152" t="s">
        <v>127</v>
      </c>
      <c r="O10" s="70">
        <v>3.33</v>
      </c>
      <c r="P10" s="152" t="s">
        <v>133</v>
      </c>
      <c r="Q10" s="52">
        <v>4.6900000000000004</v>
      </c>
      <c r="R10" s="152" t="s">
        <v>118</v>
      </c>
      <c r="S10" s="52">
        <v>16.41</v>
      </c>
      <c r="T10" s="152" t="s">
        <v>120</v>
      </c>
      <c r="U10" s="70">
        <v>1.89</v>
      </c>
      <c r="V10" s="152" t="s">
        <v>127</v>
      </c>
      <c r="W10" s="66"/>
      <c r="Y10" s="70">
        <v>2.82</v>
      </c>
      <c r="Z10" s="152" t="s">
        <v>127</v>
      </c>
      <c r="AA10" s="52">
        <v>7.21</v>
      </c>
      <c r="AB10" s="152" t="s">
        <v>118</v>
      </c>
      <c r="AC10" s="52">
        <v>10.73</v>
      </c>
      <c r="AD10" s="152" t="s">
        <v>118</v>
      </c>
      <c r="AE10" s="52">
        <v>8.11</v>
      </c>
      <c r="AF10" s="152" t="s">
        <v>120</v>
      </c>
      <c r="AG10" s="152"/>
      <c r="AH10" s="126"/>
      <c r="AI10" s="259">
        <f>(C10+E10+G10+I10+M10+O10+Q10+S10+U10+Y10+AA10+AC10+AE10)/13</f>
        <v>7.4646153846153833</v>
      </c>
      <c r="AJ10" s="70"/>
      <c r="AK10" s="70"/>
    </row>
    <row r="11" spans="1:51">
      <c r="A11" s="55"/>
      <c r="B11" s="66"/>
      <c r="C11" s="52"/>
      <c r="D11" s="263"/>
      <c r="E11" s="263"/>
      <c r="J11" s="66"/>
      <c r="K11" s="66"/>
      <c r="L11" s="66"/>
      <c r="M11" s="70"/>
      <c r="N11" s="270" t="s">
        <v>125</v>
      </c>
      <c r="O11" s="270"/>
      <c r="P11" s="66"/>
      <c r="Q11" s="52"/>
      <c r="R11" s="52"/>
      <c r="S11" s="52"/>
      <c r="T11" s="66"/>
      <c r="U11" s="70"/>
      <c r="V11" s="270" t="s">
        <v>125</v>
      </c>
      <c r="W11" s="270"/>
      <c r="AF11" s="66"/>
      <c r="AG11" s="163"/>
      <c r="AH11" s="126"/>
      <c r="AI11" s="70">
        <f>+AI10*8</f>
        <v>59.716923076923067</v>
      </c>
      <c r="AJ11" s="70"/>
      <c r="AK11" s="70"/>
    </row>
    <row r="12" spans="1:51">
      <c r="A12" s="75" t="s">
        <v>126</v>
      </c>
      <c r="B12" s="74"/>
      <c r="C12" s="52"/>
      <c r="E12" s="52">
        <v>27</v>
      </c>
      <c r="I12" s="52">
        <v>22.03</v>
      </c>
      <c r="J12" s="74"/>
      <c r="K12" s="52">
        <v>37.26</v>
      </c>
      <c r="L12" s="74"/>
      <c r="M12" s="70"/>
      <c r="N12" s="70"/>
      <c r="O12" s="52">
        <v>63.84</v>
      </c>
      <c r="P12" s="66"/>
      <c r="Q12" s="52"/>
      <c r="R12" s="52"/>
      <c r="S12" s="52"/>
      <c r="T12" s="74"/>
      <c r="U12" s="52">
        <v>22.08</v>
      </c>
      <c r="V12" s="70"/>
      <c r="W12" s="52">
        <v>97.29</v>
      </c>
      <c r="AA12" s="52">
        <v>24.32</v>
      </c>
      <c r="AF12" s="74"/>
      <c r="AG12" s="74"/>
      <c r="AH12" s="70">
        <f>(E12+I12+K12+U12+AA12)/5</f>
        <v>26.538</v>
      </c>
      <c r="AI12" s="70">
        <f>+AI11+AI8</f>
        <v>80.929230769230756</v>
      </c>
      <c r="AJ12" s="70"/>
      <c r="AK12" s="70"/>
      <c r="AL12" s="64">
        <v>1.4</v>
      </c>
      <c r="AM12" s="142">
        <f>+U12/U8</f>
        <v>1.4535878867676102</v>
      </c>
    </row>
    <row r="13" spans="1:51">
      <c r="B13" s="66"/>
      <c r="E13" s="253">
        <f>+E12/E8</f>
        <v>1.1134020618556701</v>
      </c>
      <c r="I13" s="253">
        <f>+I12/I8</f>
        <v>1.8221670802315966</v>
      </c>
      <c r="O13" s="253">
        <f>+O12/O8</f>
        <v>1.9655172413793107</v>
      </c>
      <c r="P13" s="74"/>
      <c r="Q13" s="52"/>
      <c r="R13" s="52"/>
      <c r="S13" s="52"/>
      <c r="U13" s="253">
        <f>+U12/U8</f>
        <v>1.4535878867676102</v>
      </c>
      <c r="AA13" s="253">
        <f>+AA12/AA8</f>
        <v>2.502057613168724</v>
      </c>
    </row>
    <row r="14" spans="1:51">
      <c r="A14" s="64" t="s">
        <v>121</v>
      </c>
      <c r="B14" s="66"/>
    </row>
    <row r="15" spans="1:51">
      <c r="A15" s="66" t="s">
        <v>113</v>
      </c>
      <c r="B15" s="66"/>
      <c r="D15" s="270"/>
      <c r="E15" s="270"/>
      <c r="N15" s="270" t="s">
        <v>125</v>
      </c>
      <c r="O15" s="270"/>
      <c r="V15" s="270" t="s">
        <v>125</v>
      </c>
      <c r="W15" s="270"/>
    </row>
    <row r="16" spans="1:51">
      <c r="A16" s="66" t="s">
        <v>114</v>
      </c>
      <c r="B16" s="66"/>
      <c r="C16" s="36">
        <v>21</v>
      </c>
      <c r="D16" s="68"/>
      <c r="E16" s="52">
        <v>24.35</v>
      </c>
      <c r="F16" s="68"/>
      <c r="G16" s="52">
        <v>27.53</v>
      </c>
      <c r="H16" s="68"/>
      <c r="I16" s="52">
        <v>12.09</v>
      </c>
      <c r="J16" s="68"/>
      <c r="K16" s="36">
        <v>16.14</v>
      </c>
      <c r="L16" s="68"/>
      <c r="M16" s="52">
        <v>23.27</v>
      </c>
      <c r="N16" s="68"/>
      <c r="O16" s="36">
        <v>32.479999999999997</v>
      </c>
      <c r="P16" s="68"/>
      <c r="Q16" s="36">
        <v>14.54</v>
      </c>
      <c r="R16" s="68"/>
      <c r="S16" s="36">
        <v>43.6</v>
      </c>
      <c r="T16" s="68"/>
      <c r="U16" s="52">
        <v>15.19</v>
      </c>
      <c r="V16" s="68"/>
      <c r="W16" s="36">
        <v>62.06</v>
      </c>
      <c r="X16" s="68"/>
      <c r="Y16" s="36">
        <v>26.37</v>
      </c>
      <c r="Z16" s="68"/>
      <c r="AA16" s="67"/>
      <c r="AC16" s="36">
        <v>12.63</v>
      </c>
      <c r="AD16" s="68"/>
      <c r="AE16" s="36">
        <v>13.09</v>
      </c>
      <c r="AF16" s="68"/>
      <c r="AG16" s="68"/>
      <c r="AH16" s="68"/>
      <c r="AI16" s="67"/>
      <c r="AJ16" s="67"/>
      <c r="AK16" s="67"/>
      <c r="AL16" s="64">
        <v>1</v>
      </c>
      <c r="AM16" s="108">
        <f>+C16/C$16</f>
        <v>1</v>
      </c>
      <c r="AO16" s="108">
        <f>+E16/E$16</f>
        <v>1</v>
      </c>
      <c r="AQ16" s="108">
        <f>+G16/G$16</f>
        <v>1</v>
      </c>
      <c r="AS16" s="108">
        <f>+I16/I$16</f>
        <v>1</v>
      </c>
      <c r="AU16" s="108">
        <f>+K16/K$16</f>
        <v>1</v>
      </c>
      <c r="AW16" s="108">
        <f>+M16/M$16</f>
        <v>1</v>
      </c>
      <c r="AY16" s="108">
        <f>+U16/U$16</f>
        <v>1</v>
      </c>
    </row>
    <row r="17" spans="1:51">
      <c r="A17" s="66" t="s">
        <v>115</v>
      </c>
      <c r="B17" s="66"/>
      <c r="C17" s="36">
        <v>31.49</v>
      </c>
      <c r="D17" s="68"/>
      <c r="F17" s="68"/>
      <c r="G17" s="52">
        <v>41.29</v>
      </c>
      <c r="H17" s="68"/>
      <c r="I17" s="52">
        <v>18.149999999999999</v>
      </c>
      <c r="J17" s="68"/>
      <c r="L17" s="68"/>
      <c r="N17" s="68"/>
      <c r="P17" s="68"/>
      <c r="Q17" s="36">
        <v>21.44</v>
      </c>
      <c r="R17" s="68"/>
      <c r="T17" s="68"/>
      <c r="U17" s="52">
        <v>22.77</v>
      </c>
      <c r="V17" s="68"/>
      <c r="X17" s="68"/>
      <c r="Z17" s="68"/>
      <c r="AA17" s="67"/>
      <c r="AC17" s="36">
        <v>18.920000000000002</v>
      </c>
      <c r="AD17" s="68"/>
      <c r="AF17" s="68"/>
      <c r="AG17" s="68"/>
      <c r="AH17" s="68"/>
      <c r="AL17" s="64">
        <v>1.5</v>
      </c>
      <c r="AM17" s="108">
        <f t="shared" ref="AM17:AW25" si="0">+C17/C$16</f>
        <v>1.4995238095238095</v>
      </c>
      <c r="AO17" s="108">
        <f t="shared" si="0"/>
        <v>0</v>
      </c>
      <c r="AQ17" s="108">
        <f t="shared" si="0"/>
        <v>1.4998183799491462</v>
      </c>
      <c r="AS17" s="108">
        <f t="shared" si="0"/>
        <v>1.5012406947890817</v>
      </c>
      <c r="AU17" s="108">
        <f t="shared" si="0"/>
        <v>0</v>
      </c>
      <c r="AW17" s="108">
        <f t="shared" si="0"/>
        <v>0</v>
      </c>
      <c r="AY17" s="108">
        <f t="shared" ref="AY17:AY25" si="1">+U17/U$16</f>
        <v>1.4990125082290982</v>
      </c>
    </row>
    <row r="18" spans="1:51">
      <c r="A18" s="66" t="s">
        <v>116</v>
      </c>
      <c r="B18" s="66"/>
      <c r="C18" s="36">
        <v>52.54</v>
      </c>
      <c r="D18" s="68"/>
      <c r="E18" s="52">
        <v>60.86</v>
      </c>
      <c r="F18" s="68"/>
      <c r="G18" s="52">
        <v>68.81</v>
      </c>
      <c r="H18" s="68"/>
      <c r="I18" s="52">
        <v>30.24</v>
      </c>
      <c r="J18" s="68"/>
      <c r="K18" s="36">
        <v>40.31</v>
      </c>
      <c r="L18" s="68"/>
      <c r="M18" s="52">
        <v>58.21</v>
      </c>
      <c r="N18" s="68"/>
      <c r="O18" s="36">
        <v>83.32</v>
      </c>
      <c r="P18" s="68"/>
      <c r="Q18" s="36">
        <v>35.4</v>
      </c>
      <c r="R18" s="68"/>
      <c r="S18" s="36">
        <v>109</v>
      </c>
      <c r="T18" s="68"/>
      <c r="U18" s="52">
        <v>37.96</v>
      </c>
      <c r="V18" s="68"/>
      <c r="W18" s="36">
        <v>155.13</v>
      </c>
      <c r="X18" s="68"/>
      <c r="Y18" s="36">
        <v>65.95</v>
      </c>
      <c r="Z18" s="68"/>
      <c r="AA18" s="67"/>
      <c r="AC18" s="36">
        <v>31.54</v>
      </c>
      <c r="AD18" s="68"/>
      <c r="AE18" s="36">
        <v>32.72</v>
      </c>
      <c r="AF18" s="68"/>
      <c r="AG18" s="68"/>
      <c r="AH18" s="68"/>
      <c r="AI18" s="67"/>
      <c r="AJ18" s="67"/>
      <c r="AK18" s="67"/>
      <c r="AL18" s="64">
        <v>2.5</v>
      </c>
      <c r="AM18" s="108">
        <f t="shared" si="0"/>
        <v>2.5019047619047621</v>
      </c>
      <c r="AO18" s="108">
        <f t="shared" si="0"/>
        <v>2.499383983572895</v>
      </c>
      <c r="AQ18" s="108">
        <f t="shared" si="0"/>
        <v>2.4994551398474392</v>
      </c>
      <c r="AS18" s="108">
        <f t="shared" si="0"/>
        <v>2.501240694789082</v>
      </c>
      <c r="AU18" s="108">
        <f t="shared" si="0"/>
        <v>2.4975216852540272</v>
      </c>
      <c r="AW18" s="108">
        <f t="shared" si="0"/>
        <v>2.501504082509669</v>
      </c>
      <c r="AY18" s="108">
        <f t="shared" si="1"/>
        <v>2.4990125082290984</v>
      </c>
    </row>
    <row r="19" spans="1:51">
      <c r="A19" s="66" t="s">
        <v>117</v>
      </c>
      <c r="B19" s="66"/>
      <c r="C19" s="36">
        <v>105.04</v>
      </c>
      <c r="D19" s="68"/>
      <c r="E19" s="52">
        <v>121.72</v>
      </c>
      <c r="F19" s="68"/>
      <c r="G19" s="52">
        <v>137.61000000000001</v>
      </c>
      <c r="H19" s="68"/>
      <c r="I19" s="52">
        <v>60.47</v>
      </c>
      <c r="J19" s="68"/>
      <c r="K19" s="36">
        <v>80.62</v>
      </c>
      <c r="L19" s="68"/>
      <c r="M19" s="52">
        <v>116.4</v>
      </c>
      <c r="N19" s="68"/>
      <c r="O19" s="36">
        <v>187.46</v>
      </c>
      <c r="P19" s="68"/>
      <c r="Q19" s="36">
        <v>71.55</v>
      </c>
      <c r="R19" s="68"/>
      <c r="S19" s="52">
        <v>218</v>
      </c>
      <c r="T19" s="68"/>
      <c r="U19" s="52">
        <v>75.92</v>
      </c>
      <c r="V19" s="68"/>
      <c r="W19" s="36">
        <v>310.27999999999997</v>
      </c>
      <c r="X19" s="68"/>
      <c r="Y19" s="36">
        <v>131.88</v>
      </c>
      <c r="Z19" s="68"/>
      <c r="AA19" s="67"/>
      <c r="AC19" s="36">
        <v>63.08</v>
      </c>
      <c r="AD19" s="68"/>
      <c r="AE19" s="36">
        <v>65.459999999999994</v>
      </c>
      <c r="AF19" s="68"/>
      <c r="AG19" s="68"/>
      <c r="AH19" s="68"/>
      <c r="AI19" s="67"/>
      <c r="AJ19" s="67"/>
      <c r="AK19" s="67"/>
      <c r="AL19" s="64">
        <v>5</v>
      </c>
      <c r="AM19" s="108">
        <f t="shared" si="0"/>
        <v>5.0019047619047621</v>
      </c>
      <c r="AO19" s="108">
        <f t="shared" si="0"/>
        <v>4.9987679671457901</v>
      </c>
      <c r="AQ19" s="108">
        <f t="shared" si="0"/>
        <v>4.9985470395931717</v>
      </c>
      <c r="AS19" s="108">
        <f t="shared" si="0"/>
        <v>5.0016542597187756</v>
      </c>
      <c r="AU19" s="108">
        <f t="shared" si="0"/>
        <v>4.9950433705080544</v>
      </c>
      <c r="AW19" s="108">
        <f t="shared" si="0"/>
        <v>5.0021486892995277</v>
      </c>
      <c r="AY19" s="108">
        <f t="shared" si="1"/>
        <v>4.9980250164581967</v>
      </c>
    </row>
    <row r="20" spans="1:51">
      <c r="A20" s="66" t="s">
        <v>69</v>
      </c>
      <c r="B20" s="66"/>
      <c r="C20" s="36">
        <v>168.07</v>
      </c>
      <c r="D20" s="68"/>
      <c r="E20" s="52">
        <v>194.74</v>
      </c>
      <c r="F20" s="68"/>
      <c r="G20" s="52">
        <v>220.19</v>
      </c>
      <c r="H20" s="68"/>
      <c r="I20" s="52">
        <v>96.76</v>
      </c>
      <c r="J20" s="68"/>
      <c r="K20" s="36">
        <v>128.53</v>
      </c>
      <c r="L20" s="68"/>
      <c r="M20" s="52">
        <v>186.25</v>
      </c>
      <c r="N20" s="68"/>
      <c r="O20" s="36">
        <v>333.25</v>
      </c>
      <c r="P20" s="68"/>
      <c r="Q20" s="36">
        <v>113.26</v>
      </c>
      <c r="R20" s="68"/>
      <c r="S20" s="52">
        <v>348.8</v>
      </c>
      <c r="T20" s="68"/>
      <c r="U20" s="52">
        <v>121.46</v>
      </c>
      <c r="V20" s="68"/>
      <c r="W20" s="36">
        <v>496.44</v>
      </c>
      <c r="X20" s="68"/>
      <c r="Y20" s="36">
        <v>211.02</v>
      </c>
      <c r="Z20" s="68"/>
      <c r="AA20" s="67"/>
      <c r="AC20" s="36">
        <v>100.92</v>
      </c>
      <c r="AD20" s="68"/>
      <c r="AE20" s="36">
        <v>104.74</v>
      </c>
      <c r="AF20" s="68"/>
      <c r="AG20" s="68"/>
      <c r="AH20" s="68"/>
      <c r="AI20" s="67"/>
      <c r="AJ20" s="67"/>
      <c r="AK20" s="67"/>
      <c r="AL20" s="64">
        <v>8</v>
      </c>
      <c r="AM20" s="108">
        <f t="shared" si="0"/>
        <v>8.0033333333333339</v>
      </c>
      <c r="AO20" s="108">
        <f t="shared" si="0"/>
        <v>7.9975359342915811</v>
      </c>
      <c r="AQ20" s="108">
        <f t="shared" si="0"/>
        <v>7.9981837994914633</v>
      </c>
      <c r="AS20" s="108">
        <f t="shared" si="0"/>
        <v>8.0033085194375531</v>
      </c>
      <c r="AU20" s="108">
        <f t="shared" si="0"/>
        <v>7.9634448574969019</v>
      </c>
      <c r="AW20" s="108">
        <f t="shared" si="0"/>
        <v>8.0038676407391485</v>
      </c>
      <c r="AY20" s="108">
        <f t="shared" si="1"/>
        <v>7.9960500329163926</v>
      </c>
    </row>
    <row r="21" spans="1:51">
      <c r="A21" s="66" t="s">
        <v>70</v>
      </c>
      <c r="B21" s="66"/>
      <c r="C21" s="36">
        <v>336.15</v>
      </c>
      <c r="D21" s="68"/>
      <c r="E21" s="52">
        <v>389.49</v>
      </c>
      <c r="F21" s="68"/>
      <c r="G21" s="52">
        <v>440.38</v>
      </c>
      <c r="H21" s="68"/>
      <c r="I21" s="52">
        <v>193.54</v>
      </c>
      <c r="J21" s="68"/>
      <c r="K21" s="36">
        <v>257.97000000000003</v>
      </c>
      <c r="L21" s="68"/>
      <c r="M21" s="52">
        <v>372.5</v>
      </c>
      <c r="N21" s="68"/>
      <c r="O21" s="36">
        <v>750.02</v>
      </c>
      <c r="P21" s="68"/>
      <c r="Q21" s="36">
        <v>229.2</v>
      </c>
      <c r="R21" s="68"/>
      <c r="S21" s="36">
        <v>697.6</v>
      </c>
      <c r="T21" s="68"/>
      <c r="U21" s="52">
        <v>242.93</v>
      </c>
      <c r="V21" s="68"/>
      <c r="W21" s="36">
        <v>992.89</v>
      </c>
      <c r="X21" s="68"/>
      <c r="Y21" s="36">
        <v>422.03</v>
      </c>
      <c r="Z21" s="68"/>
      <c r="AA21" s="67"/>
      <c r="AC21" s="36">
        <v>201.83</v>
      </c>
      <c r="AD21" s="68"/>
      <c r="AE21" s="36">
        <v>209.48</v>
      </c>
      <c r="AF21" s="68"/>
      <c r="AG21" s="68"/>
      <c r="AH21" s="68"/>
      <c r="AI21" s="67"/>
      <c r="AJ21" s="67"/>
      <c r="AK21" s="67"/>
      <c r="AL21" s="64">
        <v>16</v>
      </c>
      <c r="AM21" s="108">
        <f t="shared" si="0"/>
        <v>16.007142857142856</v>
      </c>
      <c r="AO21" s="108">
        <f t="shared" si="0"/>
        <v>15.995482546201231</v>
      </c>
      <c r="AQ21" s="108">
        <f t="shared" si="0"/>
        <v>15.996367598982927</v>
      </c>
      <c r="AS21" s="108">
        <f t="shared" si="0"/>
        <v>16.008271298593879</v>
      </c>
      <c r="AU21" s="108">
        <f t="shared" si="0"/>
        <v>15.983271375464685</v>
      </c>
      <c r="AW21" s="108">
        <f t="shared" si="0"/>
        <v>16.007735281478297</v>
      </c>
      <c r="AY21" s="108">
        <f t="shared" si="1"/>
        <v>15.992758393680054</v>
      </c>
    </row>
    <row r="22" spans="1:51">
      <c r="A22" s="66" t="s">
        <v>71</v>
      </c>
      <c r="B22" s="66"/>
      <c r="C22" s="36">
        <v>525.23</v>
      </c>
      <c r="D22" s="68"/>
      <c r="E22" s="52">
        <v>608.57000000000005</v>
      </c>
      <c r="F22" s="68"/>
      <c r="G22" s="52">
        <v>688.07</v>
      </c>
      <c r="H22" s="68"/>
      <c r="I22" s="52">
        <v>302.39999999999998</v>
      </c>
      <c r="J22" s="68"/>
      <c r="K22" s="52"/>
      <c r="L22" s="68"/>
      <c r="M22" s="52">
        <v>582.03</v>
      </c>
      <c r="N22" s="68"/>
      <c r="O22" s="36">
        <v>1333.02</v>
      </c>
      <c r="P22" s="68"/>
      <c r="Q22" s="36">
        <v>353.95</v>
      </c>
      <c r="R22" s="68"/>
      <c r="S22" s="78">
        <v>1090</v>
      </c>
      <c r="T22" s="68"/>
      <c r="U22" s="52">
        <v>379.58</v>
      </c>
      <c r="V22" s="68"/>
      <c r="W22" s="36">
        <v>1551.36</v>
      </c>
      <c r="X22" s="68"/>
      <c r="Y22" s="36">
        <v>659.44</v>
      </c>
      <c r="Z22" s="68"/>
      <c r="AA22" s="67"/>
      <c r="AC22" s="36">
        <v>315.38</v>
      </c>
      <c r="AD22" s="68"/>
      <c r="AE22" s="36">
        <v>327.31</v>
      </c>
      <c r="AF22" s="68"/>
      <c r="AG22" s="68"/>
      <c r="AH22" s="68"/>
      <c r="AI22" s="67"/>
      <c r="AJ22" s="67"/>
      <c r="AK22" s="67"/>
      <c r="AL22" s="64">
        <v>25</v>
      </c>
      <c r="AM22" s="108">
        <f t="shared" si="0"/>
        <v>25.010952380952382</v>
      </c>
      <c r="AO22" s="108">
        <f t="shared" si="0"/>
        <v>24.992607802874744</v>
      </c>
      <c r="AQ22" s="108">
        <f t="shared" si="0"/>
        <v>24.993461678169272</v>
      </c>
      <c r="AS22" s="108">
        <f t="shared" si="0"/>
        <v>25.012406947890817</v>
      </c>
      <c r="AU22" s="108">
        <f t="shared" si="0"/>
        <v>0</v>
      </c>
      <c r="AW22" s="108">
        <f t="shared" si="0"/>
        <v>25.012032660077352</v>
      </c>
      <c r="AY22" s="108">
        <f t="shared" si="1"/>
        <v>24.988808426596446</v>
      </c>
    </row>
    <row r="23" spans="1:51">
      <c r="A23" s="66" t="s">
        <v>72</v>
      </c>
      <c r="B23" s="66"/>
      <c r="C23" s="36">
        <v>1050.45</v>
      </c>
      <c r="D23" s="68"/>
      <c r="E23" s="52">
        <v>1217.1500000000001</v>
      </c>
      <c r="F23" s="68"/>
      <c r="G23" s="52">
        <v>1376.14</v>
      </c>
      <c r="H23" s="68"/>
      <c r="I23" s="52">
        <v>604.79999999999995</v>
      </c>
      <c r="J23" s="68"/>
      <c r="L23" s="68"/>
      <c r="M23" s="52">
        <v>1164.08</v>
      </c>
      <c r="N23" s="68"/>
      <c r="O23" s="36">
        <v>2999.72</v>
      </c>
      <c r="P23" s="68"/>
      <c r="Q23" s="36">
        <v>715.76</v>
      </c>
      <c r="R23" s="68"/>
      <c r="S23" s="36">
        <v>2180</v>
      </c>
      <c r="T23" s="68"/>
      <c r="U23" s="52">
        <v>759.15</v>
      </c>
      <c r="V23" s="68"/>
      <c r="W23" s="36">
        <v>3102.73</v>
      </c>
      <c r="X23" s="68"/>
      <c r="Y23" s="36">
        <v>1318.88</v>
      </c>
      <c r="Z23" s="68"/>
      <c r="AA23" s="67"/>
      <c r="AC23" s="36">
        <v>630.77</v>
      </c>
      <c r="AD23" s="68"/>
      <c r="AE23" s="36">
        <v>654.61</v>
      </c>
      <c r="AF23" s="68"/>
      <c r="AG23" s="68"/>
      <c r="AH23" s="68"/>
      <c r="AI23" s="67"/>
      <c r="AJ23" s="67"/>
      <c r="AK23" s="67"/>
      <c r="AL23" s="64">
        <v>50</v>
      </c>
      <c r="AM23" s="108">
        <f t="shared" si="0"/>
        <v>50.021428571428572</v>
      </c>
      <c r="AO23" s="108">
        <f t="shared" si="0"/>
        <v>49.985626283367559</v>
      </c>
      <c r="AQ23" s="108">
        <f t="shared" si="0"/>
        <v>49.986923356338544</v>
      </c>
      <c r="AS23" s="108">
        <f t="shared" si="0"/>
        <v>50.024813895781634</v>
      </c>
      <c r="AU23" s="108">
        <f t="shared" si="0"/>
        <v>0</v>
      </c>
      <c r="AW23" s="108">
        <f t="shared" si="0"/>
        <v>50.024924795874512</v>
      </c>
      <c r="AY23" s="108">
        <f t="shared" si="1"/>
        <v>49.976958525345623</v>
      </c>
    </row>
    <row r="24" spans="1:51">
      <c r="A24" s="66" t="s">
        <v>73</v>
      </c>
      <c r="B24" s="66"/>
      <c r="C24" s="52"/>
      <c r="E24" s="52"/>
      <c r="G24" s="52">
        <v>2201.84</v>
      </c>
      <c r="H24" s="68"/>
      <c r="I24" s="52"/>
      <c r="M24" s="52">
        <v>2095.3200000000002</v>
      </c>
      <c r="N24" s="68"/>
      <c r="O24" s="52"/>
      <c r="Q24" s="52"/>
      <c r="R24" s="52"/>
      <c r="S24" s="36"/>
      <c r="U24" s="52">
        <v>1214.6500000000001</v>
      </c>
      <c r="V24" s="68"/>
      <c r="W24" s="52"/>
      <c r="AA24" s="71"/>
      <c r="AC24" s="52"/>
      <c r="AL24" s="64">
        <v>80</v>
      </c>
      <c r="AM24" s="108">
        <f t="shared" si="0"/>
        <v>0</v>
      </c>
      <c r="AO24" s="108">
        <f t="shared" si="0"/>
        <v>0</v>
      </c>
      <c r="AQ24" s="108">
        <f t="shared" si="0"/>
        <v>79.979658554304393</v>
      </c>
      <c r="AS24" s="108">
        <f t="shared" si="0"/>
        <v>0</v>
      </c>
      <c r="AU24" s="108">
        <f t="shared" si="0"/>
        <v>0</v>
      </c>
      <c r="AW24" s="108">
        <f t="shared" si="0"/>
        <v>90.043833261710361</v>
      </c>
      <c r="AY24" s="108">
        <f t="shared" si="1"/>
        <v>79.963791968400272</v>
      </c>
    </row>
    <row r="25" spans="1:51">
      <c r="A25" s="66" t="s">
        <v>74</v>
      </c>
      <c r="B25" s="66"/>
      <c r="G25" s="52"/>
      <c r="M25" s="52">
        <v>3373.83</v>
      </c>
      <c r="N25" s="68"/>
      <c r="V25" s="68"/>
      <c r="AL25" s="64">
        <v>145</v>
      </c>
      <c r="AW25" s="108">
        <f t="shared" si="0"/>
        <v>144.98624838848303</v>
      </c>
      <c r="AY25" s="108">
        <f t="shared" si="1"/>
        <v>0</v>
      </c>
    </row>
    <row r="26" spans="1:51">
      <c r="B26" s="66"/>
      <c r="V26" s="68"/>
    </row>
    <row r="27" spans="1:51">
      <c r="A27" s="66" t="s">
        <v>119</v>
      </c>
      <c r="C27" s="36">
        <v>8.49</v>
      </c>
      <c r="D27" s="66"/>
      <c r="E27" s="52">
        <v>6.69</v>
      </c>
      <c r="F27" s="66"/>
      <c r="G27" s="52">
        <v>23.29</v>
      </c>
      <c r="H27" s="66"/>
      <c r="I27" s="36">
        <v>6.68</v>
      </c>
      <c r="J27" s="66"/>
      <c r="K27" s="52">
        <v>3.01</v>
      </c>
      <c r="L27" s="66"/>
      <c r="M27" s="36">
        <v>5.0999999999999996</v>
      </c>
      <c r="N27" s="66"/>
      <c r="O27" s="36">
        <v>4</v>
      </c>
      <c r="P27" s="66"/>
      <c r="Q27" s="36">
        <v>5.63</v>
      </c>
      <c r="R27" s="66"/>
      <c r="S27" s="36">
        <v>19.690000000000001</v>
      </c>
      <c r="T27" s="66"/>
      <c r="U27" s="36">
        <v>2.27</v>
      </c>
      <c r="V27" s="66"/>
      <c r="W27" s="36">
        <v>3.58</v>
      </c>
      <c r="X27" s="66"/>
      <c r="Y27" s="36">
        <v>3.37</v>
      </c>
      <c r="Z27" s="66"/>
      <c r="AA27" s="70"/>
      <c r="AB27" s="66"/>
      <c r="AC27" s="36">
        <v>14.22</v>
      </c>
      <c r="AD27" s="66"/>
      <c r="AE27" s="36">
        <v>9.74</v>
      </c>
      <c r="AF27" s="66"/>
      <c r="AG27" s="163"/>
      <c r="AH27" s="126"/>
      <c r="AI27" s="259">
        <f>(C27+E27+G27+I27+M27+O27+Q27+S27+U27+Y27+AA27+AC27+AE27)/13</f>
        <v>8.3976923076923082</v>
      </c>
      <c r="AJ27" s="70">
        <f>+AI27/AI10</f>
        <v>1.1250000000000002</v>
      </c>
      <c r="AK27" s="70"/>
      <c r="AM27" s="64">
        <f>AI27/AI10</f>
        <v>1.1250000000000002</v>
      </c>
    </row>
    <row r="28" spans="1:51">
      <c r="B28" s="66"/>
      <c r="C28" s="36"/>
      <c r="D28" s="66"/>
      <c r="E28" s="52"/>
      <c r="F28" s="66"/>
      <c r="G28" s="52"/>
      <c r="H28" s="66"/>
      <c r="I28" s="36"/>
      <c r="J28" s="66"/>
      <c r="K28" s="52"/>
      <c r="L28" s="66"/>
      <c r="M28" s="36"/>
      <c r="N28" s="66"/>
      <c r="O28" s="36"/>
      <c r="P28" s="66"/>
      <c r="Q28" s="36"/>
      <c r="R28" s="36"/>
      <c r="S28" s="36"/>
      <c r="T28" s="66"/>
      <c r="V28" s="68"/>
      <c r="W28" s="66"/>
      <c r="X28" s="66"/>
      <c r="Y28" s="70"/>
      <c r="Z28" s="66"/>
      <c r="AA28" s="70"/>
      <c r="AB28" s="66"/>
      <c r="AC28" s="70"/>
      <c r="AD28" s="66"/>
      <c r="AE28" s="70"/>
      <c r="AF28" s="66"/>
      <c r="AG28" s="163"/>
      <c r="AH28" s="126"/>
      <c r="AI28" s="70"/>
      <c r="AJ28" s="70"/>
      <c r="AK28" s="70"/>
    </row>
    <row r="29" spans="1:51">
      <c r="A29" s="75" t="s">
        <v>134</v>
      </c>
      <c r="B29" s="66"/>
      <c r="C29" s="36"/>
      <c r="D29" s="66"/>
      <c r="E29" s="52"/>
      <c r="F29" s="66"/>
      <c r="G29" s="52"/>
      <c r="H29" s="66"/>
      <c r="I29" s="36"/>
      <c r="J29" s="66"/>
      <c r="K29" s="52"/>
      <c r="L29" s="66"/>
      <c r="M29" s="36"/>
      <c r="N29" s="66"/>
      <c r="O29" s="36"/>
      <c r="P29" s="66"/>
      <c r="Q29" s="36"/>
      <c r="R29" s="36"/>
      <c r="S29" s="36"/>
      <c r="T29" s="66"/>
      <c r="U29" s="36">
        <v>26.22</v>
      </c>
      <c r="V29" s="68"/>
      <c r="W29" s="66"/>
      <c r="X29" s="66"/>
      <c r="Y29" s="70"/>
      <c r="Z29" s="66"/>
      <c r="AA29" s="70"/>
      <c r="AB29" s="66"/>
      <c r="AC29" s="70"/>
      <c r="AD29" s="66"/>
      <c r="AE29" s="70"/>
      <c r="AF29" s="66"/>
      <c r="AG29" s="163"/>
      <c r="AH29" s="126"/>
      <c r="AI29" s="70"/>
      <c r="AJ29" s="70"/>
      <c r="AK29" s="70"/>
      <c r="AL29" s="64">
        <v>1.75</v>
      </c>
      <c r="AM29" s="64">
        <f>+U29/U16</f>
        <v>1.7261356155365373</v>
      </c>
    </row>
    <row r="30" spans="1:51">
      <c r="B30" s="66"/>
      <c r="V30" s="68"/>
    </row>
    <row r="31" spans="1:51">
      <c r="A31" s="64" t="s">
        <v>128</v>
      </c>
      <c r="C31" s="125"/>
      <c r="E31" s="125"/>
      <c r="G31" s="125"/>
      <c r="I31" s="153" t="s">
        <v>107</v>
      </c>
      <c r="K31" s="125"/>
      <c r="M31" s="153" t="s">
        <v>108</v>
      </c>
      <c r="N31" s="125"/>
      <c r="O31" s="125"/>
      <c r="Q31" s="154" t="s">
        <v>138</v>
      </c>
      <c r="R31" s="125"/>
      <c r="S31" s="125"/>
      <c r="U31" s="153" t="s">
        <v>109</v>
      </c>
      <c r="W31" s="125"/>
      <c r="Y31" s="125"/>
      <c r="AA31" s="125"/>
      <c r="AC31" s="125"/>
      <c r="AE31" s="125"/>
    </row>
    <row r="32" spans="1:51">
      <c r="A32" s="126" t="s">
        <v>223</v>
      </c>
      <c r="H32" s="66"/>
      <c r="I32" s="52">
        <v>405.84</v>
      </c>
      <c r="AI32" s="70">
        <f>+I10</f>
        <v>5.57</v>
      </c>
    </row>
    <row r="33" spans="1:35">
      <c r="A33" s="66" t="s">
        <v>174</v>
      </c>
      <c r="H33" s="66"/>
      <c r="I33" s="36">
        <v>5.35</v>
      </c>
      <c r="AI33" s="70">
        <f>+I33</f>
        <v>5.35</v>
      </c>
    </row>
    <row r="34" spans="1:35">
      <c r="AI34" s="261">
        <f>+AI33/AI32</f>
        <v>0.96050269299820457</v>
      </c>
    </row>
    <row r="35" spans="1:35">
      <c r="A35" s="64" t="s">
        <v>131</v>
      </c>
    </row>
    <row r="36" spans="1:35">
      <c r="A36" s="126" t="s">
        <v>223</v>
      </c>
      <c r="L36" s="66"/>
      <c r="M36" s="52">
        <v>7.38</v>
      </c>
      <c r="Q36" s="52">
        <v>0</v>
      </c>
      <c r="R36" s="52"/>
      <c r="S36" s="52"/>
      <c r="T36" s="66"/>
      <c r="U36" s="52">
        <v>4.7</v>
      </c>
      <c r="AI36" s="262">
        <f>+M10+Q10+U10</f>
        <v>10.810000000000002</v>
      </c>
    </row>
    <row r="37" spans="1:35">
      <c r="A37" s="126" t="s">
        <v>174</v>
      </c>
      <c r="L37" s="66"/>
      <c r="M37" s="36">
        <v>1.1000000000000001</v>
      </c>
      <c r="P37" s="66"/>
      <c r="Q37" s="36">
        <v>0.96</v>
      </c>
      <c r="R37" s="36"/>
      <c r="S37" s="36"/>
      <c r="T37" s="66"/>
      <c r="U37" s="36">
        <v>0.47</v>
      </c>
      <c r="AI37" s="260">
        <f>+M37+Q37+U37</f>
        <v>2.5300000000000002</v>
      </c>
    </row>
    <row r="38" spans="1:35">
      <c r="AI38" s="262">
        <f>+AI37/AI36</f>
        <v>0.23404255319148934</v>
      </c>
    </row>
  </sheetData>
  <mergeCells count="9">
    <mergeCell ref="V15:W15"/>
    <mergeCell ref="V11:W11"/>
    <mergeCell ref="D7:E7"/>
    <mergeCell ref="D11:E11"/>
    <mergeCell ref="D15:E15"/>
    <mergeCell ref="N15:O15"/>
    <mergeCell ref="N7:O7"/>
    <mergeCell ref="N11:O11"/>
    <mergeCell ref="N9:O9"/>
  </mergeCells>
  <printOptions horizontalCentered="1"/>
  <pageMargins left="0.2" right="0.2" top="0.75" bottom="0.2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tabSelected="1" zoomScaleNormal="100" workbookViewId="0">
      <selection activeCell="J15" sqref="J15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11.7109375" style="4" customWidth="1"/>
    <col min="9" max="9" width="2.7109375" style="4" customWidth="1"/>
    <col min="10" max="10" width="11.7109375" style="4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D1" s="1"/>
      <c r="E1" s="1"/>
      <c r="F1" s="1"/>
      <c r="G1" s="1"/>
      <c r="H1" s="3" t="s">
        <v>1</v>
      </c>
      <c r="J1" s="3"/>
    </row>
    <row r="2" spans="1:16">
      <c r="A2" s="1"/>
      <c r="B2" s="1"/>
      <c r="C2" s="2"/>
      <c r="D2" s="1"/>
      <c r="E2" s="1"/>
      <c r="F2" s="1"/>
      <c r="G2" s="1"/>
      <c r="H2" s="3"/>
      <c r="J2" s="3"/>
    </row>
    <row r="3" spans="1:16">
      <c r="A3" s="1" t="s">
        <v>144</v>
      </c>
      <c r="B3" s="1"/>
      <c r="C3" s="2"/>
      <c r="D3" s="1"/>
      <c r="E3" s="1"/>
      <c r="F3" s="1"/>
      <c r="G3" s="1"/>
      <c r="H3" s="3"/>
      <c r="J3" s="3"/>
    </row>
    <row r="4" spans="1:16">
      <c r="A4" s="1" t="s">
        <v>34</v>
      </c>
      <c r="B4" s="1"/>
      <c r="C4" s="2"/>
      <c r="D4" s="1"/>
      <c r="E4" s="1"/>
      <c r="F4" s="1"/>
      <c r="G4" s="1"/>
      <c r="H4" s="5"/>
      <c r="J4" s="3"/>
    </row>
    <row r="5" spans="1:16">
      <c r="A5" s="1" t="s">
        <v>4</v>
      </c>
      <c r="B5" s="1"/>
      <c r="C5" s="2"/>
      <c r="D5" s="1"/>
      <c r="E5" s="1"/>
      <c r="F5" s="1"/>
      <c r="G5" s="1"/>
      <c r="H5" s="3"/>
      <c r="J5" s="3"/>
    </row>
    <row r="6" spans="1:16">
      <c r="A6" s="1" t="s">
        <v>6</v>
      </c>
      <c r="B6" s="1"/>
      <c r="C6" s="2"/>
      <c r="D6" s="1"/>
      <c r="E6" s="1"/>
      <c r="F6" s="1"/>
      <c r="G6" s="1"/>
      <c r="H6" s="3"/>
      <c r="I6" s="3"/>
      <c r="J6" s="3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2"/>
      <c r="E10" s="12"/>
      <c r="F10" s="12"/>
      <c r="G10" s="13"/>
      <c r="H10" s="11"/>
      <c r="J10" s="11"/>
      <c r="K10" s="11"/>
      <c r="L10" s="11"/>
      <c r="M10" s="11"/>
      <c r="N10" s="11"/>
      <c r="P10" s="11"/>
    </row>
    <row r="11" spans="1:16">
      <c r="C11" s="2"/>
      <c r="D11" s="13"/>
      <c r="E11" s="1"/>
      <c r="F11" s="13"/>
      <c r="G11" s="1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13" t="s">
        <v>13</v>
      </c>
      <c r="E12" s="1"/>
      <c r="F12" s="13" t="s">
        <v>13</v>
      </c>
      <c r="G12" s="1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17" t="s">
        <v>19</v>
      </c>
      <c r="E13" s="17"/>
      <c r="F13" s="17" t="s">
        <v>20</v>
      </c>
      <c r="G13" s="17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  <c r="D14" s="20"/>
      <c r="E14" s="20"/>
      <c r="F14" s="20"/>
      <c r="H14" s="21"/>
      <c r="I14" s="21"/>
      <c r="J14" s="21"/>
    </row>
    <row r="15" spans="1:16">
      <c r="A15" s="13">
        <v>2</v>
      </c>
      <c r="B15" s="13">
        <v>68021</v>
      </c>
      <c r="C15" s="22" t="s">
        <v>22</v>
      </c>
      <c r="D15" s="23">
        <v>20.75</v>
      </c>
      <c r="E15" s="24"/>
      <c r="F15" s="25">
        <v>20.88</v>
      </c>
      <c r="G15" s="26"/>
      <c r="H15" s="135">
        <v>21</v>
      </c>
      <c r="I15" s="27"/>
      <c r="J15" s="135">
        <v>23.86</v>
      </c>
      <c r="L15" s="134">
        <f>J15/H15-1</f>
        <v>0.1361904761904762</v>
      </c>
      <c r="N15" s="135">
        <f>+'Sewer Rate Design'!I9</f>
        <v>25.47</v>
      </c>
      <c r="P15" s="134">
        <f>+N15/H15-1</f>
        <v>0.21285714285714286</v>
      </c>
    </row>
    <row r="16" spans="1:16">
      <c r="A16" s="13">
        <v>3</v>
      </c>
      <c r="B16" s="13"/>
      <c r="C16" s="4"/>
      <c r="D16" s="26"/>
      <c r="E16" s="24"/>
      <c r="F16" s="27"/>
      <c r="G16" s="26"/>
      <c r="I16" s="27"/>
    </row>
    <row r="17" spans="1:16">
      <c r="A17" s="13">
        <v>4</v>
      </c>
      <c r="B17" s="13"/>
      <c r="C17" s="28" t="s">
        <v>23</v>
      </c>
      <c r="D17" s="23">
        <v>7</v>
      </c>
      <c r="E17" s="24"/>
      <c r="F17" s="25">
        <v>7.04</v>
      </c>
      <c r="G17" s="26"/>
      <c r="H17" s="135">
        <v>7.08</v>
      </c>
      <c r="I17" s="27"/>
      <c r="J17" s="135">
        <v>8.0500000000000007</v>
      </c>
      <c r="L17" s="134">
        <f>J17/H17-1</f>
        <v>0.13700564971751428</v>
      </c>
    </row>
    <row r="18" spans="1:16">
      <c r="A18" s="13">
        <v>5</v>
      </c>
      <c r="B18" s="13"/>
      <c r="C18" s="28" t="str">
        <f>+'Sewer Rate Design'!B52</f>
        <v>0-8k</v>
      </c>
      <c r="D18" s="29"/>
      <c r="E18" s="24"/>
      <c r="F18" s="29"/>
      <c r="G18" s="26"/>
      <c r="H18" s="135"/>
      <c r="I18" s="27"/>
      <c r="J18" s="135"/>
      <c r="N18" s="135">
        <f>+'Sewer Rate Design'!I52</f>
        <v>4.91</v>
      </c>
      <c r="P18" s="134">
        <f>+N18/H17-1</f>
        <v>-0.30649717514124297</v>
      </c>
    </row>
    <row r="19" spans="1:16">
      <c r="A19" s="13">
        <v>6</v>
      </c>
      <c r="B19" s="13"/>
      <c r="C19" s="28"/>
      <c r="D19" s="29"/>
      <c r="E19" s="24"/>
      <c r="F19" s="29"/>
      <c r="G19" s="26"/>
      <c r="H19" s="135"/>
      <c r="I19" s="27"/>
      <c r="J19" s="135"/>
      <c r="N19" s="135"/>
      <c r="P19" s="134"/>
    </row>
    <row r="20" spans="1:16">
      <c r="A20" s="13">
        <v>7</v>
      </c>
      <c r="C20" s="30" t="s">
        <v>24</v>
      </c>
      <c r="D20" s="31"/>
      <c r="E20" s="31"/>
      <c r="F20" s="29"/>
      <c r="G20" s="32"/>
      <c r="I20" s="27"/>
    </row>
    <row r="21" spans="1:16">
      <c r="A21" s="13">
        <v>8</v>
      </c>
      <c r="B21" s="13">
        <v>68026</v>
      </c>
      <c r="C21" s="22" t="s">
        <v>25</v>
      </c>
      <c r="D21" s="23">
        <v>20.75</v>
      </c>
      <c r="E21" s="24"/>
      <c r="F21" s="23">
        <v>20.88</v>
      </c>
      <c r="G21" s="26"/>
      <c r="H21" s="135">
        <v>21</v>
      </c>
      <c r="I21" s="27"/>
      <c r="J21" s="135">
        <v>23.86</v>
      </c>
      <c r="L21" s="134">
        <f t="shared" ref="L21:L30" si="0">J21/H21-1</f>
        <v>0.1361904761904762</v>
      </c>
      <c r="N21" s="135">
        <f>+'Sewer Rate Design'!I12</f>
        <v>25.47</v>
      </c>
      <c r="P21" s="134">
        <f t="shared" ref="P21:P28" si="1">+N21/H21-1</f>
        <v>0.21285714285714286</v>
      </c>
    </row>
    <row r="22" spans="1:16">
      <c r="A22" s="13">
        <v>9</v>
      </c>
      <c r="B22" s="13">
        <v>68027</v>
      </c>
      <c r="C22" s="22" t="s">
        <v>26</v>
      </c>
      <c r="D22" s="23">
        <v>31.12</v>
      </c>
      <c r="E22" s="24"/>
      <c r="F22" s="34">
        <v>31.31</v>
      </c>
      <c r="G22" s="26"/>
      <c r="H22" s="135">
        <v>31.49</v>
      </c>
      <c r="I22" s="27"/>
      <c r="J22" s="135">
        <v>35.79</v>
      </c>
      <c r="L22" s="134">
        <f t="shared" si="0"/>
        <v>0.13655128612257861</v>
      </c>
      <c r="N22" s="135">
        <f>+'Sewer Rate Design'!I13</f>
        <v>38.21</v>
      </c>
      <c r="P22" s="134">
        <f t="shared" si="1"/>
        <v>0.21340107970784383</v>
      </c>
    </row>
    <row r="23" spans="1:16">
      <c r="A23" s="13">
        <v>10</v>
      </c>
      <c r="B23" s="13">
        <v>68028</v>
      </c>
      <c r="C23" s="22" t="s">
        <v>27</v>
      </c>
      <c r="D23" s="23">
        <v>51.91</v>
      </c>
      <c r="E23" s="24"/>
      <c r="F23" s="23">
        <v>52.23</v>
      </c>
      <c r="G23" s="26"/>
      <c r="H23" s="135">
        <v>52.54</v>
      </c>
      <c r="I23" s="27"/>
      <c r="J23" s="135">
        <v>59.71</v>
      </c>
      <c r="L23" s="134">
        <f t="shared" si="0"/>
        <v>0.1364674533688619</v>
      </c>
      <c r="N23" s="135">
        <f>+'Sewer Rate Design'!I14</f>
        <v>63.68</v>
      </c>
      <c r="P23" s="134">
        <f t="shared" si="1"/>
        <v>0.21202893033878945</v>
      </c>
    </row>
    <row r="24" spans="1:16">
      <c r="A24" s="13">
        <v>11</v>
      </c>
      <c r="B24" s="13">
        <v>68029</v>
      </c>
      <c r="C24" s="22" t="s">
        <v>28</v>
      </c>
      <c r="D24" s="23">
        <v>103.8</v>
      </c>
      <c r="E24" s="24"/>
      <c r="F24" s="23">
        <v>104.43</v>
      </c>
      <c r="G24" s="26"/>
      <c r="H24" s="135">
        <v>105.04</v>
      </c>
      <c r="I24" s="33"/>
      <c r="J24" s="135">
        <v>119.37</v>
      </c>
      <c r="L24" s="134">
        <f t="shared" si="0"/>
        <v>0.13642421934501137</v>
      </c>
      <c r="N24" s="135">
        <f>+'Sewer Rate Design'!I15</f>
        <v>127.37</v>
      </c>
      <c r="P24" s="134">
        <f t="shared" si="1"/>
        <v>0.21258568164508751</v>
      </c>
    </row>
    <row r="25" spans="1:16">
      <c r="A25" s="13">
        <v>12</v>
      </c>
      <c r="B25" s="13">
        <v>68030</v>
      </c>
      <c r="C25" s="22" t="s">
        <v>29</v>
      </c>
      <c r="D25" s="23">
        <v>166.08</v>
      </c>
      <c r="E25" s="24"/>
      <c r="F25" s="25">
        <v>167.09</v>
      </c>
      <c r="G25" s="26"/>
      <c r="H25" s="135">
        <v>168.07</v>
      </c>
      <c r="I25" s="26"/>
      <c r="J25" s="135">
        <v>190.99</v>
      </c>
      <c r="L25" s="134">
        <f t="shared" si="0"/>
        <v>0.13637174986612721</v>
      </c>
      <c r="N25" s="135">
        <f>+'Sewer Rate Design'!I16</f>
        <v>203.79</v>
      </c>
      <c r="P25" s="134">
        <f t="shared" si="1"/>
        <v>0.21253049324686146</v>
      </c>
    </row>
    <row r="26" spans="1:16">
      <c r="A26" s="13">
        <v>13</v>
      </c>
      <c r="B26" s="13">
        <v>68031</v>
      </c>
      <c r="C26" s="22" t="s">
        <v>30</v>
      </c>
      <c r="D26" s="23">
        <v>332.16</v>
      </c>
      <c r="E26" s="24"/>
      <c r="F26" s="25">
        <v>334.19</v>
      </c>
      <c r="G26" s="26"/>
      <c r="H26" s="135">
        <v>336.15</v>
      </c>
      <c r="I26" s="27"/>
      <c r="J26" s="135">
        <v>382</v>
      </c>
      <c r="L26" s="134">
        <f t="shared" si="0"/>
        <v>0.13639744161832512</v>
      </c>
      <c r="N26" s="135">
        <f>+'Sewer Rate Design'!I17</f>
        <v>407.57</v>
      </c>
      <c r="P26" s="134">
        <f t="shared" si="1"/>
        <v>0.21246467350885023</v>
      </c>
    </row>
    <row r="27" spans="1:16">
      <c r="A27" s="13">
        <v>14</v>
      </c>
      <c r="B27" s="13">
        <v>68032</v>
      </c>
      <c r="C27" s="22" t="s">
        <v>31</v>
      </c>
      <c r="D27" s="23">
        <v>519</v>
      </c>
      <c r="E27" s="31"/>
      <c r="F27" s="34">
        <v>522.16999999999996</v>
      </c>
      <c r="G27" s="32"/>
      <c r="H27" s="135">
        <v>525.23</v>
      </c>
      <c r="I27" s="27"/>
      <c r="J27" s="135">
        <v>596.87</v>
      </c>
      <c r="L27" s="134">
        <f t="shared" si="0"/>
        <v>0.13639738781105426</v>
      </c>
      <c r="N27" s="135">
        <f>+'Sewer Rate Design'!I18</f>
        <v>636.83000000000004</v>
      </c>
      <c r="P27" s="134">
        <f t="shared" si="1"/>
        <v>0.21247834282124023</v>
      </c>
    </row>
    <row r="28" spans="1:16">
      <c r="A28" s="13">
        <v>15</v>
      </c>
      <c r="B28" s="13">
        <v>68033</v>
      </c>
      <c r="C28" s="22" t="s">
        <v>32</v>
      </c>
      <c r="D28" s="35">
        <v>1038</v>
      </c>
      <c r="E28" s="31"/>
      <c r="F28" s="25">
        <v>1044.33</v>
      </c>
      <c r="G28" s="32"/>
      <c r="H28" s="135">
        <v>1050.45</v>
      </c>
      <c r="I28" s="27"/>
      <c r="J28" s="135">
        <v>1193.73</v>
      </c>
      <c r="L28" s="134">
        <f t="shared" si="0"/>
        <v>0.13639868627730967</v>
      </c>
      <c r="N28" s="135">
        <f>+'Sewer Rate Design'!I19</f>
        <v>1273.6600000000001</v>
      </c>
      <c r="P28" s="134">
        <f t="shared" si="1"/>
        <v>0.21248988528725787</v>
      </c>
    </row>
    <row r="29" spans="1:16">
      <c r="A29" s="13">
        <v>16</v>
      </c>
      <c r="B29" s="13"/>
      <c r="C29" s="22"/>
      <c r="D29" s="26"/>
      <c r="E29" s="24"/>
      <c r="F29" s="29"/>
      <c r="G29" s="26"/>
      <c r="I29" s="27"/>
      <c r="L29" s="134"/>
    </row>
    <row r="30" spans="1:16">
      <c r="A30" s="13">
        <v>17</v>
      </c>
      <c r="B30" s="13"/>
      <c r="C30" s="28" t="s">
        <v>24</v>
      </c>
      <c r="D30" s="35">
        <v>8.39</v>
      </c>
      <c r="E30" s="31"/>
      <c r="F30" s="25">
        <v>8.44</v>
      </c>
      <c r="G30" s="32"/>
      <c r="H30" s="135">
        <v>8.49</v>
      </c>
      <c r="I30" s="27"/>
      <c r="J30" s="135">
        <v>9.65</v>
      </c>
      <c r="L30" s="134">
        <f t="shared" si="0"/>
        <v>0.13663133097762081</v>
      </c>
      <c r="N30" s="135">
        <f>+'Sewer Rate Design'!I55</f>
        <v>5.65</v>
      </c>
      <c r="P30" s="134">
        <f>+N30/H30-1</f>
        <v>-0.33451118963486448</v>
      </c>
    </row>
    <row r="31" spans="1:16">
      <c r="A31" s="37"/>
      <c r="B31" s="37"/>
      <c r="C31" s="38"/>
      <c r="D31" s="39"/>
      <c r="E31" s="39"/>
      <c r="F31" s="39"/>
      <c r="G31" s="39"/>
      <c r="I31" s="40"/>
    </row>
    <row r="32" spans="1:16">
      <c r="A32" s="13"/>
      <c r="B32" s="13"/>
      <c r="H32" s="21"/>
      <c r="I32" s="21"/>
      <c r="J32" s="21"/>
    </row>
    <row r="33" spans="8:10">
      <c r="H33" s="21"/>
      <c r="I33" s="21"/>
      <c r="J33" s="21"/>
    </row>
    <row r="34" spans="8:10">
      <c r="H34" s="21"/>
      <c r="I34" s="21"/>
      <c r="J34" s="21"/>
    </row>
    <row r="35" spans="8:10">
      <c r="H35" s="21"/>
      <c r="I35" s="21"/>
      <c r="J35" s="21"/>
    </row>
    <row r="36" spans="8:10">
      <c r="H36" s="21"/>
      <c r="I36" s="21"/>
      <c r="J36" s="21"/>
    </row>
    <row r="37" spans="8:10">
      <c r="H37" s="21"/>
      <c r="I37" s="21"/>
      <c r="J37" s="21"/>
    </row>
    <row r="38" spans="8:10">
      <c r="H38" s="21"/>
      <c r="I38" s="21"/>
      <c r="J38" s="21"/>
    </row>
    <row r="39" spans="8:10">
      <c r="H39" s="21"/>
      <c r="I39" s="21"/>
      <c r="J39" s="21"/>
    </row>
    <row r="40" spans="8:10">
      <c r="H40" s="21"/>
      <c r="I40" s="21"/>
      <c r="J40" s="21"/>
    </row>
    <row r="41" spans="8:10">
      <c r="H41" s="21"/>
      <c r="I41" s="21"/>
      <c r="J41" s="21"/>
    </row>
    <row r="42" spans="8:10">
      <c r="H42" s="21"/>
      <c r="I42" s="21"/>
      <c r="J42" s="21"/>
    </row>
    <row r="43" spans="8:10">
      <c r="H43" s="21"/>
      <c r="I43" s="21"/>
      <c r="J43" s="21"/>
    </row>
    <row r="44" spans="8:10">
      <c r="H44" s="21"/>
      <c r="I44" s="21"/>
      <c r="J44" s="21"/>
    </row>
    <row r="45" spans="8:10">
      <c r="H45" s="21"/>
      <c r="I45" s="21"/>
      <c r="J45" s="21"/>
    </row>
    <row r="46" spans="8:10">
      <c r="H46" s="21"/>
      <c r="I46" s="21"/>
      <c r="J46" s="21"/>
    </row>
    <row r="47" spans="8:10">
      <c r="H47" s="21"/>
      <c r="I47" s="21"/>
      <c r="J47" s="21"/>
    </row>
    <row r="48" spans="8:10">
      <c r="H48" s="21"/>
      <c r="I48" s="21"/>
      <c r="J48" s="21"/>
    </row>
    <row r="49" spans="8:10">
      <c r="H49" s="21"/>
      <c r="I49" s="21"/>
      <c r="J49" s="21"/>
    </row>
    <row r="87" spans="8:8">
      <c r="H87" s="42"/>
    </row>
    <row r="90" spans="8:8">
      <c r="H90" s="42"/>
    </row>
    <row r="213" spans="1:7">
      <c r="A213" s="43"/>
      <c r="B213" s="43"/>
      <c r="C213" s="44"/>
      <c r="D213" s="43"/>
      <c r="E213" s="43"/>
      <c r="F213" s="43"/>
      <c r="G213" s="43"/>
    </row>
    <row r="214" spans="1:7">
      <c r="A214" s="43"/>
      <c r="B214" s="43"/>
      <c r="C214" s="44"/>
      <c r="D214" s="43"/>
      <c r="E214" s="43"/>
      <c r="F214" s="43"/>
      <c r="G214" s="43"/>
    </row>
    <row r="215" spans="1:7">
      <c r="A215" s="43"/>
      <c r="B215" s="43"/>
      <c r="C215" s="44"/>
      <c r="D215" s="43"/>
      <c r="E215" s="43"/>
      <c r="F215" s="43"/>
      <c r="G215" s="43"/>
    </row>
    <row r="216" spans="1:7">
      <c r="A216" s="43"/>
      <c r="B216" s="43"/>
      <c r="C216" s="44"/>
      <c r="D216" s="43"/>
      <c r="E216" s="43"/>
      <c r="F216" s="43"/>
      <c r="G216" s="43"/>
    </row>
    <row r="217" spans="1:7">
      <c r="A217" s="43"/>
      <c r="B217" s="43"/>
      <c r="C217" s="44"/>
      <c r="D217" s="43"/>
      <c r="E217" s="43"/>
      <c r="F217" s="43"/>
      <c r="G217" s="43"/>
    </row>
    <row r="247" spans="1:7">
      <c r="A247" s="43"/>
      <c r="B247" s="43"/>
      <c r="C247" s="44"/>
      <c r="D247" s="43"/>
      <c r="E247" s="43"/>
      <c r="F247" s="43"/>
      <c r="G247" s="43"/>
    </row>
    <row r="316" spans="1:2">
      <c r="A316" s="1"/>
      <c r="B316" s="1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</sheetData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zoomScaleNormal="100" workbookViewId="0">
      <selection activeCell="C21" sqref="C21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11.7109375" style="4" hidden="1" customWidth="1"/>
    <col min="5" max="5" width="2.7109375" style="4" hidden="1" customWidth="1"/>
    <col min="6" max="6" width="11.7109375" style="4" hidden="1" customWidth="1"/>
    <col min="7" max="7" width="2.7109375" style="4" customWidth="1"/>
    <col min="8" max="8" width="9" style="4" bestFit="1" customWidth="1"/>
    <col min="9" max="9" width="2.7109375" style="4" customWidth="1"/>
    <col min="10" max="10" width="9" style="4" bestFit="1" customWidth="1"/>
    <col min="11" max="11" width="1.7109375" style="4" customWidth="1"/>
    <col min="12" max="12" width="10.85546875" style="4"/>
    <col min="13" max="13" width="1.7109375" style="4" customWidth="1"/>
    <col min="14" max="14" width="10.85546875" style="4"/>
    <col min="15" max="15" width="1.7109375" style="4" customWidth="1"/>
    <col min="16" max="16384" width="10.85546875" style="4"/>
  </cols>
  <sheetData>
    <row r="1" spans="1:16">
      <c r="A1" s="1" t="s">
        <v>0</v>
      </c>
      <c r="B1" s="1"/>
      <c r="C1" s="2"/>
      <c r="E1" s="1"/>
      <c r="F1" s="1" t="s">
        <v>1</v>
      </c>
      <c r="G1" s="1"/>
      <c r="H1" s="1"/>
      <c r="I1" s="1"/>
      <c r="J1" s="1"/>
    </row>
    <row r="2" spans="1:16">
      <c r="A2" s="1"/>
      <c r="B2" s="1"/>
      <c r="C2" s="2"/>
      <c r="E2" s="1"/>
      <c r="F2" s="1"/>
      <c r="G2" s="1"/>
      <c r="H2" s="1"/>
      <c r="I2" s="1"/>
      <c r="J2" s="1"/>
    </row>
    <row r="3" spans="1:16">
      <c r="A3" s="1" t="s">
        <v>33</v>
      </c>
      <c r="B3" s="1"/>
      <c r="C3" s="2"/>
      <c r="E3" s="1"/>
      <c r="F3" s="1" t="s">
        <v>2</v>
      </c>
      <c r="G3" s="1"/>
      <c r="H3" s="1"/>
      <c r="I3" s="1"/>
      <c r="J3" s="1"/>
    </row>
    <row r="4" spans="1:16">
      <c r="A4" s="1" t="s">
        <v>34</v>
      </c>
      <c r="B4" s="1"/>
      <c r="C4" s="2"/>
      <c r="E4" s="1"/>
      <c r="F4" s="1"/>
      <c r="G4" s="1"/>
      <c r="H4" s="1"/>
      <c r="I4" s="1"/>
      <c r="J4" s="1"/>
    </row>
    <row r="5" spans="1:16">
      <c r="A5" s="1" t="s">
        <v>35</v>
      </c>
      <c r="B5" s="1"/>
      <c r="C5" s="2"/>
      <c r="E5" s="1"/>
      <c r="F5" s="1" t="s">
        <v>36</v>
      </c>
      <c r="G5" s="1"/>
      <c r="H5" s="1"/>
      <c r="I5" s="1"/>
      <c r="J5" s="1"/>
    </row>
    <row r="6" spans="1:16">
      <c r="A6" s="1" t="s">
        <v>6</v>
      </c>
      <c r="B6" s="1"/>
      <c r="C6" s="2"/>
      <c r="D6" s="1"/>
      <c r="E6" s="1"/>
      <c r="F6" s="1"/>
      <c r="G6" s="1"/>
      <c r="H6" s="1"/>
      <c r="I6" s="1"/>
      <c r="J6" s="1"/>
    </row>
    <row r="7" spans="1:16">
      <c r="A7" s="1" t="s">
        <v>7</v>
      </c>
      <c r="B7" s="1"/>
      <c r="C7" s="2"/>
      <c r="D7" s="1"/>
      <c r="E7" s="1"/>
      <c r="F7" s="1"/>
      <c r="G7" s="1"/>
      <c r="H7" s="1"/>
      <c r="I7" s="1"/>
      <c r="J7" s="1"/>
    </row>
    <row r="8" spans="1:16">
      <c r="A8" s="6" t="s">
        <v>8</v>
      </c>
      <c r="B8" s="6"/>
      <c r="C8" s="2"/>
      <c r="D8" s="1"/>
      <c r="E8" s="1"/>
      <c r="F8" s="1"/>
      <c r="G8" s="1"/>
      <c r="H8" s="1"/>
      <c r="I8" s="1"/>
      <c r="J8" s="1"/>
    </row>
    <row r="9" spans="1:16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</row>
    <row r="10" spans="1:16">
      <c r="A10" s="9"/>
      <c r="B10" s="10" t="s">
        <v>9</v>
      </c>
      <c r="C10" s="11"/>
      <c r="D10" s="11"/>
      <c r="E10" s="13"/>
      <c r="F10" s="12"/>
      <c r="G10" s="12"/>
      <c r="H10" s="11"/>
      <c r="J10" s="11"/>
      <c r="K10" s="11"/>
      <c r="L10" s="11"/>
      <c r="M10" s="11"/>
      <c r="N10" s="11"/>
      <c r="P10" s="11"/>
    </row>
    <row r="11" spans="1:16">
      <c r="C11" s="2"/>
      <c r="D11" s="45"/>
      <c r="E11" s="46"/>
      <c r="F11" s="45"/>
      <c r="G11" s="46"/>
      <c r="I11" s="13"/>
      <c r="J11" s="13"/>
      <c r="K11" s="13"/>
      <c r="L11" s="13" t="s">
        <v>216</v>
      </c>
      <c r="N11" s="13" t="s">
        <v>217</v>
      </c>
      <c r="P11" s="13" t="s">
        <v>216</v>
      </c>
    </row>
    <row r="12" spans="1:16">
      <c r="A12" s="13" t="s">
        <v>12</v>
      </c>
      <c r="C12" s="2"/>
      <c r="D12" s="45" t="s">
        <v>39</v>
      </c>
      <c r="E12" s="46"/>
      <c r="F12" s="45" t="s">
        <v>39</v>
      </c>
      <c r="G12" s="46"/>
      <c r="H12" s="13" t="s">
        <v>11</v>
      </c>
      <c r="I12" s="13"/>
      <c r="J12" s="13" t="s">
        <v>15</v>
      </c>
      <c r="K12" s="13"/>
      <c r="L12" s="13" t="s">
        <v>218</v>
      </c>
      <c r="N12" s="13" t="s">
        <v>219</v>
      </c>
      <c r="P12" s="13" t="s">
        <v>218</v>
      </c>
    </row>
    <row r="13" spans="1:16">
      <c r="A13" s="14" t="s">
        <v>16</v>
      </c>
      <c r="B13" s="15" t="s">
        <v>17</v>
      </c>
      <c r="C13" s="16" t="s">
        <v>18</v>
      </c>
      <c r="D13" s="47" t="s">
        <v>40</v>
      </c>
      <c r="E13" s="48"/>
      <c r="F13" s="47" t="s">
        <v>41</v>
      </c>
      <c r="G13" s="48"/>
      <c r="H13" s="129" t="s">
        <v>14</v>
      </c>
      <c r="I13" s="131"/>
      <c r="J13" s="132" t="s">
        <v>14</v>
      </c>
      <c r="K13" s="130"/>
      <c r="L13" s="133" t="s">
        <v>220</v>
      </c>
      <c r="N13" s="132" t="s">
        <v>14</v>
      </c>
      <c r="P13" s="132" t="s">
        <v>220</v>
      </c>
    </row>
    <row r="14" spans="1:16">
      <c r="A14" s="13">
        <v>1</v>
      </c>
      <c r="B14" s="13"/>
      <c r="C14" s="19" t="s">
        <v>21</v>
      </c>
    </row>
    <row r="15" spans="1:16">
      <c r="A15" s="13">
        <v>2</v>
      </c>
      <c r="B15" s="13">
        <v>68050</v>
      </c>
      <c r="C15" s="22" t="s">
        <v>59</v>
      </c>
      <c r="D15" s="25">
        <v>26.62</v>
      </c>
      <c r="E15" s="26"/>
      <c r="F15" s="25">
        <v>26.83</v>
      </c>
      <c r="G15" s="26"/>
      <c r="H15" s="135">
        <v>27</v>
      </c>
      <c r="I15" s="26"/>
      <c r="J15" s="135">
        <v>28.5</v>
      </c>
      <c r="L15" s="134">
        <f>J15/H15-1</f>
        <v>5.555555555555558E-2</v>
      </c>
      <c r="N15" s="135">
        <f>+'Sewer Rate Design'!I24</f>
        <v>35.659999999999997</v>
      </c>
      <c r="P15" s="134">
        <f>+N15/H15-1</f>
        <v>0.32074074074074055</v>
      </c>
    </row>
    <row r="16" spans="1:16">
      <c r="A16" s="13">
        <v>3</v>
      </c>
      <c r="B16" s="13"/>
      <c r="C16" s="22"/>
      <c r="D16" s="26"/>
      <c r="E16" s="26"/>
      <c r="F16" s="26"/>
      <c r="G16" s="26"/>
      <c r="I16" s="26"/>
    </row>
    <row r="17" spans="1:16">
      <c r="A17" s="13">
        <v>4</v>
      </c>
      <c r="B17" s="13"/>
      <c r="C17" s="22" t="s">
        <v>22</v>
      </c>
      <c r="D17" s="25">
        <v>23.91</v>
      </c>
      <c r="E17" s="26"/>
      <c r="F17" s="25">
        <v>24.1</v>
      </c>
      <c r="G17" s="26"/>
      <c r="H17" s="135">
        <v>24.25</v>
      </c>
      <c r="I17" s="26"/>
      <c r="J17" s="135">
        <v>25.59</v>
      </c>
      <c r="L17" s="134">
        <f>J17/H17-1</f>
        <v>5.5257731958762824E-2</v>
      </c>
      <c r="N17" s="135">
        <f>+'Sewer Rate Design'!I9</f>
        <v>25.47</v>
      </c>
      <c r="P17" s="134">
        <f>+N17/H17-1</f>
        <v>5.0309278350515463E-2</v>
      </c>
    </row>
    <row r="18" spans="1:16">
      <c r="A18" s="13">
        <v>5</v>
      </c>
      <c r="B18" s="13"/>
      <c r="C18" s="22"/>
      <c r="D18" s="27"/>
      <c r="E18" s="26"/>
      <c r="F18" s="27"/>
      <c r="G18" s="27"/>
      <c r="I18" s="26"/>
    </row>
    <row r="19" spans="1:16">
      <c r="A19" s="13">
        <v>6</v>
      </c>
      <c r="B19" s="13"/>
      <c r="C19" s="22" t="s">
        <v>43</v>
      </c>
      <c r="D19" s="27"/>
      <c r="E19" s="26"/>
      <c r="F19" s="27"/>
      <c r="G19" s="27"/>
      <c r="I19" s="26"/>
    </row>
    <row r="20" spans="1:16">
      <c r="A20" s="13">
        <v>7</v>
      </c>
      <c r="B20" s="13"/>
      <c r="C20" s="22" t="s">
        <v>44</v>
      </c>
      <c r="D20" s="25">
        <v>5.49</v>
      </c>
      <c r="E20" s="26"/>
      <c r="F20" s="25">
        <v>5.53</v>
      </c>
      <c r="G20" s="26"/>
      <c r="H20" s="135">
        <v>5.56</v>
      </c>
      <c r="I20" s="26"/>
      <c r="J20" s="135">
        <v>5.87</v>
      </c>
      <c r="L20" s="134">
        <f>J20/H20-1</f>
        <v>5.5755395683453335E-2</v>
      </c>
    </row>
    <row r="21" spans="1:16">
      <c r="A21" s="13">
        <v>8</v>
      </c>
      <c r="B21" s="13"/>
      <c r="C21" s="22" t="str">
        <f>+'Sewer Rate Design'!B52</f>
        <v>0-8k</v>
      </c>
      <c r="D21" s="25"/>
      <c r="E21" s="26"/>
      <c r="F21" s="25"/>
      <c r="G21" s="26"/>
      <c r="H21" s="135"/>
      <c r="I21" s="26"/>
      <c r="J21" s="135"/>
      <c r="L21" s="134"/>
      <c r="N21" s="135">
        <f>+'Sewer Rate Design'!I53</f>
        <v>4.91</v>
      </c>
      <c r="P21" s="134">
        <f>+N21/H20-1</f>
        <v>-0.11690647482014382</v>
      </c>
    </row>
    <row r="22" spans="1:16">
      <c r="A22" s="13">
        <v>9</v>
      </c>
      <c r="B22" s="13"/>
      <c r="C22" s="22"/>
      <c r="D22" s="27"/>
      <c r="E22" s="32"/>
      <c r="F22" s="26"/>
      <c r="G22" s="32"/>
      <c r="I22" s="32"/>
    </row>
    <row r="23" spans="1:16">
      <c r="A23" s="13">
        <v>10</v>
      </c>
      <c r="B23" s="13"/>
      <c r="C23" s="22" t="s">
        <v>224</v>
      </c>
      <c r="D23" s="27"/>
      <c r="E23" s="26"/>
      <c r="F23" s="26"/>
      <c r="G23" s="26"/>
      <c r="I23" s="26"/>
    </row>
    <row r="24" spans="1:16">
      <c r="A24" s="13">
        <v>11</v>
      </c>
      <c r="B24" s="13">
        <v>68026</v>
      </c>
      <c r="C24" s="4" t="s">
        <v>46</v>
      </c>
      <c r="D24" s="25">
        <v>24.01</v>
      </c>
      <c r="E24" s="26"/>
      <c r="F24" s="25">
        <v>24.2</v>
      </c>
      <c r="G24" s="26"/>
      <c r="H24" s="135">
        <v>24.35</v>
      </c>
      <c r="I24" s="26"/>
      <c r="J24" s="135">
        <v>25.7</v>
      </c>
      <c r="L24" s="134">
        <f>J24/H24-1</f>
        <v>5.544147843942504E-2</v>
      </c>
      <c r="N24" s="135">
        <f>+'Sewer Rate Design'!I12</f>
        <v>25.47</v>
      </c>
      <c r="P24" s="134">
        <f t="shared" ref="P24:P31" si="0">+N24/H24-1</f>
        <v>4.599589322381914E-2</v>
      </c>
    </row>
    <row r="25" spans="1:16">
      <c r="A25" s="13">
        <v>12</v>
      </c>
      <c r="B25" s="13"/>
      <c r="C25" s="4" t="s">
        <v>115</v>
      </c>
      <c r="D25" s="25"/>
      <c r="E25" s="26"/>
      <c r="F25" s="25"/>
      <c r="G25" s="26"/>
      <c r="H25" s="135"/>
      <c r="I25" s="26"/>
      <c r="J25" s="135"/>
      <c r="L25" s="134"/>
      <c r="N25" s="135">
        <f>+'Sewer Rate Design'!I13</f>
        <v>38.21</v>
      </c>
      <c r="P25" s="134"/>
    </row>
    <row r="26" spans="1:16">
      <c r="A26" s="13">
        <v>13</v>
      </c>
      <c r="B26" s="13">
        <v>68027</v>
      </c>
      <c r="C26" s="4" t="s">
        <v>47</v>
      </c>
      <c r="D26" s="25">
        <v>60.01</v>
      </c>
      <c r="E26" s="26"/>
      <c r="F26" s="25">
        <v>60.48</v>
      </c>
      <c r="G26" s="26"/>
      <c r="H26" s="135">
        <v>60.86</v>
      </c>
      <c r="I26" s="26"/>
      <c r="J26" s="135">
        <v>64.23</v>
      </c>
      <c r="L26" s="134">
        <f t="shared" ref="L26:L31" si="1">J26/H26-1</f>
        <v>5.5372987183700317E-2</v>
      </c>
      <c r="N26" s="135">
        <f>+'Sewer Rate Design'!I14</f>
        <v>63.68</v>
      </c>
      <c r="P26" s="134">
        <f t="shared" si="0"/>
        <v>4.6335852776864916E-2</v>
      </c>
    </row>
    <row r="27" spans="1:16">
      <c r="A27" s="13">
        <v>14</v>
      </c>
      <c r="B27" s="13">
        <v>68028</v>
      </c>
      <c r="C27" s="4" t="s">
        <v>48</v>
      </c>
      <c r="D27" s="25">
        <v>120.02</v>
      </c>
      <c r="E27" s="26"/>
      <c r="F27" s="25">
        <v>120.96</v>
      </c>
      <c r="G27" s="26"/>
      <c r="H27" s="135">
        <v>121.72</v>
      </c>
      <c r="I27" s="26"/>
      <c r="J27" s="135">
        <v>128.46</v>
      </c>
      <c r="L27" s="134">
        <f t="shared" si="1"/>
        <v>5.5372987183700317E-2</v>
      </c>
      <c r="N27" s="135">
        <f>+'Sewer Rate Design'!I15</f>
        <v>127.37</v>
      </c>
      <c r="P27" s="134">
        <f t="shared" si="0"/>
        <v>4.6418008544199862E-2</v>
      </c>
    </row>
    <row r="28" spans="1:16">
      <c r="A28" s="13">
        <v>15</v>
      </c>
      <c r="B28" s="13">
        <v>68029</v>
      </c>
      <c r="C28" s="4" t="s">
        <v>49</v>
      </c>
      <c r="D28" s="25">
        <v>192.03</v>
      </c>
      <c r="E28" s="26"/>
      <c r="F28" s="25">
        <v>193.53</v>
      </c>
      <c r="G28" s="26"/>
      <c r="H28" s="135">
        <v>194.74</v>
      </c>
      <c r="I28" s="26"/>
      <c r="J28" s="135">
        <v>205.53</v>
      </c>
      <c r="L28" s="134">
        <f t="shared" si="1"/>
        <v>5.5407209612817088E-2</v>
      </c>
      <c r="N28" s="135">
        <f>+'Sewer Rate Design'!I16</f>
        <v>203.79</v>
      </c>
      <c r="P28" s="134">
        <f t="shared" si="0"/>
        <v>4.6472219369415591E-2</v>
      </c>
    </row>
    <row r="29" spans="1:16">
      <c r="A29" s="13">
        <v>16</v>
      </c>
      <c r="B29" s="13">
        <v>68030</v>
      </c>
      <c r="C29" s="4" t="s">
        <v>50</v>
      </c>
      <c r="D29" s="25">
        <v>384.06</v>
      </c>
      <c r="E29" s="26"/>
      <c r="F29" s="23">
        <v>387.06</v>
      </c>
      <c r="G29" s="26"/>
      <c r="H29" s="135">
        <v>389.49</v>
      </c>
      <c r="I29" s="26"/>
      <c r="J29" s="135">
        <v>411.07</v>
      </c>
      <c r="L29" s="134">
        <f t="shared" si="1"/>
        <v>5.540578705486654E-2</v>
      </c>
      <c r="N29" s="135">
        <f>+'Sewer Rate Design'!I17</f>
        <v>407.57</v>
      </c>
      <c r="P29" s="134">
        <f t="shared" si="0"/>
        <v>4.6419677013530558E-2</v>
      </c>
    </row>
    <row r="30" spans="1:16">
      <c r="A30" s="13">
        <v>17</v>
      </c>
      <c r="B30" s="13">
        <v>68031</v>
      </c>
      <c r="C30" s="4" t="s">
        <v>51</v>
      </c>
      <c r="D30" s="25">
        <v>600.09</v>
      </c>
      <c r="E30" s="26"/>
      <c r="F30" s="25">
        <v>604.77</v>
      </c>
      <c r="G30" s="26"/>
      <c r="H30" s="135">
        <v>608.57000000000005</v>
      </c>
      <c r="I30" s="26"/>
      <c r="J30" s="135">
        <v>642.28</v>
      </c>
      <c r="L30" s="134">
        <f t="shared" si="1"/>
        <v>5.539214880786103E-2</v>
      </c>
      <c r="N30" s="135">
        <f>+'Sewer Rate Design'!I18</f>
        <v>636.83000000000004</v>
      </c>
      <c r="P30" s="134">
        <f t="shared" si="0"/>
        <v>4.6436728724715381E-2</v>
      </c>
    </row>
    <row r="31" spans="1:16">
      <c r="A31" s="13">
        <v>18</v>
      </c>
      <c r="B31" s="13">
        <v>68032</v>
      </c>
      <c r="C31" s="4" t="s">
        <v>52</v>
      </c>
      <c r="D31" s="25">
        <v>1200.02</v>
      </c>
      <c r="E31" s="26"/>
      <c r="F31" s="25">
        <v>1209.56</v>
      </c>
      <c r="G31" s="26"/>
      <c r="H31" s="135">
        <v>1217.1500000000001</v>
      </c>
      <c r="I31" s="26"/>
      <c r="J31" s="135">
        <v>1284.58</v>
      </c>
      <c r="L31" s="134">
        <f t="shared" si="1"/>
        <v>5.5399909624943344E-2</v>
      </c>
      <c r="N31" s="135">
        <f>+'Sewer Rate Design'!I19</f>
        <v>1273.6600000000001</v>
      </c>
      <c r="P31" s="134">
        <f t="shared" si="0"/>
        <v>4.6428131290309427E-2</v>
      </c>
    </row>
    <row r="32" spans="1:16">
      <c r="A32" s="13">
        <v>19</v>
      </c>
      <c r="B32" s="13">
        <v>68033</v>
      </c>
      <c r="C32" s="22"/>
      <c r="D32" s="33"/>
      <c r="E32" s="26"/>
      <c r="F32" s="26"/>
      <c r="G32" s="26"/>
      <c r="H32" s="135"/>
      <c r="I32" s="26"/>
      <c r="J32" s="135"/>
      <c r="N32" s="135"/>
    </row>
    <row r="33" spans="1:16">
      <c r="A33" s="13">
        <v>20</v>
      </c>
      <c r="B33" s="13"/>
      <c r="C33" s="22"/>
      <c r="D33" s="27"/>
      <c r="E33" s="26"/>
      <c r="F33" s="26"/>
      <c r="G33" s="26"/>
      <c r="H33" s="135"/>
      <c r="I33" s="26"/>
      <c r="J33" s="135"/>
      <c r="N33" s="135"/>
    </row>
    <row r="34" spans="1:16">
      <c r="A34" s="13">
        <v>21</v>
      </c>
      <c r="B34" s="13"/>
      <c r="C34" s="22" t="s">
        <v>43</v>
      </c>
      <c r="D34" s="25">
        <v>6.6</v>
      </c>
      <c r="E34" s="26"/>
      <c r="F34" s="25">
        <v>6.65</v>
      </c>
      <c r="G34" s="26"/>
      <c r="H34" s="135">
        <v>6.69</v>
      </c>
      <c r="I34" s="26"/>
      <c r="J34" s="135">
        <v>7.06</v>
      </c>
      <c r="L34" s="134">
        <f>J34/H34-1</f>
        <v>5.530642750373671E-2</v>
      </c>
      <c r="N34" s="135">
        <f>+'Sewer Rate Design'!I55</f>
        <v>5.65</v>
      </c>
      <c r="P34" s="134">
        <f>+N34/H34-1</f>
        <v>-0.15545590433482814</v>
      </c>
    </row>
    <row r="35" spans="1:16">
      <c r="A35" s="13"/>
      <c r="B35" s="13"/>
      <c r="C35" s="22"/>
      <c r="D35" s="27"/>
      <c r="E35" s="26"/>
      <c r="F35" s="26"/>
      <c r="G35" s="26"/>
      <c r="H35" s="26"/>
      <c r="I35" s="26"/>
      <c r="J35" s="27"/>
    </row>
    <row r="36" spans="1:16">
      <c r="A36" s="13"/>
      <c r="B36" s="13"/>
      <c r="C36" s="22"/>
      <c r="D36" s="27"/>
      <c r="E36" s="26"/>
      <c r="F36" s="26"/>
      <c r="G36" s="26"/>
      <c r="H36" s="26"/>
      <c r="I36" s="26"/>
      <c r="J36" s="27"/>
    </row>
    <row r="37" spans="1:16">
      <c r="A37" s="13"/>
      <c r="B37" s="13"/>
      <c r="C37" s="22"/>
      <c r="D37" s="27"/>
      <c r="E37" s="26"/>
      <c r="F37" s="26"/>
      <c r="G37" s="26"/>
      <c r="H37" s="26"/>
      <c r="I37" s="26"/>
      <c r="J37" s="27"/>
    </row>
    <row r="38" spans="1:16" s="50" customFormat="1">
      <c r="A38" s="13"/>
      <c r="B38" s="13"/>
      <c r="C38" s="22"/>
      <c r="D38" s="33"/>
      <c r="E38" s="49"/>
      <c r="F38" s="49"/>
      <c r="G38" s="49"/>
      <c r="H38" s="49"/>
      <c r="I38" s="49"/>
      <c r="J38" s="33"/>
      <c r="K38" s="4"/>
    </row>
    <row r="39" spans="1:16">
      <c r="A39" s="13"/>
      <c r="B39" s="13"/>
      <c r="C39" s="22"/>
      <c r="D39" s="27"/>
      <c r="E39" s="49"/>
      <c r="F39" s="49"/>
      <c r="G39" s="49"/>
      <c r="H39" s="49"/>
      <c r="I39" s="49"/>
      <c r="J39" s="27"/>
    </row>
    <row r="40" spans="1:16">
      <c r="A40" s="13"/>
      <c r="B40" s="13"/>
      <c r="C40" s="22"/>
      <c r="D40" s="27"/>
      <c r="E40" s="49"/>
      <c r="F40" s="49"/>
      <c r="G40" s="49"/>
      <c r="H40" s="49"/>
      <c r="I40" s="49"/>
      <c r="J40" s="27"/>
    </row>
    <row r="41" spans="1:16">
      <c r="A41" s="13"/>
      <c r="B41" s="13"/>
      <c r="C41" s="51"/>
      <c r="D41" s="27"/>
      <c r="E41" s="49"/>
      <c r="F41" s="49"/>
      <c r="G41" s="49"/>
      <c r="H41" s="49"/>
      <c r="I41" s="49"/>
      <c r="J41" s="27"/>
    </row>
    <row r="42" spans="1:16">
      <c r="A42" s="13"/>
      <c r="B42" s="13"/>
      <c r="C42" s="28"/>
      <c r="D42" s="27"/>
      <c r="E42" s="49"/>
      <c r="F42" s="49"/>
      <c r="G42" s="49"/>
      <c r="H42" s="49"/>
      <c r="I42" s="49"/>
      <c r="J42" s="27"/>
    </row>
    <row r="43" spans="1:16">
      <c r="A43" s="13"/>
      <c r="B43" s="13"/>
      <c r="C43" s="4"/>
      <c r="D43" s="27"/>
      <c r="E43" s="49"/>
      <c r="F43" s="49"/>
      <c r="G43" s="49"/>
      <c r="H43" s="49"/>
      <c r="I43" s="49"/>
      <c r="J43" s="27"/>
    </row>
    <row r="44" spans="1:16">
      <c r="A44" s="13"/>
      <c r="C44" s="30"/>
      <c r="D44" s="27"/>
      <c r="E44" s="32"/>
      <c r="F44" s="32"/>
      <c r="G44" s="32"/>
      <c r="H44" s="32"/>
      <c r="I44" s="32"/>
      <c r="J44" s="27"/>
    </row>
    <row r="45" spans="1:16">
      <c r="A45" s="13"/>
      <c r="B45" s="13"/>
      <c r="C45" s="22"/>
      <c r="D45" s="26"/>
      <c r="E45" s="26"/>
      <c r="F45" s="26"/>
      <c r="G45" s="26"/>
      <c r="H45" s="26"/>
      <c r="I45" s="26"/>
      <c r="J45" s="26"/>
    </row>
    <row r="46" spans="1:16">
      <c r="A46" s="13"/>
      <c r="B46" s="13"/>
      <c r="C46" s="22"/>
      <c r="D46" s="33"/>
      <c r="E46" s="26"/>
      <c r="F46" s="26"/>
      <c r="G46" s="26"/>
      <c r="H46" s="26"/>
      <c r="I46" s="26"/>
      <c r="J46" s="33"/>
    </row>
    <row r="47" spans="1:16">
      <c r="A47" s="13"/>
      <c r="B47" s="13"/>
      <c r="C47" s="22"/>
      <c r="D47" s="26"/>
      <c r="E47" s="26"/>
      <c r="F47" s="26"/>
      <c r="G47" s="26"/>
      <c r="H47" s="26"/>
      <c r="I47" s="26"/>
      <c r="J47" s="26"/>
    </row>
    <row r="48" spans="1:16">
      <c r="A48" s="13"/>
      <c r="B48" s="13"/>
      <c r="C48" s="22"/>
      <c r="D48" s="26"/>
      <c r="E48" s="26"/>
      <c r="F48" s="26"/>
      <c r="G48" s="26"/>
      <c r="H48" s="26"/>
      <c r="I48" s="26"/>
      <c r="J48" s="26"/>
    </row>
    <row r="49" spans="1:11">
      <c r="A49" s="13"/>
      <c r="B49" s="13"/>
      <c r="C49" s="22"/>
      <c r="D49" s="27"/>
      <c r="E49" s="26"/>
      <c r="F49" s="26"/>
      <c r="G49" s="26"/>
      <c r="H49" s="26"/>
      <c r="I49" s="26"/>
      <c r="J49" s="27"/>
    </row>
    <row r="50" spans="1:11">
      <c r="A50" s="13"/>
      <c r="B50" s="13"/>
      <c r="C50" s="22"/>
      <c r="D50" s="27"/>
      <c r="E50" s="26"/>
      <c r="F50" s="26"/>
      <c r="G50" s="26"/>
      <c r="H50" s="26"/>
      <c r="I50" s="26"/>
      <c r="J50" s="27"/>
    </row>
    <row r="51" spans="1:11">
      <c r="A51" s="13"/>
      <c r="B51" s="13"/>
      <c r="C51" s="22"/>
      <c r="D51" s="33"/>
      <c r="E51" s="32"/>
      <c r="F51" s="26"/>
      <c r="G51" s="32"/>
      <c r="H51" s="32"/>
      <c r="I51" s="32"/>
      <c r="J51" s="33"/>
    </row>
    <row r="52" spans="1:11">
      <c r="A52" s="13"/>
      <c r="B52" s="13"/>
      <c r="C52" s="22"/>
      <c r="D52" s="27"/>
      <c r="E52" s="32"/>
      <c r="F52" s="49"/>
      <c r="G52" s="32"/>
      <c r="H52" s="32"/>
      <c r="I52" s="32"/>
      <c r="J52" s="27"/>
    </row>
    <row r="53" spans="1:11">
      <c r="A53" s="13"/>
      <c r="B53" s="13"/>
      <c r="C53" s="22"/>
      <c r="D53" s="27"/>
      <c r="E53" s="32"/>
      <c r="F53" s="49"/>
      <c r="G53" s="32"/>
      <c r="H53" s="32"/>
      <c r="I53" s="32"/>
      <c r="J53" s="27"/>
    </row>
    <row r="54" spans="1:11">
      <c r="A54" s="13"/>
      <c r="B54" s="13"/>
      <c r="C54" s="22"/>
      <c r="D54" s="27"/>
      <c r="E54" s="49"/>
      <c r="F54" s="49"/>
      <c r="G54" s="49"/>
      <c r="H54" s="49"/>
      <c r="I54" s="49"/>
      <c r="J54" s="27"/>
    </row>
    <row r="55" spans="1:11">
      <c r="A55" s="13"/>
      <c r="B55" s="13"/>
      <c r="C55" s="22"/>
      <c r="D55" s="27"/>
      <c r="E55" s="26"/>
      <c r="F55" s="26"/>
      <c r="G55" s="26"/>
      <c r="H55" s="26"/>
      <c r="I55" s="26"/>
      <c r="J55" s="27"/>
    </row>
    <row r="56" spans="1:11">
      <c r="A56" s="13"/>
      <c r="B56" s="13"/>
      <c r="C56" s="28"/>
      <c r="D56" s="27"/>
      <c r="E56" s="32"/>
      <c r="F56" s="49"/>
      <c r="G56" s="32"/>
      <c r="H56" s="32"/>
      <c r="I56" s="32"/>
      <c r="J56" s="27"/>
    </row>
    <row r="57" spans="1:11">
      <c r="A57" s="13"/>
      <c r="B57" s="13"/>
      <c r="C57" s="4"/>
      <c r="D57" s="27"/>
      <c r="E57" s="32"/>
      <c r="F57" s="32"/>
      <c r="G57" s="32"/>
      <c r="H57" s="32"/>
      <c r="I57" s="32"/>
      <c r="J57" s="27"/>
    </row>
    <row r="58" spans="1:11">
      <c r="A58" s="45"/>
      <c r="B58" s="45"/>
      <c r="C58" s="30"/>
      <c r="D58" s="36"/>
      <c r="E58" s="52"/>
      <c r="F58" s="52"/>
      <c r="G58" s="52"/>
      <c r="H58" s="52"/>
      <c r="I58" s="52"/>
      <c r="J58" s="36"/>
      <c r="K58" s="50"/>
    </row>
    <row r="59" spans="1:11">
      <c r="A59" s="45"/>
      <c r="B59" s="45"/>
      <c r="C59" s="22"/>
      <c r="D59" s="36"/>
      <c r="E59" s="52"/>
      <c r="F59" s="52"/>
      <c r="G59" s="52"/>
      <c r="H59" s="52"/>
      <c r="I59" s="52"/>
      <c r="J59" s="36"/>
      <c r="K59" s="50"/>
    </row>
    <row r="60" spans="1:11">
      <c r="A60" s="45"/>
      <c r="B60" s="45"/>
      <c r="C60" s="28"/>
      <c r="D60" s="36"/>
      <c r="E60" s="52"/>
      <c r="F60" s="52"/>
      <c r="G60" s="52"/>
      <c r="H60" s="52"/>
      <c r="I60" s="52"/>
      <c r="J60" s="36"/>
      <c r="K60" s="50"/>
    </row>
    <row r="61" spans="1:11">
      <c r="A61" s="45"/>
      <c r="B61" s="45"/>
      <c r="C61" s="50"/>
      <c r="D61" s="50"/>
      <c r="E61" s="50"/>
      <c r="F61" s="50"/>
      <c r="G61" s="50"/>
      <c r="H61" s="50"/>
      <c r="I61" s="50"/>
      <c r="J61" s="50"/>
      <c r="K61" s="50"/>
    </row>
    <row r="62" spans="1:11">
      <c r="A62" s="13"/>
      <c r="B62" s="13"/>
      <c r="C62" s="4"/>
    </row>
    <row r="63" spans="1:11">
      <c r="A63" s="13"/>
      <c r="B63" s="13"/>
      <c r="C63" s="4"/>
    </row>
    <row r="64" spans="1:11">
      <c r="A64" s="13"/>
      <c r="B64" s="13"/>
    </row>
    <row r="65" spans="1:10">
      <c r="A65" s="37"/>
      <c r="B65" s="37"/>
      <c r="C65" s="38"/>
      <c r="D65" s="39"/>
      <c r="E65" s="39"/>
      <c r="F65" s="39"/>
      <c r="G65" s="39"/>
      <c r="H65" s="39"/>
      <c r="I65" s="39"/>
      <c r="J65" s="39"/>
    </row>
    <row r="66" spans="1:10">
      <c r="A66" s="13"/>
      <c r="B66" s="13"/>
    </row>
    <row r="247" spans="1:10">
      <c r="A247" s="43"/>
      <c r="B247" s="43"/>
      <c r="C247" s="44"/>
      <c r="D247" s="43"/>
      <c r="E247" s="43"/>
      <c r="F247" s="43"/>
      <c r="G247" s="43"/>
      <c r="H247" s="43"/>
      <c r="I247" s="43"/>
      <c r="J247" s="43"/>
    </row>
    <row r="248" spans="1:10">
      <c r="A248" s="43"/>
      <c r="B248" s="43"/>
      <c r="C248" s="44"/>
      <c r="D248" s="43"/>
      <c r="E248" s="43"/>
      <c r="F248" s="43"/>
      <c r="G248" s="43"/>
      <c r="H248" s="43"/>
      <c r="I248" s="43"/>
      <c r="J248" s="43"/>
    </row>
    <row r="249" spans="1:10">
      <c r="A249" s="43"/>
      <c r="B249" s="43"/>
      <c r="C249" s="44"/>
      <c r="D249" s="43"/>
      <c r="E249" s="43"/>
      <c r="F249" s="43"/>
      <c r="G249" s="43"/>
      <c r="H249" s="43"/>
      <c r="I249" s="43"/>
      <c r="J249" s="43"/>
    </row>
    <row r="250" spans="1:10">
      <c r="A250" s="43"/>
      <c r="B250" s="43"/>
      <c r="C250" s="44"/>
      <c r="D250" s="43"/>
      <c r="E250" s="43"/>
      <c r="F250" s="43"/>
      <c r="G250" s="43"/>
      <c r="H250" s="43"/>
      <c r="I250" s="43"/>
      <c r="J250" s="43"/>
    </row>
    <row r="251" spans="1:10">
      <c r="A251" s="43"/>
      <c r="B251" s="43"/>
      <c r="C251" s="44"/>
      <c r="D251" s="43"/>
      <c r="E251" s="43"/>
      <c r="F251" s="43"/>
      <c r="G251" s="43"/>
      <c r="H251" s="43"/>
      <c r="I251" s="43"/>
      <c r="J251" s="43"/>
    </row>
    <row r="281" spans="1:10">
      <c r="A281" s="43"/>
      <c r="B281" s="43"/>
      <c r="C281" s="44"/>
      <c r="D281" s="43"/>
      <c r="E281" s="43"/>
      <c r="F281" s="43"/>
      <c r="G281" s="43"/>
      <c r="H281" s="43"/>
      <c r="I281" s="43"/>
      <c r="J281" s="43"/>
    </row>
    <row r="350" spans="1:2">
      <c r="A350" s="1"/>
      <c r="B350" s="1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  <row r="419" spans="1:2">
      <c r="A419" s="43"/>
      <c r="B419" s="43"/>
    </row>
    <row r="420" spans="1:2">
      <c r="A420" s="43"/>
      <c r="B420" s="43"/>
    </row>
    <row r="421" spans="1:2">
      <c r="A421" s="43"/>
      <c r="B421" s="43"/>
    </row>
  </sheetData>
  <pageMargins left="0.7" right="0.7" top="0.75" bottom="0.75" header="0.3" footer="0.3"/>
  <pageSetup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zoomScaleNormal="100" workbookViewId="0">
      <selection activeCell="G21" sqref="G21"/>
    </sheetView>
  </sheetViews>
  <sheetFormatPr defaultColWidth="10.85546875" defaultRowHeight="12"/>
  <cols>
    <col min="1" max="1" width="6.85546875" style="4" customWidth="1"/>
    <col min="2" max="2" width="10.42578125" style="4" hidden="1" customWidth="1"/>
    <col min="3" max="3" width="34.5703125" style="41" customWidth="1"/>
    <col min="4" max="4" width="2.7109375" style="4" customWidth="1"/>
    <col min="5" max="5" width="11.7109375" style="4" customWidth="1"/>
    <col min="6" max="6" width="2.7109375" style="4" customWidth="1"/>
    <col min="7" max="7" width="11.7109375" style="4" customWidth="1"/>
    <col min="8" max="8" width="1.7109375" style="4" customWidth="1"/>
    <col min="9" max="9" width="10.85546875" style="4"/>
    <col min="10" max="10" width="1.7109375" style="4" customWidth="1"/>
    <col min="11" max="11" width="10.85546875" style="4"/>
    <col min="12" max="12" width="1.7109375" style="4" customWidth="1"/>
    <col min="13" max="13" width="10.85546875" style="4"/>
    <col min="14" max="14" width="1.7109375" style="4" customWidth="1"/>
    <col min="15" max="16384" width="10.85546875" style="4"/>
  </cols>
  <sheetData>
    <row r="1" spans="1:13">
      <c r="A1" s="1" t="s">
        <v>0</v>
      </c>
      <c r="B1" s="1"/>
      <c r="C1" s="2"/>
      <c r="D1" s="1"/>
      <c r="E1" s="3" t="s">
        <v>1</v>
      </c>
      <c r="G1" s="3"/>
    </row>
    <row r="2" spans="1:13">
      <c r="A2" s="1"/>
      <c r="B2" s="1"/>
      <c r="C2" s="2"/>
      <c r="D2" s="1"/>
      <c r="E2" s="3"/>
      <c r="G2" s="3"/>
    </row>
    <row r="3" spans="1:13">
      <c r="A3" s="1" t="s">
        <v>53</v>
      </c>
      <c r="B3" s="1"/>
      <c r="C3" s="2"/>
      <c r="D3" s="1"/>
      <c r="E3" s="3"/>
      <c r="G3" s="3"/>
    </row>
    <row r="4" spans="1:13">
      <c r="A4" s="1" t="s">
        <v>34</v>
      </c>
      <c r="B4" s="1"/>
      <c r="C4" s="2"/>
      <c r="D4" s="1"/>
      <c r="E4" s="5"/>
      <c r="G4" s="3"/>
    </row>
    <row r="5" spans="1:13">
      <c r="A5" s="1" t="s">
        <v>4</v>
      </c>
      <c r="B5" s="1"/>
      <c r="C5" s="2"/>
      <c r="D5" s="1"/>
      <c r="E5" s="3"/>
      <c r="G5" s="3"/>
    </row>
    <row r="6" spans="1:13">
      <c r="A6" s="1" t="s">
        <v>6</v>
      </c>
      <c r="B6" s="1"/>
      <c r="C6" s="2"/>
      <c r="D6" s="1"/>
      <c r="E6" s="3"/>
      <c r="F6" s="3"/>
      <c r="G6" s="3"/>
    </row>
    <row r="7" spans="1:13">
      <c r="A7" s="1" t="s">
        <v>7</v>
      </c>
      <c r="B7" s="1"/>
      <c r="C7" s="2"/>
      <c r="D7" s="1"/>
      <c r="E7" s="1"/>
      <c r="F7" s="1"/>
      <c r="G7" s="1"/>
    </row>
    <row r="8" spans="1:13">
      <c r="A8" s="6" t="s">
        <v>8</v>
      </c>
      <c r="B8" s="6"/>
      <c r="C8" s="2"/>
      <c r="D8" s="1"/>
      <c r="E8" s="1"/>
      <c r="F8" s="1"/>
      <c r="G8" s="1"/>
    </row>
    <row r="9" spans="1:13" ht="12.75" thickBo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M9" s="7"/>
    </row>
    <row r="10" spans="1:13">
      <c r="A10" s="9"/>
      <c r="B10" s="10" t="s">
        <v>9</v>
      </c>
      <c r="C10" s="11">
        <v>-1</v>
      </c>
      <c r="D10" s="13"/>
      <c r="E10" s="11"/>
      <c r="G10" s="11"/>
      <c r="H10" s="11"/>
      <c r="I10" s="11"/>
      <c r="J10" s="11"/>
      <c r="K10" s="11"/>
      <c r="M10" s="11"/>
    </row>
    <row r="11" spans="1:13">
      <c r="C11" s="2"/>
      <c r="D11" s="46"/>
      <c r="F11" s="13"/>
      <c r="G11" s="13"/>
      <c r="H11" s="13"/>
      <c r="I11" s="13" t="s">
        <v>216</v>
      </c>
      <c r="K11" s="13" t="s">
        <v>217</v>
      </c>
      <c r="M11" s="13" t="s">
        <v>216</v>
      </c>
    </row>
    <row r="12" spans="1:13">
      <c r="A12" s="13" t="s">
        <v>12</v>
      </c>
      <c r="C12" s="2"/>
      <c r="D12" s="46"/>
      <c r="E12" s="13" t="s">
        <v>11</v>
      </c>
      <c r="F12" s="13"/>
      <c r="G12" s="13" t="s">
        <v>15</v>
      </c>
      <c r="H12" s="13"/>
      <c r="I12" s="13" t="s">
        <v>218</v>
      </c>
      <c r="K12" s="13" t="s">
        <v>219</v>
      </c>
      <c r="M12" s="13" t="s">
        <v>218</v>
      </c>
    </row>
    <row r="13" spans="1:13">
      <c r="A13" s="14" t="s">
        <v>16</v>
      </c>
      <c r="B13" s="15" t="s">
        <v>17</v>
      </c>
      <c r="C13" s="16" t="s">
        <v>18</v>
      </c>
      <c r="D13" s="48"/>
      <c r="E13" s="129" t="s">
        <v>14</v>
      </c>
      <c r="F13" s="131"/>
      <c r="G13" s="132" t="s">
        <v>14</v>
      </c>
      <c r="H13" s="130"/>
      <c r="I13" s="133" t="s">
        <v>220</v>
      </c>
      <c r="K13" s="132" t="s">
        <v>14</v>
      </c>
      <c r="M13" s="132" t="s">
        <v>220</v>
      </c>
    </row>
    <row r="14" spans="1:13">
      <c r="A14" s="13">
        <v>1</v>
      </c>
      <c r="B14" s="13"/>
      <c r="C14" s="19" t="s">
        <v>21</v>
      </c>
      <c r="E14" s="21"/>
      <c r="F14" s="21"/>
      <c r="G14" s="21"/>
    </row>
    <row r="15" spans="1:13">
      <c r="A15" s="13">
        <v>2</v>
      </c>
      <c r="B15" s="13">
        <v>68021</v>
      </c>
      <c r="C15" s="22" t="s">
        <v>54</v>
      </c>
      <c r="D15" s="26"/>
      <c r="E15" s="135">
        <v>27.53</v>
      </c>
      <c r="F15" s="27"/>
      <c r="G15" s="135">
        <v>26.62</v>
      </c>
      <c r="I15" s="134">
        <f>G15/E15-1</f>
        <v>-3.3054849255357843E-2</v>
      </c>
      <c r="K15" s="135">
        <f>+'Sewer Rate Design'!I9</f>
        <v>25.47</v>
      </c>
      <c r="M15" s="134">
        <f>+K15/E15-1</f>
        <v>-7.4827460951689129E-2</v>
      </c>
    </row>
    <row r="16" spans="1:13">
      <c r="A16" s="13">
        <v>3</v>
      </c>
      <c r="B16" s="13"/>
      <c r="C16" s="4"/>
      <c r="D16" s="26"/>
      <c r="F16" s="27"/>
    </row>
    <row r="17" spans="1:13">
      <c r="A17" s="13">
        <v>4</v>
      </c>
      <c r="B17" s="13"/>
      <c r="C17" s="28" t="s">
        <v>55</v>
      </c>
      <c r="D17" s="26"/>
      <c r="E17" s="135">
        <v>19.41</v>
      </c>
      <c r="F17" s="27"/>
      <c r="G17" s="135">
        <v>18.77</v>
      </c>
      <c r="I17" s="134">
        <f>G17/E17-1</f>
        <v>-3.2972694487377718E-2</v>
      </c>
    </row>
    <row r="18" spans="1:13">
      <c r="A18" s="13"/>
      <c r="B18" s="13"/>
      <c r="C18" s="28" t="str">
        <f>+'Sewer Rate Design'!B52</f>
        <v>0-8k</v>
      </c>
      <c r="D18" s="26"/>
      <c r="E18" s="135"/>
      <c r="F18" s="27"/>
      <c r="G18" s="135"/>
      <c r="I18" s="134"/>
      <c r="K18" s="135">
        <f>+'Sewer Rate Design'!I52</f>
        <v>4.91</v>
      </c>
      <c r="M18" s="134">
        <f>+K18/E17-1</f>
        <v>-0.74703760947964959</v>
      </c>
    </row>
    <row r="19" spans="1:13">
      <c r="A19" s="13">
        <v>5</v>
      </c>
      <c r="B19" s="13"/>
      <c r="C19" s="51"/>
      <c r="D19" s="26"/>
      <c r="F19" s="27"/>
    </row>
    <row r="20" spans="1:13">
      <c r="A20" s="13">
        <v>6</v>
      </c>
      <c r="C20" s="30" t="s">
        <v>56</v>
      </c>
      <c r="D20" s="32"/>
      <c r="F20" s="27"/>
    </row>
    <row r="21" spans="1:13">
      <c r="A21" s="13">
        <v>7</v>
      </c>
      <c r="B21" s="13">
        <v>68026</v>
      </c>
      <c r="C21" s="22" t="s">
        <v>25</v>
      </c>
      <c r="D21" s="26"/>
      <c r="E21" s="135">
        <v>27.53</v>
      </c>
      <c r="F21" s="27"/>
      <c r="G21" s="135">
        <v>26.62</v>
      </c>
      <c r="I21" s="134">
        <f t="shared" ref="I21:I29" si="0">G21/E21-1</f>
        <v>-3.3054849255357843E-2</v>
      </c>
      <c r="K21" s="135">
        <f>+'Sewer Rate Design'!I12</f>
        <v>25.47</v>
      </c>
      <c r="M21" s="134">
        <f t="shared" ref="M21:M29" si="1">+K21/E21-1</f>
        <v>-7.4827460951689129E-2</v>
      </c>
    </row>
    <row r="22" spans="1:13">
      <c r="A22" s="13">
        <v>8</v>
      </c>
      <c r="B22" s="13">
        <v>68027</v>
      </c>
      <c r="C22" s="22" t="s">
        <v>26</v>
      </c>
      <c r="D22" s="26"/>
      <c r="E22" s="135">
        <v>41.29</v>
      </c>
      <c r="F22" s="27"/>
      <c r="G22" s="135">
        <v>39.93</v>
      </c>
      <c r="I22" s="134">
        <f t="shared" si="0"/>
        <v>-3.2937757326229056E-2</v>
      </c>
      <c r="K22" s="135">
        <f>+'Sewer Rate Design'!I13</f>
        <v>38.21</v>
      </c>
      <c r="M22" s="134">
        <f t="shared" si="1"/>
        <v>-7.4594332768224691E-2</v>
      </c>
    </row>
    <row r="23" spans="1:13">
      <c r="A23" s="13">
        <v>9</v>
      </c>
      <c r="B23" s="13">
        <v>68028</v>
      </c>
      <c r="C23" s="22" t="s">
        <v>27</v>
      </c>
      <c r="D23" s="26"/>
      <c r="E23" s="135">
        <v>68.81</v>
      </c>
      <c r="F23" s="27"/>
      <c r="G23" s="135">
        <v>66.55</v>
      </c>
      <c r="I23" s="134">
        <f t="shared" si="0"/>
        <v>-3.2844063362883369E-2</v>
      </c>
      <c r="K23" s="135">
        <f>+'Sewer Rate Design'!I14</f>
        <v>63.68</v>
      </c>
      <c r="M23" s="134">
        <f t="shared" si="1"/>
        <v>-7.4553117279465231E-2</v>
      </c>
    </row>
    <row r="24" spans="1:13">
      <c r="A24" s="13">
        <v>10</v>
      </c>
      <c r="B24" s="13">
        <v>68029</v>
      </c>
      <c r="C24" s="22" t="s">
        <v>28</v>
      </c>
      <c r="D24" s="26"/>
      <c r="E24" s="135">
        <v>137.61000000000001</v>
      </c>
      <c r="F24" s="33"/>
      <c r="G24" s="135">
        <v>133.1</v>
      </c>
      <c r="I24" s="134">
        <f t="shared" si="0"/>
        <v>-3.277378097521999E-2</v>
      </c>
      <c r="K24" s="135">
        <f>+'Sewer Rate Design'!I15</f>
        <v>127.37</v>
      </c>
      <c r="M24" s="134">
        <f t="shared" si="1"/>
        <v>-7.4413196715355068E-2</v>
      </c>
    </row>
    <row r="25" spans="1:13">
      <c r="A25" s="13">
        <v>11</v>
      </c>
      <c r="B25" s="13">
        <v>68030</v>
      </c>
      <c r="C25" s="22" t="s">
        <v>29</v>
      </c>
      <c r="D25" s="26"/>
      <c r="E25" s="135">
        <v>220.19</v>
      </c>
      <c r="F25" s="26"/>
      <c r="G25" s="135">
        <v>212.96</v>
      </c>
      <c r="I25" s="134">
        <f t="shared" si="0"/>
        <v>-3.2835278623007391E-2</v>
      </c>
      <c r="K25" s="135">
        <f>+'Sewer Rate Design'!I16</f>
        <v>203.79</v>
      </c>
      <c r="M25" s="134">
        <f t="shared" si="1"/>
        <v>-7.448112993323952E-2</v>
      </c>
    </row>
    <row r="26" spans="1:13">
      <c r="A26" s="13">
        <v>12</v>
      </c>
      <c r="B26" s="13">
        <v>68031</v>
      </c>
      <c r="C26" s="22" t="s">
        <v>30</v>
      </c>
      <c r="D26" s="26"/>
      <c r="E26" s="135">
        <v>440.38</v>
      </c>
      <c r="F26" s="27"/>
      <c r="G26" s="135">
        <v>399.3</v>
      </c>
      <c r="I26" s="134">
        <f t="shared" si="0"/>
        <v>-9.3283073709069408E-2</v>
      </c>
      <c r="K26" s="135">
        <f>+'Sewer Rate Design'!I17</f>
        <v>407.57</v>
      </c>
      <c r="M26" s="134">
        <f t="shared" si="1"/>
        <v>-7.4503837594804501E-2</v>
      </c>
    </row>
    <row r="27" spans="1:13">
      <c r="A27" s="13">
        <v>13</v>
      </c>
      <c r="B27" s="13">
        <v>68032</v>
      </c>
      <c r="C27" s="22" t="s">
        <v>31</v>
      </c>
      <c r="D27" s="32"/>
      <c r="E27" s="135">
        <v>688.07</v>
      </c>
      <c r="F27" s="27"/>
      <c r="G27" s="135">
        <v>665.5</v>
      </c>
      <c r="I27" s="134">
        <f t="shared" si="0"/>
        <v>-3.280189515601617E-2</v>
      </c>
      <c r="K27" s="135">
        <f>+'Sewer Rate Design'!I18</f>
        <v>636.83000000000004</v>
      </c>
      <c r="M27" s="134">
        <f t="shared" si="1"/>
        <v>-7.4469167381225776E-2</v>
      </c>
    </row>
    <row r="28" spans="1:13">
      <c r="A28" s="13">
        <v>14</v>
      </c>
      <c r="B28" s="13">
        <v>68033</v>
      </c>
      <c r="C28" s="22" t="s">
        <v>32</v>
      </c>
      <c r="D28" s="32"/>
      <c r="E28" s="135">
        <v>1376.14</v>
      </c>
      <c r="F28" s="27"/>
      <c r="G28" s="135">
        <v>1331</v>
      </c>
      <c r="I28" s="134">
        <f t="shared" si="0"/>
        <v>-3.280189515601617E-2</v>
      </c>
      <c r="K28" s="135">
        <f>+'Sewer Rate Design'!I19</f>
        <v>1273.6600000000001</v>
      </c>
      <c r="M28" s="134">
        <f t="shared" si="1"/>
        <v>-7.4469167381225776E-2</v>
      </c>
    </row>
    <row r="29" spans="1:13">
      <c r="A29" s="13">
        <v>15</v>
      </c>
      <c r="B29" s="13">
        <v>68034</v>
      </c>
      <c r="C29" s="22" t="s">
        <v>57</v>
      </c>
      <c r="D29" s="32"/>
      <c r="E29" s="135">
        <v>2201.84</v>
      </c>
      <c r="F29" s="33"/>
      <c r="G29" s="135">
        <v>2129.6</v>
      </c>
      <c r="I29" s="134">
        <f t="shared" si="0"/>
        <v>-3.2808923445845406E-2</v>
      </c>
      <c r="K29" s="135">
        <f>+'Sewer Rate Design'!I20</f>
        <v>2037.86</v>
      </c>
      <c r="M29" s="134">
        <f t="shared" si="1"/>
        <v>-7.4474076227155628E-2</v>
      </c>
    </row>
    <row r="30" spans="1:13">
      <c r="A30" s="13">
        <v>16</v>
      </c>
      <c r="B30" s="13"/>
      <c r="C30" s="22"/>
      <c r="D30" s="26"/>
      <c r="F30" s="27"/>
      <c r="I30" s="134"/>
      <c r="M30" s="134"/>
    </row>
    <row r="31" spans="1:13">
      <c r="A31" s="13">
        <v>17</v>
      </c>
      <c r="B31" s="13"/>
      <c r="C31" s="28" t="s">
        <v>24</v>
      </c>
      <c r="D31" s="32"/>
      <c r="E31" s="135">
        <v>23.29</v>
      </c>
      <c r="F31" s="27"/>
      <c r="G31" s="135">
        <v>22.52</v>
      </c>
      <c r="I31" s="134">
        <f>G31/E31-1</f>
        <v>-3.306139974237865E-2</v>
      </c>
      <c r="K31" s="135">
        <f>+'Sewer Rate Design'!I55</f>
        <v>5.65</v>
      </c>
      <c r="M31" s="134">
        <f>+K31/E31-1</f>
        <v>-0.75740661227994843</v>
      </c>
    </row>
    <row r="32" spans="1:13">
      <c r="A32" s="13">
        <v>18</v>
      </c>
      <c r="B32" s="13"/>
      <c r="C32" s="4"/>
      <c r="D32" s="32"/>
      <c r="E32" s="32"/>
      <c r="F32" s="27"/>
      <c r="G32" s="27"/>
    </row>
    <row r="33" spans="1:7" s="50" customFormat="1">
      <c r="A33" s="45"/>
      <c r="B33" s="45"/>
      <c r="F33" s="53"/>
      <c r="G33" s="53"/>
    </row>
    <row r="34" spans="1:7">
      <c r="A34" s="13"/>
      <c r="B34" s="13"/>
      <c r="C34" s="4"/>
      <c r="F34" s="21"/>
      <c r="G34" s="21"/>
    </row>
    <row r="35" spans="1:7">
      <c r="A35" s="13"/>
      <c r="B35" s="13"/>
      <c r="C35" s="4"/>
      <c r="F35" s="21"/>
      <c r="G35" s="21"/>
    </row>
    <row r="36" spans="1:7">
      <c r="A36" s="13"/>
      <c r="B36" s="13"/>
      <c r="E36" s="54"/>
      <c r="F36" s="21"/>
      <c r="G36" s="21"/>
    </row>
    <row r="37" spans="1:7">
      <c r="A37" s="37"/>
      <c r="B37" s="37"/>
      <c r="C37" s="38"/>
      <c r="D37" s="39"/>
      <c r="E37" s="40"/>
      <c r="F37" s="40"/>
      <c r="G37" s="40"/>
    </row>
    <row r="38" spans="1:7">
      <c r="A38" s="13"/>
      <c r="B38" s="13"/>
      <c r="E38" s="21"/>
      <c r="F38" s="21"/>
      <c r="G38" s="21"/>
    </row>
    <row r="39" spans="1:7">
      <c r="E39" s="21"/>
      <c r="F39" s="21"/>
      <c r="G39" s="21"/>
    </row>
    <row r="40" spans="1:7">
      <c r="E40" s="21"/>
      <c r="F40" s="21"/>
      <c r="G40" s="21"/>
    </row>
    <row r="41" spans="1:7">
      <c r="E41" s="21"/>
      <c r="F41" s="21"/>
      <c r="G41" s="21"/>
    </row>
    <row r="42" spans="1:7">
      <c r="E42" s="21"/>
      <c r="F42" s="21"/>
      <c r="G42" s="21"/>
    </row>
    <row r="43" spans="1:7">
      <c r="E43" s="21"/>
      <c r="F43" s="21"/>
      <c r="G43" s="21"/>
    </row>
    <row r="44" spans="1:7">
      <c r="E44" s="21"/>
      <c r="F44" s="21"/>
      <c r="G44" s="21"/>
    </row>
    <row r="45" spans="1:7">
      <c r="E45" s="21"/>
      <c r="F45" s="21"/>
      <c r="G45" s="21"/>
    </row>
    <row r="46" spans="1:7">
      <c r="E46" s="21"/>
      <c r="F46" s="21"/>
      <c r="G46" s="21"/>
    </row>
    <row r="47" spans="1:7">
      <c r="E47" s="21"/>
      <c r="F47" s="21"/>
      <c r="G47" s="21"/>
    </row>
    <row r="48" spans="1:7">
      <c r="E48" s="21"/>
      <c r="F48" s="21"/>
      <c r="G48" s="21"/>
    </row>
    <row r="49" spans="5:7">
      <c r="E49" s="21"/>
      <c r="F49" s="21"/>
      <c r="G49" s="21"/>
    </row>
    <row r="50" spans="5:7">
      <c r="E50" s="21"/>
      <c r="F50" s="21"/>
      <c r="G50" s="21"/>
    </row>
    <row r="51" spans="5:7">
      <c r="E51" s="21"/>
      <c r="F51" s="21"/>
      <c r="G51" s="21"/>
    </row>
    <row r="52" spans="5:7">
      <c r="E52" s="21"/>
      <c r="F52" s="21"/>
      <c r="G52" s="21"/>
    </row>
    <row r="53" spans="5:7">
      <c r="E53" s="21"/>
      <c r="F53" s="21"/>
      <c r="G53" s="21"/>
    </row>
    <row r="54" spans="5:7">
      <c r="E54" s="21"/>
      <c r="F54" s="21"/>
      <c r="G54" s="21"/>
    </row>
    <row r="55" spans="5:7">
      <c r="E55" s="21"/>
      <c r="F55" s="21"/>
      <c r="G55" s="21"/>
    </row>
    <row r="93" spans="5:5">
      <c r="E93" s="42"/>
    </row>
    <row r="96" spans="5:5">
      <c r="E96" s="42"/>
    </row>
    <row r="219" spans="1:4">
      <c r="A219" s="43"/>
      <c r="B219" s="43"/>
      <c r="C219" s="44"/>
      <c r="D219" s="43"/>
    </row>
    <row r="220" spans="1:4">
      <c r="A220" s="43"/>
      <c r="B220" s="43"/>
      <c r="C220" s="44"/>
      <c r="D220" s="43"/>
    </row>
    <row r="221" spans="1:4">
      <c r="A221" s="43"/>
      <c r="B221" s="43"/>
      <c r="C221" s="44"/>
      <c r="D221" s="43"/>
    </row>
    <row r="222" spans="1:4">
      <c r="A222" s="43"/>
      <c r="B222" s="43"/>
      <c r="C222" s="44"/>
      <c r="D222" s="43"/>
    </row>
    <row r="223" spans="1:4">
      <c r="A223" s="43"/>
      <c r="B223" s="43"/>
      <c r="C223" s="44"/>
      <c r="D223" s="43"/>
    </row>
    <row r="253" spans="1:4">
      <c r="A253" s="43"/>
      <c r="B253" s="43"/>
      <c r="C253" s="44"/>
      <c r="D253" s="43"/>
    </row>
    <row r="322" spans="1:2">
      <c r="A322" s="1"/>
      <c r="B322" s="1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</sheetData>
  <printOptions horizontalCentered="1"/>
  <pageMargins left="0.7" right="0.2" top="0.75" bottom="0.2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9</vt:i4>
      </vt:variant>
    </vt:vector>
  </HeadingPairs>
  <TitlesOfParts>
    <vt:vector size="30" baseType="lpstr">
      <vt:lpstr>E 2 (s)</vt:lpstr>
      <vt:lpstr>Sewer Rate Design</vt:lpstr>
      <vt:lpstr>S-Revenue Summary</vt:lpstr>
      <vt:lpstr>S-Bills Summary</vt:lpstr>
      <vt:lpstr>S-Usage Summary</vt:lpstr>
      <vt:lpstr>S-Rate Summary</vt:lpstr>
      <vt:lpstr>Cypress(s)</vt:lpstr>
      <vt:lpstr>EagleRidge(s)</vt:lpstr>
      <vt:lpstr>Labrador(s)</vt:lpstr>
      <vt:lpstr>LakePlacid(s)</vt:lpstr>
      <vt:lpstr>Longwood(s)</vt:lpstr>
      <vt:lpstr>LUSI(s)</vt:lpstr>
      <vt:lpstr>MidCounty(s)</vt:lpstr>
      <vt:lpstr>Pennbrooke(s)</vt:lpstr>
      <vt:lpstr>Sandalhaven(s)</vt:lpstr>
      <vt:lpstr>Sanlando(s)</vt:lpstr>
      <vt:lpstr>TierraVerde(s)</vt:lpstr>
      <vt:lpstr>UIF-Marion(s)</vt:lpstr>
      <vt:lpstr>UIF-Pasco-Orangewood(s)</vt:lpstr>
      <vt:lpstr>UIF-Pasco-Summertree(s)</vt:lpstr>
      <vt:lpstr>UIF-Seminole(s)</vt:lpstr>
      <vt:lpstr>'E 2 (s)'!Print_Area</vt:lpstr>
      <vt:lpstr>'EagleRidge(s)'!Print_Area</vt:lpstr>
      <vt:lpstr>'Longwood(s)'!Print_Area</vt:lpstr>
      <vt:lpstr>'LUSI(s)'!Print_Area</vt:lpstr>
      <vt:lpstr>'Sandalhaven(s)'!Print_Area</vt:lpstr>
      <vt:lpstr>'Sewer Rate Design'!Print_Area</vt:lpstr>
      <vt:lpstr>'S-Rate Summary'!Print_Area</vt:lpstr>
      <vt:lpstr>'S-Revenue Summary'!Print_Area</vt:lpstr>
      <vt:lpstr>'TierraVerde(s)'!Print_Area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2017-02-27T21:50:20Z</cp:lastPrinted>
  <dcterms:created xsi:type="dcterms:W3CDTF">2016-08-01T20:28:04Z</dcterms:created>
  <dcterms:modified xsi:type="dcterms:W3CDTF">2017-02-27T21:51:19Z</dcterms:modified>
</cp:coreProperties>
</file>