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Office - 1\Laptop - Current\Utilities, Inc. of Florida\Discovery\"/>
    </mc:Choice>
  </mc:AlternateContent>
  <bookViews>
    <workbookView xWindow="0" yWindow="0" windowWidth="20160" windowHeight="8472"/>
  </bookViews>
  <sheets>
    <sheet name="E-12" sheetId="2" r:id="rId1"/>
    <sheet name="WP3.1W" sheetId="1" r:id="rId2"/>
  </sheets>
  <externalReferences>
    <externalReference r:id="rId3"/>
  </externalReferences>
  <definedNames>
    <definedName name="\P" localSheetId="0">#REF!</definedName>
    <definedName name="\P">#REF!</definedName>
    <definedName name="_10PG_15">#REF!</definedName>
    <definedName name="_11PG_16" localSheetId="0">#REF!</definedName>
    <definedName name="_12PG_16">#REF!</definedName>
    <definedName name="_13PG_17" localSheetId="0">#REF!</definedName>
    <definedName name="_14PG_17">#REF!</definedName>
    <definedName name="_15PG_2" localSheetId="0">#REF!</definedName>
    <definedName name="_16PG_2">#REF!</definedName>
    <definedName name="_17PG_3" localSheetId="0">#REF!</definedName>
    <definedName name="_18PG_3">#REF!</definedName>
    <definedName name="_19PG_4" localSheetId="0">#REF!</definedName>
    <definedName name="_1PG_1" localSheetId="0">#REF!</definedName>
    <definedName name="_20PG_4">#REF!</definedName>
    <definedName name="_21PG_5" localSheetId="0">#REF!</definedName>
    <definedName name="_22PG_5">#REF!</definedName>
    <definedName name="_23PG_6" localSheetId="0">#REF!</definedName>
    <definedName name="_24PG_6">#REF!</definedName>
    <definedName name="_25PG_7" localSheetId="0">#REF!</definedName>
    <definedName name="_26PG_7">#REF!</definedName>
    <definedName name="_27PG_8" localSheetId="0">#REF!</definedName>
    <definedName name="_28PG_8">#REF!</definedName>
    <definedName name="_29PG_9" localSheetId="0">#REF!</definedName>
    <definedName name="_2PG_1">#REF!</definedName>
    <definedName name="_30PG_9">#REF!</definedName>
    <definedName name="_3PG_10" localSheetId="0">#REF!</definedName>
    <definedName name="_4PG_10">#REF!</definedName>
    <definedName name="_5PG_13" localSheetId="0">#REF!</definedName>
    <definedName name="_6PG_13">#REF!</definedName>
    <definedName name="_7PG_14" localSheetId="0">#REF!</definedName>
    <definedName name="_8PG_14">#REF!</definedName>
    <definedName name="_9PG_15" localSheetId="0">#REF!</definedName>
    <definedName name="_xlnm.Print_Area" localSheetId="0">'E-12'!$A$1:$AC$61</definedName>
    <definedName name="_xlnm.Print_Area" localSheetId="1">WP3.1W!$A$1:$Q$76</definedName>
  </definedNames>
  <calcPr calcId="152511"/>
</workbook>
</file>

<file path=xl/calcChain.xml><?xml version="1.0" encoding="utf-8"?>
<calcChain xmlns="http://schemas.openxmlformats.org/spreadsheetml/2006/main">
  <c r="AH17" i="2" l="1"/>
  <c r="AJ17" i="2" s="1"/>
  <c r="AH18" i="2"/>
  <c r="AJ18" i="2" s="1"/>
  <c r="AH19" i="2"/>
  <c r="AJ19" i="2"/>
  <c r="AH20" i="2"/>
  <c r="AJ20" i="2" s="1"/>
  <c r="AH21" i="2"/>
  <c r="AJ21" i="2" s="1"/>
  <c r="AH22" i="2"/>
  <c r="AJ22" i="2" s="1"/>
  <c r="AF24" i="2"/>
  <c r="AF28" i="2" s="1"/>
  <c r="AH24" i="2"/>
  <c r="AJ24" i="2" s="1"/>
  <c r="AF25" i="2"/>
  <c r="AH25" i="2"/>
  <c r="AJ25" i="2" s="1"/>
  <c r="AF26" i="2"/>
  <c r="AH26" i="2"/>
  <c r="AJ26" i="2" s="1"/>
  <c r="AH31" i="2"/>
  <c r="AJ31" i="2" s="1"/>
  <c r="AH32" i="2"/>
  <c r="AJ32" i="2"/>
  <c r="AH33" i="2"/>
  <c r="AJ33" i="2" s="1"/>
  <c r="AH34" i="2"/>
  <c r="AJ34" i="2" s="1"/>
  <c r="AH35" i="2"/>
  <c r="AJ35" i="2" s="1"/>
  <c r="AH36" i="2"/>
  <c r="AJ36" i="2"/>
  <c r="AH38" i="2"/>
  <c r="AL46" i="2"/>
  <c r="AL47" i="2"/>
  <c r="AL48" i="2"/>
  <c r="AK54" i="2"/>
  <c r="AJ28" i="2" l="1"/>
  <c r="G54" i="1"/>
  <c r="K54" i="1" s="1"/>
  <c r="O54" i="1" s="1"/>
  <c r="O55" i="1"/>
  <c r="K55" i="1"/>
  <c r="I55" i="1"/>
  <c r="I56" i="1" s="1"/>
  <c r="I19" i="1"/>
  <c r="K19" i="1"/>
  <c r="O19" i="1"/>
  <c r="M19" i="1"/>
  <c r="M55" i="1"/>
  <c r="C70" i="1"/>
  <c r="G76" i="1" s="1"/>
  <c r="M54" i="1"/>
  <c r="O47" i="1"/>
  <c r="I47" i="1"/>
  <c r="E47" i="1"/>
  <c r="O46" i="1"/>
  <c r="I46" i="1"/>
  <c r="E46" i="1"/>
  <c r="M46" i="1" s="1"/>
  <c r="M45" i="1"/>
  <c r="G55" i="1" s="1"/>
  <c r="I49" i="1" l="1"/>
  <c r="E49" i="1"/>
  <c r="O49" i="1"/>
  <c r="M56" i="1"/>
  <c r="O56" i="1"/>
  <c r="G56" i="1"/>
  <c r="K56" i="1"/>
  <c r="K57" i="1" s="1"/>
  <c r="M47" i="1"/>
  <c r="E55" i="1"/>
  <c r="E56" i="1" s="1"/>
  <c r="M49" i="1" l="1"/>
  <c r="O57" i="1"/>
  <c r="K59" i="1"/>
  <c r="E67" i="1" s="1"/>
  <c r="G67" i="1" s="1"/>
  <c r="I67" i="1" s="1"/>
  <c r="O59" i="1"/>
  <c r="E68" i="1" s="1"/>
  <c r="G68" i="1" s="1"/>
  <c r="I68" i="1" s="1"/>
  <c r="G57" i="1"/>
  <c r="G59" i="1" l="1"/>
  <c r="E66" i="1" s="1"/>
  <c r="G66" i="1" s="1"/>
  <c r="I66" i="1" s="1"/>
  <c r="I70" i="1" l="1"/>
  <c r="K66" i="1" s="1"/>
  <c r="G70" i="1"/>
  <c r="G72" i="1" s="1"/>
  <c r="K68" i="1" l="1"/>
  <c r="K67" i="1"/>
  <c r="U44" i="2"/>
  <c r="AJ44" i="2" s="1"/>
  <c r="S31" i="2"/>
  <c r="U31" i="2" s="1"/>
  <c r="S32" i="2"/>
  <c r="U32" i="2" s="1"/>
  <c r="S33" i="2"/>
  <c r="U33" i="2" s="1"/>
  <c r="S34" i="2"/>
  <c r="U34" i="2" s="1"/>
  <c r="S35" i="2"/>
  <c r="U35" i="2" s="1"/>
  <c r="S36" i="2"/>
  <c r="U36" i="2" s="1"/>
  <c r="M38" i="2"/>
  <c r="U17" i="2"/>
  <c r="U18" i="2"/>
  <c r="U19" i="2"/>
  <c r="U20" i="2"/>
  <c r="U21" i="2"/>
  <c r="U22" i="2"/>
  <c r="M24" i="2"/>
  <c r="M25" i="2"/>
  <c r="M26" i="2"/>
  <c r="U26" i="2"/>
  <c r="Q31" i="2"/>
  <c r="Q32" i="2"/>
  <c r="Q33" i="2"/>
  <c r="Q34" i="2"/>
  <c r="Q35" i="2"/>
  <c r="Q36" i="2"/>
  <c r="Q17" i="2"/>
  <c r="Q18" i="2"/>
  <c r="Q19" i="2"/>
  <c r="Q20" i="2"/>
  <c r="Q21" i="2"/>
  <c r="Q22" i="2"/>
  <c r="AA17" i="2"/>
  <c r="AA31" i="2" s="1"/>
  <c r="AC31" i="2" s="1"/>
  <c r="AA18" i="2"/>
  <c r="AA21" i="2"/>
  <c r="AA35" i="2" s="1"/>
  <c r="AC35" i="2" s="1"/>
  <c r="Y38" i="2"/>
  <c r="AA24" i="2"/>
  <c r="Y24" i="2"/>
  <c r="Y25" i="2"/>
  <c r="Y26" i="2"/>
  <c r="AC57" i="2"/>
  <c r="W40" i="2"/>
  <c r="W42" i="2" s="1"/>
  <c r="W28" i="2"/>
  <c r="Y40" i="2"/>
  <c r="A3" i="2"/>
  <c r="A4" i="2"/>
  <c r="A5" i="2"/>
  <c r="S5" i="2"/>
  <c r="C28" i="2"/>
  <c r="G28" i="2"/>
  <c r="I28" i="2"/>
  <c r="I38" i="2"/>
  <c r="I40" i="2" s="1"/>
  <c r="I42" i="2" s="1"/>
  <c r="C40" i="2"/>
  <c r="C42" i="2" s="1"/>
  <c r="G40" i="2"/>
  <c r="G42" i="2" s="1"/>
  <c r="M9" i="1"/>
  <c r="E19" i="1" s="1"/>
  <c r="E20" i="1" s="1"/>
  <c r="G19" i="1"/>
  <c r="G20" i="1" s="1"/>
  <c r="O18" i="1"/>
  <c r="O20" i="1" s="1"/>
  <c r="M18" i="1"/>
  <c r="M20" i="1" s="1"/>
  <c r="K20" i="1"/>
  <c r="I20" i="1"/>
  <c r="C34" i="1"/>
  <c r="E11" i="1"/>
  <c r="O11" i="1"/>
  <c r="O13" i="1" s="1"/>
  <c r="Q9" i="1" s="1"/>
  <c r="O10" i="1"/>
  <c r="E10" i="1"/>
  <c r="I11" i="1"/>
  <c r="I10" i="1"/>
  <c r="Q24" i="2" l="1"/>
  <c r="AN47" i="2"/>
  <c r="AJ51" i="2"/>
  <c r="AJ55" i="2" s="1"/>
  <c r="AN48" i="2"/>
  <c r="AN52" i="2"/>
  <c r="AN53" i="2" s="1"/>
  <c r="AN46" i="2"/>
  <c r="Q26" i="2"/>
  <c r="U38" i="2"/>
  <c r="U40" i="2" s="1"/>
  <c r="AJ38" i="2"/>
  <c r="AJ40" i="2" s="1"/>
  <c r="AJ42" i="2" s="1"/>
  <c r="Q38" i="2"/>
  <c r="Q40" i="2" s="1"/>
  <c r="M40" i="2"/>
  <c r="U24" i="2"/>
  <c r="Q10" i="1"/>
  <c r="M11" i="1"/>
  <c r="G21" i="1"/>
  <c r="G23" i="1" s="1"/>
  <c r="E30" i="1" s="1"/>
  <c r="G30" i="1" s="1"/>
  <c r="I30" i="1" s="1"/>
  <c r="Q45" i="1"/>
  <c r="Q46" i="1"/>
  <c r="Q47" i="1"/>
  <c r="Q11" i="1"/>
  <c r="O21" i="1"/>
  <c r="O23" i="1" s="1"/>
  <c r="E32" i="1" s="1"/>
  <c r="G32" i="1" s="1"/>
  <c r="I32" i="1" s="1"/>
  <c r="AA25" i="2"/>
  <c r="AC25" i="2" s="1"/>
  <c r="AA22" i="2"/>
  <c r="AC22" i="2" s="1"/>
  <c r="AA20" i="2"/>
  <c r="AA34" i="2" s="1"/>
  <c r="AC34" i="2" s="1"/>
  <c r="AC44" i="2"/>
  <c r="AA38" i="2"/>
  <c r="AC38" i="2" s="1"/>
  <c r="AA19" i="2"/>
  <c r="AA33" i="2"/>
  <c r="AC33" i="2" s="1"/>
  <c r="AC19" i="2"/>
  <c r="U25" i="2"/>
  <c r="Q25" i="2"/>
  <c r="AA26" i="2"/>
  <c r="AC26" i="2" s="1"/>
  <c r="I13" i="1"/>
  <c r="E13" i="1"/>
  <c r="M10" i="1"/>
  <c r="K21" i="1"/>
  <c r="K23" i="1" s="1"/>
  <c r="E31" i="1" s="1"/>
  <c r="G31" i="1" s="1"/>
  <c r="I31" i="1" s="1"/>
  <c r="M28" i="2"/>
  <c r="Y28" i="2"/>
  <c r="AC24" i="2"/>
  <c r="AC17" i="2"/>
  <c r="AA36" i="2"/>
  <c r="AC36" i="2" s="1"/>
  <c r="AC20" i="2"/>
  <c r="AA32" i="2"/>
  <c r="AC32" i="2" s="1"/>
  <c r="AC18" i="2"/>
  <c r="AC21" i="2"/>
  <c r="Q13" i="1" l="1"/>
  <c r="AJ46" i="2"/>
  <c r="AJ49" i="2" s="1"/>
  <c r="AL55" i="2"/>
  <c r="AL61" i="2" s="1"/>
  <c r="AL23" i="2"/>
  <c r="AF29" i="2"/>
  <c r="AF30" i="2" s="1"/>
  <c r="U28" i="2"/>
  <c r="U42" i="2" s="1"/>
  <c r="U46" i="2" s="1"/>
  <c r="AC40" i="2"/>
  <c r="Q28" i="2"/>
  <c r="Q42" i="2" s="1"/>
  <c r="Y42" i="2"/>
  <c r="Y29" i="2"/>
  <c r="Q49" i="1"/>
  <c r="G45" i="1"/>
  <c r="G47" i="1"/>
  <c r="G46" i="1"/>
  <c r="K11" i="1"/>
  <c r="K45" i="1"/>
  <c r="K46" i="1"/>
  <c r="K47" i="1"/>
  <c r="M42" i="2"/>
  <c r="AC28" i="2"/>
  <c r="I34" i="1"/>
  <c r="K31" i="1" s="1"/>
  <c r="G34" i="1"/>
  <c r="G36" i="1" s="1"/>
  <c r="K9" i="1"/>
  <c r="K10" i="1"/>
  <c r="M13" i="1"/>
  <c r="G9" i="1"/>
  <c r="G10" i="1"/>
  <c r="G11" i="1"/>
  <c r="G49" i="1" l="1"/>
  <c r="AF46" i="2"/>
  <c r="AF47" i="2"/>
  <c r="AL26" i="2"/>
  <c r="AL24" i="2"/>
  <c r="AL25" i="2"/>
  <c r="AC42" i="2"/>
  <c r="AC46" i="2" s="1"/>
  <c r="AF48" i="2" s="1"/>
  <c r="AF50" i="2" s="1"/>
  <c r="K49" i="1"/>
  <c r="K32" i="1"/>
  <c r="G13" i="1"/>
  <c r="K30" i="1"/>
  <c r="K13" i="1"/>
  <c r="AC47" i="2" l="1"/>
  <c r="AL28" i="2"/>
  <c r="K70" i="1"/>
  <c r="K34" i="1"/>
</calcChain>
</file>

<file path=xl/sharedStrings.xml><?xml version="1.0" encoding="utf-8"?>
<sst xmlns="http://schemas.openxmlformats.org/spreadsheetml/2006/main" count="209" uniqueCount="117">
  <si>
    <t>Work Paper 3.1W</t>
  </si>
  <si>
    <t>Water Rate Development Schedule</t>
  </si>
  <si>
    <t>Usage</t>
  </si>
  <si>
    <t>Gallons</t>
  </si>
  <si>
    <t>Bills</t>
  </si>
  <si>
    <t>Average Use</t>
  </si>
  <si>
    <t>Consolidated</t>
  </si>
  <si>
    <t>Residential</t>
  </si>
  <si>
    <t>Block</t>
  </si>
  <si>
    <t>Within Block</t>
  </si>
  <si>
    <t>Factor Use</t>
  </si>
  <si>
    <t>Tier 1</t>
  </si>
  <si>
    <t>0-10 tg</t>
  </si>
  <si>
    <t>Tier 2</t>
  </si>
  <si>
    <t>next 10 tg</t>
  </si>
  <si>
    <t>Tier 3</t>
  </si>
  <si>
    <t>Over 20 tg</t>
  </si>
  <si>
    <t>TOTAL:</t>
  </si>
  <si>
    <t>Avg Bill</t>
  </si>
  <si>
    <t>Present</t>
  </si>
  <si>
    <t>Proposed</t>
  </si>
  <si>
    <t>Base Chg</t>
  </si>
  <si>
    <t>Usage Chg</t>
  </si>
  <si>
    <t>Increase</t>
  </si>
  <si>
    <t>Repression Factor</t>
  </si>
  <si>
    <t>(Based on 10% increase in rates causes 2% reduction in usage.)</t>
  </si>
  <si>
    <t>Conservation Usage Calculation:</t>
  </si>
  <si>
    <t>Sch. E-12W</t>
  </si>
  <si>
    <t>Test Year</t>
  </si>
  <si>
    <t>Consol.</t>
  </si>
  <si>
    <t xml:space="preserve">Usage </t>
  </si>
  <si>
    <t>Pro Forma Consolidated</t>
  </si>
  <si>
    <t>Factor</t>
  </si>
  <si>
    <t>Reduction</t>
  </si>
  <si>
    <t>Placid Lakes Utilities, Inc.</t>
  </si>
  <si>
    <t>Test Year Ending 12/31/08</t>
  </si>
  <si>
    <t>Projected Test Year Revenue Calculation</t>
  </si>
  <si>
    <t>Florida Public Service Commission</t>
  </si>
  <si>
    <t>Schedule:</t>
  </si>
  <si>
    <t>E-12</t>
  </si>
  <si>
    <t>Page:</t>
  </si>
  <si>
    <t>1 of 1</t>
  </si>
  <si>
    <t>Preparer:</t>
  </si>
  <si>
    <t>Water [X]  Sewer [  ]</t>
  </si>
  <si>
    <t>Explanation:  If a projected test year is used, provide a schedule of historical and projected bills and consumption by classification.  Include a</t>
  </si>
  <si>
    <t>calculation of each projection factor on a separate schedule, if necessary.  List other classes or meter sizes as applicable.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</si>
  <si>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</si>
  <si>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</si>
  <si>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</si>
  <si>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</si>
  <si>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</si>
  <si>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</si>
  <si>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</si>
  <si>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</si>
  <si>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</si>
  <si>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</si>
  <si>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</si>
  <si>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Historical</t>
  </si>
  <si>
    <t>Proj.</t>
  </si>
  <si>
    <t>Proj. Test</t>
  </si>
  <si>
    <t xml:space="preserve">Test Year </t>
  </si>
  <si>
    <t>Proj. TY</t>
  </si>
  <si>
    <t>Projected</t>
  </si>
  <si>
    <t>Class/Meter Size</t>
  </si>
  <si>
    <t>Year Bills</t>
  </si>
  <si>
    <t>Consump.</t>
  </si>
  <si>
    <t>Rates</t>
  </si>
  <si>
    <t>Revenue</t>
  </si>
  <si>
    <t>Rev. Req.</t>
  </si>
  <si>
    <t>5/8" X 3/4"</t>
  </si>
  <si>
    <t>1"</t>
  </si>
  <si>
    <t>1-1/2"</t>
  </si>
  <si>
    <t>2"</t>
  </si>
  <si>
    <t>3"</t>
  </si>
  <si>
    <t>4"</t>
  </si>
  <si>
    <t>0 to 10,000 gals.</t>
  </si>
  <si>
    <t>10,001 to 20,000 gals.</t>
  </si>
  <si>
    <t>Over 20,000 gals.</t>
  </si>
  <si>
    <t>Residential Service</t>
  </si>
  <si>
    <t>General Service</t>
  </si>
  <si>
    <t>All Gallons</t>
  </si>
  <si>
    <t>Total Metered Revenue</t>
  </si>
  <si>
    <t>Note 1</t>
  </si>
  <si>
    <t>Note 2</t>
  </si>
  <si>
    <t>Misc. Service Revenue</t>
  </si>
  <si>
    <t>Total Revenue</t>
  </si>
  <si>
    <t>all</t>
  </si>
  <si>
    <t>blk 1</t>
  </si>
  <si>
    <t>Blk 2&amp;3</t>
  </si>
  <si>
    <t>Notes:</t>
  </si>
  <si>
    <t>(1) Reflects annualized base year bills plus projected test year growth as shown on Schedule F-7.</t>
  </si>
  <si>
    <t>(2) Reflects consumption based on a trended 5 year average consumption per customer with residential consumption within the usage</t>
  </si>
  <si>
    <t xml:space="preserve">     blocks at base year 12/31/07 levels.</t>
  </si>
  <si>
    <t>Approved</t>
  </si>
  <si>
    <t>Per Order No. PSC-09-0632-PAA-WU</t>
  </si>
  <si>
    <t>A</t>
  </si>
  <si>
    <t>B) Revenue Requirement per Order Sch 3-A</t>
  </si>
  <si>
    <t>Less:</t>
  </si>
  <si>
    <t>Repression Adjustments</t>
  </si>
  <si>
    <t>Power</t>
  </si>
  <si>
    <t>Chemical</t>
  </si>
  <si>
    <t>RAF</t>
  </si>
  <si>
    <t>B)  Post Repression Revenue</t>
  </si>
  <si>
    <t>A) Reflects repression adjustment of 5.04% applied to</t>
  </si>
  <si>
    <t xml:space="preserve">    Column 7, Projected TY Consumption.</t>
  </si>
  <si>
    <t>*Placid Lakes received approximately 80% of requested</t>
  </si>
  <si>
    <t xml:space="preserve">  increase.</t>
  </si>
  <si>
    <t>PSC Approved Rates Order No. PSC-09-0632-PAA-WU</t>
  </si>
  <si>
    <t>PSC percentage per 10% Rate Increase</t>
  </si>
  <si>
    <t>PSC Reduction per Order</t>
  </si>
  <si>
    <t>Percent of Reduction</t>
  </si>
  <si>
    <t>Repression</t>
  </si>
  <si>
    <t>Repression Factor (Using PSC 1.9%)</t>
  </si>
  <si>
    <t>(Based on 10% increase in rates causes 1.9% reduction in usage.)</t>
  </si>
  <si>
    <t>Guastella Associates Methodology for Price Elasticity Impacts</t>
  </si>
  <si>
    <t>PROOF OF REASONABLENESS - RESULTS PRODUCING 5.04% PSC REPRESSION ADJUSTMENT</t>
  </si>
  <si>
    <t>Response to 180 of Staff 7th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</si>
</sst>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7" formatCode="&quot;$&quot;#,##0.00_);\(&quot;$&quot;#,##0.00\)"/>
    <numFmt numFmtId="164" formatCode="0.0%"/>
    <numFmt numFmtId="165" formatCode="#,##0.0"/>
    <numFmt numFmtId="166" formatCode="#,##0.000_);\(#,##0.000\)"/>
    <numFmt numFmtId="167" formatCode="0.00000"/>
    <numFmt numFmtId="168" formatCode="0.0"/>
  </numFmts>
  <fonts count="11">
    <font>
      <sz val="12"/>
      <name val="SWISS"/>
    </font>
    <font>
      <sz val="10"/>
      <name val="Arial"/>
      <family val="2"/>
    </font>
    <font>
      <sz val="8"/>
      <name val="SWISS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SWISS"/>
    </font>
    <font>
      <sz val="10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 applyProtection="1">
      <alignment horizontal="right"/>
      <protection locked="0"/>
    </xf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Alignment="1" applyProtection="1">
      <protection locked="0"/>
    </xf>
    <xf numFmtId="164" fontId="4" fillId="0" borderId="0" xfId="2" applyNumberFormat="1" applyFont="1" applyAlignment="1" applyProtection="1">
      <protection locked="0"/>
    </xf>
    <xf numFmtId="2" fontId="4" fillId="0" borderId="0" xfId="0" applyNumberFormat="1" applyFont="1" applyAlignment="1" applyProtection="1">
      <protection locked="0"/>
    </xf>
    <xf numFmtId="7" fontId="4" fillId="0" borderId="0" xfId="0" applyNumberFormat="1" applyFont="1" applyAlignment="1" applyProtection="1">
      <protection locked="0"/>
    </xf>
    <xf numFmtId="39" fontId="4" fillId="0" borderId="0" xfId="0" applyNumberFormat="1" applyFont="1" applyAlignment="1" applyProtection="1">
      <protection locked="0"/>
    </xf>
    <xf numFmtId="7" fontId="4" fillId="0" borderId="1" xfId="0" applyNumberFormat="1" applyFont="1" applyBorder="1" applyAlignment="1" applyProtection="1">
      <protection locked="0"/>
    </xf>
    <xf numFmtId="164" fontId="4" fillId="0" borderId="2" xfId="2" applyNumberFormat="1" applyFont="1" applyBorder="1" applyAlignment="1" applyProtection="1">
      <protection locked="0"/>
    </xf>
    <xf numFmtId="0" fontId="5" fillId="0" borderId="0" xfId="0" applyNumberFormat="1" applyFont="1" applyAlignment="1" applyProtection="1">
      <protection locked="0"/>
    </xf>
    <xf numFmtId="164" fontId="4" fillId="2" borderId="0" xfId="0" applyNumberFormat="1" applyFont="1" applyFill="1" applyAlignment="1" applyProtection="1">
      <protection locked="0"/>
    </xf>
    <xf numFmtId="10" fontId="4" fillId="0" borderId="0" xfId="2" applyNumberFormat="1" applyFont="1" applyAlignment="1" applyProtection="1">
      <protection locked="0"/>
    </xf>
    <xf numFmtId="165" fontId="4" fillId="0" borderId="0" xfId="0" applyNumberFormat="1" applyFont="1" applyAlignment="1" applyProtection="1">
      <protection locked="0"/>
    </xf>
    <xf numFmtId="0" fontId="3" fillId="0" borderId="0" xfId="1" applyFont="1"/>
    <xf numFmtId="0" fontId="1" fillId="0" borderId="0" xfId="1"/>
    <xf numFmtId="0" fontId="1" fillId="0" borderId="0" xfId="1" applyAlignment="1"/>
    <xf numFmtId="0" fontId="3" fillId="0" borderId="0" xfId="1" applyFont="1" applyAlignment="1"/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protection locked="0"/>
    </xf>
    <xf numFmtId="0" fontId="1" fillId="0" borderId="0" xfId="1" applyFont="1"/>
    <xf numFmtId="0" fontId="1" fillId="0" borderId="1" xfId="1" applyBorder="1"/>
    <xf numFmtId="0" fontId="1" fillId="0" borderId="0" xfId="1" applyBorder="1"/>
    <xf numFmtId="0" fontId="1" fillId="0" borderId="0" xfId="1" quotePrefix="1" applyFill="1" applyBorder="1" applyAlignment="1">
      <alignment horizontal="center"/>
    </xf>
    <xf numFmtId="0" fontId="1" fillId="0" borderId="0" xfId="1" quotePrefix="1" applyAlignment="1">
      <alignment horizontal="center"/>
    </xf>
    <xf numFmtId="0" fontId="1" fillId="0" borderId="0" xfId="1" applyAlignment="1">
      <alignment horizontal="center"/>
    </xf>
    <xf numFmtId="3" fontId="1" fillId="0" borderId="0" xfId="1" applyNumberFormat="1" applyFont="1"/>
    <xf numFmtId="37" fontId="1" fillId="0" borderId="0" xfId="1" applyNumberFormat="1"/>
    <xf numFmtId="10" fontId="1" fillId="0" borderId="0" xfId="2" applyNumberFormat="1" applyFont="1" applyAlignment="1">
      <alignment horizontal="center"/>
    </xf>
    <xf numFmtId="166" fontId="1" fillId="0" borderId="0" xfId="1" applyNumberFormat="1"/>
    <xf numFmtId="7" fontId="1" fillId="0" borderId="0" xfId="1" applyNumberFormat="1"/>
    <xf numFmtId="5" fontId="1" fillId="0" borderId="0" xfId="1" applyNumberFormat="1"/>
    <xf numFmtId="0" fontId="1" fillId="0" borderId="0" xfId="1" quotePrefix="1"/>
    <xf numFmtId="39" fontId="1" fillId="0" borderId="0" xfId="1" applyNumberFormat="1"/>
    <xf numFmtId="37" fontId="1" fillId="0" borderId="0" xfId="1" applyNumberFormat="1" applyBorder="1"/>
    <xf numFmtId="10" fontId="1" fillId="0" borderId="0" xfId="2" applyNumberFormat="1" applyBorder="1"/>
    <xf numFmtId="0" fontId="4" fillId="0" borderId="0" xfId="1" applyFont="1"/>
    <xf numFmtId="10" fontId="1" fillId="0" borderId="0" xfId="2" applyNumberFormat="1"/>
    <xf numFmtId="10" fontId="1" fillId="0" borderId="1" xfId="2" applyNumberFormat="1" applyBorder="1"/>
    <xf numFmtId="166" fontId="1" fillId="0" borderId="1" xfId="1" applyNumberFormat="1" applyBorder="1"/>
    <xf numFmtId="37" fontId="1" fillId="0" borderId="1" xfId="1" applyNumberFormat="1" applyBorder="1"/>
    <xf numFmtId="5" fontId="1" fillId="0" borderId="1" xfId="1" applyNumberFormat="1" applyBorder="1"/>
    <xf numFmtId="5" fontId="1" fillId="0" borderId="0" xfId="1" applyNumberFormat="1" applyBorder="1"/>
    <xf numFmtId="37" fontId="1" fillId="0" borderId="2" xfId="1" applyNumberFormat="1" applyBorder="1"/>
    <xf numFmtId="166" fontId="1" fillId="0" borderId="2" xfId="1" applyNumberFormat="1" applyBorder="1"/>
    <xf numFmtId="5" fontId="1" fillId="0" borderId="2" xfId="1" applyNumberFormat="1" applyBorder="1"/>
    <xf numFmtId="0" fontId="1" fillId="0" borderId="0" xfId="1" applyAlignment="1">
      <alignment horizontal="right"/>
    </xf>
    <xf numFmtId="167" fontId="1" fillId="0" borderId="0" xfId="1" applyNumberFormat="1"/>
    <xf numFmtId="0" fontId="1" fillId="0" borderId="6" xfId="1" quotePrefix="1" applyBorder="1" applyAlignment="1">
      <alignment horizontal="center"/>
    </xf>
    <xf numFmtId="0" fontId="1" fillId="0" borderId="0" xfId="1" quotePrefix="1" applyBorder="1" applyAlignment="1">
      <alignment horizontal="center"/>
    </xf>
    <xf numFmtId="0" fontId="1" fillId="0" borderId="7" xfId="1" quotePrefix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3" fontId="1" fillId="0" borderId="6" xfId="1" applyNumberFormat="1" applyFont="1" applyBorder="1"/>
    <xf numFmtId="37" fontId="1" fillId="0" borderId="6" xfId="1" applyNumberFormat="1" applyBorder="1"/>
    <xf numFmtId="166" fontId="1" fillId="0" borderId="0" xfId="1" applyNumberFormat="1" applyBorder="1"/>
    <xf numFmtId="7" fontId="1" fillId="0" borderId="0" xfId="1" applyNumberFormat="1" applyBorder="1"/>
    <xf numFmtId="5" fontId="1" fillId="0" borderId="7" xfId="1" applyNumberFormat="1" applyBorder="1"/>
    <xf numFmtId="39" fontId="1" fillId="0" borderId="0" xfId="1" applyNumberFormat="1" applyBorder="1"/>
    <xf numFmtId="37" fontId="1" fillId="0" borderId="7" xfId="1" applyNumberFormat="1" applyBorder="1"/>
    <xf numFmtId="10" fontId="1" fillId="0" borderId="6" xfId="2" applyNumberFormat="1" applyBorder="1"/>
    <xf numFmtId="10" fontId="1" fillId="0" borderId="8" xfId="2" applyNumberFormat="1" applyBorder="1"/>
    <xf numFmtId="37" fontId="1" fillId="0" borderId="9" xfId="1" applyNumberFormat="1" applyBorder="1"/>
    <xf numFmtId="5" fontId="1" fillId="0" borderId="9" xfId="1" applyNumberFormat="1" applyBorder="1"/>
    <xf numFmtId="0" fontId="1" fillId="0" borderId="8" xfId="1" applyBorder="1"/>
    <xf numFmtId="37" fontId="1" fillId="0" borderId="10" xfId="1" applyNumberFormat="1" applyBorder="1"/>
    <xf numFmtId="5" fontId="1" fillId="0" borderId="11" xfId="1" applyNumberFormat="1" applyBorder="1"/>
    <xf numFmtId="5" fontId="1" fillId="0" borderId="6" xfId="1" applyNumberFormat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37" fontId="1" fillId="0" borderId="0" xfId="1" applyNumberFormat="1" applyFont="1" applyBorder="1"/>
    <xf numFmtId="0" fontId="1" fillId="0" borderId="6" xfId="1" applyFont="1" applyBorder="1"/>
    <xf numFmtId="0" fontId="1" fillId="0" borderId="6" xfId="1" applyFont="1" applyBorder="1" applyAlignment="1">
      <alignment horizontal="right"/>
    </xf>
    <xf numFmtId="0" fontId="1" fillId="0" borderId="0" xfId="1" applyFont="1" applyBorder="1"/>
    <xf numFmtId="5" fontId="1" fillId="0" borderId="0" xfId="1" applyNumberFormat="1" applyFont="1" applyBorder="1"/>
    <xf numFmtId="10" fontId="1" fillId="0" borderId="7" xfId="2" applyNumberFormat="1" applyBorder="1"/>
    <xf numFmtId="0" fontId="3" fillId="0" borderId="6" xfId="1" applyFont="1" applyBorder="1"/>
    <xf numFmtId="0" fontId="3" fillId="0" borderId="0" xfId="1" applyFont="1" applyBorder="1"/>
    <xf numFmtId="5" fontId="3" fillId="0" borderId="7" xfId="1" applyNumberFormat="1" applyFont="1" applyBorder="1"/>
    <xf numFmtId="164" fontId="1" fillId="0" borderId="0" xfId="2" applyNumberFormat="1"/>
    <xf numFmtId="0" fontId="4" fillId="0" borderId="0" xfId="0" applyNumberFormat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8" fillId="0" borderId="0" xfId="0" applyNumberFormat="1" applyFont="1" applyAlignment="1" applyProtection="1">
      <protection locked="0"/>
    </xf>
    <xf numFmtId="10" fontId="8" fillId="0" borderId="0" xfId="2" applyNumberFormat="1" applyFont="1" applyBorder="1"/>
    <xf numFmtId="165" fontId="8" fillId="0" borderId="0" xfId="0" applyNumberFormat="1" applyFont="1" applyAlignment="1" applyProtection="1">
      <protection locked="0"/>
    </xf>
    <xf numFmtId="10" fontId="8" fillId="0" borderId="0" xfId="2" applyNumberFormat="1" applyFont="1" applyAlignment="1" applyProtection="1"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protection locked="0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4" fillId="3" borderId="16" xfId="0" applyNumberFormat="1" applyFont="1" applyFill="1" applyBorder="1" applyAlignment="1" applyProtection="1">
      <alignment horizontal="center"/>
      <protection locked="0"/>
    </xf>
    <xf numFmtId="0" fontId="4" fillId="3" borderId="17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9" fillId="0" borderId="0" xfId="1" applyFont="1"/>
    <xf numFmtId="0" fontId="10" fillId="0" borderId="0" xfId="1" applyFont="1"/>
  </cellXfs>
  <cellStyles count="3">
    <cellStyle name="Normal" xfId="0" builtinId="0"/>
    <cellStyle name="Normal_Rates Schedules (E)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U%2012-31-2007%20MFR%209-22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.I Cover Sheet"/>
      <sheetName val="INDEX-A"/>
      <sheetName val="A-1,pg1"/>
      <sheetName val="A-1,pg2"/>
      <sheetName val="A-3,pg1"/>
      <sheetName val="A-3,pg2"/>
      <sheetName val="A-4"/>
      <sheetName val="A-5,pg1"/>
      <sheetName val="A-5,pg2"/>
      <sheetName val="A-5,pg3"/>
      <sheetName val="A-7"/>
      <sheetName val="A-8"/>
      <sheetName val="A-9,pg1"/>
      <sheetName val="A-9,pg2"/>
      <sheetName val="A-9,pg3"/>
      <sheetName val="A-11"/>
      <sheetName val="A-12,pg1"/>
      <sheetName val="A-12,pg2"/>
      <sheetName val="A-12,pg3"/>
      <sheetName val="A-13"/>
      <sheetName val="A-14,pg1"/>
      <sheetName val="A-14,pg2"/>
      <sheetName val="A-14,pg3"/>
      <sheetName val="A-15"/>
      <sheetName val="A-16"/>
      <sheetName val="A-17"/>
      <sheetName val="INDEX-B"/>
      <sheetName val="B-1,pg1"/>
      <sheetName val="B-1,pg2"/>
      <sheetName val="B-3,pg1"/>
      <sheetName val="B-3,pg2"/>
      <sheetName val="B-3,pg3"/>
      <sheetName val="B-3,pg4"/>
      <sheetName val="B-4,pg1"/>
      <sheetName val="B-4,pg2"/>
      <sheetName val="B-5,pg1"/>
      <sheetName val="B-5,pg2"/>
      <sheetName val="B-7"/>
      <sheetName val="B-9"/>
      <sheetName val="B-10"/>
      <sheetName val="B-11"/>
      <sheetName val="B-12"/>
      <sheetName val="B-13,pg1"/>
      <sheetName val="B-13,pg2"/>
      <sheetName val="B-13,pg3"/>
      <sheetName val="B-15"/>
      <sheetName val="INDEX-C"/>
      <sheetName val="C-1,pg1"/>
      <sheetName val="C-1,pg2"/>
      <sheetName val="C-2,pg1"/>
      <sheetName val="C-2,pg2"/>
      <sheetName val="C-3,pg1"/>
      <sheetName val="C-3,pg2"/>
      <sheetName val="C-4"/>
      <sheetName val="C-5,pg1"/>
      <sheetName val="C-5,pg2"/>
      <sheetName val="C-6,pg1"/>
      <sheetName val="C-6,pg2"/>
      <sheetName val="C-6,pg3"/>
      <sheetName val="C-7,pg1"/>
      <sheetName val="C-7,pg2"/>
      <sheetName val="C-7,pg3"/>
      <sheetName val="C-7,pg4"/>
      <sheetName val="C-8,pg1"/>
      <sheetName val="C-8,pg2"/>
      <sheetName val="C-9"/>
      <sheetName val="C-10"/>
      <sheetName val="INDEX-D"/>
      <sheetName val="D-1,pg1"/>
      <sheetName val="D-1,pg2"/>
      <sheetName val="D-1,pg3"/>
      <sheetName val="D-1,pg4"/>
      <sheetName val="D-2,pg1"/>
      <sheetName val="D-2,pg2"/>
      <sheetName val="D-2,pg3"/>
      <sheetName val="D-2,pg4"/>
      <sheetName val="D-3,pg1"/>
      <sheetName val="D-3,pg2"/>
      <sheetName val="D-4"/>
      <sheetName val="D-5,pg1"/>
      <sheetName val="D-5,pg2"/>
      <sheetName val="D-6,pg1"/>
      <sheetName val="D-6,pg2"/>
      <sheetName val="D-7,pg1"/>
      <sheetName val="D-7,pg2"/>
      <sheetName val="INDEX-E"/>
      <sheetName val="E-1"/>
      <sheetName val="E-2,pg1"/>
      <sheetName val="E-2,pg2"/>
      <sheetName val="E-3,pg1"/>
      <sheetName val="E-3,pg2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3"/>
      <sheetName val="INDEX-F"/>
      <sheetName val="F-1"/>
      <sheetName val="F-3"/>
      <sheetName val="F-5"/>
      <sheetName val="F-5 (2)"/>
      <sheetName val="F-7"/>
      <sheetName val="F-8"/>
      <sheetName val="F-9"/>
      <sheetName val="INDEX-G"/>
      <sheetName val="G-1"/>
      <sheetName val="G-2"/>
      <sheetName val="G-3"/>
      <sheetName val="G-4"/>
      <sheetName val="G-5"/>
      <sheetName val="G-6"/>
      <sheetName val="G-7"/>
    </sheetNames>
    <sheetDataSet>
      <sheetData sheetId="0"/>
      <sheetData sheetId="1"/>
      <sheetData sheetId="2">
        <row r="4">
          <cell r="A4" t="str">
            <v>Docket No. 080353-WS</v>
          </cell>
        </row>
        <row r="5">
          <cell r="A5" t="str">
            <v>Test Year Ending 12/31/08</v>
          </cell>
          <cell r="G5" t="str">
            <v>Guastella Associates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">
          <cell r="A1" t="str">
            <v>Placid Lakes Utilities, Inc.</v>
          </cell>
        </row>
      </sheetData>
      <sheetData sheetId="86">
        <row r="16">
          <cell r="G16">
            <v>10.65</v>
          </cell>
        </row>
        <row r="17">
          <cell r="G17">
            <v>26.63</v>
          </cell>
        </row>
        <row r="18">
          <cell r="G18">
            <v>53.25</v>
          </cell>
        </row>
        <row r="19">
          <cell r="G19">
            <v>85.2</v>
          </cell>
        </row>
        <row r="20">
          <cell r="G20">
            <v>170.4</v>
          </cell>
        </row>
        <row r="21">
          <cell r="G21">
            <v>266.25</v>
          </cell>
        </row>
        <row r="25">
          <cell r="G25">
            <v>3.99</v>
          </cell>
        </row>
        <row r="26">
          <cell r="G26">
            <v>5.99</v>
          </cell>
        </row>
        <row r="27">
          <cell r="G27">
            <v>7.98</v>
          </cell>
        </row>
        <row r="31">
          <cell r="G31">
            <v>10.65</v>
          </cell>
        </row>
        <row r="32">
          <cell r="G32">
            <v>26.63</v>
          </cell>
        </row>
        <row r="33">
          <cell r="G33">
            <v>53.25</v>
          </cell>
        </row>
        <row r="34">
          <cell r="G34">
            <v>85.2</v>
          </cell>
        </row>
        <row r="35">
          <cell r="G35">
            <v>170.4</v>
          </cell>
        </row>
        <row r="36">
          <cell r="G36">
            <v>266.25</v>
          </cell>
        </row>
        <row r="40">
          <cell r="G40">
            <v>4.2699999999999996</v>
          </cell>
        </row>
      </sheetData>
      <sheetData sheetId="87"/>
      <sheetData sheetId="88"/>
      <sheetData sheetId="89"/>
      <sheetData sheetId="90"/>
      <sheetData sheetId="91"/>
      <sheetData sheetId="92">
        <row r="41">
          <cell r="I41">
            <v>5790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1"/>
  <sheetViews>
    <sheetView tabSelected="1" zoomScale="70" zoomScaleNormal="70" workbookViewId="0"/>
  </sheetViews>
  <sheetFormatPr defaultColWidth="7.08984375" defaultRowHeight="13.2"/>
  <cols>
    <col min="1" max="1" width="16.6328125" style="20" customWidth="1"/>
    <col min="2" max="2" width="1.36328125" style="20" customWidth="1"/>
    <col min="3" max="3" width="7.08984375" style="20" customWidth="1"/>
    <col min="4" max="4" width="1.36328125" style="20" customWidth="1"/>
    <col min="5" max="5" width="7.08984375" style="20" customWidth="1"/>
    <col min="6" max="6" width="1.36328125" style="20" customWidth="1"/>
    <col min="7" max="7" width="7.08984375" style="20" customWidth="1"/>
    <col min="8" max="8" width="1.36328125" style="20" customWidth="1"/>
    <col min="9" max="9" width="10.6328125" style="20" customWidth="1"/>
    <col min="10" max="10" width="1.36328125" style="20" customWidth="1"/>
    <col min="11" max="11" width="7.08984375" style="20" customWidth="1"/>
    <col min="12" max="12" width="1.36328125" style="20" customWidth="1"/>
    <col min="13" max="13" width="9.36328125" style="20" customWidth="1"/>
    <col min="14" max="14" width="1.36328125" style="20" customWidth="1"/>
    <col min="15" max="15" width="7.08984375" style="20" customWidth="1"/>
    <col min="16" max="16" width="1.36328125" style="20" customWidth="1"/>
    <col min="17" max="17" width="10.08984375" style="20" customWidth="1"/>
    <col min="18" max="18" width="1.36328125" style="20" customWidth="1"/>
    <col min="19" max="19" width="7.08984375" style="20" customWidth="1"/>
    <col min="20" max="20" width="1.36328125" style="20" customWidth="1"/>
    <col min="21" max="21" width="9.36328125" style="20" customWidth="1"/>
    <col min="22" max="22" width="2.90625" style="20" customWidth="1"/>
    <col min="23" max="23" width="7.453125" style="20" customWidth="1"/>
    <col min="24" max="24" width="1.81640625" style="20" customWidth="1"/>
    <col min="25" max="25" width="9.81640625" style="20" customWidth="1"/>
    <col min="26" max="26" width="2.81640625" style="20" customWidth="1"/>
    <col min="27" max="27" width="7.36328125" style="20" customWidth="1"/>
    <col min="28" max="28" width="1.81640625" style="20" customWidth="1"/>
    <col min="29" max="29" width="15.6328125" style="20" customWidth="1"/>
    <col min="30" max="30" width="3" style="20" customWidth="1"/>
    <col min="31" max="31" width="3.6328125" style="20" customWidth="1"/>
    <col min="32" max="32" width="9.36328125" style="20" hidden="1" customWidth="1"/>
    <col min="33" max="33" width="7" style="20" hidden="1" customWidth="1"/>
    <col min="34" max="34" width="7.08984375" style="20" hidden="1" customWidth="1"/>
    <col min="35" max="35" width="1.36328125" style="20" hidden="1" customWidth="1"/>
    <col min="36" max="37" width="7.08984375" style="20" hidden="1" customWidth="1"/>
    <col min="38" max="38" width="8.54296875" style="20" hidden="1" customWidth="1"/>
    <col min="39" max="40" width="0" style="20" hidden="1" customWidth="1"/>
    <col min="41" max="16384" width="7.08984375" style="20"/>
  </cols>
  <sheetData>
    <row r="1" spans="1:34">
      <c r="A1" s="19" t="s">
        <v>36</v>
      </c>
      <c r="O1" s="21"/>
      <c r="P1" s="21"/>
      <c r="Q1" s="22" t="s">
        <v>37</v>
      </c>
    </row>
    <row r="3" spans="1:34" ht="21">
      <c r="A3" s="19" t="str">
        <f>'[1]INDEX-E'!A1</f>
        <v>Placid Lakes Utilities, Inc.</v>
      </c>
      <c r="E3" s="111" t="s">
        <v>116</v>
      </c>
      <c r="F3" s="112"/>
      <c r="G3" s="112"/>
      <c r="H3" s="112"/>
      <c r="I3" s="112"/>
      <c r="Q3" s="23" t="s">
        <v>38</v>
      </c>
      <c r="S3" s="23" t="s">
        <v>39</v>
      </c>
    </row>
    <row r="4" spans="1:34">
      <c r="A4" s="24" t="str">
        <f>+'[1]A-1,pg1'!$A$4</f>
        <v>Docket No. 080353-WS</v>
      </c>
      <c r="Q4" s="23" t="s">
        <v>40</v>
      </c>
      <c r="S4" s="23" t="s">
        <v>41</v>
      </c>
    </row>
    <row r="5" spans="1:34">
      <c r="A5" s="23" t="str">
        <f>'[1]A-1,pg1'!A5</f>
        <v>Test Year Ending 12/31/08</v>
      </c>
      <c r="Q5" s="23" t="s">
        <v>42</v>
      </c>
      <c r="S5" s="23" t="str">
        <f>+'[1]A-1,pg1'!$G$5</f>
        <v>Guastella Associates</v>
      </c>
    </row>
    <row r="6" spans="1:34">
      <c r="A6" s="25" t="s">
        <v>43</v>
      </c>
    </row>
    <row r="9" spans="1:34">
      <c r="A9" s="20" t="s">
        <v>44</v>
      </c>
    </row>
    <row r="10" spans="1:34" ht="13.8" thickBot="1">
      <c r="A10" s="20" t="s">
        <v>45</v>
      </c>
    </row>
    <row r="11" spans="1:34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W11" s="100" t="s">
        <v>94</v>
      </c>
      <c r="X11" s="101"/>
      <c r="Y11" s="101"/>
      <c r="Z11" s="101"/>
      <c r="AA11" s="101"/>
      <c r="AB11" s="101"/>
      <c r="AC11" s="102"/>
      <c r="AD11" s="27"/>
      <c r="AE11" s="27"/>
      <c r="AF11" s="27"/>
      <c r="AG11" s="27"/>
      <c r="AH11" s="27"/>
    </row>
    <row r="12" spans="1:34">
      <c r="A12" s="28" t="s">
        <v>46</v>
      </c>
      <c r="B12" s="28"/>
      <c r="C12" s="29" t="s">
        <v>47</v>
      </c>
      <c r="D12" s="29"/>
      <c r="E12" s="29" t="s">
        <v>48</v>
      </c>
      <c r="F12" s="29"/>
      <c r="G12" s="29" t="s">
        <v>49</v>
      </c>
      <c r="H12" s="29"/>
      <c r="I12" s="29" t="s">
        <v>50</v>
      </c>
      <c r="J12" s="29"/>
      <c r="K12" s="29" t="s">
        <v>51</v>
      </c>
      <c r="L12" s="29"/>
      <c r="M12" s="29" t="s">
        <v>52</v>
      </c>
      <c r="N12" s="29"/>
      <c r="O12" s="29" t="s">
        <v>53</v>
      </c>
      <c r="P12" s="29"/>
      <c r="Q12" s="29" t="s">
        <v>54</v>
      </c>
      <c r="R12" s="29"/>
      <c r="S12" s="29" t="s">
        <v>55</v>
      </c>
      <c r="T12" s="29"/>
      <c r="U12" s="29" t="s">
        <v>56</v>
      </c>
      <c r="V12" s="29"/>
      <c r="W12" s="53"/>
      <c r="X12" s="54"/>
      <c r="Y12" s="54"/>
      <c r="Z12" s="54"/>
      <c r="AA12" s="54"/>
      <c r="AB12" s="54"/>
      <c r="AC12" s="55"/>
      <c r="AD12" s="29"/>
      <c r="AE12" s="29"/>
      <c r="AF12" s="29"/>
    </row>
    <row r="13" spans="1:34">
      <c r="A13" s="30"/>
      <c r="B13" s="30"/>
      <c r="C13" s="30" t="s">
        <v>57</v>
      </c>
      <c r="D13" s="30"/>
      <c r="E13" s="30" t="s">
        <v>58</v>
      </c>
      <c r="F13" s="30"/>
      <c r="G13" s="30" t="s">
        <v>59</v>
      </c>
      <c r="H13" s="30"/>
      <c r="I13" s="30" t="s">
        <v>60</v>
      </c>
      <c r="J13" s="30"/>
      <c r="K13" s="30" t="s">
        <v>58</v>
      </c>
      <c r="L13" s="30"/>
      <c r="M13" s="30" t="s">
        <v>61</v>
      </c>
      <c r="N13" s="30"/>
      <c r="O13" s="30" t="s">
        <v>19</v>
      </c>
      <c r="P13" s="30"/>
      <c r="Q13" s="30" t="s">
        <v>61</v>
      </c>
      <c r="R13" s="30"/>
      <c r="S13" s="30" t="s">
        <v>20</v>
      </c>
      <c r="T13" s="30"/>
      <c r="U13" s="30" t="s">
        <v>62</v>
      </c>
      <c r="V13" s="30"/>
      <c r="W13" s="56" t="s">
        <v>59</v>
      </c>
      <c r="X13" s="57"/>
      <c r="Y13" s="57" t="s">
        <v>61</v>
      </c>
      <c r="Z13" s="57"/>
      <c r="AA13" s="58" t="s">
        <v>93</v>
      </c>
      <c r="AB13" s="57"/>
      <c r="AC13" s="59" t="s">
        <v>93</v>
      </c>
      <c r="AD13" s="30"/>
      <c r="AE13" s="30"/>
      <c r="AF13" s="30"/>
    </row>
    <row r="14" spans="1:34">
      <c r="A14" s="30" t="s">
        <v>63</v>
      </c>
      <c r="B14" s="30"/>
      <c r="C14" s="30" t="s">
        <v>64</v>
      </c>
      <c r="D14" s="30"/>
      <c r="E14" s="30" t="s">
        <v>32</v>
      </c>
      <c r="F14" s="30"/>
      <c r="G14" s="30" t="s">
        <v>64</v>
      </c>
      <c r="H14" s="30"/>
      <c r="I14" s="30" t="s">
        <v>65</v>
      </c>
      <c r="J14" s="30"/>
      <c r="K14" s="30" t="s">
        <v>32</v>
      </c>
      <c r="L14" s="30"/>
      <c r="M14" s="30" t="s">
        <v>65</v>
      </c>
      <c r="N14" s="30"/>
      <c r="O14" s="30" t="s">
        <v>66</v>
      </c>
      <c r="P14" s="30"/>
      <c r="Q14" s="30" t="s">
        <v>67</v>
      </c>
      <c r="R14" s="30"/>
      <c r="S14" s="30" t="s">
        <v>66</v>
      </c>
      <c r="T14" s="30"/>
      <c r="U14" s="30" t="s">
        <v>68</v>
      </c>
      <c r="V14" s="30"/>
      <c r="W14" s="56" t="s">
        <v>64</v>
      </c>
      <c r="X14" s="57"/>
      <c r="Y14" s="57" t="s">
        <v>65</v>
      </c>
      <c r="Z14" s="57"/>
      <c r="AA14" s="57" t="s">
        <v>66</v>
      </c>
      <c r="AB14" s="57"/>
      <c r="AC14" s="60" t="s">
        <v>68</v>
      </c>
      <c r="AD14" s="30"/>
      <c r="AE14" s="30"/>
      <c r="AF14" s="30"/>
    </row>
    <row r="15" spans="1:34">
      <c r="W15" s="61"/>
      <c r="X15" s="27"/>
      <c r="Y15" s="27"/>
      <c r="Z15" s="27"/>
      <c r="AA15" s="27"/>
      <c r="AB15" s="27"/>
      <c r="AC15" s="62"/>
    </row>
    <row r="16" spans="1:34">
      <c r="A16" s="20" t="s">
        <v>7</v>
      </c>
      <c r="G16" s="31"/>
      <c r="W16" s="63"/>
      <c r="X16" s="27"/>
      <c r="Y16" s="27"/>
      <c r="Z16" s="27"/>
      <c r="AA16" s="27"/>
      <c r="AB16" s="27"/>
      <c r="AC16" s="62"/>
    </row>
    <row r="17" spans="1:38">
      <c r="A17" s="20" t="s">
        <v>69</v>
      </c>
      <c r="C17" s="32">
        <v>22867</v>
      </c>
      <c r="E17" s="33"/>
      <c r="G17" s="32">
        <v>23042</v>
      </c>
      <c r="I17" s="34">
        <v>94632.498000000007</v>
      </c>
      <c r="M17" s="34">
        <v>92639.977133387307</v>
      </c>
      <c r="O17" s="35">
        <v>9.73</v>
      </c>
      <c r="Q17" s="36">
        <f t="shared" ref="Q17:Q22" si="0">+G17*O17</f>
        <v>224198.66</v>
      </c>
      <c r="S17" s="35">
        <v>14.64</v>
      </c>
      <c r="U17" s="36">
        <f t="shared" ref="U17:U22" si="1">ROUND(+S17*G17,2)</f>
        <v>337334.88</v>
      </c>
      <c r="V17" s="36"/>
      <c r="W17" s="64">
        <v>23042</v>
      </c>
      <c r="X17" s="47"/>
      <c r="Y17" s="65"/>
      <c r="Z17" s="47"/>
      <c r="AA17" s="66">
        <f t="shared" ref="AA17:AA22" si="2">+AH17</f>
        <v>10.65</v>
      </c>
      <c r="AB17" s="47"/>
      <c r="AC17" s="67">
        <f t="shared" ref="AC17:AC22" si="3">+W17*AA17</f>
        <v>245397.30000000002</v>
      </c>
      <c r="AD17" s="36"/>
      <c r="AE17" s="36"/>
      <c r="AF17" s="36"/>
      <c r="AH17" s="35">
        <f>+'[1]E-1'!G16</f>
        <v>10.65</v>
      </c>
      <c r="AJ17" s="36">
        <f t="shared" ref="AJ17:AJ22" si="4">+AH17*G17</f>
        <v>245397.30000000002</v>
      </c>
    </row>
    <row r="18" spans="1:38">
      <c r="A18" s="37" t="s">
        <v>70</v>
      </c>
      <c r="C18" s="32">
        <v>275</v>
      </c>
      <c r="G18" s="32">
        <v>276</v>
      </c>
      <c r="I18" s="34">
        <v>2480.17</v>
      </c>
      <c r="M18" s="34">
        <v>2374.565668539472</v>
      </c>
      <c r="O18" s="38">
        <v>14.6</v>
      </c>
      <c r="Q18" s="32">
        <f t="shared" si="0"/>
        <v>4029.6</v>
      </c>
      <c r="S18" s="38">
        <v>21.96</v>
      </c>
      <c r="U18" s="39">
        <f t="shared" si="1"/>
        <v>6060.96</v>
      </c>
      <c r="V18" s="39"/>
      <c r="W18" s="64">
        <v>276</v>
      </c>
      <c r="X18" s="39"/>
      <c r="Y18" s="65"/>
      <c r="Z18" s="39"/>
      <c r="AA18" s="68">
        <f t="shared" si="2"/>
        <v>26.63</v>
      </c>
      <c r="AB18" s="39"/>
      <c r="AC18" s="69">
        <f t="shared" si="3"/>
        <v>7349.88</v>
      </c>
      <c r="AD18" s="39"/>
      <c r="AE18" s="39"/>
      <c r="AF18" s="39"/>
      <c r="AH18" s="35">
        <f>+'[1]E-1'!G17</f>
        <v>26.63</v>
      </c>
      <c r="AJ18" s="39">
        <f t="shared" si="4"/>
        <v>7349.88</v>
      </c>
    </row>
    <row r="19" spans="1:38">
      <c r="A19" s="37" t="s">
        <v>71</v>
      </c>
      <c r="I19" s="34"/>
      <c r="O19" s="38">
        <v>24.37</v>
      </c>
      <c r="Q19" s="32">
        <f t="shared" si="0"/>
        <v>0</v>
      </c>
      <c r="S19" s="38">
        <v>36.659999999999997</v>
      </c>
      <c r="U19" s="39">
        <f t="shared" si="1"/>
        <v>0</v>
      </c>
      <c r="V19" s="39"/>
      <c r="W19" s="61"/>
      <c r="X19" s="39"/>
      <c r="Y19" s="27"/>
      <c r="Z19" s="39"/>
      <c r="AA19" s="68">
        <f t="shared" si="2"/>
        <v>53.25</v>
      </c>
      <c r="AB19" s="39"/>
      <c r="AC19" s="69">
        <f t="shared" si="3"/>
        <v>0</v>
      </c>
      <c r="AD19" s="39"/>
      <c r="AE19" s="39"/>
      <c r="AF19" s="39"/>
      <c r="AH19" s="35">
        <f>+'[1]E-1'!G18</f>
        <v>53.25</v>
      </c>
      <c r="AJ19" s="39">
        <f t="shared" si="4"/>
        <v>0</v>
      </c>
    </row>
    <row r="20" spans="1:38">
      <c r="A20" s="37" t="s">
        <v>72</v>
      </c>
      <c r="M20" s="34"/>
      <c r="O20" s="38">
        <v>48.64</v>
      </c>
      <c r="Q20" s="32">
        <f t="shared" si="0"/>
        <v>0</v>
      </c>
      <c r="S20" s="38">
        <v>73.16</v>
      </c>
      <c r="U20" s="39">
        <f t="shared" si="1"/>
        <v>0</v>
      </c>
      <c r="V20" s="39"/>
      <c r="W20" s="61"/>
      <c r="X20" s="39"/>
      <c r="Y20" s="65"/>
      <c r="Z20" s="39"/>
      <c r="AA20" s="68">
        <f t="shared" si="2"/>
        <v>85.2</v>
      </c>
      <c r="AB20" s="39"/>
      <c r="AC20" s="69">
        <f t="shared" si="3"/>
        <v>0</v>
      </c>
      <c r="AD20" s="39"/>
      <c r="AE20" s="39"/>
      <c r="AF20" s="39"/>
      <c r="AH20" s="35">
        <f>+'[1]E-1'!G19</f>
        <v>85.2</v>
      </c>
      <c r="AJ20" s="39">
        <f t="shared" si="4"/>
        <v>0</v>
      </c>
    </row>
    <row r="21" spans="1:38">
      <c r="A21" s="37" t="s">
        <v>73</v>
      </c>
      <c r="O21" s="38">
        <v>77.849999999999994</v>
      </c>
      <c r="Q21" s="32">
        <f t="shared" si="0"/>
        <v>0</v>
      </c>
      <c r="S21" s="38">
        <v>117.1</v>
      </c>
      <c r="U21" s="39">
        <f t="shared" si="1"/>
        <v>0</v>
      </c>
      <c r="V21" s="39"/>
      <c r="W21" s="61"/>
      <c r="X21" s="39"/>
      <c r="Y21" s="27"/>
      <c r="Z21" s="39"/>
      <c r="AA21" s="68">
        <f t="shared" si="2"/>
        <v>170.4</v>
      </c>
      <c r="AB21" s="39"/>
      <c r="AC21" s="69">
        <f t="shared" si="3"/>
        <v>0</v>
      </c>
      <c r="AD21" s="39"/>
      <c r="AE21" s="39"/>
      <c r="AF21" s="39"/>
      <c r="AH21" s="35">
        <f>+'[1]E-1'!G20</f>
        <v>170.4</v>
      </c>
      <c r="AJ21" s="39">
        <f t="shared" si="4"/>
        <v>0</v>
      </c>
    </row>
    <row r="22" spans="1:38">
      <c r="A22" s="37" t="s">
        <v>74</v>
      </c>
      <c r="I22" s="26"/>
      <c r="M22" s="26"/>
      <c r="O22" s="38">
        <v>155.69</v>
      </c>
      <c r="Q22" s="32">
        <f t="shared" si="0"/>
        <v>0</v>
      </c>
      <c r="S22" s="38">
        <v>234.18</v>
      </c>
      <c r="U22" s="39">
        <f t="shared" si="1"/>
        <v>0</v>
      </c>
      <c r="V22" s="39"/>
      <c r="W22" s="61"/>
      <c r="X22" s="39"/>
      <c r="Y22" s="26"/>
      <c r="Z22" s="39"/>
      <c r="AA22" s="68">
        <f t="shared" si="2"/>
        <v>266.25</v>
      </c>
      <c r="AB22" s="39"/>
      <c r="AC22" s="69">
        <f t="shared" si="3"/>
        <v>0</v>
      </c>
      <c r="AD22" s="39"/>
      <c r="AE22" s="39"/>
      <c r="AF22" s="40"/>
      <c r="AH22" s="35">
        <f>+'[1]E-1'!G21</f>
        <v>266.25</v>
      </c>
      <c r="AJ22" s="39">
        <f t="shared" si="4"/>
        <v>0</v>
      </c>
    </row>
    <row r="23" spans="1:38">
      <c r="U23" s="32"/>
      <c r="V23" s="32"/>
      <c r="W23" s="61"/>
      <c r="X23" s="39"/>
      <c r="Y23" s="27"/>
      <c r="Z23" s="39"/>
      <c r="AA23" s="27"/>
      <c r="AB23" s="39"/>
      <c r="AC23" s="69"/>
      <c r="AD23" s="32"/>
      <c r="AE23" s="32"/>
      <c r="AF23" s="34">
        <v>4789.1000000000004</v>
      </c>
      <c r="AJ23" s="32"/>
      <c r="AL23" s="52">
        <f>ROUND(+AF23/M28,5)</f>
        <v>5.04E-2</v>
      </c>
    </row>
    <row r="24" spans="1:38">
      <c r="A24" s="41" t="s">
        <v>75</v>
      </c>
      <c r="G24" s="42"/>
      <c r="I24" s="34">
        <v>86766.74</v>
      </c>
      <c r="K24" s="33" t="s">
        <v>83</v>
      </c>
      <c r="M24" s="34">
        <f>84907.14</f>
        <v>84907.14</v>
      </c>
      <c r="O24" s="35">
        <v>2.8</v>
      </c>
      <c r="Q24" s="39">
        <f>+M24*O24</f>
        <v>237739.99199999997</v>
      </c>
      <c r="S24" s="35">
        <v>3.27</v>
      </c>
      <c r="U24" s="32">
        <f>ROUND(+S24*M24,2)</f>
        <v>277646.34999999998</v>
      </c>
      <c r="V24" s="32"/>
      <c r="W24" s="70"/>
      <c r="X24" s="39"/>
      <c r="Y24" s="65">
        <f>+AF24</f>
        <v>80627.492200248409</v>
      </c>
      <c r="Z24" s="81" t="s">
        <v>95</v>
      </c>
      <c r="AA24" s="66">
        <f>+AH24</f>
        <v>3.99</v>
      </c>
      <c r="AB24" s="39"/>
      <c r="AC24" s="69">
        <f>+Y24*AA24</f>
        <v>321703.69387899118</v>
      </c>
      <c r="AD24" s="32"/>
      <c r="AE24" s="32"/>
      <c r="AF24" s="34">
        <f>84907.14-(AF$23*AG24)</f>
        <v>80627.492200248409</v>
      </c>
      <c r="AG24" s="20">
        <v>0.8936225595104681</v>
      </c>
      <c r="AH24" s="20">
        <f>+'[1]E-1'!G25</f>
        <v>3.99</v>
      </c>
      <c r="AJ24" s="32">
        <f>+AH24*AF24</f>
        <v>321703.69387899118</v>
      </c>
      <c r="AL24" s="34">
        <f>+M24*(1-$AL$23)</f>
        <v>80627.820143999998</v>
      </c>
    </row>
    <row r="25" spans="1:38">
      <c r="A25" s="41" t="s">
        <v>76</v>
      </c>
      <c r="G25" s="42"/>
      <c r="I25" s="34">
        <v>6953.9889999999996</v>
      </c>
      <c r="K25" s="33" t="s">
        <v>83</v>
      </c>
      <c r="M25" s="34">
        <f>6797.437</f>
        <v>6797.4369999999999</v>
      </c>
      <c r="O25" s="38">
        <v>4.1500000000000004</v>
      </c>
      <c r="Q25" s="39">
        <f>+M25*O25</f>
        <v>28209.363550000002</v>
      </c>
      <c r="S25" s="38">
        <v>4.9000000000000004</v>
      </c>
      <c r="U25" s="39">
        <f>ROUND(+S25*M25,2)</f>
        <v>33307.440000000002</v>
      </c>
      <c r="V25" s="39"/>
      <c r="W25" s="70"/>
      <c r="X25" s="39"/>
      <c r="Y25" s="65">
        <f>+AF25</f>
        <v>6454.8199209062986</v>
      </c>
      <c r="Z25" s="81" t="s">
        <v>95</v>
      </c>
      <c r="AA25" s="68">
        <f>+AH25</f>
        <v>5.99</v>
      </c>
      <c r="AB25" s="39"/>
      <c r="AC25" s="69">
        <f>+Y25*AA25</f>
        <v>38664.371326228727</v>
      </c>
      <c r="AD25" s="39"/>
      <c r="AE25" s="39"/>
      <c r="AF25" s="34">
        <f>6797.437-(AF$23*AG25)</f>
        <v>6454.8199209062986</v>
      </c>
      <c r="AG25" s="20">
        <v>7.1541015868054891E-2</v>
      </c>
      <c r="AH25" s="20">
        <f>+'[1]E-1'!G26</f>
        <v>5.99</v>
      </c>
      <c r="AJ25" s="32">
        <f>+AH25*AF25</f>
        <v>38664.371326228727</v>
      </c>
      <c r="AL25" s="34">
        <f>+M25*(1-$AL$23)</f>
        <v>6454.8461752000003</v>
      </c>
    </row>
    <row r="26" spans="1:38">
      <c r="A26" s="41" t="s">
        <v>77</v>
      </c>
      <c r="C26" s="26"/>
      <c r="G26" s="43"/>
      <c r="I26" s="44">
        <v>3391.9389999999999</v>
      </c>
      <c r="K26" s="33" t="s">
        <v>83</v>
      </c>
      <c r="M26" s="44">
        <f>3309.967</f>
        <v>3309.9670000000001</v>
      </c>
      <c r="O26" s="38">
        <v>5.5</v>
      </c>
      <c r="Q26" s="45">
        <f>+M26*O26</f>
        <v>18204.818500000001</v>
      </c>
      <c r="S26" s="38">
        <v>6.53</v>
      </c>
      <c r="U26" s="45">
        <f>ROUND(+S26*M26,2)</f>
        <v>21614.080000000002</v>
      </c>
      <c r="V26" s="39"/>
      <c r="W26" s="71"/>
      <c r="X26" s="39"/>
      <c r="Y26" s="44">
        <f>+AF26</f>
        <v>3143.131878845285</v>
      </c>
      <c r="Z26" s="81" t="s">
        <v>95</v>
      </c>
      <c r="AA26" s="68">
        <f>+AH26</f>
        <v>7.98</v>
      </c>
      <c r="AB26" s="39"/>
      <c r="AC26" s="72">
        <f>+Y26*AA26</f>
        <v>25082.192393185374</v>
      </c>
      <c r="AD26" s="39"/>
      <c r="AE26" s="39"/>
      <c r="AF26" s="44">
        <f>3309.967-(AF$23*AG26)</f>
        <v>3143.131878845285</v>
      </c>
      <c r="AG26" s="20">
        <v>3.4836424621476896E-2</v>
      </c>
      <c r="AH26" s="20">
        <f>+'[1]E-1'!G27</f>
        <v>7.98</v>
      </c>
      <c r="AJ26" s="45">
        <f>+AH26*AF26</f>
        <v>25082.192393185374</v>
      </c>
      <c r="AL26" s="34">
        <f>+M26*(1-$AL$23)</f>
        <v>3143.1446632000002</v>
      </c>
    </row>
    <row r="27" spans="1:38">
      <c r="W27" s="61"/>
      <c r="X27" s="27"/>
      <c r="Y27" s="27"/>
      <c r="Z27" s="27"/>
      <c r="AA27" s="27"/>
      <c r="AB27" s="27"/>
      <c r="AC27" s="62"/>
    </row>
    <row r="28" spans="1:38">
      <c r="A28" s="25" t="s">
        <v>78</v>
      </c>
      <c r="C28" s="32">
        <f>SUM(C17:C26)</f>
        <v>23142</v>
      </c>
      <c r="G28" s="32">
        <f>SUM(G17:G26)</f>
        <v>23318</v>
      </c>
      <c r="I28" s="44">
        <f>SUM(I24:I26)</f>
        <v>97112.668000000005</v>
      </c>
      <c r="M28" s="44">
        <f>SUM(M24:M26)</f>
        <v>95014.544000000009</v>
      </c>
      <c r="Q28" s="46">
        <f>SUM(Q17:Q26)</f>
        <v>512382.43404999998</v>
      </c>
      <c r="U28" s="46">
        <f>SUM(U17:U26)</f>
        <v>675963.70999999985</v>
      </c>
      <c r="V28" s="47"/>
      <c r="W28" s="64">
        <f>SUM(W17:W26)</f>
        <v>23318</v>
      </c>
      <c r="X28" s="47"/>
      <c r="Y28" s="44">
        <f>SUM(Y24:Y26)</f>
        <v>90225.444000000003</v>
      </c>
      <c r="Z28" s="47"/>
      <c r="AA28" s="27"/>
      <c r="AB28" s="47"/>
      <c r="AC28" s="73">
        <f>SUM(AC17:AC26)</f>
        <v>638197.43759840529</v>
      </c>
      <c r="AD28" s="47"/>
      <c r="AE28" s="47"/>
      <c r="AF28" s="44">
        <f>SUM(AF24:AF26)</f>
        <v>90225.444000000003</v>
      </c>
      <c r="AJ28" s="46">
        <f>SUM(AJ17:AJ26)</f>
        <v>638197.43759840529</v>
      </c>
      <c r="AL28" s="44">
        <f>SUM(AL24:AL26)</f>
        <v>90225.810982399998</v>
      </c>
    </row>
    <row r="29" spans="1:38">
      <c r="Q29" s="27"/>
      <c r="W29" s="61"/>
      <c r="X29" s="27"/>
      <c r="Y29" s="95">
        <f>Y28/M28-1</f>
        <v>-5.0403862381321329E-2</v>
      </c>
      <c r="Z29" s="27"/>
      <c r="AA29" s="27"/>
      <c r="AB29" s="27"/>
      <c r="AC29" s="62"/>
      <c r="AF29" s="34">
        <f>+AF28-M28</f>
        <v>-4789.1000000000058</v>
      </c>
    </row>
    <row r="30" spans="1:38">
      <c r="A30" s="20" t="s">
        <v>79</v>
      </c>
      <c r="W30" s="61"/>
      <c r="X30" s="27"/>
      <c r="Y30" s="27"/>
      <c r="Z30" s="27"/>
      <c r="AA30" s="27"/>
      <c r="AB30" s="27"/>
      <c r="AC30" s="62"/>
      <c r="AF30" s="20">
        <f>+AF29/M28</f>
        <v>-5.0403862381321385E-2</v>
      </c>
    </row>
    <row r="31" spans="1:38">
      <c r="A31" s="20" t="s">
        <v>69</v>
      </c>
      <c r="C31" s="32">
        <v>213</v>
      </c>
      <c r="G31" s="32">
        <v>216</v>
      </c>
      <c r="I31" s="34">
        <v>304.02999999999997</v>
      </c>
      <c r="M31" s="34">
        <v>272.56505236844765</v>
      </c>
      <c r="O31" s="35">
        <v>9.73</v>
      </c>
      <c r="Q31" s="36">
        <f t="shared" ref="Q31:Q36" si="5">+G31*O31</f>
        <v>2101.6800000000003</v>
      </c>
      <c r="S31" s="35">
        <f t="shared" ref="S31:S36" si="6">+S17</f>
        <v>14.64</v>
      </c>
      <c r="U31" s="36">
        <f t="shared" ref="U31:U36" si="7">ROUND(+S31*G31,2)</f>
        <v>3162.24</v>
      </c>
      <c r="V31" s="36"/>
      <c r="W31" s="64">
        <v>216</v>
      </c>
      <c r="X31" s="47"/>
      <c r="Y31" s="65">
        <v>272.56505236844765</v>
      </c>
      <c r="Z31" s="47"/>
      <c r="AA31" s="66">
        <f t="shared" ref="AA31:AA36" si="8">+AA17</f>
        <v>10.65</v>
      </c>
      <c r="AB31" s="47"/>
      <c r="AC31" s="67">
        <f t="shared" ref="AC31:AC36" si="9">+W31*AA31</f>
        <v>2300.4</v>
      </c>
      <c r="AD31" s="36"/>
      <c r="AE31" s="36"/>
      <c r="AF31" s="36"/>
      <c r="AH31" s="35">
        <f>+'[1]E-1'!G31</f>
        <v>10.65</v>
      </c>
      <c r="AJ31" s="36">
        <f t="shared" ref="AJ31:AJ36" si="10">+AH31*G31</f>
        <v>2300.4</v>
      </c>
    </row>
    <row r="32" spans="1:38">
      <c r="A32" s="37" t="s">
        <v>70</v>
      </c>
      <c r="C32" s="32">
        <v>120</v>
      </c>
      <c r="G32" s="32">
        <v>120</v>
      </c>
      <c r="I32" s="34">
        <v>1023.85</v>
      </c>
      <c r="M32" s="34">
        <v>1066.5861177375914</v>
      </c>
      <c r="O32" s="38">
        <v>14.6</v>
      </c>
      <c r="Q32" s="32">
        <f t="shared" si="5"/>
        <v>1752</v>
      </c>
      <c r="S32" s="38">
        <f t="shared" si="6"/>
        <v>21.96</v>
      </c>
      <c r="U32" s="39">
        <f t="shared" si="7"/>
        <v>2635.2</v>
      </c>
      <c r="V32" s="39"/>
      <c r="W32" s="64">
        <v>120</v>
      </c>
      <c r="X32" s="39"/>
      <c r="Y32" s="65">
        <v>1066.5861177375914</v>
      </c>
      <c r="Z32" s="39"/>
      <c r="AA32" s="68">
        <f t="shared" si="8"/>
        <v>26.63</v>
      </c>
      <c r="AB32" s="39"/>
      <c r="AC32" s="69">
        <f t="shared" si="9"/>
        <v>3195.6</v>
      </c>
      <c r="AD32" s="39"/>
      <c r="AE32" s="39"/>
      <c r="AF32" s="39"/>
      <c r="AH32" s="35">
        <f>+'[1]E-1'!G32</f>
        <v>26.63</v>
      </c>
      <c r="AJ32" s="39">
        <f t="shared" si="10"/>
        <v>3195.6</v>
      </c>
    </row>
    <row r="33" spans="1:40">
      <c r="A33" s="37" t="s">
        <v>71</v>
      </c>
      <c r="C33" s="32">
        <v>12</v>
      </c>
      <c r="G33" s="32">
        <v>12</v>
      </c>
      <c r="I33" s="34">
        <v>288.58</v>
      </c>
      <c r="M33" s="34">
        <v>421.89</v>
      </c>
      <c r="O33" s="38">
        <v>24.37</v>
      </c>
      <c r="Q33" s="32">
        <f t="shared" si="5"/>
        <v>292.44</v>
      </c>
      <c r="S33" s="38">
        <f t="shared" si="6"/>
        <v>36.659999999999997</v>
      </c>
      <c r="U33" s="39">
        <f t="shared" si="7"/>
        <v>439.92</v>
      </c>
      <c r="V33" s="39"/>
      <c r="W33" s="64">
        <v>12</v>
      </c>
      <c r="X33" s="39"/>
      <c r="Y33" s="65">
        <v>421.89</v>
      </c>
      <c r="Z33" s="39"/>
      <c r="AA33" s="68">
        <f t="shared" si="8"/>
        <v>53.25</v>
      </c>
      <c r="AB33" s="39"/>
      <c r="AC33" s="69">
        <f t="shared" si="9"/>
        <v>639</v>
      </c>
      <c r="AD33" s="39"/>
      <c r="AE33" s="39"/>
      <c r="AF33" s="39"/>
      <c r="AH33" s="35">
        <f>+'[1]E-1'!G33</f>
        <v>53.25</v>
      </c>
      <c r="AJ33" s="39">
        <f t="shared" si="10"/>
        <v>639</v>
      </c>
    </row>
    <row r="34" spans="1:40">
      <c r="A34" s="37" t="s">
        <v>72</v>
      </c>
      <c r="C34" s="32">
        <v>84</v>
      </c>
      <c r="G34" s="32">
        <v>84</v>
      </c>
      <c r="I34" s="34">
        <v>1308.01</v>
      </c>
      <c r="M34" s="34">
        <v>1382.3105176470588</v>
      </c>
      <c r="O34" s="38">
        <v>48.64</v>
      </c>
      <c r="Q34" s="32">
        <f t="shared" si="5"/>
        <v>4085.76</v>
      </c>
      <c r="S34" s="38">
        <f t="shared" si="6"/>
        <v>73.16</v>
      </c>
      <c r="U34" s="39">
        <f t="shared" si="7"/>
        <v>6145.44</v>
      </c>
      <c r="V34" s="39"/>
      <c r="W34" s="64">
        <v>84</v>
      </c>
      <c r="X34" s="39"/>
      <c r="Y34" s="65">
        <v>1382.3105176470588</v>
      </c>
      <c r="Z34" s="39"/>
      <c r="AA34" s="68">
        <f t="shared" si="8"/>
        <v>85.2</v>
      </c>
      <c r="AB34" s="39"/>
      <c r="AC34" s="69">
        <f t="shared" si="9"/>
        <v>7156.8</v>
      </c>
      <c r="AD34" s="39"/>
      <c r="AE34" s="39"/>
      <c r="AF34" s="39"/>
      <c r="AH34" s="35">
        <f>+'[1]E-1'!G34</f>
        <v>85.2</v>
      </c>
      <c r="AJ34" s="39">
        <f t="shared" si="10"/>
        <v>7156.8</v>
      </c>
    </row>
    <row r="35" spans="1:40">
      <c r="A35" s="37" t="s">
        <v>73</v>
      </c>
      <c r="C35" s="32"/>
      <c r="M35" s="34"/>
      <c r="O35" s="38">
        <v>77.849999999999994</v>
      </c>
      <c r="Q35" s="32">
        <f t="shared" si="5"/>
        <v>0</v>
      </c>
      <c r="S35" s="38">
        <f t="shared" si="6"/>
        <v>117.1</v>
      </c>
      <c r="U35" s="39">
        <f t="shared" si="7"/>
        <v>0</v>
      </c>
      <c r="V35" s="39"/>
      <c r="W35" s="61"/>
      <c r="X35" s="39"/>
      <c r="Y35" s="65"/>
      <c r="Z35" s="39"/>
      <c r="AA35" s="68">
        <f t="shared" si="8"/>
        <v>170.4</v>
      </c>
      <c r="AB35" s="39"/>
      <c r="AC35" s="69">
        <f t="shared" si="9"/>
        <v>0</v>
      </c>
      <c r="AD35" s="39"/>
      <c r="AE35" s="39"/>
      <c r="AF35" s="39"/>
      <c r="AH35" s="35">
        <f>+'[1]E-1'!G35</f>
        <v>170.4</v>
      </c>
      <c r="AJ35" s="39">
        <f t="shared" si="10"/>
        <v>0</v>
      </c>
    </row>
    <row r="36" spans="1:40">
      <c r="A36" s="37" t="s">
        <v>74</v>
      </c>
      <c r="C36" s="32"/>
      <c r="I36" s="26"/>
      <c r="M36" s="26"/>
      <c r="O36" s="38">
        <v>155.69</v>
      </c>
      <c r="Q36" s="32">
        <f t="shared" si="5"/>
        <v>0</v>
      </c>
      <c r="S36" s="38">
        <f t="shared" si="6"/>
        <v>234.18</v>
      </c>
      <c r="U36" s="39">
        <f t="shared" si="7"/>
        <v>0</v>
      </c>
      <c r="V36" s="39"/>
      <c r="W36" s="61"/>
      <c r="X36" s="39"/>
      <c r="Y36" s="26"/>
      <c r="Z36" s="39"/>
      <c r="AA36" s="68">
        <f t="shared" si="8"/>
        <v>266.25</v>
      </c>
      <c r="AB36" s="39"/>
      <c r="AC36" s="69">
        <f t="shared" si="9"/>
        <v>0</v>
      </c>
      <c r="AD36" s="39"/>
      <c r="AE36" s="39"/>
      <c r="AF36" s="39"/>
      <c r="AH36" s="35">
        <f>+'[1]E-1'!G36</f>
        <v>266.25</v>
      </c>
      <c r="AJ36" s="39">
        <f t="shared" si="10"/>
        <v>0</v>
      </c>
    </row>
    <row r="37" spans="1:40">
      <c r="A37" s="37"/>
      <c r="C37" s="32"/>
      <c r="W37" s="61"/>
      <c r="X37" s="27"/>
      <c r="Y37" s="27"/>
      <c r="Z37" s="27"/>
      <c r="AA37" s="27"/>
      <c r="AB37" s="27"/>
      <c r="AC37" s="62"/>
      <c r="AJ37" s="32"/>
    </row>
    <row r="38" spans="1:40">
      <c r="A38" s="41" t="s">
        <v>80</v>
      </c>
      <c r="C38" s="26"/>
      <c r="G38" s="26"/>
      <c r="I38" s="44">
        <f>SUM(I31:I36)</f>
        <v>2924.4700000000003</v>
      </c>
      <c r="M38" s="44">
        <f>SUM(M31:M36)</f>
        <v>3143.3516877530974</v>
      </c>
      <c r="O38" s="35">
        <v>3.18</v>
      </c>
      <c r="Q38" s="45">
        <f>+M38*O38</f>
        <v>9995.8583670548505</v>
      </c>
      <c r="S38" s="35">
        <v>3.76</v>
      </c>
      <c r="U38" s="45">
        <f>ROUND(+S38*M38,2)</f>
        <v>11819</v>
      </c>
      <c r="V38" s="39"/>
      <c r="W38" s="74"/>
      <c r="X38" s="39"/>
      <c r="Y38" s="44">
        <f>SUM(Y31:Y36)</f>
        <v>3143.3516877530974</v>
      </c>
      <c r="Z38" s="39"/>
      <c r="AA38" s="66">
        <f>+AH38</f>
        <v>4.2699999999999996</v>
      </c>
      <c r="AB38" s="39"/>
      <c r="AC38" s="72">
        <f>+Y38*AA38</f>
        <v>13422.111706705724</v>
      </c>
      <c r="AD38" s="39"/>
      <c r="AE38" s="39"/>
      <c r="AF38" s="39"/>
      <c r="AH38" s="20">
        <f>+'[1]E-1'!G40</f>
        <v>4.2699999999999996</v>
      </c>
      <c r="AJ38" s="32">
        <f>+AH38*M38</f>
        <v>13422.111706705724</v>
      </c>
    </row>
    <row r="39" spans="1:40">
      <c r="W39" s="61"/>
      <c r="X39" s="27"/>
      <c r="Y39" s="27"/>
      <c r="Z39" s="27"/>
      <c r="AA39" s="27"/>
      <c r="AB39" s="27"/>
      <c r="AC39" s="62"/>
    </row>
    <row r="40" spans="1:40">
      <c r="A40" s="25" t="s">
        <v>79</v>
      </c>
      <c r="C40" s="32">
        <f>SUM(C29:C38)</f>
        <v>429</v>
      </c>
      <c r="G40" s="32">
        <f>SUM(G29:G38)</f>
        <v>432</v>
      </c>
      <c r="I40" s="44">
        <f>SUM(I36:I38)</f>
        <v>2924.4700000000003</v>
      </c>
      <c r="M40" s="44">
        <f>SUM(M36:M38)</f>
        <v>3143.3516877530974</v>
      </c>
      <c r="Q40" s="46">
        <f>SUM(Q29:Q38)</f>
        <v>18227.738367054852</v>
      </c>
      <c r="R40" s="27"/>
      <c r="S40" s="27"/>
      <c r="T40" s="27"/>
      <c r="U40" s="46">
        <f>SUM(U31:U38)</f>
        <v>24201.8</v>
      </c>
      <c r="V40" s="47"/>
      <c r="W40" s="64">
        <f>SUM(W29:W38)</f>
        <v>432</v>
      </c>
      <c r="X40" s="47"/>
      <c r="Y40" s="44">
        <f>SUM(Y36:Y38)</f>
        <v>3143.3516877530974</v>
      </c>
      <c r="Z40" s="47"/>
      <c r="AA40" s="47"/>
      <c r="AB40" s="47"/>
      <c r="AC40" s="73">
        <f>SUM(AC31:AC38)</f>
        <v>26713.911706705723</v>
      </c>
      <c r="AD40" s="47"/>
      <c r="AE40" s="47"/>
      <c r="AF40" s="47"/>
      <c r="AJ40" s="46">
        <f>SUM(AJ31:AJ38)</f>
        <v>26713.911706705723</v>
      </c>
    </row>
    <row r="41" spans="1:40">
      <c r="W41" s="61"/>
      <c r="X41" s="27"/>
      <c r="Y41" s="27"/>
      <c r="Z41" s="27"/>
      <c r="AA41" s="27"/>
      <c r="AB41" s="27"/>
      <c r="AC41" s="62"/>
    </row>
    <row r="42" spans="1:40" ht="13.8" thickBot="1">
      <c r="A42" s="25" t="s">
        <v>81</v>
      </c>
      <c r="C42" s="48">
        <f>+C40+C28</f>
        <v>23571</v>
      </c>
      <c r="D42" s="32"/>
      <c r="E42" s="33" t="s">
        <v>82</v>
      </c>
      <c r="F42" s="32"/>
      <c r="G42" s="48">
        <f>+G40+G28</f>
        <v>23750</v>
      </c>
      <c r="H42" s="32"/>
      <c r="I42" s="49">
        <f>+I40+I28</f>
        <v>100037.13800000001</v>
      </c>
      <c r="J42" s="32"/>
      <c r="K42" s="33" t="s">
        <v>83</v>
      </c>
      <c r="L42" s="32"/>
      <c r="M42" s="49">
        <f>+M40+M28</f>
        <v>98157.895687753102</v>
      </c>
      <c r="N42" s="32"/>
      <c r="O42" s="32"/>
      <c r="P42" s="32"/>
      <c r="Q42" s="50">
        <f>+Q40+Q28</f>
        <v>530610.17241705488</v>
      </c>
      <c r="U42" s="50">
        <f>+U40+U28</f>
        <v>700165.50999999989</v>
      </c>
      <c r="V42" s="47"/>
      <c r="W42" s="75">
        <f>+W40+W28</f>
        <v>23750</v>
      </c>
      <c r="X42" s="47"/>
      <c r="Y42" s="49">
        <f>+Y40+Y28</f>
        <v>93368.795687753096</v>
      </c>
      <c r="Z42" s="47"/>
      <c r="AA42" s="47"/>
      <c r="AB42" s="47"/>
      <c r="AC42" s="76">
        <f>+AC40+AC28</f>
        <v>664911.34930511098</v>
      </c>
      <c r="AD42" s="47"/>
      <c r="AE42" s="47"/>
      <c r="AF42" s="47"/>
      <c r="AJ42" s="50">
        <f>+AJ40+AJ28</f>
        <v>664911.34930511098</v>
      </c>
    </row>
    <row r="43" spans="1:40" ht="13.8" thickTop="1">
      <c r="W43" s="61"/>
      <c r="X43" s="27"/>
      <c r="Y43" s="27"/>
      <c r="Z43" s="27"/>
      <c r="AA43" s="27"/>
      <c r="AB43" s="27"/>
      <c r="AC43" s="62"/>
    </row>
    <row r="44" spans="1:40">
      <c r="A44" s="25" t="s">
        <v>84</v>
      </c>
      <c r="U44" s="45">
        <f>+'[1]E-5'!I41</f>
        <v>5790</v>
      </c>
      <c r="V44" s="39"/>
      <c r="W44" s="64"/>
      <c r="X44" s="39"/>
      <c r="Y44" s="39"/>
      <c r="Z44" s="39"/>
      <c r="AA44" s="39"/>
      <c r="AB44" s="39"/>
      <c r="AC44" s="72">
        <f>+U44</f>
        <v>5790</v>
      </c>
      <c r="AD44" s="39"/>
      <c r="AE44" s="39"/>
      <c r="AF44" s="39"/>
      <c r="AJ44" s="45">
        <f>+U44</f>
        <v>5790</v>
      </c>
    </row>
    <row r="45" spans="1:40">
      <c r="W45" s="61"/>
      <c r="X45" s="27"/>
      <c r="Y45" s="27"/>
      <c r="Z45" s="27"/>
      <c r="AA45" s="27"/>
      <c r="AB45" s="27"/>
      <c r="AC45" s="62"/>
    </row>
    <row r="46" spans="1:40" ht="13.8" thickBot="1">
      <c r="A46" s="25" t="s">
        <v>85</v>
      </c>
      <c r="U46" s="50">
        <f>+U42+U44</f>
        <v>705955.50999999989</v>
      </c>
      <c r="V46" s="47"/>
      <c r="W46" s="77"/>
      <c r="X46" s="47"/>
      <c r="Y46" s="85" t="s">
        <v>102</v>
      </c>
      <c r="Z46" s="47"/>
      <c r="AA46" s="47"/>
      <c r="AB46" s="85"/>
      <c r="AC46" s="76">
        <f>+AC42+AC44</f>
        <v>670701.34930511098</v>
      </c>
      <c r="AD46" s="47"/>
      <c r="AE46" s="47"/>
      <c r="AF46" s="40">
        <f>+U46/Q42-1</f>
        <v>0.33045981154904269</v>
      </c>
      <c r="AJ46" s="50">
        <f>+AJ42+AJ44</f>
        <v>670701.34930511098</v>
      </c>
      <c r="AK46" s="20">
        <v>670699</v>
      </c>
      <c r="AL46" s="36">
        <f>+AK46-AJ48</f>
        <v>-1516</v>
      </c>
      <c r="AM46" s="25" t="s">
        <v>86</v>
      </c>
      <c r="AN46" s="32">
        <f>+AK46-AJ44</f>
        <v>664909</v>
      </c>
    </row>
    <row r="47" spans="1:40" ht="13.8" thickTop="1">
      <c r="W47" s="61"/>
      <c r="X47" s="27"/>
      <c r="Y47" s="27"/>
      <c r="Z47" s="27"/>
      <c r="AA47" s="84" t="s">
        <v>23</v>
      </c>
      <c r="AB47" s="27"/>
      <c r="AC47" s="86">
        <f>+AC46/Q42-1</f>
        <v>0.26401901842534925</v>
      </c>
      <c r="AF47" s="35">
        <f>+U46-Q42</f>
        <v>175345.33758294501</v>
      </c>
      <c r="AK47" s="20">
        <v>672052</v>
      </c>
      <c r="AL47" s="36">
        <f>+AK47-AJ48</f>
        <v>-163</v>
      </c>
      <c r="AM47" s="25" t="s">
        <v>87</v>
      </c>
      <c r="AN47" s="32">
        <f>+AK47-AJ44</f>
        <v>666262</v>
      </c>
    </row>
    <row r="48" spans="1:40">
      <c r="W48" s="61"/>
      <c r="X48" s="27"/>
      <c r="Y48" s="27"/>
      <c r="Z48" s="27"/>
      <c r="AA48" s="27"/>
      <c r="AB48" s="27"/>
      <c r="AC48" s="62"/>
      <c r="AF48" s="36">
        <f>+AC46-Q42</f>
        <v>140091.1768880561</v>
      </c>
      <c r="AG48" s="36"/>
      <c r="AJ48" s="36">
        <v>672215</v>
      </c>
      <c r="AK48" s="20">
        <v>659353</v>
      </c>
      <c r="AL48" s="36">
        <f>+AK48-AJ48</f>
        <v>-12862</v>
      </c>
      <c r="AM48" s="25" t="s">
        <v>88</v>
      </c>
      <c r="AN48" s="32">
        <f>+AK48-AJ44</f>
        <v>653563</v>
      </c>
    </row>
    <row r="49" spans="1:40">
      <c r="A49" s="51" t="s">
        <v>89</v>
      </c>
      <c r="C49" s="25" t="s">
        <v>90</v>
      </c>
      <c r="W49" s="82" t="s">
        <v>103</v>
      </c>
      <c r="X49" s="27"/>
      <c r="Y49" s="27"/>
      <c r="Z49" s="27"/>
      <c r="AA49" s="27"/>
      <c r="AB49" s="27"/>
      <c r="AC49" s="62"/>
      <c r="AJ49" s="36">
        <f>+AJ46-AJ48</f>
        <v>-1513.6506948890164</v>
      </c>
    </row>
    <row r="50" spans="1:40">
      <c r="C50" s="25" t="s">
        <v>91</v>
      </c>
      <c r="W50" s="82" t="s">
        <v>104</v>
      </c>
      <c r="X50" s="27"/>
      <c r="Y50" s="27"/>
      <c r="Z50" s="27"/>
      <c r="AA50" s="27"/>
      <c r="AB50" s="27"/>
      <c r="AC50" s="62"/>
      <c r="AF50" s="90">
        <f>+AF48/AF47</f>
        <v>0.79894440775642328</v>
      </c>
      <c r="AG50" s="90"/>
    </row>
    <row r="51" spans="1:40">
      <c r="C51" s="25" t="s">
        <v>92</v>
      </c>
      <c r="W51" s="61"/>
      <c r="X51" s="27"/>
      <c r="Y51" s="27"/>
      <c r="Z51" s="27"/>
      <c r="AA51" s="27"/>
      <c r="AB51" s="27"/>
      <c r="AC51" s="62"/>
      <c r="AJ51" s="32">
        <f>+AJ48-AJ44</f>
        <v>666425</v>
      </c>
      <c r="AN51" s="20">
        <v>672215</v>
      </c>
    </row>
    <row r="52" spans="1:40">
      <c r="W52" s="82" t="s">
        <v>96</v>
      </c>
      <c r="X52" s="27"/>
      <c r="Y52" s="27"/>
      <c r="Z52" s="27"/>
      <c r="AA52" s="27"/>
      <c r="AB52" s="27"/>
      <c r="AC52" s="67">
        <v>672215</v>
      </c>
      <c r="AJ52" s="20">
        <v>-836</v>
      </c>
      <c r="AN52" s="32">
        <f>+AN51-AJ44</f>
        <v>666425</v>
      </c>
    </row>
    <row r="53" spans="1:40">
      <c r="W53" s="83" t="s">
        <v>97</v>
      </c>
      <c r="X53" s="27"/>
      <c r="Y53" s="84" t="s">
        <v>98</v>
      </c>
      <c r="Z53" s="27"/>
      <c r="AA53" s="27"/>
      <c r="AB53" s="27"/>
      <c r="AC53" s="62"/>
      <c r="AJ53" s="20">
        <v>-546</v>
      </c>
      <c r="AN53" s="32">
        <f>+AN52+AK54</f>
        <v>664978</v>
      </c>
    </row>
    <row r="54" spans="1:40">
      <c r="W54" s="61"/>
      <c r="X54" s="27"/>
      <c r="Y54" s="84" t="s">
        <v>99</v>
      </c>
      <c r="Z54" s="27"/>
      <c r="AA54" s="27"/>
      <c r="AB54" s="27"/>
      <c r="AC54" s="69">
        <v>-836</v>
      </c>
      <c r="AJ54" s="20">
        <v>-65</v>
      </c>
      <c r="AK54" s="20">
        <f>SUM(AJ52:AJ54)</f>
        <v>-1447</v>
      </c>
    </row>
    <row r="55" spans="1:40">
      <c r="W55" s="61"/>
      <c r="X55" s="27"/>
      <c r="Y55" s="84" t="s">
        <v>100</v>
      </c>
      <c r="Z55" s="27"/>
      <c r="AA55" s="27"/>
      <c r="AB55" s="27"/>
      <c r="AC55" s="69">
        <v>-546</v>
      </c>
      <c r="AJ55" s="32">
        <f>SUM(AJ51:AJ54)</f>
        <v>664978</v>
      </c>
      <c r="AL55" s="36">
        <f>+AJ42</f>
        <v>664911.34930511098</v>
      </c>
    </row>
    <row r="56" spans="1:40">
      <c r="W56" s="61"/>
      <c r="X56" s="27"/>
      <c r="Y56" s="84" t="s">
        <v>101</v>
      </c>
      <c r="Z56" s="27"/>
      <c r="AA56" s="27"/>
      <c r="AB56" s="27"/>
      <c r="AC56" s="72">
        <v>-65</v>
      </c>
      <c r="AJ56" s="32"/>
      <c r="AL56" s="36"/>
    </row>
    <row r="57" spans="1:40">
      <c r="W57" s="61"/>
      <c r="X57" s="27"/>
      <c r="Y57" s="84"/>
      <c r="Z57" s="27"/>
      <c r="AA57" s="27"/>
      <c r="AB57" s="27"/>
      <c r="AC57" s="67">
        <f>SUM(AC52:AC56)</f>
        <v>670768</v>
      </c>
      <c r="AJ57" s="32"/>
      <c r="AL57" s="36"/>
    </row>
    <row r="58" spans="1:40">
      <c r="W58" s="61"/>
      <c r="X58" s="27"/>
      <c r="Y58" s="84"/>
      <c r="Z58" s="27"/>
      <c r="AA58" s="27"/>
      <c r="AB58" s="27"/>
      <c r="AC58" s="67"/>
      <c r="AJ58" s="32"/>
      <c r="AL58" s="36"/>
    </row>
    <row r="59" spans="1:40">
      <c r="W59" s="87" t="s">
        <v>105</v>
      </c>
      <c r="X59" s="88"/>
      <c r="Y59" s="88"/>
      <c r="Z59" s="88"/>
      <c r="AA59" s="88"/>
      <c r="AB59" s="88"/>
      <c r="AC59" s="89"/>
      <c r="AJ59" s="32"/>
      <c r="AL59" s="36"/>
    </row>
    <row r="60" spans="1:40">
      <c r="W60" s="87" t="s">
        <v>106</v>
      </c>
      <c r="X60" s="88"/>
      <c r="Y60" s="88"/>
      <c r="Z60" s="88"/>
      <c r="AA60" s="88"/>
      <c r="AB60" s="88"/>
      <c r="AC60" s="89"/>
      <c r="AJ60" s="32"/>
      <c r="AL60" s="36"/>
    </row>
    <row r="61" spans="1:40" ht="13.8" thickBot="1">
      <c r="W61" s="78"/>
      <c r="X61" s="79"/>
      <c r="Y61" s="79"/>
      <c r="Z61" s="79"/>
      <c r="AA61" s="79"/>
      <c r="AB61" s="79"/>
      <c r="AC61" s="80"/>
      <c r="AL61" s="36">
        <f>+AL55-AJ55</f>
        <v>-66.650694889016449</v>
      </c>
    </row>
  </sheetData>
  <mergeCells count="1">
    <mergeCell ref="W11:AC11"/>
  </mergeCells>
  <phoneticPr fontId="0" type="noConversion"/>
  <printOptions horizontalCentered="1"/>
  <pageMargins left="0.75" right="0.25" top="0.75" bottom="0.75" header="0.5" footer="0.5"/>
  <pageSetup scale="65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zoomScale="70" zoomScaleNormal="70" workbookViewId="0">
      <selection activeCell="V8" sqref="V8"/>
    </sheetView>
  </sheetViews>
  <sheetFormatPr defaultColWidth="8.90625" defaultRowHeight="15"/>
  <cols>
    <col min="1" max="1" width="8.81640625" style="2" customWidth="1"/>
    <col min="2" max="2" width="1.81640625" style="2" customWidth="1"/>
    <col min="3" max="3" width="8.90625" style="2"/>
    <col min="4" max="4" width="1.81640625" style="2" customWidth="1"/>
    <col min="5" max="5" width="8.90625" style="2"/>
    <col min="6" max="6" width="1.81640625" style="2" customWidth="1"/>
    <col min="7" max="7" width="7.81640625" style="2" customWidth="1"/>
    <col min="8" max="8" width="1.81640625" style="2" customWidth="1"/>
    <col min="9" max="9" width="8.90625" style="2"/>
    <col min="10" max="10" width="1.81640625" style="2" customWidth="1"/>
    <col min="11" max="11" width="7.81640625" style="2" customWidth="1"/>
    <col min="12" max="12" width="1.81640625" style="2" customWidth="1"/>
    <col min="13" max="13" width="8.90625" style="2"/>
    <col min="14" max="14" width="1.81640625" style="2" customWidth="1"/>
    <col min="15" max="15" width="7.90625" style="2" bestFit="1" customWidth="1"/>
    <col min="16" max="16" width="1.81640625" style="2" customWidth="1"/>
    <col min="17" max="17" width="7.81640625" style="2" customWidth="1"/>
    <col min="18" max="16384" width="8.90625" style="2"/>
  </cols>
  <sheetData>
    <row r="1" spans="1:17">
      <c r="A1" s="1" t="s">
        <v>34</v>
      </c>
      <c r="B1" s="1"/>
      <c r="C1" s="1"/>
      <c r="Q1" s="3" t="s">
        <v>0</v>
      </c>
    </row>
    <row r="2" spans="1:17" ht="21">
      <c r="A2" s="4" t="s">
        <v>1</v>
      </c>
      <c r="B2" s="4"/>
      <c r="C2" s="4"/>
      <c r="G2" s="111" t="s">
        <v>116</v>
      </c>
    </row>
    <row r="3" spans="1:17">
      <c r="A3" s="4" t="s">
        <v>35</v>
      </c>
      <c r="B3" s="4"/>
      <c r="C3" s="4"/>
    </row>
    <row r="4" spans="1:17">
      <c r="A4" s="110" t="s">
        <v>114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5">
        <v>2007</v>
      </c>
      <c r="B6" s="5"/>
      <c r="C6" s="5" t="s">
        <v>2</v>
      </c>
      <c r="D6" s="4"/>
      <c r="E6" s="104" t="s">
        <v>3</v>
      </c>
      <c r="F6" s="104"/>
      <c r="G6" s="104"/>
      <c r="H6" s="5"/>
      <c r="I6" s="104" t="s">
        <v>4</v>
      </c>
      <c r="J6" s="104"/>
      <c r="K6" s="104"/>
      <c r="L6" s="5"/>
      <c r="M6" s="5" t="s">
        <v>5</v>
      </c>
      <c r="N6" s="4"/>
      <c r="O6" s="103" t="s">
        <v>6</v>
      </c>
      <c r="P6" s="103"/>
      <c r="Q6" s="103"/>
    </row>
    <row r="7" spans="1:17">
      <c r="A7" s="5" t="s">
        <v>7</v>
      </c>
      <c r="B7" s="5"/>
      <c r="C7" s="7" t="s">
        <v>8</v>
      </c>
      <c r="D7" s="4"/>
      <c r="E7" s="105" t="s">
        <v>9</v>
      </c>
      <c r="F7" s="105"/>
      <c r="G7" s="105"/>
      <c r="H7" s="5"/>
      <c r="I7" s="105" t="s">
        <v>9</v>
      </c>
      <c r="J7" s="105"/>
      <c r="K7" s="105"/>
      <c r="L7" s="5"/>
      <c r="M7" s="7" t="s">
        <v>9</v>
      </c>
      <c r="N7" s="4"/>
      <c r="O7" s="105" t="s">
        <v>10</v>
      </c>
      <c r="P7" s="105"/>
      <c r="Q7" s="105"/>
    </row>
    <row r="8" spans="1:17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 t="s">
        <v>11</v>
      </c>
      <c r="B9" s="4"/>
      <c r="C9" s="5" t="s">
        <v>12</v>
      </c>
      <c r="D9" s="4"/>
      <c r="E9" s="18">
        <v>70416.740000000005</v>
      </c>
      <c r="F9" s="8"/>
      <c r="G9" s="9">
        <f>+E9/E$13</f>
        <v>0.72510354673810429</v>
      </c>
      <c r="H9" s="4"/>
      <c r="I9" s="18">
        <v>21507</v>
      </c>
      <c r="J9" s="8"/>
      <c r="K9" s="9">
        <f>+I9/I$13</f>
        <v>0.92934923515685763</v>
      </c>
      <c r="L9" s="4"/>
      <c r="M9" s="10">
        <f>+E9/I9</f>
        <v>3.2741312130934115</v>
      </c>
      <c r="N9" s="4"/>
      <c r="O9" s="18">
        <v>86766.74</v>
      </c>
      <c r="P9" s="9"/>
      <c r="Q9" s="9">
        <f>+O9/O$13</f>
        <v>0.8934646919596525</v>
      </c>
    </row>
    <row r="10" spans="1:17">
      <c r="A10" s="4" t="s">
        <v>13</v>
      </c>
      <c r="B10" s="4"/>
      <c r="C10" s="5" t="s">
        <v>14</v>
      </c>
      <c r="D10" s="4"/>
      <c r="E10" s="18">
        <f>88660.729-70416.74</f>
        <v>18243.989000000001</v>
      </c>
      <c r="F10" s="8"/>
      <c r="G10" s="9">
        <f>+E10/E$13</f>
        <v>0.18786415177060115</v>
      </c>
      <c r="H10" s="4"/>
      <c r="I10" s="18">
        <f>22889-21507</f>
        <v>1382</v>
      </c>
      <c r="J10" s="8"/>
      <c r="K10" s="9">
        <f>+I10/I$13</f>
        <v>5.9718261170166799E-2</v>
      </c>
      <c r="L10" s="4"/>
      <c r="M10" s="10">
        <f>+E10/I10</f>
        <v>13.2011497829233</v>
      </c>
      <c r="N10" s="4"/>
      <c r="O10" s="18">
        <f>93720.729-86766.74</f>
        <v>6953.9890000000014</v>
      </c>
      <c r="P10" s="4"/>
      <c r="Q10" s="9">
        <f>+O10/O$13</f>
        <v>7.1607434366853157E-2</v>
      </c>
    </row>
    <row r="11" spans="1:17">
      <c r="A11" s="4" t="s">
        <v>15</v>
      </c>
      <c r="B11" s="4"/>
      <c r="C11" s="5" t="s">
        <v>16</v>
      </c>
      <c r="D11" s="4"/>
      <c r="E11" s="18">
        <f>97112.668-88660.729</f>
        <v>8451.9389999999985</v>
      </c>
      <c r="F11" s="8"/>
      <c r="G11" s="9">
        <f>+E11/E$13</f>
        <v>8.7032301491294609E-2</v>
      </c>
      <c r="H11" s="4"/>
      <c r="I11" s="18">
        <f>23142-22889</f>
        <v>253</v>
      </c>
      <c r="J11" s="8"/>
      <c r="K11" s="9">
        <f>+I11/I$13</f>
        <v>1.0932503672975543E-2</v>
      </c>
      <c r="L11" s="4"/>
      <c r="M11" s="10">
        <f>+E11/I11</f>
        <v>33.406873517786558</v>
      </c>
      <c r="N11" s="4"/>
      <c r="O11" s="18">
        <f>97112.668-93720.729</f>
        <v>3391.9389999999985</v>
      </c>
      <c r="P11" s="4"/>
      <c r="Q11" s="9">
        <f>+O11/O$13</f>
        <v>3.4927873673494363E-2</v>
      </c>
    </row>
    <row r="12" spans="1:17">
      <c r="A12" s="4"/>
      <c r="B12" s="4"/>
      <c r="C12" s="4"/>
      <c r="D12" s="4"/>
      <c r="E12" s="18"/>
      <c r="F12" s="4"/>
      <c r="G12" s="4"/>
      <c r="H12" s="4"/>
      <c r="I12" s="18"/>
      <c r="J12" s="4"/>
      <c r="K12" s="4"/>
      <c r="L12" s="4"/>
      <c r="M12" s="4"/>
      <c r="N12" s="4"/>
      <c r="O12" s="18"/>
      <c r="P12" s="4"/>
      <c r="Q12" s="4"/>
    </row>
    <row r="13" spans="1:17">
      <c r="A13" s="4" t="s">
        <v>17</v>
      </c>
      <c r="B13" s="4"/>
      <c r="C13" s="4"/>
      <c r="D13" s="4"/>
      <c r="E13" s="18">
        <f>SUM(E9:E12)</f>
        <v>97112.668000000005</v>
      </c>
      <c r="F13" s="8"/>
      <c r="G13" s="9">
        <f>SUM(G9:G12)</f>
        <v>1</v>
      </c>
      <c r="H13" s="4"/>
      <c r="I13" s="18">
        <f>SUM(I9:I12)</f>
        <v>23142</v>
      </c>
      <c r="J13" s="8"/>
      <c r="K13" s="9">
        <f>SUM(K9:K12)</f>
        <v>0.99999999999999989</v>
      </c>
      <c r="L13" s="4"/>
      <c r="M13" s="10">
        <f>+E13/I13</f>
        <v>4.1963818166104918</v>
      </c>
      <c r="N13" s="4"/>
      <c r="O13" s="18">
        <f>SUM(O9:O12)</f>
        <v>97112.668000000005</v>
      </c>
      <c r="P13" s="4"/>
      <c r="Q13" s="9">
        <f>SUM(Q9:Q12)</f>
        <v>1</v>
      </c>
    </row>
    <row r="14" spans="1:1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4" t="s">
        <v>18</v>
      </c>
      <c r="B16" s="4"/>
      <c r="E16" s="105" t="s">
        <v>11</v>
      </c>
      <c r="F16" s="105"/>
      <c r="G16" s="105"/>
      <c r="H16" s="4"/>
      <c r="I16" s="105" t="s">
        <v>13</v>
      </c>
      <c r="J16" s="105"/>
      <c r="K16" s="105"/>
      <c r="L16" s="4"/>
      <c r="M16" s="105" t="s">
        <v>15</v>
      </c>
      <c r="N16" s="105"/>
      <c r="O16" s="105"/>
      <c r="P16" s="4"/>
      <c r="Q16" s="4"/>
    </row>
    <row r="17" spans="1:18">
      <c r="A17" s="4"/>
      <c r="B17" s="4"/>
      <c r="E17" s="6" t="s">
        <v>19</v>
      </c>
      <c r="F17" s="6"/>
      <c r="G17" s="6" t="s">
        <v>20</v>
      </c>
      <c r="H17" s="4"/>
      <c r="I17" s="6" t="s">
        <v>19</v>
      </c>
      <c r="J17" s="6"/>
      <c r="K17" s="6" t="s">
        <v>20</v>
      </c>
      <c r="L17" s="4"/>
      <c r="M17" s="6" t="s">
        <v>19</v>
      </c>
      <c r="N17" s="6"/>
      <c r="O17" s="6" t="s">
        <v>20</v>
      </c>
      <c r="P17" s="4"/>
      <c r="Q17" s="4"/>
    </row>
    <row r="18" spans="1:18">
      <c r="A18" s="4" t="s">
        <v>21</v>
      </c>
      <c r="B18" s="4"/>
      <c r="E18" s="11">
        <v>9.73</v>
      </c>
      <c r="F18" s="4"/>
      <c r="G18" s="11">
        <v>10.65</v>
      </c>
      <c r="H18" s="4"/>
      <c r="I18" s="11">
        <v>9.73</v>
      </c>
      <c r="J18" s="4"/>
      <c r="K18" s="11">
        <v>10.65</v>
      </c>
      <c r="M18" s="11">
        <f>+I18</f>
        <v>9.73</v>
      </c>
      <c r="N18" s="4"/>
      <c r="O18" s="11">
        <f>+K18</f>
        <v>10.65</v>
      </c>
      <c r="P18" s="4"/>
      <c r="Q18" s="4"/>
      <c r="R18" s="12"/>
    </row>
    <row r="19" spans="1:18">
      <c r="A19" s="4" t="s">
        <v>22</v>
      </c>
      <c r="B19" s="4"/>
      <c r="E19" s="13">
        <f>2.8*M9</f>
        <v>9.1675673966615516</v>
      </c>
      <c r="F19" s="4"/>
      <c r="G19" s="13">
        <f>3.99*M9</f>
        <v>13.063783540242712</v>
      </c>
      <c r="H19" s="4"/>
      <c r="I19" s="13">
        <f>2.8*10+4.15*3.2</f>
        <v>41.28</v>
      </c>
      <c r="J19" s="4"/>
      <c r="K19" s="13">
        <f>3.99*10+5.99*3.2</f>
        <v>59.068000000000012</v>
      </c>
      <c r="M19" s="13">
        <f>2.8*10+4.15*10+5.5*13.41</f>
        <v>143.255</v>
      </c>
      <c r="N19" s="4"/>
      <c r="O19" s="13">
        <f>3.99*10+5.99*10+7.98*13.41</f>
        <v>206.81180000000001</v>
      </c>
      <c r="P19" s="4"/>
      <c r="Q19" s="4"/>
      <c r="R19" s="12"/>
    </row>
    <row r="20" spans="1:18">
      <c r="A20" s="4"/>
      <c r="B20" s="4"/>
      <c r="E20" s="11">
        <f>+E18+E19</f>
        <v>18.89756739666155</v>
      </c>
      <c r="F20" s="4"/>
      <c r="G20" s="11">
        <f>+G18+G19</f>
        <v>23.713783540242712</v>
      </c>
      <c r="H20" s="4"/>
      <c r="I20" s="11">
        <f>+I18+I19</f>
        <v>51.010000000000005</v>
      </c>
      <c r="J20" s="4"/>
      <c r="K20" s="11">
        <f>+K18+K19</f>
        <v>69.718000000000018</v>
      </c>
      <c r="M20" s="11">
        <f>+M18+M19</f>
        <v>152.98499999999999</v>
      </c>
      <c r="N20" s="4"/>
      <c r="O20" s="11">
        <f>+O18+O19</f>
        <v>217.46180000000001</v>
      </c>
      <c r="P20" s="4"/>
      <c r="Q20" s="4"/>
      <c r="R20" s="12"/>
    </row>
    <row r="21" spans="1:18">
      <c r="A21" s="4" t="s">
        <v>23</v>
      </c>
      <c r="B21" s="4"/>
      <c r="E21" s="4"/>
      <c r="F21" s="4"/>
      <c r="G21" s="9">
        <f>+G20/E20-1</f>
        <v>0.25485905368073958</v>
      </c>
      <c r="H21" s="4"/>
      <c r="I21" s="4"/>
      <c r="J21" s="4"/>
      <c r="K21" s="9">
        <f>+K20/I20-1</f>
        <v>0.36675161732993544</v>
      </c>
      <c r="M21" s="4"/>
      <c r="N21" s="4"/>
      <c r="O21" s="9">
        <f>+O20/M20-1</f>
        <v>0.42145831290649438</v>
      </c>
      <c r="P21" s="4"/>
      <c r="Q21" s="4"/>
    </row>
    <row r="22" spans="1:18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8" ht="15.6" thickBot="1">
      <c r="A23" s="4" t="s">
        <v>24</v>
      </c>
      <c r="B23" s="4"/>
      <c r="C23" s="4"/>
      <c r="D23" s="4"/>
      <c r="F23" s="9"/>
      <c r="G23" s="14">
        <f>+G21/10*2*1</f>
        <v>5.0971810736147913E-2</v>
      </c>
      <c r="H23" s="4"/>
      <c r="J23" s="9"/>
      <c r="K23" s="14">
        <f>+K21/10*2</f>
        <v>7.3350323465987091E-2</v>
      </c>
      <c r="L23" s="4"/>
      <c r="M23" s="4"/>
      <c r="N23" s="4"/>
      <c r="O23" s="14">
        <f>+O21/10*2</f>
        <v>8.4291662581298873E-2</v>
      </c>
      <c r="P23" s="4"/>
      <c r="Q23" s="4"/>
    </row>
    <row r="24" spans="1:18" ht="15.6" thickTop="1">
      <c r="A24" s="15" t="s">
        <v>25</v>
      </c>
      <c r="B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8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8">
      <c r="A26" s="1" t="s">
        <v>26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8">
      <c r="A27" s="4"/>
      <c r="B27" s="4"/>
      <c r="C27" s="5" t="s">
        <v>27</v>
      </c>
      <c r="D27" s="4"/>
      <c r="E27" s="4"/>
      <c r="F27" s="4"/>
      <c r="G27" s="4"/>
      <c r="H27" s="4"/>
      <c r="I27" s="104" t="s">
        <v>28</v>
      </c>
      <c r="J27" s="104"/>
      <c r="K27" s="104"/>
      <c r="L27" s="4"/>
      <c r="M27" s="4"/>
      <c r="N27" s="4"/>
      <c r="O27" s="4"/>
      <c r="P27" s="4"/>
      <c r="Q27" s="4"/>
    </row>
    <row r="28" spans="1:18">
      <c r="A28" s="4"/>
      <c r="B28" s="4"/>
      <c r="C28" s="5" t="s">
        <v>29</v>
      </c>
      <c r="D28" s="4"/>
      <c r="E28" s="98" t="s">
        <v>111</v>
      </c>
      <c r="F28" s="4"/>
      <c r="G28" s="5" t="s">
        <v>30</v>
      </c>
      <c r="H28" s="4"/>
      <c r="I28" s="103" t="s">
        <v>31</v>
      </c>
      <c r="J28" s="103"/>
      <c r="K28" s="103"/>
      <c r="L28" s="4"/>
      <c r="M28" s="4"/>
      <c r="N28" s="4"/>
      <c r="O28" s="4"/>
      <c r="P28" s="4"/>
      <c r="Q28" s="4"/>
    </row>
    <row r="29" spans="1:18">
      <c r="A29" s="4"/>
      <c r="B29" s="4"/>
      <c r="C29" s="7" t="s">
        <v>10</v>
      </c>
      <c r="D29" s="4"/>
      <c r="E29" s="7" t="s">
        <v>32</v>
      </c>
      <c r="F29" s="4"/>
      <c r="G29" s="7" t="s">
        <v>33</v>
      </c>
      <c r="H29" s="4"/>
      <c r="I29" s="105" t="s">
        <v>10</v>
      </c>
      <c r="J29" s="105"/>
      <c r="K29" s="105"/>
      <c r="L29" s="4"/>
      <c r="M29" s="4"/>
      <c r="N29" s="4"/>
      <c r="O29" s="4"/>
      <c r="P29" s="4"/>
      <c r="Q29" s="4"/>
    </row>
    <row r="30" spans="1:18">
      <c r="A30" s="4" t="s">
        <v>11</v>
      </c>
      <c r="B30" s="4"/>
      <c r="C30" s="18">
        <v>84907.14</v>
      </c>
      <c r="D30" s="4"/>
      <c r="E30" s="16">
        <f>+G23</f>
        <v>5.0971810736147913E-2</v>
      </c>
      <c r="F30" s="4"/>
      <c r="G30" s="18">
        <f>C30*E30</f>
        <v>4327.870670227614</v>
      </c>
      <c r="H30" s="4"/>
      <c r="I30" s="18">
        <f>+C30-G30</f>
        <v>80579.269329772389</v>
      </c>
      <c r="J30" s="4"/>
      <c r="K30" s="9">
        <f>+I30/I$34</f>
        <v>0.89623064168372613</v>
      </c>
      <c r="L30" s="4"/>
      <c r="M30" s="4"/>
      <c r="N30" s="4"/>
      <c r="O30" s="4"/>
      <c r="P30" s="4"/>
      <c r="Q30" s="4"/>
    </row>
    <row r="31" spans="1:18">
      <c r="A31" s="4" t="s">
        <v>13</v>
      </c>
      <c r="B31" s="4"/>
      <c r="C31" s="18">
        <v>6797.4369999999999</v>
      </c>
      <c r="D31" s="4"/>
      <c r="E31" s="16">
        <f>+K23</f>
        <v>7.3350323465987091E-2</v>
      </c>
      <c r="F31" s="4"/>
      <c r="G31" s="18">
        <f>C31*E31</f>
        <v>498.59420268966886</v>
      </c>
      <c r="H31" s="4"/>
      <c r="I31" s="18">
        <f>+C31-G31</f>
        <v>6298.8427973103308</v>
      </c>
      <c r="J31" s="4"/>
      <c r="K31" s="9">
        <f>+I31/I$34</f>
        <v>7.0057918979076206E-2</v>
      </c>
      <c r="L31" s="4"/>
      <c r="M31" s="4"/>
      <c r="N31" s="4"/>
      <c r="O31" s="4"/>
      <c r="P31" s="4"/>
      <c r="Q31" s="4"/>
    </row>
    <row r="32" spans="1:18">
      <c r="A32" s="4" t="s">
        <v>15</v>
      </c>
      <c r="B32" s="4"/>
      <c r="C32" s="18">
        <v>3309.9670000000001</v>
      </c>
      <c r="D32" s="4"/>
      <c r="E32" s="16">
        <f>+O23</f>
        <v>8.4291662581298873E-2</v>
      </c>
      <c r="F32" s="4"/>
      <c r="G32" s="18">
        <f>C32*E32</f>
        <v>279.00262151923408</v>
      </c>
      <c r="H32" s="4"/>
      <c r="I32" s="18">
        <f>+C32-G32</f>
        <v>3030.9643784807658</v>
      </c>
      <c r="J32" s="4"/>
      <c r="K32" s="9">
        <f>+I32/I$34</f>
        <v>3.3711439337197648E-2</v>
      </c>
      <c r="L32" s="4"/>
      <c r="M32" s="4"/>
      <c r="N32" s="4"/>
      <c r="O32" s="4"/>
      <c r="P32" s="4"/>
      <c r="Q32" s="4"/>
    </row>
    <row r="33" spans="1:17">
      <c r="A33" s="4"/>
      <c r="B33" s="4"/>
      <c r="C33" s="18"/>
      <c r="D33" s="4"/>
      <c r="E33" s="4"/>
      <c r="F33" s="4"/>
      <c r="G33" s="18"/>
      <c r="H33" s="4"/>
      <c r="I33" s="18"/>
      <c r="J33" s="4"/>
      <c r="K33" s="4"/>
      <c r="L33" s="4"/>
      <c r="M33" s="4"/>
      <c r="N33" s="4"/>
      <c r="O33" s="4"/>
      <c r="P33" s="4"/>
      <c r="Q33" s="4"/>
    </row>
    <row r="34" spans="1:17">
      <c r="A34" s="4" t="s">
        <v>17</v>
      </c>
      <c r="B34" s="4"/>
      <c r="C34" s="18">
        <f>SUM(C30:C33)</f>
        <v>95014.544000000009</v>
      </c>
      <c r="D34" s="4"/>
      <c r="E34" s="4"/>
      <c r="F34" s="4"/>
      <c r="G34" s="18">
        <f>SUM(G30:G33)</f>
        <v>5105.467494436517</v>
      </c>
      <c r="H34" s="4"/>
      <c r="I34" s="18">
        <f>SUM(I30:I33)</f>
        <v>89909.076505563484</v>
      </c>
      <c r="J34" s="4"/>
      <c r="K34" s="9">
        <f>SUM(K30:K33)</f>
        <v>1</v>
      </c>
      <c r="L34" s="4"/>
      <c r="M34" s="4"/>
      <c r="N34" s="4"/>
      <c r="O34" s="4"/>
      <c r="P34" s="4"/>
      <c r="Q34" s="4"/>
    </row>
    <row r="35" spans="1:1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>
      <c r="A36" s="4"/>
      <c r="B36" s="4"/>
      <c r="C36" s="4"/>
      <c r="D36" s="4"/>
      <c r="E36" s="4"/>
      <c r="F36" s="4"/>
      <c r="G36" s="17">
        <f>+G34/C34</f>
        <v>5.3733536777659179E-2</v>
      </c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>
      <c r="A38" s="4"/>
      <c r="B38" s="4"/>
      <c r="C38" s="4"/>
      <c r="D38" s="4"/>
      <c r="E38" s="11"/>
      <c r="F38" s="4"/>
      <c r="G38" s="4"/>
      <c r="H38" s="4"/>
      <c r="I38" s="11"/>
      <c r="J38" s="4"/>
      <c r="K38" s="4"/>
      <c r="L38" s="4"/>
      <c r="M38" s="4"/>
      <c r="N38" s="4"/>
      <c r="O38" s="4"/>
      <c r="P38" s="4"/>
      <c r="Q38" s="4"/>
    </row>
    <row r="39" spans="1:17">
      <c r="A39" s="4"/>
      <c r="B39" s="4"/>
      <c r="C39" s="4"/>
      <c r="D39" s="4"/>
      <c r="E39" s="9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>
      <c r="A40" s="106" t="s">
        <v>115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1:1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>
      <c r="A42" s="93">
        <v>2007</v>
      </c>
      <c r="B42" s="93"/>
      <c r="C42" s="93" t="s">
        <v>2</v>
      </c>
      <c r="D42" s="4"/>
      <c r="E42" s="104" t="s">
        <v>3</v>
      </c>
      <c r="F42" s="104"/>
      <c r="G42" s="104"/>
      <c r="H42" s="93"/>
      <c r="I42" s="104" t="s">
        <v>4</v>
      </c>
      <c r="J42" s="104"/>
      <c r="K42" s="104"/>
      <c r="L42" s="93"/>
      <c r="M42" s="93" t="s">
        <v>5</v>
      </c>
      <c r="N42" s="4"/>
      <c r="O42" s="103" t="s">
        <v>6</v>
      </c>
      <c r="P42" s="103"/>
      <c r="Q42" s="103"/>
    </row>
    <row r="43" spans="1:17">
      <c r="A43" s="93" t="s">
        <v>7</v>
      </c>
      <c r="B43" s="93"/>
      <c r="C43" s="92" t="s">
        <v>8</v>
      </c>
      <c r="D43" s="4"/>
      <c r="E43" s="105" t="s">
        <v>9</v>
      </c>
      <c r="F43" s="105"/>
      <c r="G43" s="105"/>
      <c r="H43" s="93"/>
      <c r="I43" s="105" t="s">
        <v>9</v>
      </c>
      <c r="J43" s="105"/>
      <c r="K43" s="105"/>
      <c r="L43" s="93"/>
      <c r="M43" s="92" t="s">
        <v>9</v>
      </c>
      <c r="N43" s="4"/>
      <c r="O43" s="105" t="s">
        <v>10</v>
      </c>
      <c r="P43" s="105"/>
      <c r="Q43" s="105"/>
    </row>
    <row r="44" spans="1:17"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>
      <c r="A45" s="4" t="s">
        <v>11</v>
      </c>
      <c r="B45" s="4"/>
      <c r="C45" s="93" t="s">
        <v>12</v>
      </c>
      <c r="D45" s="4"/>
      <c r="E45" s="18">
        <v>70416.740000000005</v>
      </c>
      <c r="F45" s="8"/>
      <c r="G45" s="9">
        <f>+E45/E$13</f>
        <v>0.72510354673810429</v>
      </c>
      <c r="H45" s="4"/>
      <c r="I45" s="18">
        <v>21507</v>
      </c>
      <c r="J45" s="8"/>
      <c r="K45" s="9">
        <f>+I45/I$13</f>
        <v>0.92934923515685763</v>
      </c>
      <c r="L45" s="4"/>
      <c r="M45" s="10">
        <f>+E45/I45</f>
        <v>3.2741312130934115</v>
      </c>
      <c r="N45" s="4"/>
      <c r="O45" s="18">
        <v>86766.74</v>
      </c>
      <c r="P45" s="9"/>
      <c r="Q45" s="9">
        <f>+O45/O$13</f>
        <v>0.8934646919596525</v>
      </c>
    </row>
    <row r="46" spans="1:17">
      <c r="A46" s="4" t="s">
        <v>13</v>
      </c>
      <c r="B46" s="4"/>
      <c r="C46" s="93" t="s">
        <v>14</v>
      </c>
      <c r="D46" s="4"/>
      <c r="E46" s="18">
        <f>88660.729-70416.74</f>
        <v>18243.989000000001</v>
      </c>
      <c r="F46" s="8"/>
      <c r="G46" s="9">
        <f>+E46/E$13</f>
        <v>0.18786415177060115</v>
      </c>
      <c r="H46" s="4"/>
      <c r="I46" s="18">
        <f>22889-21507</f>
        <v>1382</v>
      </c>
      <c r="J46" s="8"/>
      <c r="K46" s="9">
        <f>+I46/I$13</f>
        <v>5.9718261170166799E-2</v>
      </c>
      <c r="L46" s="4"/>
      <c r="M46" s="10">
        <f>+E46/I46</f>
        <v>13.2011497829233</v>
      </c>
      <c r="N46" s="4"/>
      <c r="O46" s="18">
        <f>93720.729-86766.74</f>
        <v>6953.9890000000014</v>
      </c>
      <c r="P46" s="4"/>
      <c r="Q46" s="9">
        <f>+O46/O$13</f>
        <v>7.1607434366853157E-2</v>
      </c>
    </row>
    <row r="47" spans="1:17">
      <c r="A47" s="4" t="s">
        <v>15</v>
      </c>
      <c r="B47" s="4"/>
      <c r="C47" s="93" t="s">
        <v>16</v>
      </c>
      <c r="D47" s="4"/>
      <c r="E47" s="18">
        <f>97112.668-88660.729</f>
        <v>8451.9389999999985</v>
      </c>
      <c r="F47" s="8"/>
      <c r="G47" s="9">
        <f>+E47/E$13</f>
        <v>8.7032301491294609E-2</v>
      </c>
      <c r="H47" s="4"/>
      <c r="I47" s="18">
        <f>23142-22889</f>
        <v>253</v>
      </c>
      <c r="J47" s="8"/>
      <c r="K47" s="9">
        <f>+I47/I$13</f>
        <v>1.0932503672975543E-2</v>
      </c>
      <c r="L47" s="4"/>
      <c r="M47" s="10">
        <f>+E47/I47</f>
        <v>33.406873517786558</v>
      </c>
      <c r="N47" s="4"/>
      <c r="O47" s="18">
        <f>97112.668-93720.729</f>
        <v>3391.9389999999985</v>
      </c>
      <c r="P47" s="4"/>
      <c r="Q47" s="9">
        <f>+O47/O$13</f>
        <v>3.4927873673494363E-2</v>
      </c>
    </row>
    <row r="48" spans="1:17">
      <c r="A48" s="4"/>
      <c r="B48" s="4"/>
      <c r="C48" s="4"/>
      <c r="D48" s="4"/>
      <c r="E48" s="18"/>
      <c r="F48" s="4"/>
      <c r="G48" s="4"/>
      <c r="H48" s="4"/>
      <c r="I48" s="18"/>
      <c r="J48" s="4"/>
      <c r="K48" s="4"/>
      <c r="L48" s="4"/>
      <c r="M48" s="4"/>
      <c r="N48" s="4"/>
      <c r="O48" s="18"/>
      <c r="P48" s="4"/>
      <c r="Q48" s="4"/>
    </row>
    <row r="49" spans="1:17">
      <c r="A49" s="4" t="s">
        <v>17</v>
      </c>
      <c r="B49" s="4"/>
      <c r="C49" s="4"/>
      <c r="D49" s="4"/>
      <c r="E49" s="18">
        <f>SUM(E45:E48)</f>
        <v>97112.668000000005</v>
      </c>
      <c r="F49" s="8"/>
      <c r="G49" s="9">
        <f>SUM(G45:G48)</f>
        <v>1</v>
      </c>
      <c r="H49" s="4"/>
      <c r="I49" s="18">
        <f>SUM(I45:I48)</f>
        <v>23142</v>
      </c>
      <c r="J49" s="8"/>
      <c r="K49" s="9">
        <f>SUM(K45:K48)</f>
        <v>0.99999999999999989</v>
      </c>
      <c r="L49" s="4"/>
      <c r="M49" s="10">
        <f>+E49/I49</f>
        <v>4.1963818166104918</v>
      </c>
      <c r="N49" s="4"/>
      <c r="O49" s="18">
        <f>SUM(O45:O48)</f>
        <v>97112.668000000005</v>
      </c>
      <c r="P49" s="4"/>
      <c r="Q49" s="9">
        <f>SUM(Q45:Q48)</f>
        <v>1</v>
      </c>
    </row>
    <row r="50" spans="1:1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>
      <c r="A51" s="4"/>
      <c r="B51" s="4"/>
      <c r="C51" s="4"/>
      <c r="D51" s="4"/>
      <c r="E51" s="109" t="s">
        <v>107</v>
      </c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4"/>
      <c r="Q51" s="4"/>
    </row>
    <row r="52" spans="1:17">
      <c r="A52" s="4" t="s">
        <v>18</v>
      </c>
      <c r="B52" s="4"/>
      <c r="E52" s="105" t="s">
        <v>11</v>
      </c>
      <c r="F52" s="105"/>
      <c r="G52" s="105"/>
      <c r="H52" s="4"/>
      <c r="I52" s="105" t="s">
        <v>13</v>
      </c>
      <c r="J52" s="105"/>
      <c r="K52" s="105"/>
      <c r="L52" s="4"/>
      <c r="M52" s="105" t="s">
        <v>15</v>
      </c>
      <c r="N52" s="105"/>
      <c r="O52" s="105"/>
      <c r="P52" s="4"/>
      <c r="Q52" s="4"/>
    </row>
    <row r="53" spans="1:17">
      <c r="A53" s="4"/>
      <c r="B53" s="4"/>
      <c r="E53" s="91" t="s">
        <v>19</v>
      </c>
      <c r="F53" s="91"/>
      <c r="G53" s="91" t="s">
        <v>20</v>
      </c>
      <c r="H53" s="4"/>
      <c r="I53" s="91" t="s">
        <v>19</v>
      </c>
      <c r="J53" s="91"/>
      <c r="K53" s="91" t="s">
        <v>20</v>
      </c>
      <c r="L53" s="4"/>
      <c r="M53" s="91" t="s">
        <v>19</v>
      </c>
      <c r="N53" s="91"/>
      <c r="O53" s="91" t="s">
        <v>20</v>
      </c>
      <c r="P53" s="4"/>
      <c r="Q53" s="4"/>
    </row>
    <row r="54" spans="1:17">
      <c r="A54" s="4" t="s">
        <v>21</v>
      </c>
      <c r="B54" s="4"/>
      <c r="E54" s="11">
        <v>9.73</v>
      </c>
      <c r="F54" s="4"/>
      <c r="G54" s="11">
        <f>10.65</f>
        <v>10.65</v>
      </c>
      <c r="H54" s="4"/>
      <c r="I54" s="11">
        <v>9.73</v>
      </c>
      <c r="J54" s="4"/>
      <c r="K54" s="11">
        <f>+G54</f>
        <v>10.65</v>
      </c>
      <c r="M54" s="11">
        <f>+I54</f>
        <v>9.73</v>
      </c>
      <c r="N54" s="4"/>
      <c r="O54" s="11">
        <f>+K54</f>
        <v>10.65</v>
      </c>
      <c r="P54" s="4"/>
      <c r="Q54" s="4"/>
    </row>
    <row r="55" spans="1:17">
      <c r="A55" s="4" t="s">
        <v>22</v>
      </c>
      <c r="B55" s="4"/>
      <c r="E55" s="13">
        <f>2.8*M45</f>
        <v>9.1675673966615516</v>
      </c>
      <c r="F55" s="4"/>
      <c r="G55" s="13">
        <f>3.99*M45</f>
        <v>13.063783540242712</v>
      </c>
      <c r="H55" s="4"/>
      <c r="I55" s="13">
        <f>2.8*10+4.15*3.2</f>
        <v>41.28</v>
      </c>
      <c r="J55" s="4"/>
      <c r="K55" s="13">
        <f>3.99*10+5.99*3.2</f>
        <v>59.068000000000012</v>
      </c>
      <c r="M55" s="13">
        <f>2.8*10+4.15*10+5.5*13.41</f>
        <v>143.255</v>
      </c>
      <c r="N55" s="4"/>
      <c r="O55" s="13">
        <f>3.99*10+5.99*10+7.98*13.41</f>
        <v>206.81180000000001</v>
      </c>
      <c r="P55" s="4"/>
      <c r="Q55" s="4"/>
    </row>
    <row r="56" spans="1:17">
      <c r="A56" s="4"/>
      <c r="B56" s="4"/>
      <c r="E56" s="11">
        <f>+E54+E55</f>
        <v>18.89756739666155</v>
      </c>
      <c r="F56" s="4"/>
      <c r="G56" s="11">
        <f>+G54+G55</f>
        <v>23.713783540242712</v>
      </c>
      <c r="H56" s="4"/>
      <c r="I56" s="11">
        <f>+I54+I55</f>
        <v>51.010000000000005</v>
      </c>
      <c r="J56" s="4"/>
      <c r="K56" s="11">
        <f>+K54+K55</f>
        <v>69.718000000000018</v>
      </c>
      <c r="M56" s="11">
        <f>+M54+M55</f>
        <v>152.98499999999999</v>
      </c>
      <c r="N56" s="4"/>
      <c r="O56" s="11">
        <f>+O54+O55</f>
        <v>217.46180000000001</v>
      </c>
      <c r="P56" s="4"/>
      <c r="Q56" s="4"/>
    </row>
    <row r="57" spans="1:17">
      <c r="A57" s="4" t="s">
        <v>23</v>
      </c>
      <c r="B57" s="4"/>
      <c r="E57" s="4"/>
      <c r="F57" s="4"/>
      <c r="G57" s="9">
        <f>+G56/E56-1</f>
        <v>0.25485905368073958</v>
      </c>
      <c r="H57" s="4"/>
      <c r="I57" s="4"/>
      <c r="J57" s="4"/>
      <c r="K57" s="9">
        <f>+K56/I56-1</f>
        <v>0.36675161732993544</v>
      </c>
      <c r="M57" s="4"/>
      <c r="N57" s="4"/>
      <c r="O57" s="9">
        <f>+O56/M56-1</f>
        <v>0.42145831290649438</v>
      </c>
      <c r="P57" s="4"/>
      <c r="Q57" s="4"/>
    </row>
    <row r="58" spans="1:1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6" thickBot="1">
      <c r="A59" s="94" t="s">
        <v>112</v>
      </c>
      <c r="B59" s="4"/>
      <c r="C59" s="4"/>
      <c r="D59" s="4"/>
      <c r="F59" s="9"/>
      <c r="G59" s="14">
        <f>G57/10*$G61</f>
        <v>4.7814107061043554E-2</v>
      </c>
      <c r="H59" s="4"/>
      <c r="J59" s="9"/>
      <c r="K59" s="14">
        <f>K57/10*$G61</f>
        <v>6.8806270927269195E-2</v>
      </c>
      <c r="L59" s="4"/>
      <c r="M59" s="4"/>
      <c r="N59" s="4"/>
      <c r="O59" s="14">
        <f>O57/10*$G61</f>
        <v>7.9069794084387413E-2</v>
      </c>
      <c r="P59" s="4"/>
      <c r="Q59" s="4"/>
    </row>
    <row r="60" spans="1:17" ht="15.6" thickTop="1">
      <c r="A60" s="15" t="s">
        <v>113</v>
      </c>
      <c r="B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>
      <c r="A61" s="4"/>
      <c r="B61" s="4"/>
      <c r="C61" s="4"/>
      <c r="D61" s="4"/>
      <c r="E61" s="4"/>
      <c r="F61" s="4"/>
      <c r="G61" s="99">
        <v>1.8761000000000001</v>
      </c>
      <c r="H61" s="4"/>
      <c r="I61" s="94" t="s">
        <v>108</v>
      </c>
      <c r="J61" s="4"/>
      <c r="K61" s="4"/>
      <c r="L61" s="4"/>
      <c r="M61" s="4"/>
      <c r="N61" s="4"/>
      <c r="O61" s="4"/>
      <c r="P61" s="4"/>
      <c r="Q61" s="4"/>
    </row>
    <row r="62" spans="1:17">
      <c r="A62" s="1" t="s">
        <v>26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>
      <c r="A63" s="4"/>
      <c r="B63" s="4"/>
      <c r="C63" s="93" t="s">
        <v>27</v>
      </c>
      <c r="D63" s="4"/>
      <c r="E63" s="4"/>
      <c r="F63" s="4"/>
      <c r="G63" s="4"/>
      <c r="H63" s="4"/>
      <c r="I63" s="104" t="s">
        <v>28</v>
      </c>
      <c r="J63" s="104"/>
      <c r="K63" s="104"/>
      <c r="L63" s="4"/>
      <c r="M63" s="4"/>
      <c r="N63" s="4"/>
      <c r="O63" s="4"/>
      <c r="P63" s="4"/>
      <c r="Q63" s="4"/>
    </row>
    <row r="64" spans="1:17">
      <c r="A64" s="4"/>
      <c r="B64" s="4"/>
      <c r="C64" s="93" t="s">
        <v>29</v>
      </c>
      <c r="D64" s="4"/>
      <c r="E64" s="98" t="s">
        <v>111</v>
      </c>
      <c r="F64" s="4"/>
      <c r="G64" s="93" t="s">
        <v>30</v>
      </c>
      <c r="H64" s="4"/>
      <c r="I64" s="103" t="s">
        <v>31</v>
      </c>
      <c r="J64" s="103"/>
      <c r="K64" s="103"/>
      <c r="L64" s="4"/>
      <c r="M64" s="4"/>
      <c r="N64" s="4"/>
      <c r="O64" s="4"/>
      <c r="P64" s="4"/>
      <c r="Q64" s="4"/>
    </row>
    <row r="65" spans="1:17">
      <c r="A65" s="4"/>
      <c r="B65" s="4"/>
      <c r="C65" s="92" t="s">
        <v>10</v>
      </c>
      <c r="D65" s="4"/>
      <c r="E65" s="92" t="s">
        <v>32</v>
      </c>
      <c r="F65" s="4"/>
      <c r="G65" s="92" t="s">
        <v>33</v>
      </c>
      <c r="H65" s="4"/>
      <c r="I65" s="105" t="s">
        <v>10</v>
      </c>
      <c r="J65" s="105"/>
      <c r="K65" s="105"/>
      <c r="L65" s="4"/>
      <c r="M65" s="4"/>
      <c r="N65" s="4"/>
      <c r="O65" s="4"/>
      <c r="P65" s="4"/>
      <c r="Q65" s="4"/>
    </row>
    <row r="66" spans="1:17">
      <c r="A66" s="4" t="s">
        <v>11</v>
      </c>
      <c r="B66" s="4"/>
      <c r="C66" s="18">
        <v>84907.14</v>
      </c>
      <c r="D66" s="4"/>
      <c r="E66" s="16">
        <f>+G59</f>
        <v>4.7814107061043554E-2</v>
      </c>
      <c r="F66" s="4"/>
      <c r="G66" s="18">
        <f>C66*E66</f>
        <v>4059.7590822070133</v>
      </c>
      <c r="H66" s="4"/>
      <c r="I66" s="18">
        <f>+C66-G66</f>
        <v>80847.38091779298</v>
      </c>
      <c r="J66" s="4"/>
      <c r="K66" s="9">
        <f>+I66/I$70</f>
        <v>0.89606049478204131</v>
      </c>
      <c r="L66" s="4"/>
      <c r="M66" s="4"/>
      <c r="N66" s="4"/>
      <c r="O66" s="4"/>
      <c r="P66" s="4"/>
      <c r="Q66" s="4"/>
    </row>
    <row r="67" spans="1:17">
      <c r="A67" s="4" t="s">
        <v>13</v>
      </c>
      <c r="B67" s="4"/>
      <c r="C67" s="18">
        <v>6797.4369999999999</v>
      </c>
      <c r="D67" s="4"/>
      <c r="E67" s="16">
        <f>+K59</f>
        <v>6.8806270927269195E-2</v>
      </c>
      <c r="F67" s="4"/>
      <c r="G67" s="18">
        <f>C67*E67</f>
        <v>467.70629183304391</v>
      </c>
      <c r="H67" s="4"/>
      <c r="I67" s="18">
        <f>+C67-G67</f>
        <v>6329.730708166956</v>
      </c>
      <c r="J67" s="4"/>
      <c r="K67" s="9">
        <f>+I67/I$70</f>
        <v>7.015467372980666E-2</v>
      </c>
      <c r="L67" s="4"/>
      <c r="M67" s="4"/>
      <c r="N67" s="4"/>
      <c r="O67" s="4"/>
      <c r="P67" s="4"/>
      <c r="Q67" s="4"/>
    </row>
    <row r="68" spans="1:17">
      <c r="A68" s="4" t="s">
        <v>15</v>
      </c>
      <c r="B68" s="4"/>
      <c r="C68" s="18">
        <v>3309.9670000000001</v>
      </c>
      <c r="D68" s="4"/>
      <c r="E68" s="16">
        <f>+O59</f>
        <v>7.9069794084387413E-2</v>
      </c>
      <c r="F68" s="4"/>
      <c r="G68" s="18">
        <f>C68*E68</f>
        <v>261.71840911611758</v>
      </c>
      <c r="H68" s="4"/>
      <c r="I68" s="18">
        <f>+C68-G68</f>
        <v>3048.2485908838826</v>
      </c>
      <c r="J68" s="4"/>
      <c r="K68" s="9">
        <f>+I68/I$70</f>
        <v>3.3784831488152006E-2</v>
      </c>
      <c r="L68" s="4"/>
      <c r="M68" s="4"/>
      <c r="N68" s="4"/>
      <c r="O68" s="4"/>
      <c r="P68" s="4"/>
      <c r="Q68" s="4"/>
    </row>
    <row r="69" spans="1:17">
      <c r="A69" s="4"/>
      <c r="B69" s="4"/>
      <c r="C69" s="18"/>
      <c r="D69" s="4"/>
      <c r="E69" s="4"/>
      <c r="F69" s="4"/>
      <c r="G69" s="18"/>
      <c r="H69" s="4"/>
      <c r="I69" s="18"/>
      <c r="J69" s="4"/>
      <c r="K69" s="4"/>
      <c r="L69" s="4"/>
      <c r="M69" s="4"/>
      <c r="N69" s="4"/>
      <c r="O69" s="4"/>
      <c r="P69" s="4"/>
      <c r="Q69" s="4"/>
    </row>
    <row r="70" spans="1:17">
      <c r="A70" s="4" t="s">
        <v>17</v>
      </c>
      <c r="B70" s="4"/>
      <c r="C70" s="18">
        <f>SUM(C66:C69)</f>
        <v>95014.544000000009</v>
      </c>
      <c r="D70" s="4"/>
      <c r="E70" s="4"/>
      <c r="F70" s="4"/>
      <c r="G70" s="18">
        <f>SUM(G66:G69)</f>
        <v>4789.1837831561752</v>
      </c>
      <c r="H70" s="4"/>
      <c r="I70" s="18">
        <f>SUM(I66:I69)</f>
        <v>90225.360216843823</v>
      </c>
      <c r="J70" s="4"/>
      <c r="K70" s="9">
        <f>SUM(K66:K69)</f>
        <v>1</v>
      </c>
      <c r="L70" s="4"/>
      <c r="M70" s="4"/>
      <c r="N70" s="4"/>
      <c r="O70" s="4"/>
      <c r="P70" s="4"/>
      <c r="Q70" s="4"/>
    </row>
    <row r="71" spans="1:1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>
      <c r="A72" s="4"/>
      <c r="B72" s="4"/>
      <c r="C72" s="4"/>
      <c r="D72" s="4"/>
      <c r="E72" s="4"/>
      <c r="F72" s="4"/>
      <c r="G72" s="17">
        <f>+G70/C70</f>
        <v>5.04047441742832E-2</v>
      </c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>
      <c r="A74" s="4"/>
      <c r="B74" s="4"/>
      <c r="C74" s="4"/>
      <c r="D74" s="4"/>
      <c r="E74" s="4"/>
      <c r="F74" s="4"/>
      <c r="G74" s="96">
        <v>4789.1000000000004</v>
      </c>
      <c r="H74" s="94"/>
      <c r="I74" s="94" t="s">
        <v>109</v>
      </c>
      <c r="J74" s="4"/>
      <c r="K74" s="4"/>
      <c r="L74" s="4"/>
      <c r="M74" s="4"/>
      <c r="N74" s="4"/>
      <c r="O74" s="4"/>
      <c r="P74" s="4"/>
      <c r="Q74" s="4"/>
    </row>
    <row r="75" spans="1:17">
      <c r="A75" s="4"/>
      <c r="B75" s="4"/>
      <c r="C75" s="4"/>
      <c r="D75" s="4"/>
      <c r="E75" s="4"/>
      <c r="F75" s="4"/>
      <c r="G75" s="94"/>
      <c r="H75" s="94"/>
      <c r="I75" s="94"/>
      <c r="J75" s="4"/>
      <c r="K75" s="4"/>
      <c r="L75" s="4"/>
      <c r="M75" s="4"/>
      <c r="N75" s="4"/>
      <c r="O75" s="4"/>
      <c r="P75" s="4"/>
      <c r="Q75" s="4"/>
    </row>
    <row r="76" spans="1:17">
      <c r="A76" s="4"/>
      <c r="B76" s="4"/>
      <c r="C76" s="4"/>
      <c r="D76" s="4"/>
      <c r="E76" s="4"/>
      <c r="F76" s="4"/>
      <c r="G76" s="97">
        <f>+G74/C70</f>
        <v>5.0403862381321329E-2</v>
      </c>
      <c r="H76" s="94"/>
      <c r="I76" s="94" t="s">
        <v>110</v>
      </c>
      <c r="J76" s="4"/>
      <c r="K76" s="4"/>
      <c r="L76" s="4"/>
      <c r="M76" s="4"/>
      <c r="N76" s="4"/>
      <c r="O76" s="4"/>
      <c r="P76" s="4"/>
      <c r="Q76" s="4"/>
    </row>
    <row r="77" spans="1:1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</sheetData>
  <mergeCells count="27">
    <mergeCell ref="A4:Q4"/>
    <mergeCell ref="E6:G6"/>
    <mergeCell ref="E7:G7"/>
    <mergeCell ref="I6:K6"/>
    <mergeCell ref="I7:K7"/>
    <mergeCell ref="E16:G16"/>
    <mergeCell ref="O6:Q6"/>
    <mergeCell ref="O7:Q7"/>
    <mergeCell ref="I16:K16"/>
    <mergeCell ref="M16:O16"/>
    <mergeCell ref="I28:K28"/>
    <mergeCell ref="I29:K29"/>
    <mergeCell ref="I27:K27"/>
    <mergeCell ref="E42:G42"/>
    <mergeCell ref="I42:K42"/>
    <mergeCell ref="O42:Q42"/>
    <mergeCell ref="I63:K63"/>
    <mergeCell ref="I64:K64"/>
    <mergeCell ref="I65:K65"/>
    <mergeCell ref="A40:Q40"/>
    <mergeCell ref="E51:O51"/>
    <mergeCell ref="E43:G43"/>
    <mergeCell ref="I43:K43"/>
    <mergeCell ref="O43:Q43"/>
    <mergeCell ref="E52:G52"/>
    <mergeCell ref="I52:K52"/>
    <mergeCell ref="M52:O52"/>
  </mergeCells>
  <phoneticPr fontId="2" type="noConversion"/>
  <printOptions horizontalCentered="1"/>
  <pageMargins left="0.5" right="0.5" top="0.75" bottom="0.25" header="0.5" footer="0.5"/>
  <pageSetup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E-12</vt:lpstr>
      <vt:lpstr>WP3.1W</vt:lpstr>
      <vt:lpstr>'E-12'!Print_Area</vt:lpstr>
      <vt:lpstr>WP3.1W!Print_Area</vt:lpstr>
    </vt:vector>
  </TitlesOfParts>
  <Company>Guastella Associates,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White</dc:creator>
  <cp:lastModifiedBy>John</cp:lastModifiedBy>
  <cp:lastPrinted>2017-02-23T19:54:53Z</cp:lastPrinted>
  <dcterms:created xsi:type="dcterms:W3CDTF">2009-08-07T14:15:06Z</dcterms:created>
  <dcterms:modified xsi:type="dcterms:W3CDTF">2017-02-27T20:11:40Z</dcterms:modified>
</cp:coreProperties>
</file>