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36" windowWidth="18192" windowHeight="11316"/>
  </bookViews>
  <sheets>
    <sheet name="RAP-NATURAL GAS PRICES" sheetId="1" r:id="rId1"/>
    <sheet name="RAP TEMPLATE-GAS AVAILABILITY" sheetId="2" r:id="rId2"/>
    <sheet name="RAP-HEAVY &amp; LIGHT OIL &amp; WTI" sheetId="3" r:id="rId3"/>
    <sheet name="RAP-SOLID FUEL PRICES" sheetId="4" r:id="rId4"/>
    <sheet name="CONTROL" sheetId="5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\a">[1]HISTORY!#REF!</definedName>
    <definedName name="__123Graph_A" localSheetId="1" hidden="1">'[2]FPL MOST LIKELY GAS BACKUP 1'!#REF!</definedName>
    <definedName name="__123Graph_A" hidden="1">'[2]FPL MOST LIKELY GAS BACKUP 1'!#REF!</definedName>
    <definedName name="__123Graph_B" localSheetId="1" hidden="1">'[2]FPL MOST LIKELY GAS BACKUP 1'!#REF!</definedName>
    <definedName name="__123Graph_B" hidden="1">'[2]FPL MOST LIKELY GAS BACKUP 1'!#REF!</definedName>
    <definedName name="__123Graph_X" localSheetId="1" hidden="1">'[2]FPL MOST LIKELY GAS BACKUP 1'!#REF!</definedName>
    <definedName name="__123Graph_X" hidden="1">'[2]FPL MOST LIKELY GAS BACKUP 1'!#REF!</definedName>
    <definedName name="_1" localSheetId="1">#REF!</definedName>
    <definedName name="_1">#REF!</definedName>
    <definedName name="_1A" localSheetId="1">#REF!</definedName>
    <definedName name="_1A">#REF!</definedName>
    <definedName name="_2" localSheetId="1">#REF!</definedName>
    <definedName name="_2">#REF!</definedName>
    <definedName name="_3" localSheetId="1">#REF!</definedName>
    <definedName name="_3">#REF!</definedName>
    <definedName name="_4" localSheetId="1">#REF!</definedName>
    <definedName name="_4">#REF!</definedName>
    <definedName name="_5" localSheetId="1">#REF!</definedName>
    <definedName name="_5">#REF!</definedName>
    <definedName name="_6" localSheetId="1">#REF!</definedName>
    <definedName name="_6">#REF!</definedName>
    <definedName name="_7" localSheetId="1">#REF!</definedName>
    <definedName name="_7">#REF!</definedName>
    <definedName name="_8" localSheetId="1">#REF!</definedName>
    <definedName name="_8">#REF!</definedName>
    <definedName name="_9394GAS" localSheetId="1">#REF!</definedName>
    <definedName name="_9394GAS">#REF!</definedName>
    <definedName name="_9394OIL" localSheetId="1">#REF!</definedName>
    <definedName name="_9394OIL">#REF!</definedName>
    <definedName name="_C1" localSheetId="1">#REF!</definedName>
    <definedName name="_C1">#REF!</definedName>
    <definedName name="_GIP1" localSheetId="1">#REF!</definedName>
    <definedName name="_GIP1">#REF!</definedName>
    <definedName name="_SYP1" localSheetId="1">#REF!</definedName>
    <definedName name="_SYP1">#REF!</definedName>
    <definedName name="C_" localSheetId="1">#REF!</definedName>
    <definedName name="C_">#REF!</definedName>
    <definedName name="CC1_" localSheetId="1">#REF!</definedName>
    <definedName name="CC1_">#REF!</definedName>
    <definedName name="COMPET" localSheetId="1">#REF!</definedName>
    <definedName name="COMPET">#REF!</definedName>
    <definedName name="CopyXC" localSheetId="1">#REF!</definedName>
    <definedName name="CopyXC">#REF!</definedName>
    <definedName name="DatabaseNameCopy" localSheetId="1">#REF!</definedName>
    <definedName name="DatabaseNameCopy">#REF!</definedName>
    <definedName name="DatabaseNameDG" localSheetId="1">#REF!</definedName>
    <definedName name="DatabaseNameDG">#REF!</definedName>
    <definedName name="DateColumn" localSheetId="1">[3]_Setup_!#REF!</definedName>
    <definedName name="DateColumn">[3]_Setup_!#REF!</definedName>
    <definedName name="DestColRowXC" localSheetId="1">#REF!</definedName>
    <definedName name="DestColRowXC">#REF!</definedName>
    <definedName name="DestDBname" localSheetId="1">#REF!</definedName>
    <definedName name="DestDBname">#REF!</definedName>
    <definedName name="DestHdrRowColXC" localSheetId="1">#REF!</definedName>
    <definedName name="DestHdrRowColXC">#REF!</definedName>
    <definedName name="DestLayoutXC" localSheetId="1">#REF!</definedName>
    <definedName name="DestLayoutXC">#REF!</definedName>
    <definedName name="DestRowColXC" localSheetId="1">#REF!</definedName>
    <definedName name="DestRowColXC">#REF!</definedName>
    <definedName name="DestStudyName" localSheetId="1">#REF!</definedName>
    <definedName name="DestStudyName">#REF!</definedName>
    <definedName name="DestStudyNameCopy" localSheetId="1">#REF!</definedName>
    <definedName name="DestStudyNameCopy">#REF!</definedName>
    <definedName name="DestUserName" localSheetId="1">#REF!</definedName>
    <definedName name="DestUserName">#REF!</definedName>
    <definedName name="DestWorksheetXC" localSheetId="1">#REF!</definedName>
    <definedName name="DestWorksheetXC">#REF!</definedName>
    <definedName name="EffectiveDate" localSheetId="1">[3]_Setup_!#REF!</definedName>
    <definedName name="EffectiveDate">[3]_Setup_!#REF!</definedName>
    <definedName name="FIRM" localSheetId="1">#REF!</definedName>
    <definedName name="FIRM">#REF!</definedName>
    <definedName name="FIRM1" localSheetId="1">#REF!</definedName>
    <definedName name="FIRM1">#REF!</definedName>
    <definedName name="GAS" localSheetId="1">#REF!</definedName>
    <definedName name="GAS">#REF!</definedName>
    <definedName name="GASAVAIL" localSheetId="1">#REF!</definedName>
    <definedName name="GASAVAIL">#REF!</definedName>
    <definedName name="GIP" localSheetId="1">#REF!</definedName>
    <definedName name="GIP">#REF!</definedName>
    <definedName name="HeaderXC" localSheetId="1">#REF!</definedName>
    <definedName name="HeaderXC">#REF!</definedName>
    <definedName name="I5_" localSheetId="1">#REF!</definedName>
    <definedName name="I5_">#REF!</definedName>
    <definedName name="I6_" localSheetId="1">#REF!</definedName>
    <definedName name="I6_">#REF!</definedName>
    <definedName name="I7_" localSheetId="1">#REF!</definedName>
    <definedName name="I7_">#REF!</definedName>
    <definedName name="ImportListDG" localSheetId="1">#REF!</definedName>
    <definedName name="ImportListDG">#REF!</definedName>
    <definedName name="INDEXDATA">'[4]Index-Data'!$A$2:$CG$68</definedName>
    <definedName name="INFLAT" localSheetId="1">#REF!</definedName>
    <definedName name="INFLAT">#REF!</definedName>
    <definedName name="LayoutXC" localSheetId="1">#REF!</definedName>
    <definedName name="LayoutXC">#REF!</definedName>
    <definedName name="Messages" localSheetId="1">[5]_UnregulatedCurves_!#REF!</definedName>
    <definedName name="Messages">[5]_UnregulatedCurves_!#REF!</definedName>
    <definedName name="MessagesDG" localSheetId="1">#REF!</definedName>
    <definedName name="MessagesDG">#REF!</definedName>
    <definedName name="MessagesDW" localSheetId="1">[5]_UnregulatedCurves_!#REF!</definedName>
    <definedName name="MessagesDW">[5]_UnregulatedCurves_!#REF!</definedName>
    <definedName name="MONTH" localSheetId="1">#REF!</definedName>
    <definedName name="MONTH">#REF!</definedName>
    <definedName name="MONTH1" localSheetId="1">#REF!</definedName>
    <definedName name="MONTH1">#REF!</definedName>
    <definedName name="MONTHID">'[4]Misc-Data'!$A$2:$F$85</definedName>
    <definedName name="MONTHS2" localSheetId="1">#REF!</definedName>
    <definedName name="MONTHS2">#REF!</definedName>
    <definedName name="MONTHS3" localSheetId="1">#REF!</definedName>
    <definedName name="MONTHS3">#REF!</definedName>
    <definedName name="MONTHS4" localSheetId="1">#REF!</definedName>
    <definedName name="MONTHS4">#REF!</definedName>
    <definedName name="MONTHS5" localSheetId="1">#REF!</definedName>
    <definedName name="MONTHS5">#REF!</definedName>
    <definedName name="MONTHS6" localSheetId="1">#REF!</definedName>
    <definedName name="MONTHS6">#REF!</definedName>
    <definedName name="MONTHS7" localSheetId="1">#REF!</definedName>
    <definedName name="MONTHS7">#REF!</definedName>
    <definedName name="OIPBBL" localSheetId="1">#REF!</definedName>
    <definedName name="OIPBBL">#REF!</definedName>
    <definedName name="OIPBBL1" localSheetId="1">#REF!</definedName>
    <definedName name="OIPBBL1">#REF!</definedName>
    <definedName name="PasswordCopy" localSheetId="1">#REF!</definedName>
    <definedName name="PasswordCopy">#REF!</definedName>
    <definedName name="PasswordDG" localSheetId="1">#REF!</definedName>
    <definedName name="PasswordDG">#REF!</definedName>
    <definedName name="PHASEII" localSheetId="1">#REF!</definedName>
    <definedName name="PHASEII">#REF!</definedName>
    <definedName name="PHASEII1" localSheetId="1">#REF!</definedName>
    <definedName name="PHASEII1">#REF!</definedName>
    <definedName name="PHASEIII" localSheetId="1">#REF!</definedName>
    <definedName name="PHASEIII">#REF!</definedName>
    <definedName name="PHASEIII1" localSheetId="1">#REF!</definedName>
    <definedName name="PHASEIII1">#REF!</definedName>
    <definedName name="pipedes">'[4]Misc-Data'!$D$2:$F$69</definedName>
    <definedName name="PRINT">#N/A</definedName>
    <definedName name="RESULTS" localSheetId="1">#REF!</definedName>
    <definedName name="RESULTS">#REF!</definedName>
    <definedName name="RESULTS1" localSheetId="1">#REF!</definedName>
    <definedName name="RESULTS1">#REF!</definedName>
    <definedName name="RESULTS2" localSheetId="1">#REF!</definedName>
    <definedName name="RESULTS2">#REF!</definedName>
    <definedName name="RESULTS3" localSheetId="1">#REF!</definedName>
    <definedName name="RESULTS3">#REF!</definedName>
    <definedName name="RESULTS4" localSheetId="1">#REF!</definedName>
    <definedName name="RESULTS4">#REF!</definedName>
    <definedName name="RESULTSA" localSheetId="1">#REF!</definedName>
    <definedName name="RESULTSA">#REF!</definedName>
    <definedName name="RowStart" localSheetId="1">[3]_Setup_!#REF!</definedName>
    <definedName name="RowStart">[3]_Setup_!#REF!</definedName>
    <definedName name="SelectListCopy" localSheetId="1">#REF!</definedName>
    <definedName name="SelectListCopy">#REF!</definedName>
    <definedName name="SFOR" localSheetId="1">#REF!</definedName>
    <definedName name="SFOR">#REF!</definedName>
    <definedName name="SFOR1" localSheetId="1">#REF!</definedName>
    <definedName name="SFOR1">#REF!</definedName>
    <definedName name="SourceDBname" localSheetId="1">#REF!</definedName>
    <definedName name="SourceDBname">#REF!</definedName>
    <definedName name="SourceStudyName" localSheetId="1">#REF!</definedName>
    <definedName name="SourceStudyName">#REF!</definedName>
    <definedName name="SourceStudyNameCopy" localSheetId="1">#REF!</definedName>
    <definedName name="SourceStudyNameCopy">#REF!</definedName>
    <definedName name="SourceUserName" localSheetId="1">#REF!</definedName>
    <definedName name="SourceUserName">#REF!</definedName>
    <definedName name="SrcColRowXC" localSheetId="1">#REF!</definedName>
    <definedName name="SrcColRowXC">#REF!</definedName>
    <definedName name="SrcFileXC" localSheetId="1">#REF!</definedName>
    <definedName name="SrcFileXC">#REF!</definedName>
    <definedName name="SrcStartRowColXC" localSheetId="1">#REF!</definedName>
    <definedName name="SrcStartRowColXC">#REF!</definedName>
    <definedName name="SrcWorksheetXC" localSheetId="1">#REF!</definedName>
    <definedName name="SrcWorksheetXC">#REF!</definedName>
    <definedName name="StatusCopy" localSheetId="1">#REF!</definedName>
    <definedName name="StatusCopy">#REF!</definedName>
    <definedName name="StatusDG" localSheetId="1">#REF!</definedName>
    <definedName name="StatusDG">#REF!</definedName>
    <definedName name="StatusXC" localSheetId="1">#REF!</definedName>
    <definedName name="StatusXC">#REF!</definedName>
    <definedName name="StudyNameDG" localSheetId="1">#REF!</definedName>
    <definedName name="StudyNameDG">#REF!</definedName>
    <definedName name="SYP" localSheetId="1">#REF!</definedName>
    <definedName name="SYP">#REF!</definedName>
    <definedName name="SYSGAS" localSheetId="1">#REF!</definedName>
    <definedName name="SYSGAS">#REF!</definedName>
    <definedName name="test" hidden="1">'[2]FPL MOST LIKELY GAS BACKUP 1'!#REF!</definedName>
    <definedName name="TITLES" localSheetId="1">#REF!</definedName>
    <definedName name="TITLES">#REF!</definedName>
    <definedName name="TOBBL" localSheetId="1">#REF!</definedName>
    <definedName name="TOBBL">#REF!</definedName>
    <definedName name="TotalRowColXC" localSheetId="1">#REF!</definedName>
    <definedName name="TotalRowColXC">#REF!</definedName>
    <definedName name="TransferListDG" localSheetId="1">#REF!</definedName>
    <definedName name="TransferListDG">#REF!</definedName>
    <definedName name="TTG" localSheetId="1">#REF!</definedName>
    <definedName name="TTG">#REF!</definedName>
    <definedName name="UserNameCopy" localSheetId="1">#REF!</definedName>
    <definedName name="UserNameCopy">#REF!</definedName>
    <definedName name="UserNameDG" localSheetId="1">#REF!</definedName>
    <definedName name="UserNameDG">#REF!</definedName>
    <definedName name="VOLUMES" localSheetId="1">#REF!</definedName>
    <definedName name="VOLUMES">#REF!</definedName>
    <definedName name="VOLUMES1" localSheetId="1">#REF!</definedName>
    <definedName name="VOLUMES1">#REF!</definedName>
    <definedName name="YEAR" localSheetId="1">#REF!</definedName>
    <definedName name="YEAR">#REF!</definedName>
    <definedName name="YEARS" localSheetId="1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C6" i="4" l="1"/>
  <c r="E6" i="4"/>
  <c r="B10" i="4"/>
  <c r="C10" i="4"/>
  <c r="D10" i="4"/>
  <c r="E10" i="4"/>
  <c r="F10" i="4"/>
  <c r="G10" i="4"/>
  <c r="H10" i="4"/>
  <c r="I10" i="4"/>
  <c r="J10" i="4"/>
  <c r="K10" i="4"/>
  <c r="B11" i="4"/>
  <c r="C11" i="4"/>
  <c r="D11" i="4"/>
  <c r="E11" i="4"/>
  <c r="F11" i="4"/>
  <c r="G11" i="4"/>
  <c r="H11" i="4"/>
  <c r="I11" i="4"/>
  <c r="J11" i="4"/>
  <c r="K11" i="4"/>
  <c r="B12" i="4"/>
  <c r="C12" i="4"/>
  <c r="D12" i="4"/>
  <c r="E12" i="4"/>
  <c r="F12" i="4"/>
  <c r="G12" i="4"/>
  <c r="H12" i="4"/>
  <c r="I12" i="4"/>
  <c r="J12" i="4"/>
  <c r="K12" i="4"/>
  <c r="B13" i="4"/>
  <c r="C13" i="4"/>
  <c r="D13" i="4"/>
  <c r="E13" i="4"/>
  <c r="F13" i="4"/>
  <c r="G13" i="4"/>
  <c r="H13" i="4"/>
  <c r="I13" i="4"/>
  <c r="J13" i="4"/>
  <c r="K13" i="4"/>
  <c r="B14" i="4"/>
  <c r="C14" i="4"/>
  <c r="D14" i="4"/>
  <c r="E14" i="4"/>
  <c r="F14" i="4"/>
  <c r="G14" i="4"/>
  <c r="H14" i="4"/>
  <c r="I14" i="4"/>
  <c r="J14" i="4"/>
  <c r="K14" i="4"/>
  <c r="B15" i="4"/>
  <c r="C15" i="4"/>
  <c r="D15" i="4"/>
  <c r="E15" i="4"/>
  <c r="F15" i="4"/>
  <c r="G15" i="4"/>
  <c r="H15" i="4"/>
  <c r="I15" i="4"/>
  <c r="J15" i="4"/>
  <c r="K15" i="4"/>
  <c r="B16" i="4"/>
  <c r="C16" i="4"/>
  <c r="D16" i="4"/>
  <c r="E16" i="4"/>
  <c r="F16" i="4"/>
  <c r="G16" i="4"/>
  <c r="H16" i="4"/>
  <c r="I16" i="4"/>
  <c r="J16" i="4"/>
  <c r="K16" i="4"/>
  <c r="B17" i="4"/>
  <c r="C17" i="4"/>
  <c r="D17" i="4"/>
  <c r="E17" i="4"/>
  <c r="F17" i="4"/>
  <c r="G17" i="4"/>
  <c r="H17" i="4"/>
  <c r="I17" i="4"/>
  <c r="J17" i="4"/>
  <c r="K17" i="4"/>
  <c r="B18" i="4"/>
  <c r="C18" i="4"/>
  <c r="D18" i="4"/>
  <c r="E18" i="4"/>
  <c r="F18" i="4"/>
  <c r="G18" i="4"/>
  <c r="H18" i="4"/>
  <c r="I18" i="4"/>
  <c r="J18" i="4"/>
  <c r="K18" i="4"/>
  <c r="B19" i="4"/>
  <c r="C19" i="4"/>
  <c r="D19" i="4"/>
  <c r="E19" i="4"/>
  <c r="F19" i="4"/>
  <c r="G19" i="4"/>
  <c r="H19" i="4"/>
  <c r="I19" i="4"/>
  <c r="J19" i="4"/>
  <c r="K19" i="4"/>
  <c r="B20" i="4"/>
  <c r="C20" i="4"/>
  <c r="D20" i="4"/>
  <c r="E20" i="4"/>
  <c r="F20" i="4"/>
  <c r="G20" i="4"/>
  <c r="H20" i="4"/>
  <c r="I20" i="4"/>
  <c r="J20" i="4"/>
  <c r="K20" i="4"/>
  <c r="B21" i="4"/>
  <c r="C21" i="4"/>
  <c r="D21" i="4"/>
  <c r="E21" i="4"/>
  <c r="F21" i="4"/>
  <c r="G21" i="4"/>
  <c r="H21" i="4"/>
  <c r="I21" i="4"/>
  <c r="J21" i="4"/>
  <c r="K21" i="4"/>
  <c r="B22" i="4"/>
  <c r="C22" i="4"/>
  <c r="D22" i="4"/>
  <c r="E22" i="4"/>
  <c r="F22" i="4"/>
  <c r="G22" i="4"/>
  <c r="H22" i="4"/>
  <c r="I22" i="4"/>
  <c r="J22" i="4"/>
  <c r="K22" i="4"/>
  <c r="B23" i="4"/>
  <c r="C23" i="4"/>
  <c r="D23" i="4"/>
  <c r="E23" i="4"/>
  <c r="F23" i="4"/>
  <c r="G23" i="4"/>
  <c r="H23" i="4"/>
  <c r="I23" i="4"/>
  <c r="J23" i="4"/>
  <c r="K23" i="4"/>
  <c r="B24" i="4"/>
  <c r="C24" i="4"/>
  <c r="D24" i="4"/>
  <c r="E24" i="4"/>
  <c r="F24" i="4"/>
  <c r="G24" i="4"/>
  <c r="H24" i="4"/>
  <c r="I24" i="4"/>
  <c r="J24" i="4"/>
  <c r="K24" i="4"/>
  <c r="B25" i="4"/>
  <c r="C25" i="4"/>
  <c r="D25" i="4"/>
  <c r="E25" i="4"/>
  <c r="F25" i="4"/>
  <c r="G25" i="4"/>
  <c r="H25" i="4"/>
  <c r="I25" i="4"/>
  <c r="J25" i="4"/>
  <c r="K25" i="4"/>
  <c r="B26" i="4"/>
  <c r="C26" i="4"/>
  <c r="D26" i="4"/>
  <c r="E26" i="4"/>
  <c r="F26" i="4"/>
  <c r="G26" i="4"/>
  <c r="H26" i="4"/>
  <c r="I26" i="4"/>
  <c r="J26" i="4"/>
  <c r="K26" i="4"/>
  <c r="B27" i="4"/>
  <c r="C27" i="4"/>
  <c r="D27" i="4"/>
  <c r="E27" i="4"/>
  <c r="F27" i="4"/>
  <c r="G27" i="4"/>
  <c r="H27" i="4"/>
  <c r="I27" i="4"/>
  <c r="J27" i="4"/>
  <c r="K27" i="4"/>
  <c r="B28" i="4"/>
  <c r="C28" i="4"/>
  <c r="D28" i="4"/>
  <c r="E28" i="4"/>
  <c r="F28" i="4"/>
  <c r="G28" i="4"/>
  <c r="H28" i="4"/>
  <c r="I28" i="4"/>
  <c r="J28" i="4"/>
  <c r="K28" i="4"/>
  <c r="B29" i="4"/>
  <c r="C29" i="4"/>
  <c r="D29" i="4"/>
  <c r="E29" i="4"/>
  <c r="F29" i="4"/>
  <c r="G29" i="4"/>
  <c r="H29" i="4"/>
  <c r="I29" i="4"/>
  <c r="J29" i="4"/>
  <c r="K29" i="4"/>
  <c r="B30" i="4"/>
  <c r="C30" i="4"/>
  <c r="D30" i="4"/>
  <c r="E30" i="4"/>
  <c r="F30" i="4"/>
  <c r="G30" i="4"/>
  <c r="H30" i="4"/>
  <c r="I30" i="4"/>
  <c r="J30" i="4"/>
  <c r="K30" i="4"/>
  <c r="B31" i="4"/>
  <c r="C31" i="4"/>
  <c r="D31" i="4"/>
  <c r="E31" i="4"/>
  <c r="F31" i="4"/>
  <c r="G31" i="4"/>
  <c r="H31" i="4"/>
  <c r="I31" i="4"/>
  <c r="J31" i="4"/>
  <c r="K31" i="4"/>
  <c r="B32" i="4"/>
  <c r="C32" i="4"/>
  <c r="D32" i="4"/>
  <c r="E32" i="4"/>
  <c r="F32" i="4"/>
  <c r="G32" i="4"/>
  <c r="H32" i="4"/>
  <c r="I32" i="4"/>
  <c r="J32" i="4"/>
  <c r="K32" i="4"/>
  <c r="B33" i="4"/>
  <c r="C33" i="4"/>
  <c r="D33" i="4"/>
  <c r="E33" i="4"/>
  <c r="F33" i="4"/>
  <c r="G33" i="4"/>
  <c r="H33" i="4"/>
  <c r="I33" i="4"/>
  <c r="J33" i="4"/>
  <c r="K33" i="4"/>
  <c r="B34" i="4"/>
  <c r="C34" i="4"/>
  <c r="D34" i="4"/>
  <c r="E34" i="4"/>
  <c r="F34" i="4"/>
  <c r="G34" i="4"/>
  <c r="H34" i="4"/>
  <c r="I34" i="4"/>
  <c r="J34" i="4"/>
  <c r="K34" i="4"/>
  <c r="B35" i="4"/>
  <c r="C35" i="4"/>
  <c r="D35" i="4"/>
  <c r="E35" i="4"/>
  <c r="F35" i="4"/>
  <c r="G35" i="4"/>
  <c r="H35" i="4"/>
  <c r="I35" i="4"/>
  <c r="J35" i="4"/>
  <c r="K35" i="4"/>
  <c r="B36" i="4"/>
  <c r="C36" i="4"/>
  <c r="D36" i="4"/>
  <c r="E36" i="4"/>
  <c r="F36" i="4"/>
  <c r="G36" i="4"/>
  <c r="H36" i="4"/>
  <c r="I36" i="4"/>
  <c r="J36" i="4"/>
  <c r="K36" i="4"/>
  <c r="B37" i="4"/>
  <c r="C37" i="4"/>
  <c r="D37" i="4"/>
  <c r="E37" i="4"/>
  <c r="F37" i="4"/>
  <c r="G37" i="4"/>
  <c r="H37" i="4"/>
  <c r="I37" i="4"/>
  <c r="J37" i="4"/>
  <c r="K37" i="4"/>
  <c r="B38" i="4"/>
  <c r="C38" i="4"/>
  <c r="D38" i="4"/>
  <c r="E38" i="4"/>
  <c r="F38" i="4"/>
  <c r="G38" i="4"/>
  <c r="H38" i="4"/>
  <c r="I38" i="4"/>
  <c r="J38" i="4"/>
  <c r="K38" i="4"/>
  <c r="B39" i="4"/>
  <c r="C39" i="4"/>
  <c r="D39" i="4"/>
  <c r="E39" i="4"/>
  <c r="F39" i="4"/>
  <c r="G39" i="4"/>
  <c r="H39" i="4"/>
  <c r="I39" i="4"/>
  <c r="J39" i="4"/>
  <c r="K39" i="4"/>
  <c r="B40" i="4"/>
  <c r="C40" i="4"/>
  <c r="D40" i="4"/>
  <c r="E40" i="4"/>
  <c r="F40" i="4"/>
  <c r="G40" i="4"/>
  <c r="H40" i="4"/>
  <c r="I40" i="4"/>
  <c r="J40" i="4"/>
  <c r="K40" i="4"/>
  <c r="B41" i="4"/>
  <c r="C41" i="4"/>
  <c r="D41" i="4"/>
  <c r="E41" i="4"/>
  <c r="F41" i="4"/>
  <c r="G41" i="4"/>
  <c r="H41" i="4"/>
  <c r="I41" i="4"/>
  <c r="J41" i="4"/>
  <c r="K41" i="4"/>
  <c r="B42" i="4"/>
  <c r="C42" i="4"/>
  <c r="D42" i="4"/>
  <c r="E42" i="4"/>
  <c r="F42" i="4"/>
  <c r="G42" i="4"/>
  <c r="H42" i="4"/>
  <c r="I42" i="4"/>
  <c r="J42" i="4"/>
  <c r="K42" i="4"/>
  <c r="B43" i="4"/>
  <c r="C43" i="4"/>
  <c r="D43" i="4"/>
  <c r="E43" i="4"/>
  <c r="F43" i="4"/>
  <c r="G43" i="4"/>
  <c r="H43" i="4"/>
  <c r="I43" i="4"/>
  <c r="J43" i="4"/>
  <c r="K43" i="4"/>
  <c r="B44" i="4"/>
  <c r="C44" i="4"/>
  <c r="D44" i="4"/>
  <c r="E44" i="4"/>
  <c r="F44" i="4"/>
  <c r="G44" i="4"/>
  <c r="H44" i="4"/>
  <c r="I44" i="4"/>
  <c r="J44" i="4"/>
  <c r="K44" i="4"/>
  <c r="B45" i="4"/>
  <c r="C45" i="4"/>
  <c r="D45" i="4"/>
  <c r="E45" i="4"/>
  <c r="F45" i="4"/>
  <c r="G45" i="4"/>
  <c r="H45" i="4"/>
  <c r="I45" i="4"/>
  <c r="J45" i="4"/>
  <c r="K45" i="4"/>
  <c r="B46" i="4"/>
  <c r="C46" i="4"/>
  <c r="D46" i="4"/>
  <c r="E46" i="4"/>
  <c r="F46" i="4"/>
  <c r="G46" i="4"/>
  <c r="H46" i="4"/>
  <c r="I46" i="4"/>
  <c r="J46" i="4"/>
  <c r="K46" i="4"/>
  <c r="B47" i="4"/>
  <c r="C47" i="4"/>
  <c r="D47" i="4"/>
  <c r="E47" i="4"/>
  <c r="F47" i="4"/>
  <c r="G47" i="4"/>
  <c r="H47" i="4"/>
  <c r="I47" i="4"/>
  <c r="J47" i="4"/>
  <c r="K47" i="4"/>
  <c r="B48" i="4"/>
  <c r="C48" i="4"/>
  <c r="D48" i="4"/>
  <c r="E48" i="4"/>
  <c r="F48" i="4"/>
  <c r="G48" i="4"/>
  <c r="H48" i="4"/>
  <c r="I48" i="4"/>
  <c r="J48" i="4"/>
  <c r="K48" i="4"/>
  <c r="B49" i="4"/>
  <c r="C49" i="4"/>
  <c r="D49" i="4"/>
  <c r="E49" i="4"/>
  <c r="F49" i="4"/>
  <c r="G49" i="4"/>
  <c r="H49" i="4"/>
  <c r="I49" i="4"/>
  <c r="J49" i="4"/>
  <c r="K49" i="4"/>
  <c r="B50" i="4"/>
  <c r="C50" i="4"/>
  <c r="D50" i="4"/>
  <c r="E50" i="4"/>
  <c r="F50" i="4"/>
  <c r="G50" i="4"/>
  <c r="H50" i="4"/>
  <c r="I50" i="4"/>
  <c r="J50" i="4"/>
  <c r="K50" i="4"/>
  <c r="B51" i="4"/>
  <c r="C51" i="4"/>
  <c r="D51" i="4"/>
  <c r="E51" i="4"/>
  <c r="F51" i="4"/>
  <c r="G51" i="4"/>
  <c r="H51" i="4"/>
  <c r="I51" i="4"/>
  <c r="J51" i="4"/>
  <c r="K51" i="4"/>
  <c r="B52" i="4"/>
  <c r="C52" i="4"/>
  <c r="D52" i="4"/>
  <c r="E52" i="4"/>
  <c r="F52" i="4"/>
  <c r="G52" i="4"/>
  <c r="H52" i="4"/>
  <c r="I52" i="4"/>
  <c r="J52" i="4"/>
  <c r="K52" i="4"/>
  <c r="B53" i="4"/>
  <c r="C53" i="4"/>
  <c r="D53" i="4"/>
  <c r="E53" i="4"/>
  <c r="F53" i="4"/>
  <c r="G53" i="4"/>
  <c r="H53" i="4"/>
  <c r="I53" i="4"/>
  <c r="J53" i="4"/>
  <c r="K53" i="4"/>
  <c r="B54" i="4"/>
  <c r="C54" i="4"/>
  <c r="D54" i="4"/>
  <c r="E54" i="4"/>
  <c r="F54" i="4"/>
  <c r="G54" i="4"/>
  <c r="H54" i="4"/>
  <c r="I54" i="4"/>
  <c r="J54" i="4"/>
  <c r="K54" i="4"/>
  <c r="B55" i="4"/>
  <c r="C55" i="4"/>
  <c r="D55" i="4"/>
  <c r="E55" i="4"/>
  <c r="F55" i="4"/>
  <c r="G55" i="4"/>
  <c r="H55" i="4"/>
  <c r="I55" i="4"/>
  <c r="J55" i="4"/>
  <c r="K55" i="4"/>
  <c r="B56" i="4"/>
  <c r="C56" i="4"/>
  <c r="D56" i="4"/>
  <c r="E56" i="4"/>
  <c r="F56" i="4"/>
  <c r="G56" i="4"/>
  <c r="H56" i="4"/>
  <c r="I56" i="4"/>
  <c r="J56" i="4"/>
  <c r="K56" i="4"/>
  <c r="B57" i="4"/>
  <c r="C57" i="4"/>
  <c r="D57" i="4"/>
  <c r="E57" i="4"/>
  <c r="F57" i="4"/>
  <c r="G57" i="4"/>
  <c r="H57" i="4"/>
  <c r="I57" i="4"/>
  <c r="J57" i="4"/>
  <c r="K57" i="4"/>
  <c r="B58" i="4"/>
  <c r="C58" i="4"/>
  <c r="D58" i="4"/>
  <c r="E58" i="4"/>
  <c r="F58" i="4"/>
  <c r="G58" i="4"/>
  <c r="H58" i="4"/>
  <c r="I58" i="4"/>
  <c r="J58" i="4"/>
  <c r="K58" i="4"/>
  <c r="B59" i="4"/>
  <c r="C59" i="4"/>
  <c r="D59" i="4"/>
  <c r="E59" i="4"/>
  <c r="F59" i="4"/>
  <c r="G59" i="4"/>
  <c r="H59" i="4"/>
  <c r="I59" i="4"/>
  <c r="J59" i="4"/>
  <c r="K59" i="4"/>
  <c r="B60" i="4"/>
  <c r="C60" i="4"/>
  <c r="D60" i="4"/>
  <c r="E60" i="4"/>
  <c r="F60" i="4"/>
  <c r="G60" i="4"/>
  <c r="H60" i="4"/>
  <c r="I60" i="4"/>
  <c r="J60" i="4"/>
  <c r="K60" i="4"/>
  <c r="B61" i="4"/>
  <c r="C61" i="4"/>
  <c r="D61" i="4"/>
  <c r="E61" i="4"/>
  <c r="F61" i="4"/>
  <c r="G61" i="4"/>
  <c r="H61" i="4"/>
  <c r="I61" i="4"/>
  <c r="J61" i="4"/>
  <c r="K61" i="4"/>
  <c r="B62" i="4"/>
  <c r="C62" i="4"/>
  <c r="D62" i="4"/>
  <c r="E62" i="4"/>
  <c r="F62" i="4"/>
  <c r="G62" i="4"/>
  <c r="H62" i="4"/>
  <c r="I62" i="4"/>
  <c r="J62" i="4"/>
  <c r="K62" i="4"/>
  <c r="B63" i="4"/>
  <c r="C63" i="4"/>
  <c r="D63" i="4"/>
  <c r="E63" i="4"/>
  <c r="F63" i="4"/>
  <c r="G63" i="4"/>
  <c r="H63" i="4"/>
  <c r="I63" i="4"/>
  <c r="J63" i="4"/>
  <c r="K63" i="4"/>
  <c r="B64" i="4"/>
  <c r="C64" i="4"/>
  <c r="D64" i="4"/>
  <c r="E64" i="4"/>
  <c r="F64" i="4"/>
  <c r="G64" i="4"/>
  <c r="H64" i="4"/>
  <c r="I64" i="4"/>
  <c r="J64" i="4"/>
  <c r="K64" i="4"/>
  <c r="B65" i="4"/>
  <c r="C65" i="4"/>
  <c r="D65" i="4"/>
  <c r="E65" i="4"/>
  <c r="F65" i="4"/>
  <c r="G65" i="4"/>
  <c r="H65" i="4"/>
  <c r="I65" i="4"/>
  <c r="J65" i="4"/>
  <c r="K65" i="4"/>
  <c r="B66" i="4"/>
  <c r="C66" i="4"/>
  <c r="D66" i="4"/>
  <c r="E66" i="4"/>
  <c r="F66" i="4"/>
  <c r="G66" i="4"/>
  <c r="H66" i="4"/>
  <c r="I66" i="4"/>
  <c r="J66" i="4"/>
  <c r="K66" i="4"/>
  <c r="B67" i="4"/>
  <c r="C67" i="4"/>
  <c r="D67" i="4"/>
  <c r="E67" i="4"/>
  <c r="F67" i="4"/>
  <c r="G67" i="4"/>
  <c r="H67" i="4"/>
  <c r="I67" i="4"/>
  <c r="J67" i="4"/>
  <c r="K67" i="4"/>
  <c r="B68" i="4"/>
  <c r="C68" i="4"/>
  <c r="D68" i="4"/>
  <c r="E68" i="4"/>
  <c r="F68" i="4"/>
  <c r="G68" i="4"/>
  <c r="H68" i="4"/>
  <c r="I68" i="4"/>
  <c r="J68" i="4"/>
  <c r="K68" i="4"/>
  <c r="B69" i="4"/>
  <c r="C69" i="4"/>
  <c r="D69" i="4"/>
  <c r="E69" i="4"/>
  <c r="F69" i="4"/>
  <c r="G69" i="4"/>
  <c r="H69" i="4"/>
  <c r="I69" i="4"/>
  <c r="J69" i="4"/>
  <c r="K69" i="4"/>
  <c r="B70" i="4"/>
  <c r="C70" i="4"/>
  <c r="D70" i="4"/>
  <c r="E70" i="4"/>
  <c r="F70" i="4"/>
  <c r="G70" i="4"/>
  <c r="H70" i="4"/>
  <c r="I70" i="4"/>
  <c r="J70" i="4"/>
  <c r="K70" i="4"/>
  <c r="B71" i="4"/>
  <c r="C71" i="4"/>
  <c r="D71" i="4"/>
  <c r="E71" i="4"/>
  <c r="F71" i="4"/>
  <c r="G71" i="4"/>
  <c r="H71" i="4"/>
  <c r="I71" i="4"/>
  <c r="J71" i="4"/>
  <c r="K71" i="4"/>
  <c r="B72" i="4"/>
  <c r="C72" i="4"/>
  <c r="D72" i="4"/>
  <c r="E72" i="4"/>
  <c r="F72" i="4"/>
  <c r="G72" i="4"/>
  <c r="H72" i="4"/>
  <c r="I72" i="4"/>
  <c r="J72" i="4"/>
  <c r="K72" i="4"/>
  <c r="B73" i="4"/>
  <c r="C73" i="4"/>
  <c r="D73" i="4"/>
  <c r="E73" i="4"/>
  <c r="F73" i="4"/>
  <c r="G73" i="4"/>
  <c r="H73" i="4"/>
  <c r="I73" i="4"/>
  <c r="J73" i="4"/>
  <c r="K73" i="4"/>
  <c r="B74" i="4"/>
  <c r="C74" i="4"/>
  <c r="D74" i="4"/>
  <c r="E74" i="4"/>
  <c r="F74" i="4"/>
  <c r="G74" i="4"/>
  <c r="H74" i="4"/>
  <c r="I74" i="4"/>
  <c r="J74" i="4"/>
  <c r="K74" i="4"/>
  <c r="B75" i="4"/>
  <c r="C75" i="4"/>
  <c r="D75" i="4"/>
  <c r="E75" i="4"/>
  <c r="F75" i="4"/>
  <c r="G75" i="4"/>
  <c r="H75" i="4"/>
  <c r="I75" i="4"/>
  <c r="J75" i="4"/>
  <c r="K75" i="4"/>
  <c r="B76" i="4"/>
  <c r="C76" i="4"/>
  <c r="D76" i="4"/>
  <c r="E76" i="4"/>
  <c r="F76" i="4"/>
  <c r="G76" i="4"/>
  <c r="H76" i="4"/>
  <c r="I76" i="4"/>
  <c r="J76" i="4"/>
  <c r="K76" i="4"/>
  <c r="B77" i="4"/>
  <c r="C77" i="4"/>
  <c r="D77" i="4"/>
  <c r="E77" i="4"/>
  <c r="F77" i="4"/>
  <c r="G77" i="4"/>
  <c r="H77" i="4"/>
  <c r="I77" i="4"/>
  <c r="J77" i="4"/>
  <c r="K77" i="4"/>
  <c r="B78" i="4"/>
  <c r="C78" i="4"/>
  <c r="D78" i="4"/>
  <c r="E78" i="4"/>
  <c r="F78" i="4"/>
  <c r="G78" i="4"/>
  <c r="H78" i="4"/>
  <c r="I78" i="4"/>
  <c r="J78" i="4"/>
  <c r="K78" i="4"/>
  <c r="B79" i="4"/>
  <c r="C79" i="4"/>
  <c r="D79" i="4"/>
  <c r="E79" i="4"/>
  <c r="F79" i="4"/>
  <c r="G79" i="4"/>
  <c r="H79" i="4"/>
  <c r="I79" i="4"/>
  <c r="J79" i="4"/>
  <c r="K79" i="4"/>
  <c r="B80" i="4"/>
  <c r="C80" i="4"/>
  <c r="D80" i="4"/>
  <c r="E80" i="4"/>
  <c r="F80" i="4"/>
  <c r="G80" i="4"/>
  <c r="H80" i="4"/>
  <c r="I80" i="4"/>
  <c r="J80" i="4"/>
  <c r="K80" i="4"/>
  <c r="B81" i="4"/>
  <c r="C81" i="4"/>
  <c r="D81" i="4"/>
  <c r="E81" i="4"/>
  <c r="F81" i="4"/>
  <c r="G81" i="4"/>
  <c r="H81" i="4"/>
  <c r="I81" i="4"/>
  <c r="J81" i="4"/>
  <c r="K81" i="4"/>
  <c r="B82" i="4"/>
  <c r="C82" i="4"/>
  <c r="D82" i="4"/>
  <c r="E82" i="4"/>
  <c r="F82" i="4"/>
  <c r="G82" i="4"/>
  <c r="H82" i="4"/>
  <c r="I82" i="4"/>
  <c r="J82" i="4"/>
  <c r="K82" i="4"/>
  <c r="B83" i="4"/>
  <c r="C83" i="4"/>
  <c r="D83" i="4"/>
  <c r="E83" i="4"/>
  <c r="F83" i="4"/>
  <c r="G83" i="4"/>
  <c r="H83" i="4"/>
  <c r="I83" i="4"/>
  <c r="J83" i="4"/>
  <c r="K83" i="4"/>
  <c r="B84" i="4"/>
  <c r="C84" i="4"/>
  <c r="D84" i="4"/>
  <c r="E84" i="4"/>
  <c r="F84" i="4"/>
  <c r="G84" i="4"/>
  <c r="H84" i="4"/>
  <c r="I84" i="4"/>
  <c r="J84" i="4"/>
  <c r="K84" i="4"/>
  <c r="B85" i="4"/>
  <c r="C85" i="4"/>
  <c r="D85" i="4"/>
  <c r="E85" i="4"/>
  <c r="F85" i="4"/>
  <c r="G85" i="4"/>
  <c r="H85" i="4"/>
  <c r="I85" i="4"/>
  <c r="J85" i="4"/>
  <c r="K85" i="4"/>
  <c r="B86" i="4"/>
  <c r="C86" i="4"/>
  <c r="D86" i="4"/>
  <c r="E86" i="4"/>
  <c r="F86" i="4"/>
  <c r="G86" i="4"/>
  <c r="H86" i="4"/>
  <c r="I86" i="4"/>
  <c r="J86" i="4"/>
  <c r="K86" i="4"/>
  <c r="B87" i="4"/>
  <c r="C87" i="4"/>
  <c r="D87" i="4"/>
  <c r="E87" i="4"/>
  <c r="F87" i="4"/>
  <c r="G87" i="4"/>
  <c r="H87" i="4"/>
  <c r="I87" i="4"/>
  <c r="J87" i="4"/>
  <c r="K87" i="4"/>
  <c r="B88" i="4"/>
  <c r="C88" i="4"/>
  <c r="D88" i="4"/>
  <c r="E88" i="4"/>
  <c r="F88" i="4"/>
  <c r="G88" i="4"/>
  <c r="H88" i="4"/>
  <c r="I88" i="4"/>
  <c r="J88" i="4"/>
  <c r="K88" i="4"/>
  <c r="B89" i="4"/>
  <c r="C89" i="4"/>
  <c r="D89" i="4"/>
  <c r="E89" i="4"/>
  <c r="F89" i="4"/>
  <c r="G89" i="4"/>
  <c r="H89" i="4"/>
  <c r="I89" i="4"/>
  <c r="J89" i="4"/>
  <c r="K89" i="4"/>
  <c r="B90" i="4"/>
  <c r="C90" i="4"/>
  <c r="D90" i="4"/>
  <c r="E90" i="4"/>
  <c r="F90" i="4"/>
  <c r="G90" i="4"/>
  <c r="H90" i="4"/>
  <c r="I90" i="4"/>
  <c r="J90" i="4"/>
  <c r="K90" i="4"/>
  <c r="B91" i="4"/>
  <c r="C91" i="4"/>
  <c r="D91" i="4"/>
  <c r="E91" i="4"/>
  <c r="F91" i="4"/>
  <c r="G91" i="4"/>
  <c r="H91" i="4"/>
  <c r="I91" i="4"/>
  <c r="J91" i="4"/>
  <c r="K91" i="4"/>
  <c r="B92" i="4"/>
  <c r="C92" i="4"/>
  <c r="D92" i="4"/>
  <c r="E92" i="4"/>
  <c r="F92" i="4"/>
  <c r="G92" i="4"/>
  <c r="H92" i="4"/>
  <c r="I92" i="4"/>
  <c r="J92" i="4"/>
  <c r="K92" i="4"/>
  <c r="B93" i="4"/>
  <c r="C93" i="4"/>
  <c r="D93" i="4"/>
  <c r="E93" i="4"/>
  <c r="F93" i="4"/>
  <c r="G93" i="4"/>
  <c r="H93" i="4"/>
  <c r="I93" i="4"/>
  <c r="J93" i="4"/>
  <c r="K93" i="4"/>
  <c r="B94" i="4"/>
  <c r="C94" i="4"/>
  <c r="D94" i="4"/>
  <c r="E94" i="4"/>
  <c r="F94" i="4"/>
  <c r="G94" i="4"/>
  <c r="H94" i="4"/>
  <c r="I94" i="4"/>
  <c r="J94" i="4"/>
  <c r="K94" i="4"/>
  <c r="B95" i="4"/>
  <c r="C95" i="4"/>
  <c r="D95" i="4"/>
  <c r="E95" i="4"/>
  <c r="F95" i="4"/>
  <c r="G95" i="4"/>
  <c r="H95" i="4"/>
  <c r="I95" i="4"/>
  <c r="J95" i="4"/>
  <c r="K95" i="4"/>
  <c r="B96" i="4"/>
  <c r="C96" i="4"/>
  <c r="D96" i="4"/>
  <c r="E96" i="4"/>
  <c r="F96" i="4"/>
  <c r="G96" i="4"/>
  <c r="H96" i="4"/>
  <c r="I96" i="4"/>
  <c r="J96" i="4"/>
  <c r="K96" i="4"/>
  <c r="B97" i="4"/>
  <c r="C97" i="4"/>
  <c r="D97" i="4"/>
  <c r="E97" i="4"/>
  <c r="F97" i="4"/>
  <c r="G97" i="4"/>
  <c r="H97" i="4"/>
  <c r="I97" i="4"/>
  <c r="J97" i="4"/>
  <c r="K97" i="4"/>
  <c r="B98" i="4"/>
  <c r="C98" i="4"/>
  <c r="D98" i="4"/>
  <c r="E98" i="4"/>
  <c r="F98" i="4"/>
  <c r="G98" i="4"/>
  <c r="H98" i="4"/>
  <c r="I98" i="4"/>
  <c r="J98" i="4"/>
  <c r="K98" i="4"/>
  <c r="B99" i="4"/>
  <c r="C99" i="4"/>
  <c r="D99" i="4"/>
  <c r="E99" i="4"/>
  <c r="F99" i="4"/>
  <c r="G99" i="4"/>
  <c r="H99" i="4"/>
  <c r="I99" i="4"/>
  <c r="J99" i="4"/>
  <c r="K99" i="4"/>
  <c r="B100" i="4"/>
  <c r="C100" i="4"/>
  <c r="D100" i="4"/>
  <c r="E100" i="4"/>
  <c r="F100" i="4"/>
  <c r="G100" i="4"/>
  <c r="H100" i="4"/>
  <c r="I100" i="4"/>
  <c r="J100" i="4"/>
  <c r="K100" i="4"/>
  <c r="B101" i="4"/>
  <c r="C101" i="4"/>
  <c r="D101" i="4"/>
  <c r="E101" i="4"/>
  <c r="F101" i="4"/>
  <c r="G101" i="4"/>
  <c r="H101" i="4"/>
  <c r="I101" i="4"/>
  <c r="J101" i="4"/>
  <c r="K101" i="4"/>
  <c r="B102" i="4"/>
  <c r="C102" i="4"/>
  <c r="D102" i="4"/>
  <c r="E102" i="4"/>
  <c r="F102" i="4"/>
  <c r="G102" i="4"/>
  <c r="H102" i="4"/>
  <c r="I102" i="4"/>
  <c r="J102" i="4"/>
  <c r="K102" i="4"/>
  <c r="B103" i="4"/>
  <c r="C103" i="4"/>
  <c r="D103" i="4"/>
  <c r="E103" i="4"/>
  <c r="F103" i="4"/>
  <c r="G103" i="4"/>
  <c r="H103" i="4"/>
  <c r="I103" i="4"/>
  <c r="J103" i="4"/>
  <c r="K103" i="4"/>
  <c r="B104" i="4"/>
  <c r="C104" i="4"/>
  <c r="D104" i="4"/>
  <c r="E104" i="4"/>
  <c r="F104" i="4"/>
  <c r="G104" i="4"/>
  <c r="H104" i="4"/>
  <c r="I104" i="4"/>
  <c r="J104" i="4"/>
  <c r="K104" i="4"/>
  <c r="B105" i="4"/>
  <c r="C105" i="4"/>
  <c r="D105" i="4"/>
  <c r="E105" i="4"/>
  <c r="F105" i="4"/>
  <c r="G105" i="4"/>
  <c r="H105" i="4"/>
  <c r="I105" i="4"/>
  <c r="J105" i="4"/>
  <c r="K105" i="4"/>
  <c r="B106" i="4"/>
  <c r="C106" i="4"/>
  <c r="D106" i="4"/>
  <c r="E106" i="4"/>
  <c r="F106" i="4"/>
  <c r="G106" i="4"/>
  <c r="H106" i="4"/>
  <c r="I106" i="4"/>
  <c r="J106" i="4"/>
  <c r="K106" i="4"/>
  <c r="B107" i="4"/>
  <c r="C107" i="4"/>
  <c r="D107" i="4"/>
  <c r="E107" i="4"/>
  <c r="F107" i="4"/>
  <c r="G107" i="4"/>
  <c r="H107" i="4"/>
  <c r="I107" i="4"/>
  <c r="J107" i="4"/>
  <c r="K107" i="4"/>
  <c r="B108" i="4"/>
  <c r="C108" i="4"/>
  <c r="D108" i="4"/>
  <c r="E108" i="4"/>
  <c r="F108" i="4"/>
  <c r="G108" i="4"/>
  <c r="H108" i="4"/>
  <c r="I108" i="4"/>
  <c r="J108" i="4"/>
  <c r="K108" i="4"/>
  <c r="B109" i="4"/>
  <c r="C109" i="4"/>
  <c r="D109" i="4"/>
  <c r="E109" i="4"/>
  <c r="F109" i="4"/>
  <c r="G109" i="4"/>
  <c r="H109" i="4"/>
  <c r="I109" i="4"/>
  <c r="J109" i="4"/>
  <c r="K109" i="4"/>
  <c r="B110" i="4"/>
  <c r="C110" i="4"/>
  <c r="D110" i="4"/>
  <c r="E110" i="4"/>
  <c r="F110" i="4"/>
  <c r="G110" i="4"/>
  <c r="H110" i="4"/>
  <c r="I110" i="4"/>
  <c r="J110" i="4"/>
  <c r="K110" i="4"/>
  <c r="B111" i="4"/>
  <c r="C111" i="4"/>
  <c r="D111" i="4"/>
  <c r="E111" i="4"/>
  <c r="F111" i="4"/>
  <c r="G111" i="4"/>
  <c r="H111" i="4"/>
  <c r="I111" i="4"/>
  <c r="J111" i="4"/>
  <c r="K111" i="4"/>
  <c r="B112" i="4"/>
  <c r="C112" i="4"/>
  <c r="D112" i="4"/>
  <c r="E112" i="4"/>
  <c r="F112" i="4"/>
  <c r="G112" i="4"/>
  <c r="H112" i="4"/>
  <c r="I112" i="4"/>
  <c r="J112" i="4"/>
  <c r="K112" i="4"/>
  <c r="B113" i="4"/>
  <c r="C113" i="4"/>
  <c r="D113" i="4"/>
  <c r="E113" i="4"/>
  <c r="F113" i="4"/>
  <c r="G113" i="4"/>
  <c r="H113" i="4"/>
  <c r="I113" i="4"/>
  <c r="J113" i="4"/>
  <c r="K113" i="4"/>
  <c r="B114" i="4"/>
  <c r="C114" i="4"/>
  <c r="D114" i="4"/>
  <c r="E114" i="4"/>
  <c r="F114" i="4"/>
  <c r="G114" i="4"/>
  <c r="H114" i="4"/>
  <c r="I114" i="4"/>
  <c r="J114" i="4"/>
  <c r="K114" i="4"/>
  <c r="B115" i="4"/>
  <c r="C115" i="4"/>
  <c r="D115" i="4"/>
  <c r="E115" i="4"/>
  <c r="F115" i="4"/>
  <c r="G115" i="4"/>
  <c r="H115" i="4"/>
  <c r="I115" i="4"/>
  <c r="J115" i="4"/>
  <c r="K115" i="4"/>
  <c r="B116" i="4"/>
  <c r="C116" i="4"/>
  <c r="D116" i="4"/>
  <c r="E116" i="4"/>
  <c r="F116" i="4"/>
  <c r="G116" i="4"/>
  <c r="H116" i="4"/>
  <c r="I116" i="4"/>
  <c r="J116" i="4"/>
  <c r="K116" i="4"/>
  <c r="B117" i="4"/>
  <c r="C117" i="4"/>
  <c r="D117" i="4"/>
  <c r="E117" i="4"/>
  <c r="F117" i="4"/>
  <c r="G117" i="4"/>
  <c r="H117" i="4"/>
  <c r="I117" i="4"/>
  <c r="J117" i="4"/>
  <c r="K117" i="4"/>
  <c r="B118" i="4"/>
  <c r="C118" i="4"/>
  <c r="D118" i="4"/>
  <c r="E118" i="4"/>
  <c r="F118" i="4"/>
  <c r="G118" i="4"/>
  <c r="H118" i="4"/>
  <c r="I118" i="4"/>
  <c r="J118" i="4"/>
  <c r="K118" i="4"/>
  <c r="B119" i="4"/>
  <c r="C119" i="4"/>
  <c r="D119" i="4"/>
  <c r="E119" i="4"/>
  <c r="F119" i="4"/>
  <c r="G119" i="4"/>
  <c r="H119" i="4"/>
  <c r="I119" i="4"/>
  <c r="J119" i="4"/>
  <c r="K119" i="4"/>
  <c r="B120" i="4"/>
  <c r="C120" i="4"/>
  <c r="D120" i="4"/>
  <c r="E120" i="4"/>
  <c r="F120" i="4"/>
  <c r="G120" i="4"/>
  <c r="H120" i="4"/>
  <c r="I120" i="4"/>
  <c r="J120" i="4"/>
  <c r="K120" i="4"/>
  <c r="B121" i="4"/>
  <c r="C121" i="4"/>
  <c r="D121" i="4"/>
  <c r="E121" i="4"/>
  <c r="F121" i="4"/>
  <c r="G121" i="4"/>
  <c r="H121" i="4"/>
  <c r="I121" i="4"/>
  <c r="J121" i="4"/>
  <c r="K121" i="4"/>
  <c r="B122" i="4"/>
  <c r="C122" i="4"/>
  <c r="D122" i="4"/>
  <c r="E122" i="4"/>
  <c r="F122" i="4"/>
  <c r="G122" i="4"/>
  <c r="H122" i="4"/>
  <c r="I122" i="4"/>
  <c r="J122" i="4"/>
  <c r="K122" i="4"/>
  <c r="B123" i="4"/>
  <c r="C123" i="4"/>
  <c r="D123" i="4"/>
  <c r="E123" i="4"/>
  <c r="F123" i="4"/>
  <c r="G123" i="4"/>
  <c r="H123" i="4"/>
  <c r="I123" i="4"/>
  <c r="J123" i="4"/>
  <c r="K123" i="4"/>
  <c r="B124" i="4"/>
  <c r="C124" i="4"/>
  <c r="D124" i="4"/>
  <c r="E124" i="4"/>
  <c r="F124" i="4"/>
  <c r="G124" i="4"/>
  <c r="H124" i="4"/>
  <c r="I124" i="4"/>
  <c r="J124" i="4"/>
  <c r="K124" i="4"/>
  <c r="B125" i="4"/>
  <c r="C125" i="4"/>
  <c r="D125" i="4"/>
  <c r="E125" i="4"/>
  <c r="F125" i="4"/>
  <c r="G125" i="4"/>
  <c r="H125" i="4"/>
  <c r="I125" i="4"/>
  <c r="J125" i="4"/>
  <c r="K125" i="4"/>
  <c r="B126" i="4"/>
  <c r="C126" i="4"/>
  <c r="D126" i="4"/>
  <c r="E126" i="4"/>
  <c r="F126" i="4"/>
  <c r="G126" i="4"/>
  <c r="H126" i="4"/>
  <c r="I126" i="4"/>
  <c r="J126" i="4"/>
  <c r="K126" i="4"/>
  <c r="B127" i="4"/>
  <c r="C127" i="4"/>
  <c r="D127" i="4"/>
  <c r="E127" i="4"/>
  <c r="F127" i="4"/>
  <c r="G127" i="4"/>
  <c r="H127" i="4"/>
  <c r="I127" i="4"/>
  <c r="J127" i="4"/>
  <c r="K127" i="4"/>
  <c r="B128" i="4"/>
  <c r="C128" i="4"/>
  <c r="D128" i="4"/>
  <c r="E128" i="4"/>
  <c r="F128" i="4"/>
  <c r="G128" i="4"/>
  <c r="H128" i="4"/>
  <c r="I128" i="4"/>
  <c r="J128" i="4"/>
  <c r="K128" i="4"/>
  <c r="B129" i="4"/>
  <c r="C129" i="4"/>
  <c r="D129" i="4"/>
  <c r="E129" i="4"/>
  <c r="F129" i="4"/>
  <c r="G129" i="4"/>
  <c r="H129" i="4"/>
  <c r="I129" i="4"/>
  <c r="J129" i="4"/>
  <c r="K129" i="4"/>
  <c r="B130" i="4"/>
  <c r="C130" i="4"/>
  <c r="D130" i="4"/>
  <c r="E130" i="4"/>
  <c r="F130" i="4"/>
  <c r="G130" i="4"/>
  <c r="H130" i="4"/>
  <c r="I130" i="4"/>
  <c r="J130" i="4"/>
  <c r="K130" i="4"/>
  <c r="B131" i="4"/>
  <c r="C131" i="4"/>
  <c r="D131" i="4"/>
  <c r="E131" i="4"/>
  <c r="F131" i="4"/>
  <c r="G131" i="4"/>
  <c r="H131" i="4"/>
  <c r="I131" i="4"/>
  <c r="J131" i="4"/>
  <c r="K131" i="4"/>
  <c r="B132" i="4"/>
  <c r="C132" i="4"/>
  <c r="D132" i="4"/>
  <c r="E132" i="4"/>
  <c r="F132" i="4"/>
  <c r="G132" i="4"/>
  <c r="H132" i="4"/>
  <c r="I132" i="4"/>
  <c r="J132" i="4"/>
  <c r="K132" i="4"/>
  <c r="B133" i="4"/>
  <c r="C133" i="4"/>
  <c r="D133" i="4"/>
  <c r="E133" i="4"/>
  <c r="F133" i="4"/>
  <c r="G133" i="4"/>
  <c r="H133" i="4"/>
  <c r="I133" i="4"/>
  <c r="J133" i="4"/>
  <c r="K133" i="4"/>
  <c r="B134" i="4"/>
  <c r="C134" i="4"/>
  <c r="D134" i="4"/>
  <c r="E134" i="4"/>
  <c r="F134" i="4"/>
  <c r="G134" i="4"/>
  <c r="H134" i="4"/>
  <c r="I134" i="4"/>
  <c r="J134" i="4"/>
  <c r="K134" i="4"/>
  <c r="B135" i="4"/>
  <c r="C135" i="4"/>
  <c r="D135" i="4"/>
  <c r="E135" i="4"/>
  <c r="F135" i="4"/>
  <c r="G135" i="4"/>
  <c r="H135" i="4"/>
  <c r="I135" i="4"/>
  <c r="J135" i="4"/>
  <c r="K135" i="4"/>
  <c r="B136" i="4"/>
  <c r="C136" i="4"/>
  <c r="D136" i="4"/>
  <c r="E136" i="4"/>
  <c r="F136" i="4"/>
  <c r="G136" i="4"/>
  <c r="H136" i="4"/>
  <c r="I136" i="4"/>
  <c r="J136" i="4"/>
  <c r="K136" i="4"/>
  <c r="B137" i="4"/>
  <c r="C137" i="4"/>
  <c r="D137" i="4"/>
  <c r="E137" i="4"/>
  <c r="F137" i="4"/>
  <c r="G137" i="4"/>
  <c r="H137" i="4"/>
  <c r="I137" i="4"/>
  <c r="J137" i="4"/>
  <c r="K137" i="4"/>
  <c r="B138" i="4"/>
  <c r="C138" i="4"/>
  <c r="D138" i="4"/>
  <c r="E138" i="4"/>
  <c r="F138" i="4"/>
  <c r="G138" i="4"/>
  <c r="H138" i="4"/>
  <c r="I138" i="4"/>
  <c r="J138" i="4"/>
  <c r="K138" i="4"/>
  <c r="B139" i="4"/>
  <c r="C139" i="4"/>
  <c r="D139" i="4"/>
  <c r="E139" i="4"/>
  <c r="F139" i="4"/>
  <c r="G139" i="4"/>
  <c r="H139" i="4"/>
  <c r="I139" i="4"/>
  <c r="J139" i="4"/>
  <c r="K139" i="4"/>
  <c r="B140" i="4"/>
  <c r="C140" i="4"/>
  <c r="D140" i="4"/>
  <c r="E140" i="4"/>
  <c r="F140" i="4"/>
  <c r="G140" i="4"/>
  <c r="H140" i="4"/>
  <c r="I140" i="4"/>
  <c r="J140" i="4"/>
  <c r="K140" i="4"/>
  <c r="B141" i="4"/>
  <c r="C141" i="4"/>
  <c r="D141" i="4"/>
  <c r="E141" i="4"/>
  <c r="F141" i="4"/>
  <c r="G141" i="4"/>
  <c r="H141" i="4"/>
  <c r="I141" i="4"/>
  <c r="J141" i="4"/>
  <c r="K141" i="4"/>
  <c r="B142" i="4"/>
  <c r="C142" i="4"/>
  <c r="D142" i="4"/>
  <c r="E142" i="4"/>
  <c r="F142" i="4"/>
  <c r="G142" i="4"/>
  <c r="H142" i="4"/>
  <c r="I142" i="4"/>
  <c r="J142" i="4"/>
  <c r="K142" i="4"/>
  <c r="B143" i="4"/>
  <c r="C143" i="4"/>
  <c r="D143" i="4"/>
  <c r="E143" i="4"/>
  <c r="F143" i="4"/>
  <c r="G143" i="4"/>
  <c r="H143" i="4"/>
  <c r="I143" i="4"/>
  <c r="J143" i="4"/>
  <c r="K143" i="4"/>
  <c r="B144" i="4"/>
  <c r="C144" i="4"/>
  <c r="D144" i="4"/>
  <c r="E144" i="4"/>
  <c r="F144" i="4"/>
  <c r="G144" i="4"/>
  <c r="H144" i="4"/>
  <c r="I144" i="4"/>
  <c r="J144" i="4"/>
  <c r="K144" i="4"/>
  <c r="B145" i="4"/>
  <c r="C145" i="4"/>
  <c r="D145" i="4"/>
  <c r="E145" i="4"/>
  <c r="F145" i="4"/>
  <c r="G145" i="4"/>
  <c r="H145" i="4"/>
  <c r="I145" i="4"/>
  <c r="J145" i="4"/>
  <c r="K145" i="4"/>
  <c r="B146" i="4"/>
  <c r="C146" i="4"/>
  <c r="D146" i="4"/>
  <c r="E146" i="4"/>
  <c r="F146" i="4"/>
  <c r="G146" i="4"/>
  <c r="H146" i="4"/>
  <c r="I146" i="4"/>
  <c r="J146" i="4"/>
  <c r="K146" i="4"/>
  <c r="B147" i="4"/>
  <c r="C147" i="4"/>
  <c r="D147" i="4"/>
  <c r="E147" i="4"/>
  <c r="F147" i="4"/>
  <c r="G147" i="4"/>
  <c r="H147" i="4"/>
  <c r="I147" i="4"/>
  <c r="J147" i="4"/>
  <c r="K147" i="4"/>
  <c r="B148" i="4"/>
  <c r="C148" i="4"/>
  <c r="D148" i="4"/>
  <c r="E148" i="4"/>
  <c r="F148" i="4"/>
  <c r="G148" i="4"/>
  <c r="H148" i="4"/>
  <c r="I148" i="4"/>
  <c r="J148" i="4"/>
  <c r="K148" i="4"/>
  <c r="B149" i="4"/>
  <c r="C149" i="4"/>
  <c r="D149" i="4"/>
  <c r="E149" i="4"/>
  <c r="F149" i="4"/>
  <c r="G149" i="4"/>
  <c r="H149" i="4"/>
  <c r="I149" i="4"/>
  <c r="J149" i="4"/>
  <c r="K149" i="4"/>
  <c r="B150" i="4"/>
  <c r="C150" i="4"/>
  <c r="D150" i="4"/>
  <c r="E150" i="4"/>
  <c r="F150" i="4"/>
  <c r="G150" i="4"/>
  <c r="H150" i="4"/>
  <c r="I150" i="4"/>
  <c r="J150" i="4"/>
  <c r="K150" i="4"/>
  <c r="B151" i="4"/>
  <c r="C151" i="4"/>
  <c r="D151" i="4"/>
  <c r="E151" i="4"/>
  <c r="F151" i="4"/>
  <c r="G151" i="4"/>
  <c r="H151" i="4"/>
  <c r="I151" i="4"/>
  <c r="J151" i="4"/>
  <c r="K151" i="4"/>
  <c r="B152" i="4"/>
  <c r="C152" i="4"/>
  <c r="D152" i="4"/>
  <c r="E152" i="4"/>
  <c r="F152" i="4"/>
  <c r="G152" i="4"/>
  <c r="H152" i="4"/>
  <c r="I152" i="4"/>
  <c r="J152" i="4"/>
  <c r="K152" i="4"/>
  <c r="B153" i="4"/>
  <c r="C153" i="4"/>
  <c r="D153" i="4"/>
  <c r="E153" i="4"/>
  <c r="F153" i="4"/>
  <c r="G153" i="4"/>
  <c r="H153" i="4"/>
  <c r="I153" i="4"/>
  <c r="J153" i="4"/>
  <c r="K153" i="4"/>
  <c r="B154" i="4"/>
  <c r="C154" i="4"/>
  <c r="D154" i="4"/>
  <c r="E154" i="4"/>
  <c r="F154" i="4"/>
  <c r="G154" i="4"/>
  <c r="H154" i="4"/>
  <c r="I154" i="4"/>
  <c r="J154" i="4"/>
  <c r="K154" i="4"/>
  <c r="B155" i="4"/>
  <c r="C155" i="4"/>
  <c r="D155" i="4"/>
  <c r="E155" i="4"/>
  <c r="F155" i="4"/>
  <c r="G155" i="4"/>
  <c r="H155" i="4"/>
  <c r="I155" i="4"/>
  <c r="J155" i="4"/>
  <c r="K155" i="4"/>
  <c r="B156" i="4"/>
  <c r="C156" i="4"/>
  <c r="D156" i="4"/>
  <c r="E156" i="4"/>
  <c r="F156" i="4"/>
  <c r="G156" i="4"/>
  <c r="H156" i="4"/>
  <c r="I156" i="4"/>
  <c r="J156" i="4"/>
  <c r="K156" i="4"/>
  <c r="B157" i="4"/>
  <c r="C157" i="4"/>
  <c r="D157" i="4"/>
  <c r="E157" i="4"/>
  <c r="F157" i="4"/>
  <c r="G157" i="4"/>
  <c r="H157" i="4"/>
  <c r="I157" i="4"/>
  <c r="J157" i="4"/>
  <c r="K157" i="4"/>
  <c r="B158" i="4"/>
  <c r="C158" i="4"/>
  <c r="D158" i="4"/>
  <c r="E158" i="4"/>
  <c r="F158" i="4"/>
  <c r="G158" i="4"/>
  <c r="H158" i="4"/>
  <c r="I158" i="4"/>
  <c r="J158" i="4"/>
  <c r="K158" i="4"/>
  <c r="B159" i="4"/>
  <c r="C159" i="4"/>
  <c r="D159" i="4"/>
  <c r="E159" i="4"/>
  <c r="F159" i="4"/>
  <c r="G159" i="4"/>
  <c r="H159" i="4"/>
  <c r="I159" i="4"/>
  <c r="J159" i="4"/>
  <c r="K159" i="4"/>
  <c r="B160" i="4"/>
  <c r="C160" i="4"/>
  <c r="D160" i="4"/>
  <c r="E160" i="4"/>
  <c r="F160" i="4"/>
  <c r="G160" i="4"/>
  <c r="H160" i="4"/>
  <c r="I160" i="4"/>
  <c r="J160" i="4"/>
  <c r="K160" i="4"/>
  <c r="B161" i="4"/>
  <c r="C161" i="4"/>
  <c r="D161" i="4"/>
  <c r="E161" i="4"/>
  <c r="F161" i="4"/>
  <c r="G161" i="4"/>
  <c r="H161" i="4"/>
  <c r="I161" i="4"/>
  <c r="J161" i="4"/>
  <c r="K161" i="4"/>
  <c r="B162" i="4"/>
  <c r="C162" i="4"/>
  <c r="D162" i="4"/>
  <c r="E162" i="4"/>
  <c r="F162" i="4"/>
  <c r="G162" i="4"/>
  <c r="H162" i="4"/>
  <c r="I162" i="4"/>
  <c r="J162" i="4"/>
  <c r="K162" i="4"/>
  <c r="B163" i="4"/>
  <c r="C163" i="4"/>
  <c r="D163" i="4"/>
  <c r="E163" i="4"/>
  <c r="F163" i="4"/>
  <c r="G163" i="4"/>
  <c r="H163" i="4"/>
  <c r="I163" i="4"/>
  <c r="J163" i="4"/>
  <c r="K163" i="4"/>
  <c r="B164" i="4"/>
  <c r="C164" i="4"/>
  <c r="D164" i="4"/>
  <c r="E164" i="4"/>
  <c r="F164" i="4"/>
  <c r="G164" i="4"/>
  <c r="H164" i="4"/>
  <c r="I164" i="4"/>
  <c r="J164" i="4"/>
  <c r="K164" i="4"/>
  <c r="B165" i="4"/>
  <c r="C165" i="4"/>
  <c r="D165" i="4"/>
  <c r="E165" i="4"/>
  <c r="F165" i="4"/>
  <c r="G165" i="4"/>
  <c r="H165" i="4"/>
  <c r="I165" i="4"/>
  <c r="J165" i="4"/>
  <c r="K165" i="4"/>
  <c r="B166" i="4"/>
  <c r="C166" i="4"/>
  <c r="D166" i="4"/>
  <c r="E166" i="4"/>
  <c r="F166" i="4"/>
  <c r="G166" i="4"/>
  <c r="H166" i="4"/>
  <c r="I166" i="4"/>
  <c r="J166" i="4"/>
  <c r="K166" i="4"/>
  <c r="B167" i="4"/>
  <c r="C167" i="4"/>
  <c r="D167" i="4"/>
  <c r="E167" i="4"/>
  <c r="F167" i="4"/>
  <c r="G167" i="4"/>
  <c r="H167" i="4"/>
  <c r="I167" i="4"/>
  <c r="J167" i="4"/>
  <c r="K167" i="4"/>
  <c r="B168" i="4"/>
  <c r="C168" i="4"/>
  <c r="D168" i="4"/>
  <c r="E168" i="4"/>
  <c r="F168" i="4"/>
  <c r="G168" i="4"/>
  <c r="H168" i="4"/>
  <c r="I168" i="4"/>
  <c r="J168" i="4"/>
  <c r="K168" i="4"/>
  <c r="B169" i="4"/>
  <c r="C169" i="4"/>
  <c r="D169" i="4"/>
  <c r="E169" i="4"/>
  <c r="F169" i="4"/>
  <c r="G169" i="4"/>
  <c r="H169" i="4"/>
  <c r="I169" i="4"/>
  <c r="J169" i="4"/>
  <c r="K169" i="4"/>
  <c r="B170" i="4"/>
  <c r="C170" i="4"/>
  <c r="D170" i="4"/>
  <c r="E170" i="4"/>
  <c r="F170" i="4"/>
  <c r="G170" i="4"/>
  <c r="H170" i="4"/>
  <c r="I170" i="4"/>
  <c r="J170" i="4"/>
  <c r="K170" i="4"/>
  <c r="B171" i="4"/>
  <c r="C171" i="4"/>
  <c r="D171" i="4"/>
  <c r="E171" i="4"/>
  <c r="F171" i="4"/>
  <c r="G171" i="4"/>
  <c r="H171" i="4"/>
  <c r="I171" i="4"/>
  <c r="J171" i="4"/>
  <c r="K171" i="4"/>
  <c r="B172" i="4"/>
  <c r="C172" i="4"/>
  <c r="D172" i="4"/>
  <c r="E172" i="4"/>
  <c r="F172" i="4"/>
  <c r="G172" i="4"/>
  <c r="H172" i="4"/>
  <c r="I172" i="4"/>
  <c r="J172" i="4"/>
  <c r="K172" i="4"/>
  <c r="B173" i="4"/>
  <c r="C173" i="4"/>
  <c r="D173" i="4"/>
  <c r="E173" i="4"/>
  <c r="F173" i="4"/>
  <c r="G173" i="4"/>
  <c r="H173" i="4"/>
  <c r="I173" i="4"/>
  <c r="J173" i="4"/>
  <c r="K173" i="4"/>
  <c r="B174" i="4"/>
  <c r="C174" i="4"/>
  <c r="D174" i="4"/>
  <c r="E174" i="4"/>
  <c r="F174" i="4"/>
  <c r="G174" i="4"/>
  <c r="H174" i="4"/>
  <c r="I174" i="4"/>
  <c r="J174" i="4"/>
  <c r="K174" i="4"/>
  <c r="B175" i="4"/>
  <c r="C175" i="4"/>
  <c r="D175" i="4"/>
  <c r="E175" i="4"/>
  <c r="F175" i="4"/>
  <c r="G175" i="4"/>
  <c r="H175" i="4"/>
  <c r="I175" i="4"/>
  <c r="J175" i="4"/>
  <c r="K175" i="4"/>
  <c r="B176" i="4"/>
  <c r="C176" i="4"/>
  <c r="D176" i="4"/>
  <c r="E176" i="4"/>
  <c r="F176" i="4"/>
  <c r="G176" i="4"/>
  <c r="H176" i="4"/>
  <c r="I176" i="4"/>
  <c r="J176" i="4"/>
  <c r="K176" i="4"/>
  <c r="B177" i="4"/>
  <c r="C177" i="4"/>
  <c r="D177" i="4"/>
  <c r="E177" i="4"/>
  <c r="F177" i="4"/>
  <c r="G177" i="4"/>
  <c r="H177" i="4"/>
  <c r="I177" i="4"/>
  <c r="J177" i="4"/>
  <c r="K177" i="4"/>
  <c r="B178" i="4"/>
  <c r="C178" i="4"/>
  <c r="D178" i="4"/>
  <c r="E178" i="4"/>
  <c r="F178" i="4"/>
  <c r="G178" i="4"/>
  <c r="H178" i="4"/>
  <c r="I178" i="4"/>
  <c r="J178" i="4"/>
  <c r="K178" i="4"/>
  <c r="B179" i="4"/>
  <c r="C179" i="4"/>
  <c r="D179" i="4"/>
  <c r="E179" i="4"/>
  <c r="F179" i="4"/>
  <c r="G179" i="4"/>
  <c r="H179" i="4"/>
  <c r="I179" i="4"/>
  <c r="J179" i="4"/>
  <c r="K179" i="4"/>
  <c r="B180" i="4"/>
  <c r="C180" i="4"/>
  <c r="D180" i="4"/>
  <c r="E180" i="4"/>
  <c r="F180" i="4"/>
  <c r="G180" i="4"/>
  <c r="H180" i="4"/>
  <c r="I180" i="4"/>
  <c r="J180" i="4"/>
  <c r="K180" i="4"/>
  <c r="B181" i="4"/>
  <c r="C181" i="4"/>
  <c r="D181" i="4"/>
  <c r="E181" i="4"/>
  <c r="F181" i="4"/>
  <c r="G181" i="4"/>
  <c r="H181" i="4"/>
  <c r="I181" i="4"/>
  <c r="J181" i="4"/>
  <c r="K181" i="4"/>
  <c r="B182" i="4"/>
  <c r="C182" i="4"/>
  <c r="D182" i="4"/>
  <c r="E182" i="4"/>
  <c r="F182" i="4"/>
  <c r="G182" i="4"/>
  <c r="H182" i="4"/>
  <c r="I182" i="4"/>
  <c r="J182" i="4"/>
  <c r="K182" i="4"/>
  <c r="B183" i="4"/>
  <c r="C183" i="4"/>
  <c r="D183" i="4"/>
  <c r="E183" i="4"/>
  <c r="F183" i="4"/>
  <c r="G183" i="4"/>
  <c r="H183" i="4"/>
  <c r="I183" i="4"/>
  <c r="J183" i="4"/>
  <c r="K183" i="4"/>
  <c r="B184" i="4"/>
  <c r="C184" i="4"/>
  <c r="D184" i="4"/>
  <c r="E184" i="4"/>
  <c r="F184" i="4"/>
  <c r="G184" i="4"/>
  <c r="H184" i="4"/>
  <c r="I184" i="4"/>
  <c r="J184" i="4"/>
  <c r="K184" i="4"/>
  <c r="B185" i="4"/>
  <c r="C185" i="4"/>
  <c r="D185" i="4"/>
  <c r="E185" i="4"/>
  <c r="F185" i="4"/>
  <c r="G185" i="4"/>
  <c r="H185" i="4"/>
  <c r="I185" i="4"/>
  <c r="J185" i="4"/>
  <c r="K185" i="4"/>
  <c r="B186" i="4"/>
  <c r="C186" i="4"/>
  <c r="D186" i="4"/>
  <c r="E186" i="4"/>
  <c r="F186" i="4"/>
  <c r="G186" i="4"/>
  <c r="H186" i="4"/>
  <c r="I186" i="4"/>
  <c r="J186" i="4"/>
  <c r="K186" i="4"/>
  <c r="B187" i="4"/>
  <c r="C187" i="4"/>
  <c r="D187" i="4"/>
  <c r="E187" i="4"/>
  <c r="F187" i="4"/>
  <c r="G187" i="4"/>
  <c r="H187" i="4"/>
  <c r="I187" i="4"/>
  <c r="J187" i="4"/>
  <c r="K187" i="4"/>
  <c r="B188" i="4"/>
  <c r="C188" i="4"/>
  <c r="D188" i="4"/>
  <c r="E188" i="4"/>
  <c r="F188" i="4"/>
  <c r="G188" i="4"/>
  <c r="H188" i="4"/>
  <c r="I188" i="4"/>
  <c r="J188" i="4"/>
  <c r="K188" i="4"/>
  <c r="B189" i="4"/>
  <c r="C189" i="4"/>
  <c r="D189" i="4"/>
  <c r="E189" i="4"/>
  <c r="F189" i="4"/>
  <c r="G189" i="4"/>
  <c r="H189" i="4"/>
  <c r="I189" i="4"/>
  <c r="J189" i="4"/>
  <c r="K189" i="4"/>
  <c r="B190" i="4"/>
  <c r="C190" i="4"/>
  <c r="D190" i="4"/>
  <c r="E190" i="4"/>
  <c r="F190" i="4"/>
  <c r="G190" i="4"/>
  <c r="H190" i="4"/>
  <c r="I190" i="4"/>
  <c r="J190" i="4"/>
  <c r="K190" i="4"/>
  <c r="B191" i="4"/>
  <c r="C191" i="4"/>
  <c r="D191" i="4"/>
  <c r="E191" i="4"/>
  <c r="F191" i="4"/>
  <c r="G191" i="4"/>
  <c r="H191" i="4"/>
  <c r="I191" i="4"/>
  <c r="J191" i="4"/>
  <c r="K191" i="4"/>
  <c r="B192" i="4"/>
  <c r="C192" i="4"/>
  <c r="D192" i="4"/>
  <c r="E192" i="4"/>
  <c r="F192" i="4"/>
  <c r="G192" i="4"/>
  <c r="H192" i="4"/>
  <c r="I192" i="4"/>
  <c r="J192" i="4"/>
  <c r="K192" i="4"/>
  <c r="B193" i="4"/>
  <c r="C193" i="4"/>
  <c r="D193" i="4"/>
  <c r="E193" i="4"/>
  <c r="F193" i="4"/>
  <c r="G193" i="4"/>
  <c r="H193" i="4"/>
  <c r="I193" i="4"/>
  <c r="J193" i="4"/>
  <c r="K193" i="4"/>
  <c r="B194" i="4"/>
  <c r="C194" i="4"/>
  <c r="D194" i="4"/>
  <c r="E194" i="4"/>
  <c r="F194" i="4"/>
  <c r="G194" i="4"/>
  <c r="H194" i="4"/>
  <c r="I194" i="4"/>
  <c r="J194" i="4"/>
  <c r="K194" i="4"/>
  <c r="B195" i="4"/>
  <c r="C195" i="4"/>
  <c r="D195" i="4"/>
  <c r="E195" i="4"/>
  <c r="F195" i="4"/>
  <c r="G195" i="4"/>
  <c r="H195" i="4"/>
  <c r="I195" i="4"/>
  <c r="J195" i="4"/>
  <c r="K195" i="4"/>
  <c r="B196" i="4"/>
  <c r="C196" i="4"/>
  <c r="D196" i="4"/>
  <c r="E196" i="4"/>
  <c r="F196" i="4"/>
  <c r="G196" i="4"/>
  <c r="H196" i="4"/>
  <c r="I196" i="4"/>
  <c r="J196" i="4"/>
  <c r="K196" i="4"/>
  <c r="B197" i="4"/>
  <c r="C197" i="4"/>
  <c r="D197" i="4"/>
  <c r="E197" i="4"/>
  <c r="F197" i="4"/>
  <c r="G197" i="4"/>
  <c r="H197" i="4"/>
  <c r="I197" i="4"/>
  <c r="J197" i="4"/>
  <c r="K197" i="4"/>
  <c r="B198" i="4"/>
  <c r="C198" i="4"/>
  <c r="D198" i="4"/>
  <c r="E198" i="4"/>
  <c r="F198" i="4"/>
  <c r="G198" i="4"/>
  <c r="H198" i="4"/>
  <c r="I198" i="4"/>
  <c r="J198" i="4"/>
  <c r="K198" i="4"/>
  <c r="B199" i="4"/>
  <c r="C199" i="4"/>
  <c r="D199" i="4"/>
  <c r="E199" i="4"/>
  <c r="F199" i="4"/>
  <c r="G199" i="4"/>
  <c r="H199" i="4"/>
  <c r="I199" i="4"/>
  <c r="J199" i="4"/>
  <c r="K199" i="4"/>
  <c r="B200" i="4"/>
  <c r="C200" i="4"/>
  <c r="D200" i="4"/>
  <c r="E200" i="4"/>
  <c r="F200" i="4"/>
  <c r="G200" i="4"/>
  <c r="H200" i="4"/>
  <c r="I200" i="4"/>
  <c r="J200" i="4"/>
  <c r="K200" i="4"/>
  <c r="B201" i="4"/>
  <c r="C201" i="4"/>
  <c r="D201" i="4"/>
  <c r="E201" i="4"/>
  <c r="F201" i="4"/>
  <c r="G201" i="4"/>
  <c r="H201" i="4"/>
  <c r="I201" i="4"/>
  <c r="J201" i="4"/>
  <c r="K201" i="4"/>
  <c r="B202" i="4"/>
  <c r="C202" i="4"/>
  <c r="D202" i="4"/>
  <c r="E202" i="4"/>
  <c r="F202" i="4"/>
  <c r="G202" i="4"/>
  <c r="H202" i="4"/>
  <c r="I202" i="4"/>
  <c r="J202" i="4"/>
  <c r="K202" i="4"/>
  <c r="B203" i="4"/>
  <c r="C203" i="4"/>
  <c r="D203" i="4"/>
  <c r="E203" i="4"/>
  <c r="F203" i="4"/>
  <c r="G203" i="4"/>
  <c r="H203" i="4"/>
  <c r="I203" i="4"/>
  <c r="J203" i="4"/>
  <c r="K203" i="4"/>
  <c r="B204" i="4"/>
  <c r="C204" i="4"/>
  <c r="D204" i="4"/>
  <c r="E204" i="4"/>
  <c r="F204" i="4"/>
  <c r="G204" i="4"/>
  <c r="H204" i="4"/>
  <c r="I204" i="4"/>
  <c r="J204" i="4"/>
  <c r="K204" i="4"/>
  <c r="B205" i="4"/>
  <c r="C205" i="4"/>
  <c r="D205" i="4"/>
  <c r="E205" i="4"/>
  <c r="F205" i="4"/>
  <c r="G205" i="4"/>
  <c r="H205" i="4"/>
  <c r="I205" i="4"/>
  <c r="J205" i="4"/>
  <c r="K205" i="4"/>
  <c r="B206" i="4"/>
  <c r="C206" i="4"/>
  <c r="D206" i="4"/>
  <c r="E206" i="4"/>
  <c r="F206" i="4"/>
  <c r="G206" i="4"/>
  <c r="H206" i="4"/>
  <c r="I206" i="4"/>
  <c r="J206" i="4"/>
  <c r="K206" i="4"/>
  <c r="B207" i="4"/>
  <c r="C207" i="4"/>
  <c r="D207" i="4"/>
  <c r="E207" i="4"/>
  <c r="F207" i="4"/>
  <c r="G207" i="4"/>
  <c r="H207" i="4"/>
  <c r="I207" i="4"/>
  <c r="J207" i="4"/>
  <c r="K207" i="4"/>
  <c r="B208" i="4"/>
  <c r="C208" i="4"/>
  <c r="D208" i="4"/>
  <c r="E208" i="4"/>
  <c r="F208" i="4"/>
  <c r="G208" i="4"/>
  <c r="H208" i="4"/>
  <c r="I208" i="4"/>
  <c r="J208" i="4"/>
  <c r="K208" i="4"/>
  <c r="B209" i="4"/>
  <c r="C209" i="4"/>
  <c r="D209" i="4"/>
  <c r="E209" i="4"/>
  <c r="F209" i="4"/>
  <c r="G209" i="4"/>
  <c r="H209" i="4"/>
  <c r="I209" i="4"/>
  <c r="J209" i="4"/>
  <c r="K209" i="4"/>
  <c r="B210" i="4"/>
  <c r="C210" i="4"/>
  <c r="D210" i="4"/>
  <c r="E210" i="4"/>
  <c r="F210" i="4"/>
  <c r="G210" i="4"/>
  <c r="H210" i="4"/>
  <c r="I210" i="4"/>
  <c r="J210" i="4"/>
  <c r="K210" i="4"/>
  <c r="B211" i="4"/>
  <c r="C211" i="4"/>
  <c r="D211" i="4"/>
  <c r="E211" i="4"/>
  <c r="F211" i="4"/>
  <c r="G211" i="4"/>
  <c r="H211" i="4"/>
  <c r="I211" i="4"/>
  <c r="J211" i="4"/>
  <c r="K211" i="4"/>
  <c r="B212" i="4"/>
  <c r="C212" i="4"/>
  <c r="D212" i="4"/>
  <c r="E212" i="4"/>
  <c r="F212" i="4"/>
  <c r="G212" i="4"/>
  <c r="H212" i="4"/>
  <c r="I212" i="4"/>
  <c r="J212" i="4"/>
  <c r="K212" i="4"/>
  <c r="B213" i="4"/>
  <c r="C213" i="4"/>
  <c r="D213" i="4"/>
  <c r="E213" i="4"/>
  <c r="F213" i="4"/>
  <c r="G213" i="4"/>
  <c r="H213" i="4"/>
  <c r="I213" i="4"/>
  <c r="J213" i="4"/>
  <c r="K213" i="4"/>
  <c r="B214" i="4"/>
  <c r="C214" i="4"/>
  <c r="D214" i="4"/>
  <c r="E214" i="4"/>
  <c r="F214" i="4"/>
  <c r="G214" i="4"/>
  <c r="H214" i="4"/>
  <c r="I214" i="4"/>
  <c r="J214" i="4"/>
  <c r="K214" i="4"/>
  <c r="B215" i="4"/>
  <c r="C215" i="4"/>
  <c r="D215" i="4"/>
  <c r="E215" i="4"/>
  <c r="F215" i="4"/>
  <c r="G215" i="4"/>
  <c r="H215" i="4"/>
  <c r="I215" i="4"/>
  <c r="J215" i="4"/>
  <c r="K215" i="4"/>
  <c r="B216" i="4"/>
  <c r="C216" i="4"/>
  <c r="D216" i="4"/>
  <c r="E216" i="4"/>
  <c r="F216" i="4"/>
  <c r="G216" i="4"/>
  <c r="H216" i="4"/>
  <c r="I216" i="4"/>
  <c r="J216" i="4"/>
  <c r="K216" i="4"/>
  <c r="B217" i="4"/>
  <c r="C217" i="4"/>
  <c r="D217" i="4"/>
  <c r="E217" i="4"/>
  <c r="F217" i="4"/>
  <c r="G217" i="4"/>
  <c r="H217" i="4"/>
  <c r="I217" i="4"/>
  <c r="J217" i="4"/>
  <c r="K217" i="4"/>
  <c r="B218" i="4"/>
  <c r="C218" i="4"/>
  <c r="D218" i="4"/>
  <c r="E218" i="4"/>
  <c r="F218" i="4"/>
  <c r="G218" i="4"/>
  <c r="H218" i="4"/>
  <c r="I218" i="4"/>
  <c r="J218" i="4"/>
  <c r="K218" i="4"/>
  <c r="B219" i="4"/>
  <c r="C219" i="4"/>
  <c r="D219" i="4"/>
  <c r="E219" i="4"/>
  <c r="F219" i="4"/>
  <c r="G219" i="4"/>
  <c r="H219" i="4"/>
  <c r="I219" i="4"/>
  <c r="J219" i="4"/>
  <c r="K219" i="4"/>
  <c r="B220" i="4"/>
  <c r="C220" i="4"/>
  <c r="D220" i="4"/>
  <c r="E220" i="4"/>
  <c r="F220" i="4"/>
  <c r="G220" i="4"/>
  <c r="H220" i="4"/>
  <c r="I220" i="4"/>
  <c r="J220" i="4"/>
  <c r="K220" i="4"/>
  <c r="B221" i="4"/>
  <c r="C221" i="4"/>
  <c r="D221" i="4"/>
  <c r="E221" i="4"/>
  <c r="F221" i="4"/>
  <c r="G221" i="4"/>
  <c r="H221" i="4"/>
  <c r="I221" i="4"/>
  <c r="J221" i="4"/>
  <c r="K221" i="4"/>
  <c r="B222" i="4"/>
  <c r="C222" i="4"/>
  <c r="D222" i="4"/>
  <c r="E222" i="4"/>
  <c r="F222" i="4"/>
  <c r="G222" i="4"/>
  <c r="H222" i="4"/>
  <c r="I222" i="4"/>
  <c r="J222" i="4"/>
  <c r="K222" i="4"/>
  <c r="B223" i="4"/>
  <c r="C223" i="4"/>
  <c r="D223" i="4"/>
  <c r="E223" i="4"/>
  <c r="F223" i="4"/>
  <c r="G223" i="4"/>
  <c r="H223" i="4"/>
  <c r="I223" i="4"/>
  <c r="J223" i="4"/>
  <c r="K223" i="4"/>
  <c r="B224" i="4"/>
  <c r="C224" i="4"/>
  <c r="D224" i="4"/>
  <c r="E224" i="4"/>
  <c r="F224" i="4"/>
  <c r="G224" i="4"/>
  <c r="H224" i="4"/>
  <c r="I224" i="4"/>
  <c r="J224" i="4"/>
  <c r="K224" i="4"/>
  <c r="B225" i="4"/>
  <c r="C225" i="4"/>
  <c r="D225" i="4"/>
  <c r="E225" i="4"/>
  <c r="F225" i="4"/>
  <c r="G225" i="4"/>
  <c r="H225" i="4"/>
  <c r="I225" i="4"/>
  <c r="J225" i="4"/>
  <c r="K225" i="4"/>
  <c r="B226" i="4"/>
  <c r="C226" i="4"/>
  <c r="D226" i="4"/>
  <c r="E226" i="4"/>
  <c r="F226" i="4"/>
  <c r="G226" i="4"/>
  <c r="H226" i="4"/>
  <c r="I226" i="4"/>
  <c r="J226" i="4"/>
  <c r="K226" i="4"/>
  <c r="B227" i="4"/>
  <c r="C227" i="4"/>
  <c r="D227" i="4"/>
  <c r="E227" i="4"/>
  <c r="F227" i="4"/>
  <c r="G227" i="4"/>
  <c r="H227" i="4"/>
  <c r="I227" i="4"/>
  <c r="J227" i="4"/>
  <c r="K227" i="4"/>
  <c r="B228" i="4"/>
  <c r="C228" i="4"/>
  <c r="D228" i="4"/>
  <c r="E228" i="4"/>
  <c r="F228" i="4"/>
  <c r="G228" i="4"/>
  <c r="H228" i="4"/>
  <c r="I228" i="4"/>
  <c r="J228" i="4"/>
  <c r="K228" i="4"/>
  <c r="B229" i="4"/>
  <c r="C229" i="4"/>
  <c r="D229" i="4"/>
  <c r="E229" i="4"/>
  <c r="F229" i="4"/>
  <c r="G229" i="4"/>
  <c r="H229" i="4"/>
  <c r="I229" i="4"/>
  <c r="J229" i="4"/>
  <c r="K229" i="4"/>
  <c r="B230" i="4"/>
  <c r="C230" i="4"/>
  <c r="D230" i="4"/>
  <c r="E230" i="4"/>
  <c r="F230" i="4"/>
  <c r="G230" i="4"/>
  <c r="H230" i="4"/>
  <c r="I230" i="4"/>
  <c r="J230" i="4"/>
  <c r="K230" i="4"/>
  <c r="B231" i="4"/>
  <c r="C231" i="4"/>
  <c r="D231" i="4"/>
  <c r="E231" i="4"/>
  <c r="F231" i="4"/>
  <c r="G231" i="4"/>
  <c r="H231" i="4"/>
  <c r="I231" i="4"/>
  <c r="J231" i="4"/>
  <c r="K231" i="4"/>
  <c r="B232" i="4"/>
  <c r="C232" i="4"/>
  <c r="D232" i="4"/>
  <c r="E232" i="4"/>
  <c r="F232" i="4"/>
  <c r="G232" i="4"/>
  <c r="H232" i="4"/>
  <c r="I232" i="4"/>
  <c r="J232" i="4"/>
  <c r="K232" i="4"/>
  <c r="B233" i="4"/>
  <c r="C233" i="4"/>
  <c r="D233" i="4"/>
  <c r="E233" i="4"/>
  <c r="F233" i="4"/>
  <c r="G233" i="4"/>
  <c r="H233" i="4"/>
  <c r="I233" i="4"/>
  <c r="J233" i="4"/>
  <c r="K233" i="4"/>
  <c r="B234" i="4"/>
  <c r="C234" i="4"/>
  <c r="D234" i="4"/>
  <c r="E234" i="4"/>
  <c r="F234" i="4"/>
  <c r="G234" i="4"/>
  <c r="H234" i="4"/>
  <c r="I234" i="4"/>
  <c r="J234" i="4"/>
  <c r="K234" i="4"/>
  <c r="B235" i="4"/>
  <c r="C235" i="4"/>
  <c r="D235" i="4"/>
  <c r="E235" i="4"/>
  <c r="F235" i="4"/>
  <c r="G235" i="4"/>
  <c r="H235" i="4"/>
  <c r="I235" i="4"/>
  <c r="J235" i="4"/>
  <c r="K235" i="4"/>
  <c r="B236" i="4"/>
  <c r="C236" i="4"/>
  <c r="D236" i="4"/>
  <c r="E236" i="4"/>
  <c r="F236" i="4"/>
  <c r="G236" i="4"/>
  <c r="H236" i="4"/>
  <c r="I236" i="4"/>
  <c r="J236" i="4"/>
  <c r="K236" i="4"/>
  <c r="B237" i="4"/>
  <c r="C237" i="4"/>
  <c r="D237" i="4"/>
  <c r="E237" i="4"/>
  <c r="F237" i="4"/>
  <c r="G237" i="4"/>
  <c r="H237" i="4"/>
  <c r="I237" i="4"/>
  <c r="J237" i="4"/>
  <c r="K237" i="4"/>
  <c r="B238" i="4"/>
  <c r="C238" i="4"/>
  <c r="D238" i="4"/>
  <c r="E238" i="4"/>
  <c r="F238" i="4"/>
  <c r="G238" i="4"/>
  <c r="H238" i="4"/>
  <c r="I238" i="4"/>
  <c r="J238" i="4"/>
  <c r="K238" i="4"/>
  <c r="B239" i="4"/>
  <c r="C239" i="4"/>
  <c r="D239" i="4"/>
  <c r="E239" i="4"/>
  <c r="F239" i="4"/>
  <c r="G239" i="4"/>
  <c r="H239" i="4"/>
  <c r="I239" i="4"/>
  <c r="J239" i="4"/>
  <c r="K239" i="4"/>
  <c r="B240" i="4"/>
  <c r="C240" i="4"/>
  <c r="D240" i="4"/>
  <c r="E240" i="4"/>
  <c r="F240" i="4"/>
  <c r="G240" i="4"/>
  <c r="H240" i="4"/>
  <c r="I240" i="4"/>
  <c r="J240" i="4"/>
  <c r="K240" i="4"/>
  <c r="B241" i="4"/>
  <c r="C241" i="4"/>
  <c r="D241" i="4"/>
  <c r="E241" i="4"/>
  <c r="F241" i="4"/>
  <c r="G241" i="4"/>
  <c r="H241" i="4"/>
  <c r="I241" i="4"/>
  <c r="J241" i="4"/>
  <c r="K241" i="4"/>
  <c r="B242" i="4"/>
  <c r="C242" i="4"/>
  <c r="D242" i="4"/>
  <c r="E242" i="4"/>
  <c r="F242" i="4"/>
  <c r="G242" i="4"/>
  <c r="H242" i="4"/>
  <c r="I242" i="4"/>
  <c r="J242" i="4"/>
  <c r="K242" i="4"/>
  <c r="B243" i="4"/>
  <c r="C243" i="4"/>
  <c r="D243" i="4"/>
  <c r="E243" i="4"/>
  <c r="F243" i="4"/>
  <c r="G243" i="4"/>
  <c r="H243" i="4"/>
  <c r="I243" i="4"/>
  <c r="J243" i="4"/>
  <c r="K243" i="4"/>
  <c r="B244" i="4"/>
  <c r="C244" i="4"/>
  <c r="D244" i="4"/>
  <c r="E244" i="4"/>
  <c r="F244" i="4"/>
  <c r="G244" i="4"/>
  <c r="H244" i="4"/>
  <c r="I244" i="4"/>
  <c r="J244" i="4"/>
  <c r="K244" i="4"/>
  <c r="B245" i="4"/>
  <c r="C245" i="4"/>
  <c r="D245" i="4"/>
  <c r="E245" i="4"/>
  <c r="F245" i="4"/>
  <c r="G245" i="4"/>
  <c r="H245" i="4"/>
  <c r="I245" i="4"/>
  <c r="J245" i="4"/>
  <c r="K245" i="4"/>
  <c r="B246" i="4"/>
  <c r="C246" i="4"/>
  <c r="D246" i="4"/>
  <c r="E246" i="4"/>
  <c r="F246" i="4"/>
  <c r="G246" i="4"/>
  <c r="H246" i="4"/>
  <c r="I246" i="4"/>
  <c r="J246" i="4"/>
  <c r="K246" i="4"/>
  <c r="B247" i="4"/>
  <c r="C247" i="4"/>
  <c r="D247" i="4"/>
  <c r="E247" i="4"/>
  <c r="F247" i="4"/>
  <c r="G247" i="4"/>
  <c r="H247" i="4"/>
  <c r="I247" i="4"/>
  <c r="J247" i="4"/>
  <c r="K247" i="4"/>
  <c r="B248" i="4"/>
  <c r="C248" i="4"/>
  <c r="D248" i="4"/>
  <c r="E248" i="4"/>
  <c r="F248" i="4"/>
  <c r="G248" i="4"/>
  <c r="H248" i="4"/>
  <c r="I248" i="4"/>
  <c r="J248" i="4"/>
  <c r="K248" i="4"/>
  <c r="B249" i="4"/>
  <c r="C249" i="4"/>
  <c r="D249" i="4"/>
  <c r="E249" i="4"/>
  <c r="F249" i="4"/>
  <c r="G249" i="4"/>
  <c r="H249" i="4"/>
  <c r="I249" i="4"/>
  <c r="J249" i="4"/>
  <c r="K249" i="4"/>
  <c r="B250" i="4"/>
  <c r="C250" i="4"/>
  <c r="D250" i="4"/>
  <c r="E250" i="4"/>
  <c r="F250" i="4"/>
  <c r="G250" i="4"/>
  <c r="H250" i="4"/>
  <c r="I250" i="4"/>
  <c r="J250" i="4"/>
  <c r="K250" i="4"/>
  <c r="B251" i="4"/>
  <c r="C251" i="4"/>
  <c r="D251" i="4"/>
  <c r="E251" i="4"/>
  <c r="F251" i="4"/>
  <c r="G251" i="4"/>
  <c r="H251" i="4"/>
  <c r="I251" i="4"/>
  <c r="J251" i="4"/>
  <c r="K251" i="4"/>
  <c r="B252" i="4"/>
  <c r="C252" i="4"/>
  <c r="D252" i="4"/>
  <c r="E252" i="4"/>
  <c r="F252" i="4"/>
  <c r="G252" i="4"/>
  <c r="H252" i="4"/>
  <c r="I252" i="4"/>
  <c r="J252" i="4"/>
  <c r="K252" i="4"/>
  <c r="B253" i="4"/>
  <c r="C253" i="4"/>
  <c r="D253" i="4"/>
  <c r="E253" i="4"/>
  <c r="F253" i="4"/>
  <c r="G253" i="4"/>
  <c r="H253" i="4"/>
  <c r="I253" i="4"/>
  <c r="J253" i="4"/>
  <c r="K253" i="4"/>
  <c r="B254" i="4"/>
  <c r="C254" i="4"/>
  <c r="D254" i="4"/>
  <c r="E254" i="4"/>
  <c r="F254" i="4"/>
  <c r="G254" i="4"/>
  <c r="H254" i="4"/>
  <c r="I254" i="4"/>
  <c r="J254" i="4"/>
  <c r="K254" i="4"/>
  <c r="B255" i="4"/>
  <c r="C255" i="4"/>
  <c r="D255" i="4"/>
  <c r="E255" i="4"/>
  <c r="F255" i="4"/>
  <c r="G255" i="4"/>
  <c r="H255" i="4"/>
  <c r="I255" i="4"/>
  <c r="J255" i="4"/>
  <c r="K255" i="4"/>
  <c r="B256" i="4"/>
  <c r="C256" i="4"/>
  <c r="D256" i="4"/>
  <c r="E256" i="4"/>
  <c r="F256" i="4"/>
  <c r="G256" i="4"/>
  <c r="H256" i="4"/>
  <c r="I256" i="4"/>
  <c r="J256" i="4"/>
  <c r="K256" i="4"/>
  <c r="B257" i="4"/>
  <c r="C257" i="4"/>
  <c r="D257" i="4"/>
  <c r="E257" i="4"/>
  <c r="F257" i="4"/>
  <c r="G257" i="4"/>
  <c r="H257" i="4"/>
  <c r="I257" i="4"/>
  <c r="J257" i="4"/>
  <c r="K257" i="4"/>
  <c r="B258" i="4"/>
  <c r="C258" i="4"/>
  <c r="D258" i="4"/>
  <c r="E258" i="4"/>
  <c r="F258" i="4"/>
  <c r="G258" i="4"/>
  <c r="H258" i="4"/>
  <c r="I258" i="4"/>
  <c r="J258" i="4"/>
  <c r="K258" i="4"/>
  <c r="B259" i="4"/>
  <c r="C259" i="4"/>
  <c r="D259" i="4"/>
  <c r="E259" i="4"/>
  <c r="F259" i="4"/>
  <c r="G259" i="4"/>
  <c r="H259" i="4"/>
  <c r="I259" i="4"/>
  <c r="J259" i="4"/>
  <c r="K259" i="4"/>
  <c r="B260" i="4"/>
  <c r="C260" i="4"/>
  <c r="D260" i="4"/>
  <c r="E260" i="4"/>
  <c r="F260" i="4"/>
  <c r="G260" i="4"/>
  <c r="H260" i="4"/>
  <c r="I260" i="4"/>
  <c r="J260" i="4"/>
  <c r="K260" i="4"/>
  <c r="B261" i="4"/>
  <c r="C261" i="4"/>
  <c r="D261" i="4"/>
  <c r="E261" i="4"/>
  <c r="F261" i="4"/>
  <c r="G261" i="4"/>
  <c r="H261" i="4"/>
  <c r="I261" i="4"/>
  <c r="J261" i="4"/>
  <c r="K261" i="4"/>
  <c r="B262" i="4"/>
  <c r="C262" i="4"/>
  <c r="D262" i="4"/>
  <c r="E262" i="4"/>
  <c r="F262" i="4"/>
  <c r="G262" i="4"/>
  <c r="H262" i="4"/>
  <c r="I262" i="4"/>
  <c r="J262" i="4"/>
  <c r="K262" i="4"/>
  <c r="B263" i="4"/>
  <c r="C263" i="4"/>
  <c r="D263" i="4"/>
  <c r="E263" i="4"/>
  <c r="F263" i="4"/>
  <c r="G263" i="4"/>
  <c r="H263" i="4"/>
  <c r="I263" i="4"/>
  <c r="J263" i="4"/>
  <c r="K263" i="4"/>
  <c r="B264" i="4"/>
  <c r="C264" i="4"/>
  <c r="D264" i="4"/>
  <c r="E264" i="4"/>
  <c r="F264" i="4"/>
  <c r="G264" i="4"/>
  <c r="H264" i="4"/>
  <c r="I264" i="4"/>
  <c r="J264" i="4"/>
  <c r="K264" i="4"/>
  <c r="B265" i="4"/>
  <c r="C265" i="4"/>
  <c r="D265" i="4"/>
  <c r="E265" i="4"/>
  <c r="F265" i="4"/>
  <c r="G265" i="4"/>
  <c r="H265" i="4"/>
  <c r="I265" i="4"/>
  <c r="J265" i="4"/>
  <c r="K265" i="4"/>
  <c r="B266" i="4"/>
  <c r="C266" i="4"/>
  <c r="D266" i="4"/>
  <c r="E266" i="4"/>
  <c r="F266" i="4"/>
  <c r="G266" i="4"/>
  <c r="H266" i="4"/>
  <c r="I266" i="4"/>
  <c r="J266" i="4"/>
  <c r="K266" i="4"/>
  <c r="B267" i="4"/>
  <c r="C267" i="4"/>
  <c r="D267" i="4"/>
  <c r="E267" i="4"/>
  <c r="F267" i="4"/>
  <c r="G267" i="4"/>
  <c r="H267" i="4"/>
  <c r="I267" i="4"/>
  <c r="J267" i="4"/>
  <c r="K267" i="4"/>
  <c r="B268" i="4"/>
  <c r="C268" i="4"/>
  <c r="D268" i="4"/>
  <c r="E268" i="4"/>
  <c r="F268" i="4"/>
  <c r="G268" i="4"/>
  <c r="H268" i="4"/>
  <c r="I268" i="4"/>
  <c r="J268" i="4"/>
  <c r="K268" i="4"/>
  <c r="B269" i="4"/>
  <c r="C269" i="4"/>
  <c r="D269" i="4"/>
  <c r="E269" i="4"/>
  <c r="F269" i="4"/>
  <c r="G269" i="4"/>
  <c r="H269" i="4"/>
  <c r="I269" i="4"/>
  <c r="J269" i="4"/>
  <c r="K269" i="4"/>
  <c r="B270" i="4"/>
  <c r="C270" i="4"/>
  <c r="D270" i="4"/>
  <c r="E270" i="4"/>
  <c r="F270" i="4"/>
  <c r="G270" i="4"/>
  <c r="H270" i="4"/>
  <c r="I270" i="4"/>
  <c r="J270" i="4"/>
  <c r="K270" i="4"/>
  <c r="B271" i="4"/>
  <c r="C271" i="4"/>
  <c r="D271" i="4"/>
  <c r="E271" i="4"/>
  <c r="F271" i="4"/>
  <c r="G271" i="4"/>
  <c r="H271" i="4"/>
  <c r="I271" i="4"/>
  <c r="J271" i="4"/>
  <c r="K271" i="4"/>
  <c r="B272" i="4"/>
  <c r="C272" i="4"/>
  <c r="D272" i="4"/>
  <c r="E272" i="4"/>
  <c r="F272" i="4"/>
  <c r="G272" i="4"/>
  <c r="H272" i="4"/>
  <c r="I272" i="4"/>
  <c r="J272" i="4"/>
  <c r="K272" i="4"/>
  <c r="B273" i="4"/>
  <c r="C273" i="4"/>
  <c r="D273" i="4"/>
  <c r="E273" i="4"/>
  <c r="F273" i="4"/>
  <c r="G273" i="4"/>
  <c r="H273" i="4"/>
  <c r="I273" i="4"/>
  <c r="J273" i="4"/>
  <c r="K273" i="4"/>
  <c r="B274" i="4"/>
  <c r="C274" i="4"/>
  <c r="D274" i="4"/>
  <c r="E274" i="4"/>
  <c r="F274" i="4"/>
  <c r="G274" i="4"/>
  <c r="H274" i="4"/>
  <c r="I274" i="4"/>
  <c r="J274" i="4"/>
  <c r="K274" i="4"/>
  <c r="B275" i="4"/>
  <c r="C275" i="4"/>
  <c r="D275" i="4"/>
  <c r="D1053" i="4" s="1"/>
  <c r="E275" i="4"/>
  <c r="F275" i="4"/>
  <c r="G275" i="4"/>
  <c r="H275" i="4"/>
  <c r="I275" i="4"/>
  <c r="J275" i="4"/>
  <c r="K275" i="4"/>
  <c r="B276" i="4"/>
  <c r="C276" i="4"/>
  <c r="D276" i="4"/>
  <c r="E276" i="4"/>
  <c r="F276" i="4"/>
  <c r="G276" i="4"/>
  <c r="H276" i="4"/>
  <c r="I276" i="4"/>
  <c r="J276" i="4"/>
  <c r="K276" i="4"/>
  <c r="B277" i="4"/>
  <c r="C277" i="4"/>
  <c r="D277" i="4"/>
  <c r="E277" i="4"/>
  <c r="F277" i="4"/>
  <c r="G277" i="4"/>
  <c r="H277" i="4"/>
  <c r="I277" i="4"/>
  <c r="J277" i="4"/>
  <c r="K277" i="4"/>
  <c r="B278" i="4"/>
  <c r="C278" i="4"/>
  <c r="D278" i="4"/>
  <c r="E278" i="4"/>
  <c r="F278" i="4"/>
  <c r="G278" i="4"/>
  <c r="H278" i="4"/>
  <c r="I278" i="4"/>
  <c r="J278" i="4"/>
  <c r="K278" i="4"/>
  <c r="B279" i="4"/>
  <c r="C279" i="4"/>
  <c r="D279" i="4"/>
  <c r="E279" i="4"/>
  <c r="F279" i="4"/>
  <c r="G279" i="4"/>
  <c r="H279" i="4"/>
  <c r="I279" i="4"/>
  <c r="J279" i="4"/>
  <c r="K279" i="4"/>
  <c r="B280" i="4"/>
  <c r="C280" i="4"/>
  <c r="D280" i="4"/>
  <c r="E280" i="4"/>
  <c r="F280" i="4"/>
  <c r="G280" i="4"/>
  <c r="H280" i="4"/>
  <c r="I280" i="4"/>
  <c r="J280" i="4"/>
  <c r="K280" i="4"/>
  <c r="B281" i="4"/>
  <c r="C281" i="4"/>
  <c r="D281" i="4"/>
  <c r="E281" i="4"/>
  <c r="F281" i="4"/>
  <c r="G281" i="4"/>
  <c r="H281" i="4"/>
  <c r="I281" i="4"/>
  <c r="J281" i="4"/>
  <c r="K281" i="4"/>
  <c r="B282" i="4"/>
  <c r="C282" i="4"/>
  <c r="D282" i="4"/>
  <c r="E282" i="4"/>
  <c r="F282" i="4"/>
  <c r="G282" i="4"/>
  <c r="H282" i="4"/>
  <c r="I282" i="4"/>
  <c r="J282" i="4"/>
  <c r="K282" i="4"/>
  <c r="B283" i="4"/>
  <c r="C283" i="4"/>
  <c r="D283" i="4"/>
  <c r="E283" i="4"/>
  <c r="F283" i="4"/>
  <c r="G283" i="4"/>
  <c r="H283" i="4"/>
  <c r="I283" i="4"/>
  <c r="J283" i="4"/>
  <c r="K283" i="4"/>
  <c r="B284" i="4"/>
  <c r="C284" i="4"/>
  <c r="D284" i="4"/>
  <c r="E284" i="4"/>
  <c r="F284" i="4"/>
  <c r="G284" i="4"/>
  <c r="H284" i="4"/>
  <c r="I284" i="4"/>
  <c r="J284" i="4"/>
  <c r="K284" i="4"/>
  <c r="B285" i="4"/>
  <c r="C285" i="4"/>
  <c r="D285" i="4"/>
  <c r="E285" i="4"/>
  <c r="F285" i="4"/>
  <c r="G285" i="4"/>
  <c r="H285" i="4"/>
  <c r="I285" i="4"/>
  <c r="J285" i="4"/>
  <c r="K285" i="4"/>
  <c r="B286" i="4"/>
  <c r="C286" i="4"/>
  <c r="D286" i="4"/>
  <c r="E286" i="4"/>
  <c r="F286" i="4"/>
  <c r="G286" i="4"/>
  <c r="H286" i="4"/>
  <c r="I286" i="4"/>
  <c r="J286" i="4"/>
  <c r="K286" i="4"/>
  <c r="B287" i="4"/>
  <c r="C287" i="4"/>
  <c r="D287" i="4"/>
  <c r="E287" i="4"/>
  <c r="F287" i="4"/>
  <c r="G287" i="4"/>
  <c r="H287" i="4"/>
  <c r="I287" i="4"/>
  <c r="J287" i="4"/>
  <c r="K287" i="4"/>
  <c r="B288" i="4"/>
  <c r="C288" i="4"/>
  <c r="D288" i="4"/>
  <c r="E288" i="4"/>
  <c r="F288" i="4"/>
  <c r="G288" i="4"/>
  <c r="H288" i="4"/>
  <c r="I288" i="4"/>
  <c r="J288" i="4"/>
  <c r="K288" i="4"/>
  <c r="B289" i="4"/>
  <c r="C289" i="4"/>
  <c r="D289" i="4"/>
  <c r="E289" i="4"/>
  <c r="F289" i="4"/>
  <c r="G289" i="4"/>
  <c r="H289" i="4"/>
  <c r="I289" i="4"/>
  <c r="J289" i="4"/>
  <c r="K289" i="4"/>
  <c r="B290" i="4"/>
  <c r="C290" i="4"/>
  <c r="D290" i="4"/>
  <c r="E290" i="4"/>
  <c r="F290" i="4"/>
  <c r="G290" i="4"/>
  <c r="H290" i="4"/>
  <c r="I290" i="4"/>
  <c r="J290" i="4"/>
  <c r="K290" i="4"/>
  <c r="B291" i="4"/>
  <c r="C291" i="4"/>
  <c r="D291" i="4"/>
  <c r="E291" i="4"/>
  <c r="F291" i="4"/>
  <c r="G291" i="4"/>
  <c r="H291" i="4"/>
  <c r="I291" i="4"/>
  <c r="J291" i="4"/>
  <c r="K291" i="4"/>
  <c r="B292" i="4"/>
  <c r="C292" i="4"/>
  <c r="D292" i="4"/>
  <c r="E292" i="4"/>
  <c r="F292" i="4"/>
  <c r="G292" i="4"/>
  <c r="H292" i="4"/>
  <c r="I292" i="4"/>
  <c r="J292" i="4"/>
  <c r="K292" i="4"/>
  <c r="B293" i="4"/>
  <c r="C293" i="4"/>
  <c r="D293" i="4"/>
  <c r="E293" i="4"/>
  <c r="F293" i="4"/>
  <c r="G293" i="4"/>
  <c r="H293" i="4"/>
  <c r="I293" i="4"/>
  <c r="J293" i="4"/>
  <c r="K293" i="4"/>
  <c r="B294" i="4"/>
  <c r="C294" i="4"/>
  <c r="D294" i="4"/>
  <c r="E294" i="4"/>
  <c r="F294" i="4"/>
  <c r="G294" i="4"/>
  <c r="H294" i="4"/>
  <c r="I294" i="4"/>
  <c r="J294" i="4"/>
  <c r="K294" i="4"/>
  <c r="B295" i="4"/>
  <c r="C295" i="4"/>
  <c r="D295" i="4"/>
  <c r="E295" i="4"/>
  <c r="F295" i="4"/>
  <c r="G295" i="4"/>
  <c r="H295" i="4"/>
  <c r="I295" i="4"/>
  <c r="J295" i="4"/>
  <c r="K295" i="4"/>
  <c r="B296" i="4"/>
  <c r="C296" i="4"/>
  <c r="D296" i="4"/>
  <c r="E296" i="4"/>
  <c r="F296" i="4"/>
  <c r="G296" i="4"/>
  <c r="H296" i="4"/>
  <c r="I296" i="4"/>
  <c r="J296" i="4"/>
  <c r="K296" i="4"/>
  <c r="B297" i="4"/>
  <c r="C297" i="4"/>
  <c r="D297" i="4"/>
  <c r="E297" i="4"/>
  <c r="F297" i="4"/>
  <c r="G297" i="4"/>
  <c r="H297" i="4"/>
  <c r="I297" i="4"/>
  <c r="J297" i="4"/>
  <c r="K297" i="4"/>
  <c r="B298" i="4"/>
  <c r="C298" i="4"/>
  <c r="D298" i="4"/>
  <c r="E298" i="4"/>
  <c r="F298" i="4"/>
  <c r="G298" i="4"/>
  <c r="H298" i="4"/>
  <c r="I298" i="4"/>
  <c r="J298" i="4"/>
  <c r="K298" i="4"/>
  <c r="B299" i="4"/>
  <c r="C299" i="4"/>
  <c r="D299" i="4"/>
  <c r="E299" i="4"/>
  <c r="F299" i="4"/>
  <c r="G299" i="4"/>
  <c r="H299" i="4"/>
  <c r="I299" i="4"/>
  <c r="J299" i="4"/>
  <c r="K299" i="4"/>
  <c r="B300" i="4"/>
  <c r="C300" i="4"/>
  <c r="D300" i="4"/>
  <c r="E300" i="4"/>
  <c r="F300" i="4"/>
  <c r="G300" i="4"/>
  <c r="H300" i="4"/>
  <c r="I300" i="4"/>
  <c r="J300" i="4"/>
  <c r="K300" i="4"/>
  <c r="B301" i="4"/>
  <c r="C301" i="4"/>
  <c r="D301" i="4"/>
  <c r="E301" i="4"/>
  <c r="F301" i="4"/>
  <c r="G301" i="4"/>
  <c r="H301" i="4"/>
  <c r="I301" i="4"/>
  <c r="J301" i="4"/>
  <c r="K301" i="4"/>
  <c r="B302" i="4"/>
  <c r="C302" i="4"/>
  <c r="D302" i="4"/>
  <c r="E302" i="4"/>
  <c r="F302" i="4"/>
  <c r="G302" i="4"/>
  <c r="H302" i="4"/>
  <c r="I302" i="4"/>
  <c r="J302" i="4"/>
  <c r="K302" i="4"/>
  <c r="B303" i="4"/>
  <c r="C303" i="4"/>
  <c r="D303" i="4"/>
  <c r="E303" i="4"/>
  <c r="F303" i="4"/>
  <c r="G303" i="4"/>
  <c r="H303" i="4"/>
  <c r="I303" i="4"/>
  <c r="J303" i="4"/>
  <c r="K303" i="4"/>
  <c r="B304" i="4"/>
  <c r="C304" i="4"/>
  <c r="D304" i="4"/>
  <c r="E304" i="4"/>
  <c r="F304" i="4"/>
  <c r="G304" i="4"/>
  <c r="H304" i="4"/>
  <c r="I304" i="4"/>
  <c r="J304" i="4"/>
  <c r="K304" i="4"/>
  <c r="B305" i="4"/>
  <c r="C305" i="4"/>
  <c r="D305" i="4"/>
  <c r="E305" i="4"/>
  <c r="F305" i="4"/>
  <c r="G305" i="4"/>
  <c r="H305" i="4"/>
  <c r="I305" i="4"/>
  <c r="J305" i="4"/>
  <c r="K305" i="4"/>
  <c r="B306" i="4"/>
  <c r="C306" i="4"/>
  <c r="D306" i="4"/>
  <c r="E306" i="4"/>
  <c r="F306" i="4"/>
  <c r="G306" i="4"/>
  <c r="H306" i="4"/>
  <c r="I306" i="4"/>
  <c r="J306" i="4"/>
  <c r="K306" i="4"/>
  <c r="B307" i="4"/>
  <c r="C307" i="4"/>
  <c r="D307" i="4"/>
  <c r="E307" i="4"/>
  <c r="F307" i="4"/>
  <c r="G307" i="4"/>
  <c r="H307" i="4"/>
  <c r="I307" i="4"/>
  <c r="J307" i="4"/>
  <c r="K307" i="4"/>
  <c r="B308" i="4"/>
  <c r="C308" i="4"/>
  <c r="D308" i="4"/>
  <c r="E308" i="4"/>
  <c r="F308" i="4"/>
  <c r="G308" i="4"/>
  <c r="H308" i="4"/>
  <c r="I308" i="4"/>
  <c r="J308" i="4"/>
  <c r="K308" i="4"/>
  <c r="B309" i="4"/>
  <c r="C309" i="4"/>
  <c r="D309" i="4"/>
  <c r="E309" i="4"/>
  <c r="F309" i="4"/>
  <c r="G309" i="4"/>
  <c r="H309" i="4"/>
  <c r="I309" i="4"/>
  <c r="J309" i="4"/>
  <c r="K309" i="4"/>
  <c r="B310" i="4"/>
  <c r="C310" i="4"/>
  <c r="D310" i="4"/>
  <c r="E310" i="4"/>
  <c r="F310" i="4"/>
  <c r="G310" i="4"/>
  <c r="H310" i="4"/>
  <c r="I310" i="4"/>
  <c r="J310" i="4"/>
  <c r="K310" i="4"/>
  <c r="B311" i="4"/>
  <c r="C311" i="4"/>
  <c r="D311" i="4"/>
  <c r="E311" i="4"/>
  <c r="F311" i="4"/>
  <c r="G311" i="4"/>
  <c r="H311" i="4"/>
  <c r="I311" i="4"/>
  <c r="J311" i="4"/>
  <c r="K311" i="4"/>
  <c r="B312" i="4"/>
  <c r="C312" i="4"/>
  <c r="D312" i="4"/>
  <c r="E312" i="4"/>
  <c r="F312" i="4"/>
  <c r="G312" i="4"/>
  <c r="H312" i="4"/>
  <c r="I312" i="4"/>
  <c r="J312" i="4"/>
  <c r="K312" i="4"/>
  <c r="B313" i="4"/>
  <c r="C313" i="4"/>
  <c r="D313" i="4"/>
  <c r="E313" i="4"/>
  <c r="F313" i="4"/>
  <c r="G313" i="4"/>
  <c r="H313" i="4"/>
  <c r="I313" i="4"/>
  <c r="J313" i="4"/>
  <c r="K313" i="4"/>
  <c r="B314" i="4"/>
  <c r="C314" i="4"/>
  <c r="D314" i="4"/>
  <c r="E314" i="4"/>
  <c r="F314" i="4"/>
  <c r="G314" i="4"/>
  <c r="H314" i="4"/>
  <c r="I314" i="4"/>
  <c r="J314" i="4"/>
  <c r="K314" i="4"/>
  <c r="B315" i="4"/>
  <c r="C315" i="4"/>
  <c r="D315" i="4"/>
  <c r="E315" i="4"/>
  <c r="F315" i="4"/>
  <c r="G315" i="4"/>
  <c r="H315" i="4"/>
  <c r="I315" i="4"/>
  <c r="J315" i="4"/>
  <c r="K315" i="4"/>
  <c r="B316" i="4"/>
  <c r="C316" i="4"/>
  <c r="D316" i="4"/>
  <c r="E316" i="4"/>
  <c r="F316" i="4"/>
  <c r="G316" i="4"/>
  <c r="H316" i="4"/>
  <c r="I316" i="4"/>
  <c r="J316" i="4"/>
  <c r="K316" i="4"/>
  <c r="B317" i="4"/>
  <c r="C317" i="4"/>
  <c r="D317" i="4"/>
  <c r="E317" i="4"/>
  <c r="F317" i="4"/>
  <c r="G317" i="4"/>
  <c r="H317" i="4"/>
  <c r="I317" i="4"/>
  <c r="J317" i="4"/>
  <c r="K317" i="4"/>
  <c r="B318" i="4"/>
  <c r="C318" i="4"/>
  <c r="D318" i="4"/>
  <c r="E318" i="4"/>
  <c r="F318" i="4"/>
  <c r="G318" i="4"/>
  <c r="H318" i="4"/>
  <c r="I318" i="4"/>
  <c r="J318" i="4"/>
  <c r="K318" i="4"/>
  <c r="B319" i="4"/>
  <c r="C319" i="4"/>
  <c r="D319" i="4"/>
  <c r="E319" i="4"/>
  <c r="F319" i="4"/>
  <c r="G319" i="4"/>
  <c r="H319" i="4"/>
  <c r="I319" i="4"/>
  <c r="J319" i="4"/>
  <c r="K319" i="4"/>
  <c r="B320" i="4"/>
  <c r="C320" i="4"/>
  <c r="D320" i="4"/>
  <c r="E320" i="4"/>
  <c r="F320" i="4"/>
  <c r="G320" i="4"/>
  <c r="H320" i="4"/>
  <c r="I320" i="4"/>
  <c r="J320" i="4"/>
  <c r="K320" i="4"/>
  <c r="B321" i="4"/>
  <c r="C321" i="4"/>
  <c r="D321" i="4"/>
  <c r="E321" i="4"/>
  <c r="F321" i="4"/>
  <c r="G321" i="4"/>
  <c r="H321" i="4"/>
  <c r="I321" i="4"/>
  <c r="J321" i="4"/>
  <c r="K321" i="4"/>
  <c r="B322" i="4"/>
  <c r="C322" i="4"/>
  <c r="D322" i="4"/>
  <c r="E322" i="4"/>
  <c r="F322" i="4"/>
  <c r="G322" i="4"/>
  <c r="H322" i="4"/>
  <c r="I322" i="4"/>
  <c r="J322" i="4"/>
  <c r="K322" i="4"/>
  <c r="B323" i="4"/>
  <c r="C323" i="4"/>
  <c r="D323" i="4"/>
  <c r="E323" i="4"/>
  <c r="F323" i="4"/>
  <c r="G323" i="4"/>
  <c r="H323" i="4"/>
  <c r="I323" i="4"/>
  <c r="J323" i="4"/>
  <c r="K323" i="4"/>
  <c r="B324" i="4"/>
  <c r="C324" i="4"/>
  <c r="D324" i="4"/>
  <c r="E324" i="4"/>
  <c r="F324" i="4"/>
  <c r="G324" i="4"/>
  <c r="H324" i="4"/>
  <c r="I324" i="4"/>
  <c r="J324" i="4"/>
  <c r="K324" i="4"/>
  <c r="B325" i="4"/>
  <c r="C325" i="4"/>
  <c r="D325" i="4"/>
  <c r="E325" i="4"/>
  <c r="F325" i="4"/>
  <c r="G325" i="4"/>
  <c r="H325" i="4"/>
  <c r="I325" i="4"/>
  <c r="J325" i="4"/>
  <c r="K325" i="4"/>
  <c r="B326" i="4"/>
  <c r="C326" i="4"/>
  <c r="D326" i="4"/>
  <c r="E326" i="4"/>
  <c r="F326" i="4"/>
  <c r="G326" i="4"/>
  <c r="H326" i="4"/>
  <c r="I326" i="4"/>
  <c r="J326" i="4"/>
  <c r="K326" i="4"/>
  <c r="B327" i="4"/>
  <c r="C327" i="4"/>
  <c r="D327" i="4"/>
  <c r="E327" i="4"/>
  <c r="F327" i="4"/>
  <c r="G327" i="4"/>
  <c r="H327" i="4"/>
  <c r="I327" i="4"/>
  <c r="J327" i="4"/>
  <c r="K327" i="4"/>
  <c r="B328" i="4"/>
  <c r="C328" i="4"/>
  <c r="D328" i="4"/>
  <c r="E328" i="4"/>
  <c r="F328" i="4"/>
  <c r="G328" i="4"/>
  <c r="H328" i="4"/>
  <c r="I328" i="4"/>
  <c r="J328" i="4"/>
  <c r="K328" i="4"/>
  <c r="B329" i="4"/>
  <c r="C329" i="4"/>
  <c r="D329" i="4"/>
  <c r="E329" i="4"/>
  <c r="F329" i="4"/>
  <c r="G329" i="4"/>
  <c r="H329" i="4"/>
  <c r="I329" i="4"/>
  <c r="J329" i="4"/>
  <c r="K329" i="4"/>
  <c r="B330" i="4"/>
  <c r="C330" i="4"/>
  <c r="D330" i="4"/>
  <c r="E330" i="4"/>
  <c r="F330" i="4"/>
  <c r="G330" i="4"/>
  <c r="H330" i="4"/>
  <c r="I330" i="4"/>
  <c r="J330" i="4"/>
  <c r="K330" i="4"/>
  <c r="B331" i="4"/>
  <c r="C331" i="4"/>
  <c r="D331" i="4"/>
  <c r="E331" i="4"/>
  <c r="F331" i="4"/>
  <c r="G331" i="4"/>
  <c r="H331" i="4"/>
  <c r="I331" i="4"/>
  <c r="J331" i="4"/>
  <c r="K331" i="4"/>
  <c r="B332" i="4"/>
  <c r="C332" i="4"/>
  <c r="D332" i="4"/>
  <c r="E332" i="4"/>
  <c r="F332" i="4"/>
  <c r="G332" i="4"/>
  <c r="H332" i="4"/>
  <c r="I332" i="4"/>
  <c r="J332" i="4"/>
  <c r="K332" i="4"/>
  <c r="B333" i="4"/>
  <c r="C333" i="4"/>
  <c r="D333" i="4"/>
  <c r="E333" i="4"/>
  <c r="F333" i="4"/>
  <c r="G333" i="4"/>
  <c r="H333" i="4"/>
  <c r="I333" i="4"/>
  <c r="J333" i="4"/>
  <c r="K333" i="4"/>
  <c r="B334" i="4"/>
  <c r="C334" i="4"/>
  <c r="D334" i="4"/>
  <c r="E334" i="4"/>
  <c r="F334" i="4"/>
  <c r="G334" i="4"/>
  <c r="H334" i="4"/>
  <c r="I334" i="4"/>
  <c r="J334" i="4"/>
  <c r="K334" i="4"/>
  <c r="B335" i="4"/>
  <c r="C335" i="4"/>
  <c r="D335" i="4"/>
  <c r="E335" i="4"/>
  <c r="F335" i="4"/>
  <c r="G335" i="4"/>
  <c r="H335" i="4"/>
  <c r="I335" i="4"/>
  <c r="J335" i="4"/>
  <c r="K335" i="4"/>
  <c r="B336" i="4"/>
  <c r="C336" i="4"/>
  <c r="D336" i="4"/>
  <c r="E336" i="4"/>
  <c r="F336" i="4"/>
  <c r="G336" i="4"/>
  <c r="H336" i="4"/>
  <c r="I336" i="4"/>
  <c r="J336" i="4"/>
  <c r="K336" i="4"/>
  <c r="B337" i="4"/>
  <c r="C337" i="4"/>
  <c r="D337" i="4"/>
  <c r="E337" i="4"/>
  <c r="F337" i="4"/>
  <c r="G337" i="4"/>
  <c r="H337" i="4"/>
  <c r="I337" i="4"/>
  <c r="J337" i="4"/>
  <c r="K337" i="4"/>
  <c r="B338" i="4"/>
  <c r="C338" i="4"/>
  <c r="D338" i="4"/>
  <c r="E338" i="4"/>
  <c r="F338" i="4"/>
  <c r="G338" i="4"/>
  <c r="H338" i="4"/>
  <c r="I338" i="4"/>
  <c r="J338" i="4"/>
  <c r="K338" i="4"/>
  <c r="B339" i="4"/>
  <c r="C339" i="4"/>
  <c r="D339" i="4"/>
  <c r="E339" i="4"/>
  <c r="F339" i="4"/>
  <c r="G339" i="4"/>
  <c r="H339" i="4"/>
  <c r="I339" i="4"/>
  <c r="J339" i="4"/>
  <c r="K339" i="4"/>
  <c r="B340" i="4"/>
  <c r="C340" i="4"/>
  <c r="D340" i="4"/>
  <c r="E340" i="4"/>
  <c r="F340" i="4"/>
  <c r="G340" i="4"/>
  <c r="H340" i="4"/>
  <c r="I340" i="4"/>
  <c r="J340" i="4"/>
  <c r="K340" i="4"/>
  <c r="B341" i="4"/>
  <c r="C341" i="4"/>
  <c r="D341" i="4"/>
  <c r="E341" i="4"/>
  <c r="F341" i="4"/>
  <c r="G341" i="4"/>
  <c r="H341" i="4"/>
  <c r="I341" i="4"/>
  <c r="J341" i="4"/>
  <c r="K341" i="4"/>
  <c r="B342" i="4"/>
  <c r="C342" i="4"/>
  <c r="D342" i="4"/>
  <c r="E342" i="4"/>
  <c r="F342" i="4"/>
  <c r="G342" i="4"/>
  <c r="H342" i="4"/>
  <c r="I342" i="4"/>
  <c r="J342" i="4"/>
  <c r="K342" i="4"/>
  <c r="B343" i="4"/>
  <c r="C343" i="4"/>
  <c r="D343" i="4"/>
  <c r="E343" i="4"/>
  <c r="F343" i="4"/>
  <c r="G343" i="4"/>
  <c r="H343" i="4"/>
  <c r="I343" i="4"/>
  <c r="J343" i="4"/>
  <c r="K343" i="4"/>
  <c r="B344" i="4"/>
  <c r="C344" i="4"/>
  <c r="D344" i="4"/>
  <c r="E344" i="4"/>
  <c r="F344" i="4"/>
  <c r="G344" i="4"/>
  <c r="H344" i="4"/>
  <c r="I344" i="4"/>
  <c r="J344" i="4"/>
  <c r="K344" i="4"/>
  <c r="B345" i="4"/>
  <c r="C345" i="4"/>
  <c r="D345" i="4"/>
  <c r="E345" i="4"/>
  <c r="F345" i="4"/>
  <c r="G345" i="4"/>
  <c r="H345" i="4"/>
  <c r="I345" i="4"/>
  <c r="J345" i="4"/>
  <c r="K345" i="4"/>
  <c r="B346" i="4"/>
  <c r="C346" i="4"/>
  <c r="D346" i="4"/>
  <c r="E346" i="4"/>
  <c r="F346" i="4"/>
  <c r="G346" i="4"/>
  <c r="H346" i="4"/>
  <c r="I346" i="4"/>
  <c r="J346" i="4"/>
  <c r="K346" i="4"/>
  <c r="B347" i="4"/>
  <c r="C347" i="4"/>
  <c r="D347" i="4"/>
  <c r="E347" i="4"/>
  <c r="F347" i="4"/>
  <c r="G347" i="4"/>
  <c r="H347" i="4"/>
  <c r="I347" i="4"/>
  <c r="J347" i="4"/>
  <c r="K347" i="4"/>
  <c r="B348" i="4"/>
  <c r="C348" i="4"/>
  <c r="D348" i="4"/>
  <c r="E348" i="4"/>
  <c r="F348" i="4"/>
  <c r="G348" i="4"/>
  <c r="H348" i="4"/>
  <c r="I348" i="4"/>
  <c r="J348" i="4"/>
  <c r="K348" i="4"/>
  <c r="B349" i="4"/>
  <c r="C349" i="4"/>
  <c r="D349" i="4"/>
  <c r="E349" i="4"/>
  <c r="F349" i="4"/>
  <c r="G349" i="4"/>
  <c r="H349" i="4"/>
  <c r="I349" i="4"/>
  <c r="J349" i="4"/>
  <c r="K349" i="4"/>
  <c r="B350" i="4"/>
  <c r="C350" i="4"/>
  <c r="D350" i="4"/>
  <c r="E350" i="4"/>
  <c r="F350" i="4"/>
  <c r="G350" i="4"/>
  <c r="H350" i="4"/>
  <c r="I350" i="4"/>
  <c r="J350" i="4"/>
  <c r="K350" i="4"/>
  <c r="B351" i="4"/>
  <c r="C351" i="4"/>
  <c r="D351" i="4"/>
  <c r="E351" i="4"/>
  <c r="F351" i="4"/>
  <c r="G351" i="4"/>
  <c r="H351" i="4"/>
  <c r="I351" i="4"/>
  <c r="J351" i="4"/>
  <c r="K351" i="4"/>
  <c r="B352" i="4"/>
  <c r="C352" i="4"/>
  <c r="D352" i="4"/>
  <c r="E352" i="4"/>
  <c r="F352" i="4"/>
  <c r="G352" i="4"/>
  <c r="H352" i="4"/>
  <c r="I352" i="4"/>
  <c r="J352" i="4"/>
  <c r="K352" i="4"/>
  <c r="B353" i="4"/>
  <c r="C353" i="4"/>
  <c r="D353" i="4"/>
  <c r="E353" i="4"/>
  <c r="F353" i="4"/>
  <c r="G353" i="4"/>
  <c r="H353" i="4"/>
  <c r="I353" i="4"/>
  <c r="J353" i="4"/>
  <c r="K353" i="4"/>
  <c r="B354" i="4"/>
  <c r="C354" i="4"/>
  <c r="D354" i="4"/>
  <c r="E354" i="4"/>
  <c r="F354" i="4"/>
  <c r="G354" i="4"/>
  <c r="H354" i="4"/>
  <c r="I354" i="4"/>
  <c r="J354" i="4"/>
  <c r="K354" i="4"/>
  <c r="B355" i="4"/>
  <c r="C355" i="4"/>
  <c r="D355" i="4"/>
  <c r="E355" i="4"/>
  <c r="F355" i="4"/>
  <c r="G355" i="4"/>
  <c r="H355" i="4"/>
  <c r="I355" i="4"/>
  <c r="J355" i="4"/>
  <c r="K355" i="4"/>
  <c r="B356" i="4"/>
  <c r="C356" i="4"/>
  <c r="D356" i="4"/>
  <c r="E356" i="4"/>
  <c r="F356" i="4"/>
  <c r="G356" i="4"/>
  <c r="H356" i="4"/>
  <c r="I356" i="4"/>
  <c r="J356" i="4"/>
  <c r="K356" i="4"/>
  <c r="B357" i="4"/>
  <c r="C357" i="4"/>
  <c r="D357" i="4"/>
  <c r="E357" i="4"/>
  <c r="F357" i="4"/>
  <c r="G357" i="4"/>
  <c r="H357" i="4"/>
  <c r="I357" i="4"/>
  <c r="J357" i="4"/>
  <c r="K357" i="4"/>
  <c r="B358" i="4"/>
  <c r="C358" i="4"/>
  <c r="D358" i="4"/>
  <c r="E358" i="4"/>
  <c r="F358" i="4"/>
  <c r="G358" i="4"/>
  <c r="H358" i="4"/>
  <c r="I358" i="4"/>
  <c r="J358" i="4"/>
  <c r="K358" i="4"/>
  <c r="B359" i="4"/>
  <c r="C359" i="4"/>
  <c r="D359" i="4"/>
  <c r="E359" i="4"/>
  <c r="F359" i="4"/>
  <c r="G359" i="4"/>
  <c r="H359" i="4"/>
  <c r="I359" i="4"/>
  <c r="J359" i="4"/>
  <c r="K359" i="4"/>
  <c r="B360" i="4"/>
  <c r="C360" i="4"/>
  <c r="D360" i="4"/>
  <c r="E360" i="4"/>
  <c r="F360" i="4"/>
  <c r="G360" i="4"/>
  <c r="H360" i="4"/>
  <c r="I360" i="4"/>
  <c r="J360" i="4"/>
  <c r="K360" i="4"/>
  <c r="B361" i="4"/>
  <c r="C361" i="4"/>
  <c r="D361" i="4"/>
  <c r="E361" i="4"/>
  <c r="F361" i="4"/>
  <c r="G361" i="4"/>
  <c r="H361" i="4"/>
  <c r="I361" i="4"/>
  <c r="J361" i="4"/>
  <c r="K361" i="4"/>
  <c r="B362" i="4"/>
  <c r="C362" i="4"/>
  <c r="D362" i="4"/>
  <c r="E362" i="4"/>
  <c r="F362" i="4"/>
  <c r="G362" i="4"/>
  <c r="H362" i="4"/>
  <c r="I362" i="4"/>
  <c r="J362" i="4"/>
  <c r="K362" i="4"/>
  <c r="B363" i="4"/>
  <c r="C363" i="4"/>
  <c r="D363" i="4"/>
  <c r="E363" i="4"/>
  <c r="F363" i="4"/>
  <c r="G363" i="4"/>
  <c r="H363" i="4"/>
  <c r="I363" i="4"/>
  <c r="J363" i="4"/>
  <c r="K363" i="4"/>
  <c r="B364" i="4"/>
  <c r="C364" i="4"/>
  <c r="D364" i="4"/>
  <c r="E364" i="4"/>
  <c r="F364" i="4"/>
  <c r="G364" i="4"/>
  <c r="H364" i="4"/>
  <c r="I364" i="4"/>
  <c r="J364" i="4"/>
  <c r="K364" i="4"/>
  <c r="B365" i="4"/>
  <c r="C365" i="4"/>
  <c r="D365" i="4"/>
  <c r="E365" i="4"/>
  <c r="F365" i="4"/>
  <c r="G365" i="4"/>
  <c r="H365" i="4"/>
  <c r="I365" i="4"/>
  <c r="J365" i="4"/>
  <c r="K365" i="4"/>
  <c r="B366" i="4"/>
  <c r="C366" i="4"/>
  <c r="D366" i="4"/>
  <c r="E366" i="4"/>
  <c r="F366" i="4"/>
  <c r="G366" i="4"/>
  <c r="H366" i="4"/>
  <c r="I366" i="4"/>
  <c r="J366" i="4"/>
  <c r="K366" i="4"/>
  <c r="B367" i="4"/>
  <c r="C367" i="4"/>
  <c r="D367" i="4"/>
  <c r="E367" i="4"/>
  <c r="F367" i="4"/>
  <c r="G367" i="4"/>
  <c r="H367" i="4"/>
  <c r="I367" i="4"/>
  <c r="J367" i="4"/>
  <c r="K367" i="4"/>
  <c r="B368" i="4"/>
  <c r="C368" i="4"/>
  <c r="D368" i="4"/>
  <c r="E368" i="4"/>
  <c r="F368" i="4"/>
  <c r="G368" i="4"/>
  <c r="H368" i="4"/>
  <c r="I368" i="4"/>
  <c r="J368" i="4"/>
  <c r="K368" i="4"/>
  <c r="B369" i="4"/>
  <c r="C369" i="4"/>
  <c r="D369" i="4"/>
  <c r="E369" i="4"/>
  <c r="F369" i="4"/>
  <c r="G369" i="4"/>
  <c r="H369" i="4"/>
  <c r="I369" i="4"/>
  <c r="J369" i="4"/>
  <c r="K369" i="4"/>
  <c r="B370" i="4"/>
  <c r="C370" i="4"/>
  <c r="D370" i="4"/>
  <c r="E370" i="4"/>
  <c r="F370" i="4"/>
  <c r="G370" i="4"/>
  <c r="H370" i="4"/>
  <c r="I370" i="4"/>
  <c r="J370" i="4"/>
  <c r="K370" i="4"/>
  <c r="B371" i="4"/>
  <c r="C371" i="4"/>
  <c r="D371" i="4"/>
  <c r="E371" i="4"/>
  <c r="F371" i="4"/>
  <c r="G371" i="4"/>
  <c r="H371" i="4"/>
  <c r="I371" i="4"/>
  <c r="J371" i="4"/>
  <c r="K371" i="4"/>
  <c r="B372" i="4"/>
  <c r="C372" i="4"/>
  <c r="D372" i="4"/>
  <c r="E372" i="4"/>
  <c r="F372" i="4"/>
  <c r="G372" i="4"/>
  <c r="H372" i="4"/>
  <c r="I372" i="4"/>
  <c r="J372" i="4"/>
  <c r="K372" i="4"/>
  <c r="B373" i="4"/>
  <c r="C373" i="4"/>
  <c r="D373" i="4"/>
  <c r="E373" i="4"/>
  <c r="F373" i="4"/>
  <c r="G373" i="4"/>
  <c r="H373" i="4"/>
  <c r="I373" i="4"/>
  <c r="J373" i="4"/>
  <c r="K373" i="4"/>
  <c r="B374" i="4"/>
  <c r="C374" i="4"/>
  <c r="D374" i="4"/>
  <c r="E374" i="4"/>
  <c r="F374" i="4"/>
  <c r="G374" i="4"/>
  <c r="H374" i="4"/>
  <c r="I374" i="4"/>
  <c r="J374" i="4"/>
  <c r="K374" i="4"/>
  <c r="B375" i="4"/>
  <c r="C375" i="4"/>
  <c r="D375" i="4"/>
  <c r="E375" i="4"/>
  <c r="F375" i="4"/>
  <c r="G375" i="4"/>
  <c r="H375" i="4"/>
  <c r="I375" i="4"/>
  <c r="J375" i="4"/>
  <c r="K375" i="4"/>
  <c r="B376" i="4"/>
  <c r="C376" i="4"/>
  <c r="D376" i="4"/>
  <c r="E376" i="4"/>
  <c r="F376" i="4"/>
  <c r="G376" i="4"/>
  <c r="H376" i="4"/>
  <c r="I376" i="4"/>
  <c r="J376" i="4"/>
  <c r="K376" i="4"/>
  <c r="B377" i="4"/>
  <c r="C377" i="4"/>
  <c r="D377" i="4"/>
  <c r="E377" i="4"/>
  <c r="F377" i="4"/>
  <c r="G377" i="4"/>
  <c r="H377" i="4"/>
  <c r="I377" i="4"/>
  <c r="J377" i="4"/>
  <c r="K377" i="4"/>
  <c r="B378" i="4"/>
  <c r="C378" i="4"/>
  <c r="D378" i="4"/>
  <c r="E378" i="4"/>
  <c r="F378" i="4"/>
  <c r="G378" i="4"/>
  <c r="H378" i="4"/>
  <c r="I378" i="4"/>
  <c r="J378" i="4"/>
  <c r="K378" i="4"/>
  <c r="B379" i="4"/>
  <c r="C379" i="4"/>
  <c r="D379" i="4"/>
  <c r="E379" i="4"/>
  <c r="F379" i="4"/>
  <c r="G379" i="4"/>
  <c r="H379" i="4"/>
  <c r="I379" i="4"/>
  <c r="J379" i="4"/>
  <c r="K379" i="4"/>
  <c r="B380" i="4"/>
  <c r="C380" i="4"/>
  <c r="D380" i="4"/>
  <c r="E380" i="4"/>
  <c r="F380" i="4"/>
  <c r="G380" i="4"/>
  <c r="H380" i="4"/>
  <c r="I380" i="4"/>
  <c r="J380" i="4"/>
  <c r="K380" i="4"/>
  <c r="B381" i="4"/>
  <c r="C381" i="4"/>
  <c r="D381" i="4"/>
  <c r="E381" i="4"/>
  <c r="F381" i="4"/>
  <c r="G381" i="4"/>
  <c r="H381" i="4"/>
  <c r="I381" i="4"/>
  <c r="J381" i="4"/>
  <c r="K381" i="4"/>
  <c r="B382" i="4"/>
  <c r="C382" i="4"/>
  <c r="D382" i="4"/>
  <c r="E382" i="4"/>
  <c r="F382" i="4"/>
  <c r="G382" i="4"/>
  <c r="H382" i="4"/>
  <c r="I382" i="4"/>
  <c r="J382" i="4"/>
  <c r="K382" i="4"/>
  <c r="B383" i="4"/>
  <c r="C383" i="4"/>
  <c r="D383" i="4"/>
  <c r="E383" i="4"/>
  <c r="F383" i="4"/>
  <c r="G383" i="4"/>
  <c r="H383" i="4"/>
  <c r="I383" i="4"/>
  <c r="J383" i="4"/>
  <c r="K383" i="4"/>
  <c r="B384" i="4"/>
  <c r="C384" i="4"/>
  <c r="D384" i="4"/>
  <c r="E384" i="4"/>
  <c r="F384" i="4"/>
  <c r="G384" i="4"/>
  <c r="H384" i="4"/>
  <c r="I384" i="4"/>
  <c r="J384" i="4"/>
  <c r="K384" i="4"/>
  <c r="B385" i="4"/>
  <c r="C385" i="4"/>
  <c r="D385" i="4"/>
  <c r="E385" i="4"/>
  <c r="F385" i="4"/>
  <c r="G385" i="4"/>
  <c r="H385" i="4"/>
  <c r="I385" i="4"/>
  <c r="J385" i="4"/>
  <c r="K385" i="4"/>
  <c r="B386" i="4"/>
  <c r="C386" i="4"/>
  <c r="D386" i="4"/>
  <c r="E386" i="4"/>
  <c r="F386" i="4"/>
  <c r="G386" i="4"/>
  <c r="H386" i="4"/>
  <c r="I386" i="4"/>
  <c r="J386" i="4"/>
  <c r="K386" i="4"/>
  <c r="B387" i="4"/>
  <c r="C387" i="4"/>
  <c r="D387" i="4"/>
  <c r="E387" i="4"/>
  <c r="F387" i="4"/>
  <c r="G387" i="4"/>
  <c r="H387" i="4"/>
  <c r="I387" i="4"/>
  <c r="J387" i="4"/>
  <c r="K387" i="4"/>
  <c r="B388" i="4"/>
  <c r="C388" i="4"/>
  <c r="D388" i="4"/>
  <c r="E388" i="4"/>
  <c r="F388" i="4"/>
  <c r="G388" i="4"/>
  <c r="H388" i="4"/>
  <c r="I388" i="4"/>
  <c r="J388" i="4"/>
  <c r="K388" i="4"/>
  <c r="B389" i="4"/>
  <c r="C389" i="4"/>
  <c r="D389" i="4"/>
  <c r="E389" i="4"/>
  <c r="F389" i="4"/>
  <c r="G389" i="4"/>
  <c r="H389" i="4"/>
  <c r="I389" i="4"/>
  <c r="J389" i="4"/>
  <c r="K389" i="4"/>
  <c r="B390" i="4"/>
  <c r="C390" i="4"/>
  <c r="D390" i="4"/>
  <c r="E390" i="4"/>
  <c r="F390" i="4"/>
  <c r="G390" i="4"/>
  <c r="H390" i="4"/>
  <c r="I390" i="4"/>
  <c r="J390" i="4"/>
  <c r="K390" i="4"/>
  <c r="B391" i="4"/>
  <c r="C391" i="4"/>
  <c r="D391" i="4"/>
  <c r="E391" i="4"/>
  <c r="F391" i="4"/>
  <c r="G391" i="4"/>
  <c r="H391" i="4"/>
  <c r="I391" i="4"/>
  <c r="J391" i="4"/>
  <c r="K391" i="4"/>
  <c r="B392" i="4"/>
  <c r="C392" i="4"/>
  <c r="D392" i="4"/>
  <c r="E392" i="4"/>
  <c r="F392" i="4"/>
  <c r="G392" i="4"/>
  <c r="H392" i="4"/>
  <c r="I392" i="4"/>
  <c r="J392" i="4"/>
  <c r="K392" i="4"/>
  <c r="B393" i="4"/>
  <c r="C393" i="4"/>
  <c r="D393" i="4"/>
  <c r="E393" i="4"/>
  <c r="F393" i="4"/>
  <c r="G393" i="4"/>
  <c r="H393" i="4"/>
  <c r="I393" i="4"/>
  <c r="J393" i="4"/>
  <c r="K393" i="4"/>
  <c r="B394" i="4"/>
  <c r="C394" i="4"/>
  <c r="D394" i="4"/>
  <c r="E394" i="4"/>
  <c r="F394" i="4"/>
  <c r="G394" i="4"/>
  <c r="H394" i="4"/>
  <c r="I394" i="4"/>
  <c r="J394" i="4"/>
  <c r="K394" i="4"/>
  <c r="B395" i="4"/>
  <c r="C395" i="4"/>
  <c r="D395" i="4"/>
  <c r="E395" i="4"/>
  <c r="F395" i="4"/>
  <c r="G395" i="4"/>
  <c r="H395" i="4"/>
  <c r="I395" i="4"/>
  <c r="J395" i="4"/>
  <c r="K395" i="4"/>
  <c r="B396" i="4"/>
  <c r="C396" i="4"/>
  <c r="D396" i="4"/>
  <c r="E396" i="4"/>
  <c r="F396" i="4"/>
  <c r="G396" i="4"/>
  <c r="H396" i="4"/>
  <c r="I396" i="4"/>
  <c r="J396" i="4"/>
  <c r="K396" i="4"/>
  <c r="B397" i="4"/>
  <c r="C397" i="4"/>
  <c r="D397" i="4"/>
  <c r="E397" i="4"/>
  <c r="F397" i="4"/>
  <c r="G397" i="4"/>
  <c r="H397" i="4"/>
  <c r="I397" i="4"/>
  <c r="J397" i="4"/>
  <c r="K397" i="4"/>
  <c r="B398" i="4"/>
  <c r="C398" i="4"/>
  <c r="D398" i="4"/>
  <c r="E398" i="4"/>
  <c r="F398" i="4"/>
  <c r="G398" i="4"/>
  <c r="H398" i="4"/>
  <c r="I398" i="4"/>
  <c r="J398" i="4"/>
  <c r="K398" i="4"/>
  <c r="B399" i="4"/>
  <c r="C399" i="4"/>
  <c r="D399" i="4"/>
  <c r="E399" i="4"/>
  <c r="F399" i="4"/>
  <c r="G399" i="4"/>
  <c r="H399" i="4"/>
  <c r="I399" i="4"/>
  <c r="J399" i="4"/>
  <c r="K399" i="4"/>
  <c r="B400" i="4"/>
  <c r="C400" i="4"/>
  <c r="D400" i="4"/>
  <c r="E400" i="4"/>
  <c r="F400" i="4"/>
  <c r="G400" i="4"/>
  <c r="H400" i="4"/>
  <c r="I400" i="4"/>
  <c r="J400" i="4"/>
  <c r="K400" i="4"/>
  <c r="B401" i="4"/>
  <c r="C401" i="4"/>
  <c r="D401" i="4"/>
  <c r="E401" i="4"/>
  <c r="F401" i="4"/>
  <c r="G401" i="4"/>
  <c r="H401" i="4"/>
  <c r="I401" i="4"/>
  <c r="J401" i="4"/>
  <c r="K401" i="4"/>
  <c r="B402" i="4"/>
  <c r="C402" i="4"/>
  <c r="D402" i="4"/>
  <c r="E402" i="4"/>
  <c r="F402" i="4"/>
  <c r="G402" i="4"/>
  <c r="H402" i="4"/>
  <c r="I402" i="4"/>
  <c r="J402" i="4"/>
  <c r="K402" i="4"/>
  <c r="B403" i="4"/>
  <c r="C403" i="4"/>
  <c r="D403" i="4"/>
  <c r="E403" i="4"/>
  <c r="F403" i="4"/>
  <c r="G403" i="4"/>
  <c r="H403" i="4"/>
  <c r="I403" i="4"/>
  <c r="J403" i="4"/>
  <c r="K403" i="4"/>
  <c r="B404" i="4"/>
  <c r="C404" i="4"/>
  <c r="D404" i="4"/>
  <c r="E404" i="4"/>
  <c r="F404" i="4"/>
  <c r="G404" i="4"/>
  <c r="H404" i="4"/>
  <c r="I404" i="4"/>
  <c r="J404" i="4"/>
  <c r="K404" i="4"/>
  <c r="B405" i="4"/>
  <c r="C405" i="4"/>
  <c r="D405" i="4"/>
  <c r="E405" i="4"/>
  <c r="F405" i="4"/>
  <c r="G405" i="4"/>
  <c r="H405" i="4"/>
  <c r="I405" i="4"/>
  <c r="J405" i="4"/>
  <c r="K405" i="4"/>
  <c r="B406" i="4"/>
  <c r="C406" i="4"/>
  <c r="D406" i="4"/>
  <c r="E406" i="4"/>
  <c r="F406" i="4"/>
  <c r="G406" i="4"/>
  <c r="H406" i="4"/>
  <c r="I406" i="4"/>
  <c r="J406" i="4"/>
  <c r="K406" i="4"/>
  <c r="B407" i="4"/>
  <c r="C407" i="4"/>
  <c r="D407" i="4"/>
  <c r="E407" i="4"/>
  <c r="F407" i="4"/>
  <c r="G407" i="4"/>
  <c r="H407" i="4"/>
  <c r="I407" i="4"/>
  <c r="J407" i="4"/>
  <c r="K407" i="4"/>
  <c r="B408" i="4"/>
  <c r="C408" i="4"/>
  <c r="D408" i="4"/>
  <c r="E408" i="4"/>
  <c r="F408" i="4"/>
  <c r="G408" i="4"/>
  <c r="H408" i="4"/>
  <c r="I408" i="4"/>
  <c r="J408" i="4"/>
  <c r="K408" i="4"/>
  <c r="B409" i="4"/>
  <c r="C409" i="4"/>
  <c r="D409" i="4"/>
  <c r="E409" i="4"/>
  <c r="F409" i="4"/>
  <c r="G409" i="4"/>
  <c r="H409" i="4"/>
  <c r="I409" i="4"/>
  <c r="J409" i="4"/>
  <c r="K409" i="4"/>
  <c r="B410" i="4"/>
  <c r="C410" i="4"/>
  <c r="D410" i="4"/>
  <c r="E410" i="4"/>
  <c r="F410" i="4"/>
  <c r="G410" i="4"/>
  <c r="H410" i="4"/>
  <c r="I410" i="4"/>
  <c r="J410" i="4"/>
  <c r="K410" i="4"/>
  <c r="B411" i="4"/>
  <c r="C411" i="4"/>
  <c r="D411" i="4"/>
  <c r="E411" i="4"/>
  <c r="F411" i="4"/>
  <c r="G411" i="4"/>
  <c r="H411" i="4"/>
  <c r="I411" i="4"/>
  <c r="J411" i="4"/>
  <c r="K411" i="4"/>
  <c r="B412" i="4"/>
  <c r="C412" i="4"/>
  <c r="D412" i="4"/>
  <c r="E412" i="4"/>
  <c r="F412" i="4"/>
  <c r="G412" i="4"/>
  <c r="H412" i="4"/>
  <c r="I412" i="4"/>
  <c r="J412" i="4"/>
  <c r="K412" i="4"/>
  <c r="B413" i="4"/>
  <c r="C413" i="4"/>
  <c r="D413" i="4"/>
  <c r="E413" i="4"/>
  <c r="F413" i="4"/>
  <c r="G413" i="4"/>
  <c r="H413" i="4"/>
  <c r="I413" i="4"/>
  <c r="J413" i="4"/>
  <c r="K413" i="4"/>
  <c r="B414" i="4"/>
  <c r="C414" i="4"/>
  <c r="D414" i="4"/>
  <c r="E414" i="4"/>
  <c r="F414" i="4"/>
  <c r="G414" i="4"/>
  <c r="H414" i="4"/>
  <c r="I414" i="4"/>
  <c r="J414" i="4"/>
  <c r="K414" i="4"/>
  <c r="B415" i="4"/>
  <c r="C415" i="4"/>
  <c r="D415" i="4"/>
  <c r="E415" i="4"/>
  <c r="F415" i="4"/>
  <c r="G415" i="4"/>
  <c r="H415" i="4"/>
  <c r="I415" i="4"/>
  <c r="J415" i="4"/>
  <c r="K415" i="4"/>
  <c r="B416" i="4"/>
  <c r="C416" i="4"/>
  <c r="D416" i="4"/>
  <c r="E416" i="4"/>
  <c r="F416" i="4"/>
  <c r="G416" i="4"/>
  <c r="H416" i="4"/>
  <c r="I416" i="4"/>
  <c r="J416" i="4"/>
  <c r="K416" i="4"/>
  <c r="B417" i="4"/>
  <c r="C417" i="4"/>
  <c r="D417" i="4"/>
  <c r="E417" i="4"/>
  <c r="F417" i="4"/>
  <c r="G417" i="4"/>
  <c r="H417" i="4"/>
  <c r="I417" i="4"/>
  <c r="J417" i="4"/>
  <c r="K417" i="4"/>
  <c r="B418" i="4"/>
  <c r="C418" i="4"/>
  <c r="D418" i="4"/>
  <c r="E418" i="4"/>
  <c r="F418" i="4"/>
  <c r="G418" i="4"/>
  <c r="H418" i="4"/>
  <c r="I418" i="4"/>
  <c r="J418" i="4"/>
  <c r="K418" i="4"/>
  <c r="B419" i="4"/>
  <c r="C419" i="4"/>
  <c r="D419" i="4"/>
  <c r="E419" i="4"/>
  <c r="F419" i="4"/>
  <c r="G419" i="4"/>
  <c r="H419" i="4"/>
  <c r="I419" i="4"/>
  <c r="J419" i="4"/>
  <c r="K419" i="4"/>
  <c r="B420" i="4"/>
  <c r="C420" i="4"/>
  <c r="D420" i="4"/>
  <c r="E420" i="4"/>
  <c r="F420" i="4"/>
  <c r="G420" i="4"/>
  <c r="H420" i="4"/>
  <c r="I420" i="4"/>
  <c r="J420" i="4"/>
  <c r="K420" i="4"/>
  <c r="B421" i="4"/>
  <c r="C421" i="4"/>
  <c r="D421" i="4"/>
  <c r="E421" i="4"/>
  <c r="F421" i="4"/>
  <c r="G421" i="4"/>
  <c r="H421" i="4"/>
  <c r="I421" i="4"/>
  <c r="J421" i="4"/>
  <c r="K421" i="4"/>
  <c r="B422" i="4"/>
  <c r="C422" i="4"/>
  <c r="D422" i="4"/>
  <c r="E422" i="4"/>
  <c r="F422" i="4"/>
  <c r="G422" i="4"/>
  <c r="H422" i="4"/>
  <c r="I422" i="4"/>
  <c r="J422" i="4"/>
  <c r="K422" i="4"/>
  <c r="B423" i="4"/>
  <c r="C423" i="4"/>
  <c r="D423" i="4"/>
  <c r="E423" i="4"/>
  <c r="F423" i="4"/>
  <c r="G423" i="4"/>
  <c r="H423" i="4"/>
  <c r="I423" i="4"/>
  <c r="J423" i="4"/>
  <c r="K423" i="4"/>
  <c r="B424" i="4"/>
  <c r="C424" i="4"/>
  <c r="D424" i="4"/>
  <c r="E424" i="4"/>
  <c r="F424" i="4"/>
  <c r="G424" i="4"/>
  <c r="H424" i="4"/>
  <c r="I424" i="4"/>
  <c r="J424" i="4"/>
  <c r="K424" i="4"/>
  <c r="B425" i="4"/>
  <c r="C425" i="4"/>
  <c r="D425" i="4"/>
  <c r="E425" i="4"/>
  <c r="F425" i="4"/>
  <c r="G425" i="4"/>
  <c r="H425" i="4"/>
  <c r="I425" i="4"/>
  <c r="J425" i="4"/>
  <c r="K425" i="4"/>
  <c r="B426" i="4"/>
  <c r="C426" i="4"/>
  <c r="D426" i="4"/>
  <c r="E426" i="4"/>
  <c r="F426" i="4"/>
  <c r="G426" i="4"/>
  <c r="H426" i="4"/>
  <c r="I426" i="4"/>
  <c r="J426" i="4"/>
  <c r="K426" i="4"/>
  <c r="B427" i="4"/>
  <c r="C427" i="4"/>
  <c r="D427" i="4"/>
  <c r="E427" i="4"/>
  <c r="F427" i="4"/>
  <c r="G427" i="4"/>
  <c r="H427" i="4"/>
  <c r="I427" i="4"/>
  <c r="J427" i="4"/>
  <c r="K427" i="4"/>
  <c r="B428" i="4"/>
  <c r="C428" i="4"/>
  <c r="D428" i="4"/>
  <c r="E428" i="4"/>
  <c r="F428" i="4"/>
  <c r="G428" i="4"/>
  <c r="H428" i="4"/>
  <c r="I428" i="4"/>
  <c r="J428" i="4"/>
  <c r="K428" i="4"/>
  <c r="B429" i="4"/>
  <c r="C429" i="4"/>
  <c r="D429" i="4"/>
  <c r="E429" i="4"/>
  <c r="F429" i="4"/>
  <c r="G429" i="4"/>
  <c r="H429" i="4"/>
  <c r="I429" i="4"/>
  <c r="J429" i="4"/>
  <c r="K429" i="4"/>
  <c r="B430" i="4"/>
  <c r="C430" i="4"/>
  <c r="D430" i="4"/>
  <c r="E430" i="4"/>
  <c r="F430" i="4"/>
  <c r="G430" i="4"/>
  <c r="H430" i="4"/>
  <c r="I430" i="4"/>
  <c r="J430" i="4"/>
  <c r="K430" i="4"/>
  <c r="B431" i="4"/>
  <c r="C431" i="4"/>
  <c r="D431" i="4"/>
  <c r="E431" i="4"/>
  <c r="F431" i="4"/>
  <c r="G431" i="4"/>
  <c r="H431" i="4"/>
  <c r="I431" i="4"/>
  <c r="J431" i="4"/>
  <c r="K431" i="4"/>
  <c r="B432" i="4"/>
  <c r="C432" i="4"/>
  <c r="D432" i="4"/>
  <c r="E432" i="4"/>
  <c r="F432" i="4"/>
  <c r="G432" i="4"/>
  <c r="H432" i="4"/>
  <c r="I432" i="4"/>
  <c r="J432" i="4"/>
  <c r="K432" i="4"/>
  <c r="B433" i="4"/>
  <c r="C433" i="4"/>
  <c r="D433" i="4"/>
  <c r="E433" i="4"/>
  <c r="F433" i="4"/>
  <c r="G433" i="4"/>
  <c r="H433" i="4"/>
  <c r="I433" i="4"/>
  <c r="J433" i="4"/>
  <c r="K433" i="4"/>
  <c r="B434" i="4"/>
  <c r="C434" i="4"/>
  <c r="D434" i="4"/>
  <c r="E434" i="4"/>
  <c r="F434" i="4"/>
  <c r="G434" i="4"/>
  <c r="H434" i="4"/>
  <c r="I434" i="4"/>
  <c r="J434" i="4"/>
  <c r="K434" i="4"/>
  <c r="B435" i="4"/>
  <c r="C435" i="4"/>
  <c r="D435" i="4"/>
  <c r="E435" i="4"/>
  <c r="F435" i="4"/>
  <c r="G435" i="4"/>
  <c r="H435" i="4"/>
  <c r="I435" i="4"/>
  <c r="J435" i="4"/>
  <c r="K435" i="4"/>
  <c r="B436" i="4"/>
  <c r="C436" i="4"/>
  <c r="D436" i="4"/>
  <c r="E436" i="4"/>
  <c r="F436" i="4"/>
  <c r="G436" i="4"/>
  <c r="H436" i="4"/>
  <c r="I436" i="4"/>
  <c r="J436" i="4"/>
  <c r="K436" i="4"/>
  <c r="B437" i="4"/>
  <c r="C437" i="4"/>
  <c r="D437" i="4"/>
  <c r="E437" i="4"/>
  <c r="F437" i="4"/>
  <c r="G437" i="4"/>
  <c r="H437" i="4"/>
  <c r="I437" i="4"/>
  <c r="J437" i="4"/>
  <c r="K437" i="4"/>
  <c r="B438" i="4"/>
  <c r="C438" i="4"/>
  <c r="D438" i="4"/>
  <c r="E438" i="4"/>
  <c r="F438" i="4"/>
  <c r="G438" i="4"/>
  <c r="H438" i="4"/>
  <c r="I438" i="4"/>
  <c r="J438" i="4"/>
  <c r="K438" i="4"/>
  <c r="B439" i="4"/>
  <c r="C439" i="4"/>
  <c r="D439" i="4"/>
  <c r="E439" i="4"/>
  <c r="F439" i="4"/>
  <c r="G439" i="4"/>
  <c r="H439" i="4"/>
  <c r="I439" i="4"/>
  <c r="J439" i="4"/>
  <c r="K439" i="4"/>
  <c r="B440" i="4"/>
  <c r="C440" i="4"/>
  <c r="D440" i="4"/>
  <c r="E440" i="4"/>
  <c r="F440" i="4"/>
  <c r="G440" i="4"/>
  <c r="H440" i="4"/>
  <c r="I440" i="4"/>
  <c r="J440" i="4"/>
  <c r="K440" i="4"/>
  <c r="B441" i="4"/>
  <c r="C441" i="4"/>
  <c r="D441" i="4"/>
  <c r="E441" i="4"/>
  <c r="F441" i="4"/>
  <c r="G441" i="4"/>
  <c r="H441" i="4"/>
  <c r="I441" i="4"/>
  <c r="J441" i="4"/>
  <c r="K441" i="4"/>
  <c r="B442" i="4"/>
  <c r="C442" i="4"/>
  <c r="D442" i="4"/>
  <c r="E442" i="4"/>
  <c r="F442" i="4"/>
  <c r="G442" i="4"/>
  <c r="H442" i="4"/>
  <c r="I442" i="4"/>
  <c r="J442" i="4"/>
  <c r="K442" i="4"/>
  <c r="B443" i="4"/>
  <c r="C443" i="4"/>
  <c r="D443" i="4"/>
  <c r="E443" i="4"/>
  <c r="F443" i="4"/>
  <c r="G443" i="4"/>
  <c r="H443" i="4"/>
  <c r="I443" i="4"/>
  <c r="J443" i="4"/>
  <c r="K443" i="4"/>
  <c r="B444" i="4"/>
  <c r="C444" i="4"/>
  <c r="D444" i="4"/>
  <c r="E444" i="4"/>
  <c r="F444" i="4"/>
  <c r="G444" i="4"/>
  <c r="H444" i="4"/>
  <c r="I444" i="4"/>
  <c r="J444" i="4"/>
  <c r="K444" i="4"/>
  <c r="B445" i="4"/>
  <c r="C445" i="4"/>
  <c r="D445" i="4"/>
  <c r="E445" i="4"/>
  <c r="F445" i="4"/>
  <c r="G445" i="4"/>
  <c r="H445" i="4"/>
  <c r="I445" i="4"/>
  <c r="J445" i="4"/>
  <c r="K445" i="4"/>
  <c r="B446" i="4"/>
  <c r="C446" i="4"/>
  <c r="D446" i="4"/>
  <c r="E446" i="4"/>
  <c r="F446" i="4"/>
  <c r="G446" i="4"/>
  <c r="H446" i="4"/>
  <c r="I446" i="4"/>
  <c r="J446" i="4"/>
  <c r="K446" i="4"/>
  <c r="B447" i="4"/>
  <c r="C447" i="4"/>
  <c r="D447" i="4"/>
  <c r="E447" i="4"/>
  <c r="F447" i="4"/>
  <c r="G447" i="4"/>
  <c r="H447" i="4"/>
  <c r="I447" i="4"/>
  <c r="J447" i="4"/>
  <c r="K447" i="4"/>
  <c r="B448" i="4"/>
  <c r="C448" i="4"/>
  <c r="D448" i="4"/>
  <c r="E448" i="4"/>
  <c r="F448" i="4"/>
  <c r="G448" i="4"/>
  <c r="H448" i="4"/>
  <c r="I448" i="4"/>
  <c r="J448" i="4"/>
  <c r="K448" i="4"/>
  <c r="B449" i="4"/>
  <c r="C449" i="4"/>
  <c r="D449" i="4"/>
  <c r="E449" i="4"/>
  <c r="F449" i="4"/>
  <c r="G449" i="4"/>
  <c r="H449" i="4"/>
  <c r="I449" i="4"/>
  <c r="J449" i="4"/>
  <c r="K449" i="4"/>
  <c r="B450" i="4"/>
  <c r="C450" i="4"/>
  <c r="D450" i="4"/>
  <c r="E450" i="4"/>
  <c r="F450" i="4"/>
  <c r="G450" i="4"/>
  <c r="H450" i="4"/>
  <c r="I450" i="4"/>
  <c r="J450" i="4"/>
  <c r="K450" i="4"/>
  <c r="B451" i="4"/>
  <c r="C451" i="4"/>
  <c r="D451" i="4"/>
  <c r="E451" i="4"/>
  <c r="F451" i="4"/>
  <c r="G451" i="4"/>
  <c r="H451" i="4"/>
  <c r="I451" i="4"/>
  <c r="J451" i="4"/>
  <c r="K451" i="4"/>
  <c r="B452" i="4"/>
  <c r="C452" i="4"/>
  <c r="D452" i="4"/>
  <c r="E452" i="4"/>
  <c r="F452" i="4"/>
  <c r="G452" i="4"/>
  <c r="H452" i="4"/>
  <c r="I452" i="4"/>
  <c r="J452" i="4"/>
  <c r="K452" i="4"/>
  <c r="B453" i="4"/>
  <c r="C453" i="4"/>
  <c r="D453" i="4"/>
  <c r="E453" i="4"/>
  <c r="F453" i="4"/>
  <c r="G453" i="4"/>
  <c r="H453" i="4"/>
  <c r="I453" i="4"/>
  <c r="J453" i="4"/>
  <c r="K453" i="4"/>
  <c r="B454" i="4"/>
  <c r="C454" i="4"/>
  <c r="D454" i="4"/>
  <c r="E454" i="4"/>
  <c r="F454" i="4"/>
  <c r="G454" i="4"/>
  <c r="H454" i="4"/>
  <c r="I454" i="4"/>
  <c r="J454" i="4"/>
  <c r="K454" i="4"/>
  <c r="B455" i="4"/>
  <c r="C455" i="4"/>
  <c r="D455" i="4"/>
  <c r="E455" i="4"/>
  <c r="F455" i="4"/>
  <c r="G455" i="4"/>
  <c r="H455" i="4"/>
  <c r="I455" i="4"/>
  <c r="J455" i="4"/>
  <c r="K455" i="4"/>
  <c r="B456" i="4"/>
  <c r="C456" i="4"/>
  <c r="D456" i="4"/>
  <c r="E456" i="4"/>
  <c r="F456" i="4"/>
  <c r="G456" i="4"/>
  <c r="H456" i="4"/>
  <c r="I456" i="4"/>
  <c r="J456" i="4"/>
  <c r="K456" i="4"/>
  <c r="B457" i="4"/>
  <c r="C457" i="4"/>
  <c r="D457" i="4"/>
  <c r="E457" i="4"/>
  <c r="F457" i="4"/>
  <c r="G457" i="4"/>
  <c r="H457" i="4"/>
  <c r="I457" i="4"/>
  <c r="J457" i="4"/>
  <c r="K457" i="4"/>
  <c r="B458" i="4"/>
  <c r="C458" i="4"/>
  <c r="D458" i="4"/>
  <c r="E458" i="4"/>
  <c r="F458" i="4"/>
  <c r="G458" i="4"/>
  <c r="H458" i="4"/>
  <c r="I458" i="4"/>
  <c r="J458" i="4"/>
  <c r="K458" i="4"/>
  <c r="B459" i="4"/>
  <c r="C459" i="4"/>
  <c r="D459" i="4"/>
  <c r="E459" i="4"/>
  <c r="F459" i="4"/>
  <c r="G459" i="4"/>
  <c r="H459" i="4"/>
  <c r="I459" i="4"/>
  <c r="J459" i="4"/>
  <c r="K459" i="4"/>
  <c r="B460" i="4"/>
  <c r="C460" i="4"/>
  <c r="D460" i="4"/>
  <c r="E460" i="4"/>
  <c r="F460" i="4"/>
  <c r="G460" i="4"/>
  <c r="H460" i="4"/>
  <c r="I460" i="4"/>
  <c r="J460" i="4"/>
  <c r="K460" i="4"/>
  <c r="B461" i="4"/>
  <c r="C461" i="4"/>
  <c r="D461" i="4"/>
  <c r="E461" i="4"/>
  <c r="F461" i="4"/>
  <c r="G461" i="4"/>
  <c r="H461" i="4"/>
  <c r="I461" i="4"/>
  <c r="J461" i="4"/>
  <c r="K461" i="4"/>
  <c r="B462" i="4"/>
  <c r="C462" i="4"/>
  <c r="D462" i="4"/>
  <c r="E462" i="4"/>
  <c r="F462" i="4"/>
  <c r="G462" i="4"/>
  <c r="H462" i="4"/>
  <c r="I462" i="4"/>
  <c r="J462" i="4"/>
  <c r="K462" i="4"/>
  <c r="B463" i="4"/>
  <c r="C463" i="4"/>
  <c r="D463" i="4"/>
  <c r="E463" i="4"/>
  <c r="F463" i="4"/>
  <c r="G463" i="4"/>
  <c r="H463" i="4"/>
  <c r="I463" i="4"/>
  <c r="J463" i="4"/>
  <c r="K463" i="4"/>
  <c r="B464" i="4"/>
  <c r="C464" i="4"/>
  <c r="D464" i="4"/>
  <c r="E464" i="4"/>
  <c r="F464" i="4"/>
  <c r="G464" i="4"/>
  <c r="H464" i="4"/>
  <c r="I464" i="4"/>
  <c r="J464" i="4"/>
  <c r="K464" i="4"/>
  <c r="B465" i="4"/>
  <c r="C465" i="4"/>
  <c r="D465" i="4"/>
  <c r="E465" i="4"/>
  <c r="F465" i="4"/>
  <c r="G465" i="4"/>
  <c r="H465" i="4"/>
  <c r="I465" i="4"/>
  <c r="J465" i="4"/>
  <c r="K465" i="4"/>
  <c r="B466" i="4"/>
  <c r="C466" i="4"/>
  <c r="D466" i="4"/>
  <c r="E466" i="4"/>
  <c r="F466" i="4"/>
  <c r="G466" i="4"/>
  <c r="H466" i="4"/>
  <c r="I466" i="4"/>
  <c r="J466" i="4"/>
  <c r="K466" i="4"/>
  <c r="B467" i="4"/>
  <c r="C467" i="4"/>
  <c r="D467" i="4"/>
  <c r="E467" i="4"/>
  <c r="F467" i="4"/>
  <c r="G467" i="4"/>
  <c r="H467" i="4"/>
  <c r="I467" i="4"/>
  <c r="J467" i="4"/>
  <c r="K467" i="4"/>
  <c r="B468" i="4"/>
  <c r="C468" i="4"/>
  <c r="D468" i="4"/>
  <c r="E468" i="4"/>
  <c r="F468" i="4"/>
  <c r="G468" i="4"/>
  <c r="H468" i="4"/>
  <c r="I468" i="4"/>
  <c r="J468" i="4"/>
  <c r="K468" i="4"/>
  <c r="B469" i="4"/>
  <c r="C469" i="4"/>
  <c r="D469" i="4"/>
  <c r="E469" i="4"/>
  <c r="F469" i="4"/>
  <c r="G469" i="4"/>
  <c r="H469" i="4"/>
  <c r="I469" i="4"/>
  <c r="J469" i="4"/>
  <c r="K469" i="4"/>
  <c r="B470" i="4"/>
  <c r="C470" i="4"/>
  <c r="D470" i="4"/>
  <c r="E470" i="4"/>
  <c r="F470" i="4"/>
  <c r="G470" i="4"/>
  <c r="H470" i="4"/>
  <c r="I470" i="4"/>
  <c r="J470" i="4"/>
  <c r="K470" i="4"/>
  <c r="B471" i="4"/>
  <c r="C471" i="4"/>
  <c r="D471" i="4"/>
  <c r="E471" i="4"/>
  <c r="F471" i="4"/>
  <c r="G471" i="4"/>
  <c r="H471" i="4"/>
  <c r="I471" i="4"/>
  <c r="J471" i="4"/>
  <c r="K471" i="4"/>
  <c r="B472" i="4"/>
  <c r="C472" i="4"/>
  <c r="D472" i="4"/>
  <c r="E472" i="4"/>
  <c r="F472" i="4"/>
  <c r="G472" i="4"/>
  <c r="H472" i="4"/>
  <c r="I472" i="4"/>
  <c r="J472" i="4"/>
  <c r="K472" i="4"/>
  <c r="B473" i="4"/>
  <c r="C473" i="4"/>
  <c r="D473" i="4"/>
  <c r="E473" i="4"/>
  <c r="F473" i="4"/>
  <c r="G473" i="4"/>
  <c r="H473" i="4"/>
  <c r="I473" i="4"/>
  <c r="J473" i="4"/>
  <c r="K473" i="4"/>
  <c r="B474" i="4"/>
  <c r="C474" i="4"/>
  <c r="D474" i="4"/>
  <c r="E474" i="4"/>
  <c r="F474" i="4"/>
  <c r="G474" i="4"/>
  <c r="H474" i="4"/>
  <c r="I474" i="4"/>
  <c r="J474" i="4"/>
  <c r="K474" i="4"/>
  <c r="B475" i="4"/>
  <c r="C475" i="4"/>
  <c r="D475" i="4"/>
  <c r="E475" i="4"/>
  <c r="F475" i="4"/>
  <c r="G475" i="4"/>
  <c r="H475" i="4"/>
  <c r="I475" i="4"/>
  <c r="J475" i="4"/>
  <c r="K475" i="4"/>
  <c r="B476" i="4"/>
  <c r="C476" i="4"/>
  <c r="D476" i="4"/>
  <c r="E476" i="4"/>
  <c r="F476" i="4"/>
  <c r="G476" i="4"/>
  <c r="H476" i="4"/>
  <c r="I476" i="4"/>
  <c r="J476" i="4"/>
  <c r="K476" i="4"/>
  <c r="B477" i="4"/>
  <c r="C477" i="4"/>
  <c r="D477" i="4"/>
  <c r="E477" i="4"/>
  <c r="F477" i="4"/>
  <c r="G477" i="4"/>
  <c r="H477" i="4"/>
  <c r="I477" i="4"/>
  <c r="J477" i="4"/>
  <c r="K477" i="4"/>
  <c r="B478" i="4"/>
  <c r="C478" i="4"/>
  <c r="D478" i="4"/>
  <c r="E478" i="4"/>
  <c r="F478" i="4"/>
  <c r="G478" i="4"/>
  <c r="H478" i="4"/>
  <c r="I478" i="4"/>
  <c r="J478" i="4"/>
  <c r="K478" i="4"/>
  <c r="B479" i="4"/>
  <c r="C479" i="4"/>
  <c r="D479" i="4"/>
  <c r="E479" i="4"/>
  <c r="F479" i="4"/>
  <c r="G479" i="4"/>
  <c r="H479" i="4"/>
  <c r="I479" i="4"/>
  <c r="J479" i="4"/>
  <c r="K479" i="4"/>
  <c r="B480" i="4"/>
  <c r="C480" i="4"/>
  <c r="D480" i="4"/>
  <c r="E480" i="4"/>
  <c r="F480" i="4"/>
  <c r="G480" i="4"/>
  <c r="H480" i="4"/>
  <c r="I480" i="4"/>
  <c r="J480" i="4"/>
  <c r="K480" i="4"/>
  <c r="B481" i="4"/>
  <c r="C481" i="4"/>
  <c r="D481" i="4"/>
  <c r="E481" i="4"/>
  <c r="F481" i="4"/>
  <c r="G481" i="4"/>
  <c r="H481" i="4"/>
  <c r="I481" i="4"/>
  <c r="J481" i="4"/>
  <c r="K481" i="4"/>
  <c r="B482" i="4"/>
  <c r="C482" i="4"/>
  <c r="D482" i="4"/>
  <c r="E482" i="4"/>
  <c r="F482" i="4"/>
  <c r="G482" i="4"/>
  <c r="H482" i="4"/>
  <c r="I482" i="4"/>
  <c r="J482" i="4"/>
  <c r="K482" i="4"/>
  <c r="B483" i="4"/>
  <c r="C483" i="4"/>
  <c r="D483" i="4"/>
  <c r="E483" i="4"/>
  <c r="F483" i="4"/>
  <c r="G483" i="4"/>
  <c r="H483" i="4"/>
  <c r="I483" i="4"/>
  <c r="J483" i="4"/>
  <c r="K483" i="4"/>
  <c r="B484" i="4"/>
  <c r="C484" i="4"/>
  <c r="D484" i="4"/>
  <c r="E484" i="4"/>
  <c r="F484" i="4"/>
  <c r="G484" i="4"/>
  <c r="H484" i="4"/>
  <c r="I484" i="4"/>
  <c r="J484" i="4"/>
  <c r="K484" i="4"/>
  <c r="B485" i="4"/>
  <c r="C485" i="4"/>
  <c r="D485" i="4"/>
  <c r="E485" i="4"/>
  <c r="F485" i="4"/>
  <c r="G485" i="4"/>
  <c r="H485" i="4"/>
  <c r="I485" i="4"/>
  <c r="J485" i="4"/>
  <c r="K485" i="4"/>
  <c r="B486" i="4"/>
  <c r="C486" i="4"/>
  <c r="D486" i="4"/>
  <c r="E486" i="4"/>
  <c r="F486" i="4"/>
  <c r="G486" i="4"/>
  <c r="H486" i="4"/>
  <c r="I486" i="4"/>
  <c r="J486" i="4"/>
  <c r="K486" i="4"/>
  <c r="B487" i="4"/>
  <c r="C487" i="4"/>
  <c r="D487" i="4"/>
  <c r="E487" i="4"/>
  <c r="F487" i="4"/>
  <c r="G487" i="4"/>
  <c r="H487" i="4"/>
  <c r="I487" i="4"/>
  <c r="J487" i="4"/>
  <c r="K487" i="4"/>
  <c r="B488" i="4"/>
  <c r="C488" i="4"/>
  <c r="D488" i="4"/>
  <c r="E488" i="4"/>
  <c r="F488" i="4"/>
  <c r="G488" i="4"/>
  <c r="H488" i="4"/>
  <c r="I488" i="4"/>
  <c r="J488" i="4"/>
  <c r="K488" i="4"/>
  <c r="B489" i="4"/>
  <c r="C489" i="4"/>
  <c r="D489" i="4"/>
  <c r="E489" i="4"/>
  <c r="F489" i="4"/>
  <c r="G489" i="4"/>
  <c r="H489" i="4"/>
  <c r="I489" i="4"/>
  <c r="J489" i="4"/>
  <c r="K489" i="4"/>
  <c r="B490" i="4"/>
  <c r="C490" i="4"/>
  <c r="D490" i="4"/>
  <c r="E490" i="4"/>
  <c r="F490" i="4"/>
  <c r="G490" i="4"/>
  <c r="H490" i="4"/>
  <c r="I490" i="4"/>
  <c r="J490" i="4"/>
  <c r="K490" i="4"/>
  <c r="B491" i="4"/>
  <c r="C491" i="4"/>
  <c r="D491" i="4"/>
  <c r="E491" i="4"/>
  <c r="F491" i="4"/>
  <c r="G491" i="4"/>
  <c r="H491" i="4"/>
  <c r="I491" i="4"/>
  <c r="J491" i="4"/>
  <c r="K491" i="4"/>
  <c r="B492" i="4"/>
  <c r="C492" i="4"/>
  <c r="D492" i="4"/>
  <c r="E492" i="4"/>
  <c r="F492" i="4"/>
  <c r="G492" i="4"/>
  <c r="H492" i="4"/>
  <c r="I492" i="4"/>
  <c r="J492" i="4"/>
  <c r="K492" i="4"/>
  <c r="B493" i="4"/>
  <c r="C493" i="4"/>
  <c r="D493" i="4"/>
  <c r="E493" i="4"/>
  <c r="F493" i="4"/>
  <c r="G493" i="4"/>
  <c r="H493" i="4"/>
  <c r="I493" i="4"/>
  <c r="J493" i="4"/>
  <c r="K493" i="4"/>
  <c r="B494" i="4"/>
  <c r="C494" i="4"/>
  <c r="D494" i="4"/>
  <c r="E494" i="4"/>
  <c r="F494" i="4"/>
  <c r="G494" i="4"/>
  <c r="H494" i="4"/>
  <c r="I494" i="4"/>
  <c r="J494" i="4"/>
  <c r="K494" i="4"/>
  <c r="B495" i="4"/>
  <c r="C495" i="4"/>
  <c r="D495" i="4"/>
  <c r="E495" i="4"/>
  <c r="F495" i="4"/>
  <c r="G495" i="4"/>
  <c r="H495" i="4"/>
  <c r="I495" i="4"/>
  <c r="J495" i="4"/>
  <c r="K495" i="4"/>
  <c r="B496" i="4"/>
  <c r="C496" i="4"/>
  <c r="D496" i="4"/>
  <c r="E496" i="4"/>
  <c r="F496" i="4"/>
  <c r="G496" i="4"/>
  <c r="H496" i="4"/>
  <c r="I496" i="4"/>
  <c r="J496" i="4"/>
  <c r="K496" i="4"/>
  <c r="B497" i="4"/>
  <c r="C497" i="4"/>
  <c r="D497" i="4"/>
  <c r="E497" i="4"/>
  <c r="F497" i="4"/>
  <c r="G497" i="4"/>
  <c r="H497" i="4"/>
  <c r="I497" i="4"/>
  <c r="J497" i="4"/>
  <c r="K497" i="4"/>
  <c r="B498" i="4"/>
  <c r="C498" i="4"/>
  <c r="D498" i="4"/>
  <c r="E498" i="4"/>
  <c r="F498" i="4"/>
  <c r="G498" i="4"/>
  <c r="H498" i="4"/>
  <c r="I498" i="4"/>
  <c r="J498" i="4"/>
  <c r="K498" i="4"/>
  <c r="B499" i="4"/>
  <c r="C499" i="4"/>
  <c r="D499" i="4"/>
  <c r="E499" i="4"/>
  <c r="F499" i="4"/>
  <c r="G499" i="4"/>
  <c r="H499" i="4"/>
  <c r="I499" i="4"/>
  <c r="J499" i="4"/>
  <c r="K499" i="4"/>
  <c r="B500" i="4"/>
  <c r="C500" i="4"/>
  <c r="D500" i="4"/>
  <c r="E500" i="4"/>
  <c r="F500" i="4"/>
  <c r="G500" i="4"/>
  <c r="H500" i="4"/>
  <c r="I500" i="4"/>
  <c r="J500" i="4"/>
  <c r="K500" i="4"/>
  <c r="B501" i="4"/>
  <c r="C501" i="4"/>
  <c r="D501" i="4"/>
  <c r="E501" i="4"/>
  <c r="F501" i="4"/>
  <c r="G501" i="4"/>
  <c r="H501" i="4"/>
  <c r="I501" i="4"/>
  <c r="J501" i="4"/>
  <c r="K501" i="4"/>
  <c r="B502" i="4"/>
  <c r="C502" i="4"/>
  <c r="D502" i="4"/>
  <c r="E502" i="4"/>
  <c r="F502" i="4"/>
  <c r="F1072" i="4" s="1"/>
  <c r="G502" i="4"/>
  <c r="H502" i="4"/>
  <c r="I502" i="4"/>
  <c r="J502" i="4"/>
  <c r="K502" i="4"/>
  <c r="B503" i="4"/>
  <c r="C503" i="4"/>
  <c r="D503" i="4"/>
  <c r="E503" i="4"/>
  <c r="F503" i="4"/>
  <c r="G503" i="4"/>
  <c r="H503" i="4"/>
  <c r="I503" i="4"/>
  <c r="J503" i="4"/>
  <c r="K503" i="4"/>
  <c r="B504" i="4"/>
  <c r="C504" i="4"/>
  <c r="D504" i="4"/>
  <c r="E504" i="4"/>
  <c r="F504" i="4"/>
  <c r="G504" i="4"/>
  <c r="H504" i="4"/>
  <c r="I504" i="4"/>
  <c r="J504" i="4"/>
  <c r="K504" i="4"/>
  <c r="B505" i="4"/>
  <c r="C505" i="4"/>
  <c r="D505" i="4"/>
  <c r="E505" i="4"/>
  <c r="F505" i="4"/>
  <c r="G505" i="4"/>
  <c r="H505" i="4"/>
  <c r="I505" i="4"/>
  <c r="J505" i="4"/>
  <c r="K505" i="4"/>
  <c r="B506" i="4"/>
  <c r="C506" i="4"/>
  <c r="D506" i="4"/>
  <c r="E506" i="4"/>
  <c r="F506" i="4"/>
  <c r="G506" i="4"/>
  <c r="H506" i="4"/>
  <c r="I506" i="4"/>
  <c r="J506" i="4"/>
  <c r="K506" i="4"/>
  <c r="B507" i="4"/>
  <c r="C507" i="4"/>
  <c r="D507" i="4"/>
  <c r="E507" i="4"/>
  <c r="F507" i="4"/>
  <c r="G507" i="4"/>
  <c r="H507" i="4"/>
  <c r="I507" i="4"/>
  <c r="J507" i="4"/>
  <c r="K507" i="4"/>
  <c r="B508" i="4"/>
  <c r="C508" i="4"/>
  <c r="D508" i="4"/>
  <c r="E508" i="4"/>
  <c r="F508" i="4"/>
  <c r="G508" i="4"/>
  <c r="H508" i="4"/>
  <c r="I508" i="4"/>
  <c r="J508" i="4"/>
  <c r="K508" i="4"/>
  <c r="B509" i="4"/>
  <c r="C509" i="4"/>
  <c r="D509" i="4"/>
  <c r="E509" i="4"/>
  <c r="F509" i="4"/>
  <c r="G509" i="4"/>
  <c r="H509" i="4"/>
  <c r="I509" i="4"/>
  <c r="J509" i="4"/>
  <c r="K509" i="4"/>
  <c r="B510" i="4"/>
  <c r="C510" i="4"/>
  <c r="D510" i="4"/>
  <c r="E510" i="4"/>
  <c r="F510" i="4"/>
  <c r="G510" i="4"/>
  <c r="H510" i="4"/>
  <c r="I510" i="4"/>
  <c r="J510" i="4"/>
  <c r="K510" i="4"/>
  <c r="B511" i="4"/>
  <c r="C511" i="4"/>
  <c r="D511" i="4"/>
  <c r="E511" i="4"/>
  <c r="F511" i="4"/>
  <c r="G511" i="4"/>
  <c r="H511" i="4"/>
  <c r="I511" i="4"/>
  <c r="J511" i="4"/>
  <c r="K511" i="4"/>
  <c r="B512" i="4"/>
  <c r="C512" i="4"/>
  <c r="D512" i="4"/>
  <c r="E512" i="4"/>
  <c r="F512" i="4"/>
  <c r="G512" i="4"/>
  <c r="H512" i="4"/>
  <c r="I512" i="4"/>
  <c r="J512" i="4"/>
  <c r="K512" i="4"/>
  <c r="B513" i="4"/>
  <c r="C513" i="4"/>
  <c r="D513" i="4"/>
  <c r="E513" i="4"/>
  <c r="F513" i="4"/>
  <c r="G513" i="4"/>
  <c r="H513" i="4"/>
  <c r="I513" i="4"/>
  <c r="J513" i="4"/>
  <c r="K513" i="4"/>
  <c r="B514" i="4"/>
  <c r="C514" i="4"/>
  <c r="D514" i="4"/>
  <c r="E514" i="4"/>
  <c r="F514" i="4"/>
  <c r="G514" i="4"/>
  <c r="H514" i="4"/>
  <c r="I514" i="4"/>
  <c r="J514" i="4"/>
  <c r="K514" i="4"/>
  <c r="B515" i="4"/>
  <c r="C515" i="4"/>
  <c r="D515" i="4"/>
  <c r="E515" i="4"/>
  <c r="F515" i="4"/>
  <c r="G515" i="4"/>
  <c r="H515" i="4"/>
  <c r="I515" i="4"/>
  <c r="J515" i="4"/>
  <c r="K515" i="4"/>
  <c r="B516" i="4"/>
  <c r="C516" i="4"/>
  <c r="D516" i="4"/>
  <c r="E516" i="4"/>
  <c r="F516" i="4"/>
  <c r="G516" i="4"/>
  <c r="H516" i="4"/>
  <c r="I516" i="4"/>
  <c r="J516" i="4"/>
  <c r="K516" i="4"/>
  <c r="B517" i="4"/>
  <c r="C517" i="4"/>
  <c r="D517" i="4"/>
  <c r="E517" i="4"/>
  <c r="F517" i="4"/>
  <c r="G517" i="4"/>
  <c r="H517" i="4"/>
  <c r="I517" i="4"/>
  <c r="J517" i="4"/>
  <c r="K517" i="4"/>
  <c r="B518" i="4"/>
  <c r="C518" i="4"/>
  <c r="D518" i="4"/>
  <c r="E518" i="4"/>
  <c r="F518" i="4"/>
  <c r="G518" i="4"/>
  <c r="H518" i="4"/>
  <c r="I518" i="4"/>
  <c r="J518" i="4"/>
  <c r="K518" i="4"/>
  <c r="B519" i="4"/>
  <c r="C519" i="4"/>
  <c r="D519" i="4"/>
  <c r="E519" i="4"/>
  <c r="F519" i="4"/>
  <c r="G519" i="4"/>
  <c r="H519" i="4"/>
  <c r="I519" i="4"/>
  <c r="J519" i="4"/>
  <c r="K519" i="4"/>
  <c r="B520" i="4"/>
  <c r="C520" i="4"/>
  <c r="D520" i="4"/>
  <c r="E520" i="4"/>
  <c r="F520" i="4"/>
  <c r="G520" i="4"/>
  <c r="H520" i="4"/>
  <c r="I520" i="4"/>
  <c r="J520" i="4"/>
  <c r="K520" i="4"/>
  <c r="B521" i="4"/>
  <c r="C521" i="4"/>
  <c r="D521" i="4"/>
  <c r="E521" i="4"/>
  <c r="F521" i="4"/>
  <c r="G521" i="4"/>
  <c r="H521" i="4"/>
  <c r="I521" i="4"/>
  <c r="J521" i="4"/>
  <c r="K521" i="4"/>
  <c r="B522" i="4"/>
  <c r="C522" i="4"/>
  <c r="D522" i="4"/>
  <c r="E522" i="4"/>
  <c r="F522" i="4"/>
  <c r="G522" i="4"/>
  <c r="H522" i="4"/>
  <c r="I522" i="4"/>
  <c r="J522" i="4"/>
  <c r="K522" i="4"/>
  <c r="B523" i="4"/>
  <c r="C523" i="4"/>
  <c r="D523" i="4"/>
  <c r="E523" i="4"/>
  <c r="F523" i="4"/>
  <c r="G523" i="4"/>
  <c r="H523" i="4"/>
  <c r="I523" i="4"/>
  <c r="J523" i="4"/>
  <c r="K523" i="4"/>
  <c r="B524" i="4"/>
  <c r="C524" i="4"/>
  <c r="D524" i="4"/>
  <c r="E524" i="4"/>
  <c r="F524" i="4"/>
  <c r="G524" i="4"/>
  <c r="H524" i="4"/>
  <c r="I524" i="4"/>
  <c r="J524" i="4"/>
  <c r="K524" i="4"/>
  <c r="B525" i="4"/>
  <c r="C525" i="4"/>
  <c r="D525" i="4"/>
  <c r="E525" i="4"/>
  <c r="F525" i="4"/>
  <c r="G525" i="4"/>
  <c r="H525" i="4"/>
  <c r="I525" i="4"/>
  <c r="J525" i="4"/>
  <c r="K525" i="4"/>
  <c r="B526" i="4"/>
  <c r="C526" i="4"/>
  <c r="D526" i="4"/>
  <c r="E526" i="4"/>
  <c r="F526" i="4"/>
  <c r="G526" i="4"/>
  <c r="H526" i="4"/>
  <c r="I526" i="4"/>
  <c r="J526" i="4"/>
  <c r="K526" i="4"/>
  <c r="B527" i="4"/>
  <c r="C527" i="4"/>
  <c r="D527" i="4"/>
  <c r="E527" i="4"/>
  <c r="F527" i="4"/>
  <c r="G527" i="4"/>
  <c r="H527" i="4"/>
  <c r="I527" i="4"/>
  <c r="J527" i="4"/>
  <c r="K527" i="4"/>
  <c r="B528" i="4"/>
  <c r="C528" i="4"/>
  <c r="D528" i="4"/>
  <c r="E528" i="4"/>
  <c r="F528" i="4"/>
  <c r="G528" i="4"/>
  <c r="H528" i="4"/>
  <c r="I528" i="4"/>
  <c r="J528" i="4"/>
  <c r="K528" i="4"/>
  <c r="B529" i="4"/>
  <c r="C529" i="4"/>
  <c r="D529" i="4"/>
  <c r="E529" i="4"/>
  <c r="F529" i="4"/>
  <c r="G529" i="4"/>
  <c r="H529" i="4"/>
  <c r="I529" i="4"/>
  <c r="J529" i="4"/>
  <c r="K529" i="4"/>
  <c r="B530" i="4"/>
  <c r="C530" i="4"/>
  <c r="D530" i="4"/>
  <c r="E530" i="4"/>
  <c r="F530" i="4"/>
  <c r="G530" i="4"/>
  <c r="H530" i="4"/>
  <c r="I530" i="4"/>
  <c r="J530" i="4"/>
  <c r="K530" i="4"/>
  <c r="B531" i="4"/>
  <c r="C531" i="4"/>
  <c r="D531" i="4"/>
  <c r="E531" i="4"/>
  <c r="F531" i="4"/>
  <c r="G531" i="4"/>
  <c r="H531" i="4"/>
  <c r="I531" i="4"/>
  <c r="J531" i="4"/>
  <c r="K531" i="4"/>
  <c r="B532" i="4"/>
  <c r="C532" i="4"/>
  <c r="D532" i="4"/>
  <c r="E532" i="4"/>
  <c r="F532" i="4"/>
  <c r="G532" i="4"/>
  <c r="H532" i="4"/>
  <c r="I532" i="4"/>
  <c r="J532" i="4"/>
  <c r="K532" i="4"/>
  <c r="B533" i="4"/>
  <c r="C533" i="4"/>
  <c r="D533" i="4"/>
  <c r="E533" i="4"/>
  <c r="F533" i="4"/>
  <c r="G533" i="4"/>
  <c r="H533" i="4"/>
  <c r="I533" i="4"/>
  <c r="J533" i="4"/>
  <c r="K533" i="4"/>
  <c r="B534" i="4"/>
  <c r="C534" i="4"/>
  <c r="D534" i="4"/>
  <c r="E534" i="4"/>
  <c r="F534" i="4"/>
  <c r="G534" i="4"/>
  <c r="H534" i="4"/>
  <c r="I534" i="4"/>
  <c r="J534" i="4"/>
  <c r="K534" i="4"/>
  <c r="B535" i="4"/>
  <c r="C535" i="4"/>
  <c r="D535" i="4"/>
  <c r="E535" i="4"/>
  <c r="F535" i="4"/>
  <c r="G535" i="4"/>
  <c r="H535" i="4"/>
  <c r="I535" i="4"/>
  <c r="J535" i="4"/>
  <c r="K535" i="4"/>
  <c r="B536" i="4"/>
  <c r="C536" i="4"/>
  <c r="D536" i="4"/>
  <c r="E536" i="4"/>
  <c r="F536" i="4"/>
  <c r="G536" i="4"/>
  <c r="H536" i="4"/>
  <c r="I536" i="4"/>
  <c r="J536" i="4"/>
  <c r="K536" i="4"/>
  <c r="B537" i="4"/>
  <c r="C537" i="4"/>
  <c r="D537" i="4"/>
  <c r="E537" i="4"/>
  <c r="F537" i="4"/>
  <c r="G537" i="4"/>
  <c r="H537" i="4"/>
  <c r="I537" i="4"/>
  <c r="J537" i="4"/>
  <c r="K537" i="4"/>
  <c r="B538" i="4"/>
  <c r="C538" i="4"/>
  <c r="D538" i="4"/>
  <c r="E538" i="4"/>
  <c r="F538" i="4"/>
  <c r="G538" i="4"/>
  <c r="H538" i="4"/>
  <c r="I538" i="4"/>
  <c r="J538" i="4"/>
  <c r="K538" i="4"/>
  <c r="B539" i="4"/>
  <c r="C539" i="4"/>
  <c r="D539" i="4"/>
  <c r="E539" i="4"/>
  <c r="F539" i="4"/>
  <c r="G539" i="4"/>
  <c r="H539" i="4"/>
  <c r="I539" i="4"/>
  <c r="J539" i="4"/>
  <c r="K539" i="4"/>
  <c r="B540" i="4"/>
  <c r="C540" i="4"/>
  <c r="D540" i="4"/>
  <c r="E540" i="4"/>
  <c r="F540" i="4"/>
  <c r="G540" i="4"/>
  <c r="H540" i="4"/>
  <c r="I540" i="4"/>
  <c r="J540" i="4"/>
  <c r="K540" i="4"/>
  <c r="B541" i="4"/>
  <c r="C541" i="4"/>
  <c r="D541" i="4"/>
  <c r="E541" i="4"/>
  <c r="F541" i="4"/>
  <c r="G541" i="4"/>
  <c r="H541" i="4"/>
  <c r="I541" i="4"/>
  <c r="J541" i="4"/>
  <c r="K541" i="4"/>
  <c r="B542" i="4"/>
  <c r="C542" i="4"/>
  <c r="D542" i="4"/>
  <c r="E542" i="4"/>
  <c r="F542" i="4"/>
  <c r="G542" i="4"/>
  <c r="H542" i="4"/>
  <c r="I542" i="4"/>
  <c r="J542" i="4"/>
  <c r="K542" i="4"/>
  <c r="B543" i="4"/>
  <c r="C543" i="4"/>
  <c r="D543" i="4"/>
  <c r="E543" i="4"/>
  <c r="F543" i="4"/>
  <c r="G543" i="4"/>
  <c r="H543" i="4"/>
  <c r="I543" i="4"/>
  <c r="J543" i="4"/>
  <c r="K543" i="4"/>
  <c r="B544" i="4"/>
  <c r="C544" i="4"/>
  <c r="D544" i="4"/>
  <c r="E544" i="4"/>
  <c r="F544" i="4"/>
  <c r="G544" i="4"/>
  <c r="H544" i="4"/>
  <c r="I544" i="4"/>
  <c r="J544" i="4"/>
  <c r="K544" i="4"/>
  <c r="B545" i="4"/>
  <c r="C545" i="4"/>
  <c r="D545" i="4"/>
  <c r="E545" i="4"/>
  <c r="F545" i="4"/>
  <c r="G545" i="4"/>
  <c r="H545" i="4"/>
  <c r="I545" i="4"/>
  <c r="J545" i="4"/>
  <c r="K545" i="4"/>
  <c r="B546" i="4"/>
  <c r="C546" i="4"/>
  <c r="D546" i="4"/>
  <c r="E546" i="4"/>
  <c r="F546" i="4"/>
  <c r="G546" i="4"/>
  <c r="H546" i="4"/>
  <c r="I546" i="4"/>
  <c r="J546" i="4"/>
  <c r="K546" i="4"/>
  <c r="B547" i="4"/>
  <c r="C547" i="4"/>
  <c r="D547" i="4"/>
  <c r="E547" i="4"/>
  <c r="F547" i="4"/>
  <c r="G547" i="4"/>
  <c r="H547" i="4"/>
  <c r="I547" i="4"/>
  <c r="J547" i="4"/>
  <c r="K547" i="4"/>
  <c r="B548" i="4"/>
  <c r="C548" i="4"/>
  <c r="D548" i="4"/>
  <c r="E548" i="4"/>
  <c r="F548" i="4"/>
  <c r="G548" i="4"/>
  <c r="H548" i="4"/>
  <c r="I548" i="4"/>
  <c r="J548" i="4"/>
  <c r="K548" i="4"/>
  <c r="B549" i="4"/>
  <c r="C549" i="4"/>
  <c r="D549" i="4"/>
  <c r="E549" i="4"/>
  <c r="F549" i="4"/>
  <c r="G549" i="4"/>
  <c r="H549" i="4"/>
  <c r="I549" i="4"/>
  <c r="J549" i="4"/>
  <c r="K549" i="4"/>
  <c r="B550" i="4"/>
  <c r="C550" i="4"/>
  <c r="D550" i="4"/>
  <c r="E550" i="4"/>
  <c r="F550" i="4"/>
  <c r="G550" i="4"/>
  <c r="H550" i="4"/>
  <c r="I550" i="4"/>
  <c r="J550" i="4"/>
  <c r="K550" i="4"/>
  <c r="B551" i="4"/>
  <c r="C551" i="4"/>
  <c r="D551" i="4"/>
  <c r="E551" i="4"/>
  <c r="F551" i="4"/>
  <c r="G551" i="4"/>
  <c r="H551" i="4"/>
  <c r="I551" i="4"/>
  <c r="J551" i="4"/>
  <c r="K551" i="4"/>
  <c r="B552" i="4"/>
  <c r="C552" i="4"/>
  <c r="D552" i="4"/>
  <c r="E552" i="4"/>
  <c r="F552" i="4"/>
  <c r="G552" i="4"/>
  <c r="H552" i="4"/>
  <c r="I552" i="4"/>
  <c r="J552" i="4"/>
  <c r="K552" i="4"/>
  <c r="B553" i="4"/>
  <c r="C553" i="4"/>
  <c r="D553" i="4"/>
  <c r="E553" i="4"/>
  <c r="F553" i="4"/>
  <c r="G553" i="4"/>
  <c r="H553" i="4"/>
  <c r="I553" i="4"/>
  <c r="J553" i="4"/>
  <c r="K553" i="4"/>
  <c r="B554" i="4"/>
  <c r="C554" i="4"/>
  <c r="D554" i="4"/>
  <c r="E554" i="4"/>
  <c r="F554" i="4"/>
  <c r="G554" i="4"/>
  <c r="H554" i="4"/>
  <c r="I554" i="4"/>
  <c r="J554" i="4"/>
  <c r="K554" i="4"/>
  <c r="B555" i="4"/>
  <c r="C555" i="4"/>
  <c r="D555" i="4"/>
  <c r="E555" i="4"/>
  <c r="F555" i="4"/>
  <c r="G555" i="4"/>
  <c r="H555" i="4"/>
  <c r="I555" i="4"/>
  <c r="J555" i="4"/>
  <c r="K555" i="4"/>
  <c r="B556" i="4"/>
  <c r="C556" i="4"/>
  <c r="D556" i="4"/>
  <c r="E556" i="4"/>
  <c r="F556" i="4"/>
  <c r="G556" i="4"/>
  <c r="H556" i="4"/>
  <c r="I556" i="4"/>
  <c r="J556" i="4"/>
  <c r="K556" i="4"/>
  <c r="B557" i="4"/>
  <c r="C557" i="4"/>
  <c r="D557" i="4"/>
  <c r="E557" i="4"/>
  <c r="F557" i="4"/>
  <c r="G557" i="4"/>
  <c r="H557" i="4"/>
  <c r="I557" i="4"/>
  <c r="J557" i="4"/>
  <c r="K557" i="4"/>
  <c r="B558" i="4"/>
  <c r="C558" i="4"/>
  <c r="D558" i="4"/>
  <c r="E558" i="4"/>
  <c r="F558" i="4"/>
  <c r="G558" i="4"/>
  <c r="H558" i="4"/>
  <c r="I558" i="4"/>
  <c r="J558" i="4"/>
  <c r="K558" i="4"/>
  <c r="B559" i="4"/>
  <c r="C559" i="4"/>
  <c r="D559" i="4"/>
  <c r="E559" i="4"/>
  <c r="F559" i="4"/>
  <c r="G559" i="4"/>
  <c r="H559" i="4"/>
  <c r="I559" i="4"/>
  <c r="J559" i="4"/>
  <c r="K559" i="4"/>
  <c r="B560" i="4"/>
  <c r="C560" i="4"/>
  <c r="D560" i="4"/>
  <c r="E560" i="4"/>
  <c r="F560" i="4"/>
  <c r="G560" i="4"/>
  <c r="H560" i="4"/>
  <c r="I560" i="4"/>
  <c r="J560" i="4"/>
  <c r="K560" i="4"/>
  <c r="B561" i="4"/>
  <c r="C561" i="4"/>
  <c r="D561" i="4"/>
  <c r="E561" i="4"/>
  <c r="F561" i="4"/>
  <c r="G561" i="4"/>
  <c r="H561" i="4"/>
  <c r="I561" i="4"/>
  <c r="J561" i="4"/>
  <c r="K561" i="4"/>
  <c r="B562" i="4"/>
  <c r="C562" i="4"/>
  <c r="D562" i="4"/>
  <c r="E562" i="4"/>
  <c r="F562" i="4"/>
  <c r="G562" i="4"/>
  <c r="H562" i="4"/>
  <c r="I562" i="4"/>
  <c r="J562" i="4"/>
  <c r="K562" i="4"/>
  <c r="B563" i="4"/>
  <c r="C563" i="4"/>
  <c r="D563" i="4"/>
  <c r="E563" i="4"/>
  <c r="F563" i="4"/>
  <c r="G563" i="4"/>
  <c r="H563" i="4"/>
  <c r="I563" i="4"/>
  <c r="J563" i="4"/>
  <c r="K563" i="4"/>
  <c r="B564" i="4"/>
  <c r="C564" i="4"/>
  <c r="D564" i="4"/>
  <c r="E564" i="4"/>
  <c r="F564" i="4"/>
  <c r="G564" i="4"/>
  <c r="H564" i="4"/>
  <c r="I564" i="4"/>
  <c r="J564" i="4"/>
  <c r="K564" i="4"/>
  <c r="B565" i="4"/>
  <c r="C565" i="4"/>
  <c r="D565" i="4"/>
  <c r="E565" i="4"/>
  <c r="F565" i="4"/>
  <c r="G565" i="4"/>
  <c r="H565" i="4"/>
  <c r="I565" i="4"/>
  <c r="J565" i="4"/>
  <c r="K565" i="4"/>
  <c r="B566" i="4"/>
  <c r="C566" i="4"/>
  <c r="D566" i="4"/>
  <c r="E566" i="4"/>
  <c r="F566" i="4"/>
  <c r="G566" i="4"/>
  <c r="H566" i="4"/>
  <c r="I566" i="4"/>
  <c r="J566" i="4"/>
  <c r="K566" i="4"/>
  <c r="B567" i="4"/>
  <c r="C567" i="4"/>
  <c r="D567" i="4"/>
  <c r="E567" i="4"/>
  <c r="F567" i="4"/>
  <c r="G567" i="4"/>
  <c r="H567" i="4"/>
  <c r="I567" i="4"/>
  <c r="J567" i="4"/>
  <c r="K567" i="4"/>
  <c r="B568" i="4"/>
  <c r="C568" i="4"/>
  <c r="D568" i="4"/>
  <c r="E568" i="4"/>
  <c r="F568" i="4"/>
  <c r="G568" i="4"/>
  <c r="H568" i="4"/>
  <c r="I568" i="4"/>
  <c r="J568" i="4"/>
  <c r="K568" i="4"/>
  <c r="B569" i="4"/>
  <c r="C569" i="4"/>
  <c r="D569" i="4"/>
  <c r="E569" i="4"/>
  <c r="F569" i="4"/>
  <c r="G569" i="4"/>
  <c r="H569" i="4"/>
  <c r="I569" i="4"/>
  <c r="J569" i="4"/>
  <c r="K569" i="4"/>
  <c r="B570" i="4"/>
  <c r="C570" i="4"/>
  <c r="D570" i="4"/>
  <c r="E570" i="4"/>
  <c r="F570" i="4"/>
  <c r="G570" i="4"/>
  <c r="H570" i="4"/>
  <c r="I570" i="4"/>
  <c r="J570" i="4"/>
  <c r="K570" i="4"/>
  <c r="B571" i="4"/>
  <c r="C571" i="4"/>
  <c r="D571" i="4"/>
  <c r="E571" i="4"/>
  <c r="F571" i="4"/>
  <c r="G571" i="4"/>
  <c r="H571" i="4"/>
  <c r="I571" i="4"/>
  <c r="J571" i="4"/>
  <c r="K571" i="4"/>
  <c r="B572" i="4"/>
  <c r="C572" i="4"/>
  <c r="D572" i="4"/>
  <c r="E572" i="4"/>
  <c r="F572" i="4"/>
  <c r="G572" i="4"/>
  <c r="H572" i="4"/>
  <c r="I572" i="4"/>
  <c r="J572" i="4"/>
  <c r="K572" i="4"/>
  <c r="B573" i="4"/>
  <c r="C573" i="4"/>
  <c r="D573" i="4"/>
  <c r="E573" i="4"/>
  <c r="F573" i="4"/>
  <c r="G573" i="4"/>
  <c r="H573" i="4"/>
  <c r="I573" i="4"/>
  <c r="J573" i="4"/>
  <c r="K573" i="4"/>
  <c r="B574" i="4"/>
  <c r="C574" i="4"/>
  <c r="D574" i="4"/>
  <c r="E574" i="4"/>
  <c r="F574" i="4"/>
  <c r="G574" i="4"/>
  <c r="H574" i="4"/>
  <c r="I574" i="4"/>
  <c r="J574" i="4"/>
  <c r="K574" i="4"/>
  <c r="B575" i="4"/>
  <c r="C575" i="4"/>
  <c r="D575" i="4"/>
  <c r="E575" i="4"/>
  <c r="F575" i="4"/>
  <c r="G575" i="4"/>
  <c r="H575" i="4"/>
  <c r="I575" i="4"/>
  <c r="J575" i="4"/>
  <c r="K575" i="4"/>
  <c r="B576" i="4"/>
  <c r="C576" i="4"/>
  <c r="D576" i="4"/>
  <c r="E576" i="4"/>
  <c r="F576" i="4"/>
  <c r="G576" i="4"/>
  <c r="H576" i="4"/>
  <c r="I576" i="4"/>
  <c r="J576" i="4"/>
  <c r="K576" i="4"/>
  <c r="B577" i="4"/>
  <c r="C577" i="4"/>
  <c r="D577" i="4"/>
  <c r="E577" i="4"/>
  <c r="F577" i="4"/>
  <c r="G577" i="4"/>
  <c r="H577" i="4"/>
  <c r="I577" i="4"/>
  <c r="J577" i="4"/>
  <c r="K577" i="4"/>
  <c r="B578" i="4"/>
  <c r="C578" i="4"/>
  <c r="D578" i="4"/>
  <c r="E578" i="4"/>
  <c r="F578" i="4"/>
  <c r="G578" i="4"/>
  <c r="H578" i="4"/>
  <c r="I578" i="4"/>
  <c r="J578" i="4"/>
  <c r="K578" i="4"/>
  <c r="B579" i="4"/>
  <c r="C579" i="4"/>
  <c r="D579" i="4"/>
  <c r="E579" i="4"/>
  <c r="F579" i="4"/>
  <c r="G579" i="4"/>
  <c r="H579" i="4"/>
  <c r="I579" i="4"/>
  <c r="J579" i="4"/>
  <c r="K579" i="4"/>
  <c r="B580" i="4"/>
  <c r="C580" i="4"/>
  <c r="D580" i="4"/>
  <c r="E580" i="4"/>
  <c r="F580" i="4"/>
  <c r="G580" i="4"/>
  <c r="H580" i="4"/>
  <c r="I580" i="4"/>
  <c r="J580" i="4"/>
  <c r="K580" i="4"/>
  <c r="B581" i="4"/>
  <c r="C581" i="4"/>
  <c r="D581" i="4"/>
  <c r="E581" i="4"/>
  <c r="F581" i="4"/>
  <c r="G581" i="4"/>
  <c r="H581" i="4"/>
  <c r="I581" i="4"/>
  <c r="J581" i="4"/>
  <c r="K581" i="4"/>
  <c r="B582" i="4"/>
  <c r="C582" i="4"/>
  <c r="D582" i="4"/>
  <c r="E582" i="4"/>
  <c r="F582" i="4"/>
  <c r="G582" i="4"/>
  <c r="H582" i="4"/>
  <c r="I582" i="4"/>
  <c r="J582" i="4"/>
  <c r="K582" i="4"/>
  <c r="B583" i="4"/>
  <c r="C583" i="4"/>
  <c r="D583" i="4"/>
  <c r="E583" i="4"/>
  <c r="F583" i="4"/>
  <c r="G583" i="4"/>
  <c r="H583" i="4"/>
  <c r="I583" i="4"/>
  <c r="J583" i="4"/>
  <c r="K583" i="4"/>
  <c r="B584" i="4"/>
  <c r="C584" i="4"/>
  <c r="D584" i="4"/>
  <c r="E584" i="4"/>
  <c r="F584" i="4"/>
  <c r="G584" i="4"/>
  <c r="H584" i="4"/>
  <c r="I584" i="4"/>
  <c r="J584" i="4"/>
  <c r="K584" i="4"/>
  <c r="B585" i="4"/>
  <c r="C585" i="4"/>
  <c r="D585" i="4"/>
  <c r="E585" i="4"/>
  <c r="F585" i="4"/>
  <c r="G585" i="4"/>
  <c r="H585" i="4"/>
  <c r="I585" i="4"/>
  <c r="J585" i="4"/>
  <c r="K585" i="4"/>
  <c r="B586" i="4"/>
  <c r="C586" i="4"/>
  <c r="D586" i="4"/>
  <c r="E586" i="4"/>
  <c r="F586" i="4"/>
  <c r="G586" i="4"/>
  <c r="H586" i="4"/>
  <c r="I586" i="4"/>
  <c r="J586" i="4"/>
  <c r="K586" i="4"/>
  <c r="B587" i="4"/>
  <c r="C587" i="4"/>
  <c r="D587" i="4"/>
  <c r="E587" i="4"/>
  <c r="F587" i="4"/>
  <c r="G587" i="4"/>
  <c r="H587" i="4"/>
  <c r="I587" i="4"/>
  <c r="J587" i="4"/>
  <c r="K587" i="4"/>
  <c r="B588" i="4"/>
  <c r="C588" i="4"/>
  <c r="D588" i="4"/>
  <c r="E588" i="4"/>
  <c r="F588" i="4"/>
  <c r="G588" i="4"/>
  <c r="H588" i="4"/>
  <c r="I588" i="4"/>
  <c r="J588" i="4"/>
  <c r="K588" i="4"/>
  <c r="B589" i="4"/>
  <c r="C589" i="4"/>
  <c r="D589" i="4"/>
  <c r="E589" i="4"/>
  <c r="F589" i="4"/>
  <c r="G589" i="4"/>
  <c r="H589" i="4"/>
  <c r="I589" i="4"/>
  <c r="J589" i="4"/>
  <c r="K589" i="4"/>
  <c r="B590" i="4"/>
  <c r="C590" i="4"/>
  <c r="D590" i="4"/>
  <c r="E590" i="4"/>
  <c r="F590" i="4"/>
  <c r="G590" i="4"/>
  <c r="H590" i="4"/>
  <c r="I590" i="4"/>
  <c r="J590" i="4"/>
  <c r="K590" i="4"/>
  <c r="B591" i="4"/>
  <c r="C591" i="4"/>
  <c r="D591" i="4"/>
  <c r="E591" i="4"/>
  <c r="F591" i="4"/>
  <c r="G591" i="4"/>
  <c r="H591" i="4"/>
  <c r="I591" i="4"/>
  <c r="J591" i="4"/>
  <c r="K591" i="4"/>
  <c r="B592" i="4"/>
  <c r="C592" i="4"/>
  <c r="D592" i="4"/>
  <c r="E592" i="4"/>
  <c r="F592" i="4"/>
  <c r="G592" i="4"/>
  <c r="H592" i="4"/>
  <c r="I592" i="4"/>
  <c r="J592" i="4"/>
  <c r="K592" i="4"/>
  <c r="B593" i="4"/>
  <c r="C593" i="4"/>
  <c r="D593" i="4"/>
  <c r="E593" i="4"/>
  <c r="F593" i="4"/>
  <c r="G593" i="4"/>
  <c r="H593" i="4"/>
  <c r="I593" i="4"/>
  <c r="J593" i="4"/>
  <c r="K593" i="4"/>
  <c r="B594" i="4"/>
  <c r="C594" i="4"/>
  <c r="D594" i="4"/>
  <c r="E594" i="4"/>
  <c r="F594" i="4"/>
  <c r="G594" i="4"/>
  <c r="H594" i="4"/>
  <c r="I594" i="4"/>
  <c r="J594" i="4"/>
  <c r="K594" i="4"/>
  <c r="B595" i="4"/>
  <c r="C595" i="4"/>
  <c r="D595" i="4"/>
  <c r="E595" i="4"/>
  <c r="F595" i="4"/>
  <c r="G595" i="4"/>
  <c r="H595" i="4"/>
  <c r="I595" i="4"/>
  <c r="J595" i="4"/>
  <c r="K595" i="4"/>
  <c r="B596" i="4"/>
  <c r="C596" i="4"/>
  <c r="D596" i="4"/>
  <c r="E596" i="4"/>
  <c r="F596" i="4"/>
  <c r="G596" i="4"/>
  <c r="H596" i="4"/>
  <c r="I596" i="4"/>
  <c r="J596" i="4"/>
  <c r="K596" i="4"/>
  <c r="B597" i="4"/>
  <c r="C597" i="4"/>
  <c r="D597" i="4"/>
  <c r="E597" i="4"/>
  <c r="F597" i="4"/>
  <c r="G597" i="4"/>
  <c r="H597" i="4"/>
  <c r="I597" i="4"/>
  <c r="J597" i="4"/>
  <c r="K597" i="4"/>
  <c r="B598" i="4"/>
  <c r="C598" i="4"/>
  <c r="D598" i="4"/>
  <c r="E598" i="4"/>
  <c r="F598" i="4"/>
  <c r="G598" i="4"/>
  <c r="H598" i="4"/>
  <c r="I598" i="4"/>
  <c r="J598" i="4"/>
  <c r="K598" i="4"/>
  <c r="B599" i="4"/>
  <c r="C599" i="4"/>
  <c r="D599" i="4"/>
  <c r="E599" i="4"/>
  <c r="F599" i="4"/>
  <c r="G599" i="4"/>
  <c r="H599" i="4"/>
  <c r="I599" i="4"/>
  <c r="J599" i="4"/>
  <c r="K599" i="4"/>
  <c r="B600" i="4"/>
  <c r="C600" i="4"/>
  <c r="D600" i="4"/>
  <c r="E600" i="4"/>
  <c r="F600" i="4"/>
  <c r="G600" i="4"/>
  <c r="H600" i="4"/>
  <c r="I600" i="4"/>
  <c r="J600" i="4"/>
  <c r="K600" i="4"/>
  <c r="B601" i="4"/>
  <c r="C601" i="4"/>
  <c r="D601" i="4"/>
  <c r="E601" i="4"/>
  <c r="F601" i="4"/>
  <c r="G601" i="4"/>
  <c r="H601" i="4"/>
  <c r="I601" i="4"/>
  <c r="J601" i="4"/>
  <c r="K601" i="4"/>
  <c r="B602" i="4"/>
  <c r="C602" i="4"/>
  <c r="D602" i="4"/>
  <c r="E602" i="4"/>
  <c r="F602" i="4"/>
  <c r="G602" i="4"/>
  <c r="H602" i="4"/>
  <c r="I602" i="4"/>
  <c r="J602" i="4"/>
  <c r="K602" i="4"/>
  <c r="B603" i="4"/>
  <c r="C603" i="4"/>
  <c r="D603" i="4"/>
  <c r="E603" i="4"/>
  <c r="F603" i="4"/>
  <c r="G603" i="4"/>
  <c r="H603" i="4"/>
  <c r="I603" i="4"/>
  <c r="J603" i="4"/>
  <c r="K603" i="4"/>
  <c r="B604" i="4"/>
  <c r="C604" i="4"/>
  <c r="D604" i="4"/>
  <c r="E604" i="4"/>
  <c r="F604" i="4"/>
  <c r="G604" i="4"/>
  <c r="H604" i="4"/>
  <c r="I604" i="4"/>
  <c r="J604" i="4"/>
  <c r="K604" i="4"/>
  <c r="B605" i="4"/>
  <c r="C605" i="4"/>
  <c r="D605" i="4"/>
  <c r="E605" i="4"/>
  <c r="F605" i="4"/>
  <c r="G605" i="4"/>
  <c r="H605" i="4"/>
  <c r="I605" i="4"/>
  <c r="J605" i="4"/>
  <c r="K605" i="4"/>
  <c r="B606" i="4"/>
  <c r="C606" i="4"/>
  <c r="D606" i="4"/>
  <c r="E606" i="4"/>
  <c r="F606" i="4"/>
  <c r="G606" i="4"/>
  <c r="H606" i="4"/>
  <c r="I606" i="4"/>
  <c r="J606" i="4"/>
  <c r="K606" i="4"/>
  <c r="B607" i="4"/>
  <c r="C607" i="4"/>
  <c r="D607" i="4"/>
  <c r="E607" i="4"/>
  <c r="F607" i="4"/>
  <c r="G607" i="4"/>
  <c r="H607" i="4"/>
  <c r="I607" i="4"/>
  <c r="J607" i="4"/>
  <c r="K607" i="4"/>
  <c r="B608" i="4"/>
  <c r="C608" i="4"/>
  <c r="D608" i="4"/>
  <c r="E608" i="4"/>
  <c r="F608" i="4"/>
  <c r="G608" i="4"/>
  <c r="H608" i="4"/>
  <c r="I608" i="4"/>
  <c r="J608" i="4"/>
  <c r="K608" i="4"/>
  <c r="B609" i="4"/>
  <c r="C609" i="4"/>
  <c r="D609" i="4"/>
  <c r="E609" i="4"/>
  <c r="F609" i="4"/>
  <c r="G609" i="4"/>
  <c r="H609" i="4"/>
  <c r="I609" i="4"/>
  <c r="J609" i="4"/>
  <c r="K609" i="4"/>
  <c r="B610" i="4"/>
  <c r="C610" i="4"/>
  <c r="D610" i="4"/>
  <c r="E610" i="4"/>
  <c r="F610" i="4"/>
  <c r="G610" i="4"/>
  <c r="H610" i="4"/>
  <c r="I610" i="4"/>
  <c r="J610" i="4"/>
  <c r="K610" i="4"/>
  <c r="B611" i="4"/>
  <c r="C611" i="4"/>
  <c r="D611" i="4"/>
  <c r="E611" i="4"/>
  <c r="F611" i="4"/>
  <c r="G611" i="4"/>
  <c r="H611" i="4"/>
  <c r="I611" i="4"/>
  <c r="J611" i="4"/>
  <c r="K611" i="4"/>
  <c r="B612" i="4"/>
  <c r="C612" i="4"/>
  <c r="D612" i="4"/>
  <c r="E612" i="4"/>
  <c r="F612" i="4"/>
  <c r="G612" i="4"/>
  <c r="H612" i="4"/>
  <c r="I612" i="4"/>
  <c r="J612" i="4"/>
  <c r="K612" i="4"/>
  <c r="B613" i="4"/>
  <c r="C613" i="4"/>
  <c r="D613" i="4"/>
  <c r="E613" i="4"/>
  <c r="F613" i="4"/>
  <c r="G613" i="4"/>
  <c r="H613" i="4"/>
  <c r="I613" i="4"/>
  <c r="J613" i="4"/>
  <c r="K613" i="4"/>
  <c r="B614" i="4"/>
  <c r="C614" i="4"/>
  <c r="D614" i="4"/>
  <c r="E614" i="4"/>
  <c r="F614" i="4"/>
  <c r="G614" i="4"/>
  <c r="H614" i="4"/>
  <c r="I614" i="4"/>
  <c r="J614" i="4"/>
  <c r="K614" i="4"/>
  <c r="B615" i="4"/>
  <c r="C615" i="4"/>
  <c r="D615" i="4"/>
  <c r="E615" i="4"/>
  <c r="F615" i="4"/>
  <c r="G615" i="4"/>
  <c r="H615" i="4"/>
  <c r="I615" i="4"/>
  <c r="J615" i="4"/>
  <c r="K615" i="4"/>
  <c r="B616" i="4"/>
  <c r="C616" i="4"/>
  <c r="D616" i="4"/>
  <c r="E616" i="4"/>
  <c r="F616" i="4"/>
  <c r="G616" i="4"/>
  <c r="H616" i="4"/>
  <c r="I616" i="4"/>
  <c r="J616" i="4"/>
  <c r="K616" i="4"/>
  <c r="B617" i="4"/>
  <c r="C617" i="4"/>
  <c r="D617" i="4"/>
  <c r="E617" i="4"/>
  <c r="F617" i="4"/>
  <c r="G617" i="4"/>
  <c r="H617" i="4"/>
  <c r="I617" i="4"/>
  <c r="J617" i="4"/>
  <c r="K617" i="4"/>
  <c r="B618" i="4"/>
  <c r="C618" i="4"/>
  <c r="D618" i="4"/>
  <c r="E618" i="4"/>
  <c r="F618" i="4"/>
  <c r="G618" i="4"/>
  <c r="H618" i="4"/>
  <c r="I618" i="4"/>
  <c r="J618" i="4"/>
  <c r="K618" i="4"/>
  <c r="B619" i="4"/>
  <c r="C619" i="4"/>
  <c r="D619" i="4"/>
  <c r="E619" i="4"/>
  <c r="F619" i="4"/>
  <c r="G619" i="4"/>
  <c r="H619" i="4"/>
  <c r="I619" i="4"/>
  <c r="J619" i="4"/>
  <c r="K619" i="4"/>
  <c r="B620" i="4"/>
  <c r="C620" i="4"/>
  <c r="D620" i="4"/>
  <c r="E620" i="4"/>
  <c r="F620" i="4"/>
  <c r="G620" i="4"/>
  <c r="H620" i="4"/>
  <c r="I620" i="4"/>
  <c r="J620" i="4"/>
  <c r="K620" i="4"/>
  <c r="B621" i="4"/>
  <c r="C621" i="4"/>
  <c r="D621" i="4"/>
  <c r="E621" i="4"/>
  <c r="F621" i="4"/>
  <c r="G621" i="4"/>
  <c r="H621" i="4"/>
  <c r="I621" i="4"/>
  <c r="J621" i="4"/>
  <c r="K621" i="4"/>
  <c r="B622" i="4"/>
  <c r="C622" i="4"/>
  <c r="D622" i="4"/>
  <c r="E622" i="4"/>
  <c r="F622" i="4"/>
  <c r="G622" i="4"/>
  <c r="H622" i="4"/>
  <c r="I622" i="4"/>
  <c r="J622" i="4"/>
  <c r="K622" i="4"/>
  <c r="B623" i="4"/>
  <c r="C623" i="4"/>
  <c r="D623" i="4"/>
  <c r="E623" i="4"/>
  <c r="F623" i="4"/>
  <c r="G623" i="4"/>
  <c r="H623" i="4"/>
  <c r="I623" i="4"/>
  <c r="J623" i="4"/>
  <c r="K623" i="4"/>
  <c r="B624" i="4"/>
  <c r="C624" i="4"/>
  <c r="D624" i="4"/>
  <c r="E624" i="4"/>
  <c r="F624" i="4"/>
  <c r="G624" i="4"/>
  <c r="H624" i="4"/>
  <c r="I624" i="4"/>
  <c r="J624" i="4"/>
  <c r="K624" i="4"/>
  <c r="B625" i="4"/>
  <c r="C625" i="4"/>
  <c r="D625" i="4"/>
  <c r="E625" i="4"/>
  <c r="F625" i="4"/>
  <c r="G625" i="4"/>
  <c r="H625" i="4"/>
  <c r="I625" i="4"/>
  <c r="J625" i="4"/>
  <c r="K625" i="4"/>
  <c r="B626" i="4"/>
  <c r="C626" i="4"/>
  <c r="D626" i="4"/>
  <c r="E626" i="4"/>
  <c r="F626" i="4"/>
  <c r="G626" i="4"/>
  <c r="H626" i="4"/>
  <c r="I626" i="4"/>
  <c r="J626" i="4"/>
  <c r="K626" i="4"/>
  <c r="B627" i="4"/>
  <c r="C627" i="4"/>
  <c r="D627" i="4"/>
  <c r="E627" i="4"/>
  <c r="F627" i="4"/>
  <c r="G627" i="4"/>
  <c r="H627" i="4"/>
  <c r="I627" i="4"/>
  <c r="J627" i="4"/>
  <c r="K627" i="4"/>
  <c r="B628" i="4"/>
  <c r="C628" i="4"/>
  <c r="D628" i="4"/>
  <c r="E628" i="4"/>
  <c r="F628" i="4"/>
  <c r="G628" i="4"/>
  <c r="H628" i="4"/>
  <c r="I628" i="4"/>
  <c r="J628" i="4"/>
  <c r="K628" i="4"/>
  <c r="B629" i="4"/>
  <c r="C629" i="4"/>
  <c r="D629" i="4"/>
  <c r="E629" i="4"/>
  <c r="F629" i="4"/>
  <c r="G629" i="4"/>
  <c r="H629" i="4"/>
  <c r="I629" i="4"/>
  <c r="J629" i="4"/>
  <c r="K629" i="4"/>
  <c r="B630" i="4"/>
  <c r="C630" i="4"/>
  <c r="D630" i="4"/>
  <c r="E630" i="4"/>
  <c r="F630" i="4"/>
  <c r="G630" i="4"/>
  <c r="H630" i="4"/>
  <c r="I630" i="4"/>
  <c r="J630" i="4"/>
  <c r="K630" i="4"/>
  <c r="B631" i="4"/>
  <c r="C631" i="4"/>
  <c r="D631" i="4"/>
  <c r="E631" i="4"/>
  <c r="F631" i="4"/>
  <c r="G631" i="4"/>
  <c r="H631" i="4"/>
  <c r="I631" i="4"/>
  <c r="J631" i="4"/>
  <c r="K631" i="4"/>
  <c r="B632" i="4"/>
  <c r="C632" i="4"/>
  <c r="D632" i="4"/>
  <c r="E632" i="4"/>
  <c r="F632" i="4"/>
  <c r="G632" i="4"/>
  <c r="H632" i="4"/>
  <c r="I632" i="4"/>
  <c r="J632" i="4"/>
  <c r="K632" i="4"/>
  <c r="B633" i="4"/>
  <c r="C633" i="4"/>
  <c r="D633" i="4"/>
  <c r="E633" i="4"/>
  <c r="F633" i="4"/>
  <c r="G633" i="4"/>
  <c r="H633" i="4"/>
  <c r="I633" i="4"/>
  <c r="J633" i="4"/>
  <c r="K633" i="4"/>
  <c r="B634" i="4"/>
  <c r="C634" i="4"/>
  <c r="D634" i="4"/>
  <c r="E634" i="4"/>
  <c r="F634" i="4"/>
  <c r="G634" i="4"/>
  <c r="H634" i="4"/>
  <c r="I634" i="4"/>
  <c r="J634" i="4"/>
  <c r="K634" i="4"/>
  <c r="B635" i="4"/>
  <c r="C635" i="4"/>
  <c r="D635" i="4"/>
  <c r="E635" i="4"/>
  <c r="F635" i="4"/>
  <c r="G635" i="4"/>
  <c r="H635" i="4"/>
  <c r="I635" i="4"/>
  <c r="J635" i="4"/>
  <c r="K635" i="4"/>
  <c r="B636" i="4"/>
  <c r="C636" i="4"/>
  <c r="D636" i="4"/>
  <c r="E636" i="4"/>
  <c r="F636" i="4"/>
  <c r="G636" i="4"/>
  <c r="H636" i="4"/>
  <c r="I636" i="4"/>
  <c r="J636" i="4"/>
  <c r="K636" i="4"/>
  <c r="B637" i="4"/>
  <c r="C637" i="4"/>
  <c r="D637" i="4"/>
  <c r="E637" i="4"/>
  <c r="F637" i="4"/>
  <c r="G637" i="4"/>
  <c r="H637" i="4"/>
  <c r="I637" i="4"/>
  <c r="J637" i="4"/>
  <c r="K637" i="4"/>
  <c r="B638" i="4"/>
  <c r="C638" i="4"/>
  <c r="D638" i="4"/>
  <c r="E638" i="4"/>
  <c r="F638" i="4"/>
  <c r="G638" i="4"/>
  <c r="H638" i="4"/>
  <c r="I638" i="4"/>
  <c r="J638" i="4"/>
  <c r="K638" i="4"/>
  <c r="B639" i="4"/>
  <c r="C639" i="4"/>
  <c r="D639" i="4"/>
  <c r="E639" i="4"/>
  <c r="F639" i="4"/>
  <c r="G639" i="4"/>
  <c r="H639" i="4"/>
  <c r="I639" i="4"/>
  <c r="J639" i="4"/>
  <c r="K639" i="4"/>
  <c r="B640" i="4"/>
  <c r="C640" i="4"/>
  <c r="D640" i="4"/>
  <c r="E640" i="4"/>
  <c r="F640" i="4"/>
  <c r="G640" i="4"/>
  <c r="H640" i="4"/>
  <c r="I640" i="4"/>
  <c r="J640" i="4"/>
  <c r="K640" i="4"/>
  <c r="B641" i="4"/>
  <c r="C641" i="4"/>
  <c r="D641" i="4"/>
  <c r="E641" i="4"/>
  <c r="F641" i="4"/>
  <c r="G641" i="4"/>
  <c r="H641" i="4"/>
  <c r="I641" i="4"/>
  <c r="J641" i="4"/>
  <c r="K641" i="4"/>
  <c r="B642" i="4"/>
  <c r="C642" i="4"/>
  <c r="D642" i="4"/>
  <c r="E642" i="4"/>
  <c r="F642" i="4"/>
  <c r="G642" i="4"/>
  <c r="H642" i="4"/>
  <c r="I642" i="4"/>
  <c r="J642" i="4"/>
  <c r="K642" i="4"/>
  <c r="B643" i="4"/>
  <c r="C643" i="4"/>
  <c r="D643" i="4"/>
  <c r="E643" i="4"/>
  <c r="F643" i="4"/>
  <c r="G643" i="4"/>
  <c r="H643" i="4"/>
  <c r="I643" i="4"/>
  <c r="J643" i="4"/>
  <c r="K643" i="4"/>
  <c r="B644" i="4"/>
  <c r="C644" i="4"/>
  <c r="D644" i="4"/>
  <c r="E644" i="4"/>
  <c r="F644" i="4"/>
  <c r="G644" i="4"/>
  <c r="H644" i="4"/>
  <c r="I644" i="4"/>
  <c r="J644" i="4"/>
  <c r="K644" i="4"/>
  <c r="B645" i="4"/>
  <c r="C645" i="4"/>
  <c r="D645" i="4"/>
  <c r="E645" i="4"/>
  <c r="F645" i="4"/>
  <c r="G645" i="4"/>
  <c r="H645" i="4"/>
  <c r="I645" i="4"/>
  <c r="J645" i="4"/>
  <c r="K645" i="4"/>
  <c r="B646" i="4"/>
  <c r="C646" i="4"/>
  <c r="D646" i="4"/>
  <c r="E646" i="4"/>
  <c r="F646" i="4"/>
  <c r="G646" i="4"/>
  <c r="H646" i="4"/>
  <c r="I646" i="4"/>
  <c r="J646" i="4"/>
  <c r="K646" i="4"/>
  <c r="B647" i="4"/>
  <c r="C647" i="4"/>
  <c r="D647" i="4"/>
  <c r="E647" i="4"/>
  <c r="F647" i="4"/>
  <c r="G647" i="4"/>
  <c r="H647" i="4"/>
  <c r="I647" i="4"/>
  <c r="J647" i="4"/>
  <c r="K647" i="4"/>
  <c r="B648" i="4"/>
  <c r="C648" i="4"/>
  <c r="D648" i="4"/>
  <c r="E648" i="4"/>
  <c r="F648" i="4"/>
  <c r="G648" i="4"/>
  <c r="H648" i="4"/>
  <c r="I648" i="4"/>
  <c r="J648" i="4"/>
  <c r="K648" i="4"/>
  <c r="B649" i="4"/>
  <c r="C649" i="4"/>
  <c r="D649" i="4"/>
  <c r="E649" i="4"/>
  <c r="F649" i="4"/>
  <c r="G649" i="4"/>
  <c r="H649" i="4"/>
  <c r="I649" i="4"/>
  <c r="J649" i="4"/>
  <c r="K649" i="4"/>
  <c r="B650" i="4"/>
  <c r="C650" i="4"/>
  <c r="D650" i="4"/>
  <c r="E650" i="4"/>
  <c r="F650" i="4"/>
  <c r="G650" i="4"/>
  <c r="H650" i="4"/>
  <c r="I650" i="4"/>
  <c r="J650" i="4"/>
  <c r="K650" i="4"/>
  <c r="B651" i="4"/>
  <c r="C651" i="4"/>
  <c r="D651" i="4"/>
  <c r="E651" i="4"/>
  <c r="F651" i="4"/>
  <c r="G651" i="4"/>
  <c r="H651" i="4"/>
  <c r="I651" i="4"/>
  <c r="J651" i="4"/>
  <c r="K651" i="4"/>
  <c r="B652" i="4"/>
  <c r="C652" i="4"/>
  <c r="D652" i="4"/>
  <c r="E652" i="4"/>
  <c r="F652" i="4"/>
  <c r="G652" i="4"/>
  <c r="H652" i="4"/>
  <c r="I652" i="4"/>
  <c r="J652" i="4"/>
  <c r="K652" i="4"/>
  <c r="B653" i="4"/>
  <c r="C653" i="4"/>
  <c r="D653" i="4"/>
  <c r="E653" i="4"/>
  <c r="F653" i="4"/>
  <c r="G653" i="4"/>
  <c r="H653" i="4"/>
  <c r="I653" i="4"/>
  <c r="J653" i="4"/>
  <c r="K653" i="4"/>
  <c r="B654" i="4"/>
  <c r="C654" i="4"/>
  <c r="D654" i="4"/>
  <c r="E654" i="4"/>
  <c r="F654" i="4"/>
  <c r="G654" i="4"/>
  <c r="H654" i="4"/>
  <c r="I654" i="4"/>
  <c r="J654" i="4"/>
  <c r="K654" i="4"/>
  <c r="B655" i="4"/>
  <c r="C655" i="4"/>
  <c r="D655" i="4"/>
  <c r="E655" i="4"/>
  <c r="F655" i="4"/>
  <c r="G655" i="4"/>
  <c r="H655" i="4"/>
  <c r="I655" i="4"/>
  <c r="J655" i="4"/>
  <c r="K655" i="4"/>
  <c r="B656" i="4"/>
  <c r="C656" i="4"/>
  <c r="D656" i="4"/>
  <c r="E656" i="4"/>
  <c r="F656" i="4"/>
  <c r="G656" i="4"/>
  <c r="H656" i="4"/>
  <c r="I656" i="4"/>
  <c r="J656" i="4"/>
  <c r="K656" i="4"/>
  <c r="B657" i="4"/>
  <c r="C657" i="4"/>
  <c r="D657" i="4"/>
  <c r="E657" i="4"/>
  <c r="F657" i="4"/>
  <c r="G657" i="4"/>
  <c r="H657" i="4"/>
  <c r="I657" i="4"/>
  <c r="J657" i="4"/>
  <c r="K657" i="4"/>
  <c r="B658" i="4"/>
  <c r="C658" i="4"/>
  <c r="D658" i="4"/>
  <c r="E658" i="4"/>
  <c r="F658" i="4"/>
  <c r="G658" i="4"/>
  <c r="H658" i="4"/>
  <c r="I658" i="4"/>
  <c r="J658" i="4"/>
  <c r="K658" i="4"/>
  <c r="B659" i="4"/>
  <c r="C659" i="4"/>
  <c r="D659" i="4"/>
  <c r="E659" i="4"/>
  <c r="F659" i="4"/>
  <c r="G659" i="4"/>
  <c r="H659" i="4"/>
  <c r="I659" i="4"/>
  <c r="J659" i="4"/>
  <c r="K659" i="4"/>
  <c r="B660" i="4"/>
  <c r="C660" i="4"/>
  <c r="D660" i="4"/>
  <c r="E660" i="4"/>
  <c r="F660" i="4"/>
  <c r="G660" i="4"/>
  <c r="H660" i="4"/>
  <c r="I660" i="4"/>
  <c r="J660" i="4"/>
  <c r="K660" i="4"/>
  <c r="B661" i="4"/>
  <c r="C661" i="4"/>
  <c r="D661" i="4"/>
  <c r="E661" i="4"/>
  <c r="F661" i="4"/>
  <c r="G661" i="4"/>
  <c r="H661" i="4"/>
  <c r="I661" i="4"/>
  <c r="J661" i="4"/>
  <c r="K661" i="4"/>
  <c r="B662" i="4"/>
  <c r="C662" i="4"/>
  <c r="D662" i="4"/>
  <c r="E662" i="4"/>
  <c r="F662" i="4"/>
  <c r="G662" i="4"/>
  <c r="H662" i="4"/>
  <c r="I662" i="4"/>
  <c r="J662" i="4"/>
  <c r="K662" i="4"/>
  <c r="B663" i="4"/>
  <c r="C663" i="4"/>
  <c r="D663" i="4"/>
  <c r="E663" i="4"/>
  <c r="F663" i="4"/>
  <c r="G663" i="4"/>
  <c r="H663" i="4"/>
  <c r="I663" i="4"/>
  <c r="J663" i="4"/>
  <c r="K663" i="4"/>
  <c r="B664" i="4"/>
  <c r="C664" i="4"/>
  <c r="D664" i="4"/>
  <c r="E664" i="4"/>
  <c r="F664" i="4"/>
  <c r="G664" i="4"/>
  <c r="H664" i="4"/>
  <c r="I664" i="4"/>
  <c r="J664" i="4"/>
  <c r="K664" i="4"/>
  <c r="B665" i="4"/>
  <c r="C665" i="4"/>
  <c r="D665" i="4"/>
  <c r="E665" i="4"/>
  <c r="F665" i="4"/>
  <c r="G665" i="4"/>
  <c r="H665" i="4"/>
  <c r="I665" i="4"/>
  <c r="J665" i="4"/>
  <c r="K665" i="4"/>
  <c r="B666" i="4"/>
  <c r="C666" i="4"/>
  <c r="D666" i="4"/>
  <c r="E666" i="4"/>
  <c r="F666" i="4"/>
  <c r="G666" i="4"/>
  <c r="H666" i="4"/>
  <c r="I666" i="4"/>
  <c r="J666" i="4"/>
  <c r="K666" i="4"/>
  <c r="B667" i="4"/>
  <c r="C667" i="4"/>
  <c r="D667" i="4"/>
  <c r="E667" i="4"/>
  <c r="F667" i="4"/>
  <c r="G667" i="4"/>
  <c r="H667" i="4"/>
  <c r="I667" i="4"/>
  <c r="J667" i="4"/>
  <c r="K667" i="4"/>
  <c r="B668" i="4"/>
  <c r="C668" i="4"/>
  <c r="D668" i="4"/>
  <c r="E668" i="4"/>
  <c r="F668" i="4"/>
  <c r="G668" i="4"/>
  <c r="H668" i="4"/>
  <c r="I668" i="4"/>
  <c r="J668" i="4"/>
  <c r="K668" i="4"/>
  <c r="B669" i="4"/>
  <c r="C669" i="4"/>
  <c r="D669" i="4"/>
  <c r="E669" i="4"/>
  <c r="F669" i="4"/>
  <c r="G669" i="4"/>
  <c r="H669" i="4"/>
  <c r="I669" i="4"/>
  <c r="J669" i="4"/>
  <c r="K669" i="4"/>
  <c r="B670" i="4"/>
  <c r="C670" i="4"/>
  <c r="D670" i="4"/>
  <c r="E670" i="4"/>
  <c r="F670" i="4"/>
  <c r="G670" i="4"/>
  <c r="H670" i="4"/>
  <c r="I670" i="4"/>
  <c r="J670" i="4"/>
  <c r="K670" i="4"/>
  <c r="B671" i="4"/>
  <c r="C671" i="4"/>
  <c r="D671" i="4"/>
  <c r="E671" i="4"/>
  <c r="F671" i="4"/>
  <c r="G671" i="4"/>
  <c r="H671" i="4"/>
  <c r="I671" i="4"/>
  <c r="J671" i="4"/>
  <c r="K671" i="4"/>
  <c r="B672" i="4"/>
  <c r="C672" i="4"/>
  <c r="D672" i="4"/>
  <c r="E672" i="4"/>
  <c r="F672" i="4"/>
  <c r="G672" i="4"/>
  <c r="H672" i="4"/>
  <c r="I672" i="4"/>
  <c r="J672" i="4"/>
  <c r="K672" i="4"/>
  <c r="B673" i="4"/>
  <c r="C673" i="4"/>
  <c r="D673" i="4"/>
  <c r="E673" i="4"/>
  <c r="F673" i="4"/>
  <c r="G673" i="4"/>
  <c r="H673" i="4"/>
  <c r="I673" i="4"/>
  <c r="J673" i="4"/>
  <c r="K673" i="4"/>
  <c r="B674" i="4"/>
  <c r="C674" i="4"/>
  <c r="D674" i="4"/>
  <c r="E674" i="4"/>
  <c r="F674" i="4"/>
  <c r="G674" i="4"/>
  <c r="H674" i="4"/>
  <c r="I674" i="4"/>
  <c r="J674" i="4"/>
  <c r="K674" i="4"/>
  <c r="B675" i="4"/>
  <c r="C675" i="4"/>
  <c r="D675" i="4"/>
  <c r="E675" i="4"/>
  <c r="F675" i="4"/>
  <c r="G675" i="4"/>
  <c r="H675" i="4"/>
  <c r="I675" i="4"/>
  <c r="J675" i="4"/>
  <c r="K675" i="4"/>
  <c r="B676" i="4"/>
  <c r="C676" i="4"/>
  <c r="D676" i="4"/>
  <c r="E676" i="4"/>
  <c r="F676" i="4"/>
  <c r="G676" i="4"/>
  <c r="H676" i="4"/>
  <c r="I676" i="4"/>
  <c r="J676" i="4"/>
  <c r="K676" i="4"/>
  <c r="B677" i="4"/>
  <c r="C677" i="4"/>
  <c r="D677" i="4"/>
  <c r="E677" i="4"/>
  <c r="F677" i="4"/>
  <c r="G677" i="4"/>
  <c r="H677" i="4"/>
  <c r="I677" i="4"/>
  <c r="J677" i="4"/>
  <c r="K677" i="4"/>
  <c r="B678" i="4"/>
  <c r="C678" i="4"/>
  <c r="D678" i="4"/>
  <c r="E678" i="4"/>
  <c r="F678" i="4"/>
  <c r="G678" i="4"/>
  <c r="H678" i="4"/>
  <c r="I678" i="4"/>
  <c r="J678" i="4"/>
  <c r="K678" i="4"/>
  <c r="B679" i="4"/>
  <c r="C679" i="4"/>
  <c r="D679" i="4"/>
  <c r="E679" i="4"/>
  <c r="F679" i="4"/>
  <c r="G679" i="4"/>
  <c r="H679" i="4"/>
  <c r="I679" i="4"/>
  <c r="J679" i="4"/>
  <c r="K679" i="4"/>
  <c r="B680" i="4"/>
  <c r="C680" i="4"/>
  <c r="D680" i="4"/>
  <c r="E680" i="4"/>
  <c r="F680" i="4"/>
  <c r="G680" i="4"/>
  <c r="H680" i="4"/>
  <c r="I680" i="4"/>
  <c r="J680" i="4"/>
  <c r="K680" i="4"/>
  <c r="B681" i="4"/>
  <c r="C681" i="4"/>
  <c r="D681" i="4"/>
  <c r="E681" i="4"/>
  <c r="F681" i="4"/>
  <c r="G681" i="4"/>
  <c r="H681" i="4"/>
  <c r="I681" i="4"/>
  <c r="J681" i="4"/>
  <c r="K681" i="4"/>
  <c r="B682" i="4"/>
  <c r="C682" i="4"/>
  <c r="D682" i="4"/>
  <c r="E682" i="4"/>
  <c r="F682" i="4"/>
  <c r="G682" i="4"/>
  <c r="H682" i="4"/>
  <c r="I682" i="4"/>
  <c r="J682" i="4"/>
  <c r="K682" i="4"/>
  <c r="B683" i="4"/>
  <c r="C683" i="4"/>
  <c r="D683" i="4"/>
  <c r="E683" i="4"/>
  <c r="F683" i="4"/>
  <c r="G683" i="4"/>
  <c r="H683" i="4"/>
  <c r="I683" i="4"/>
  <c r="J683" i="4"/>
  <c r="K683" i="4"/>
  <c r="B684" i="4"/>
  <c r="C684" i="4"/>
  <c r="D684" i="4"/>
  <c r="E684" i="4"/>
  <c r="F684" i="4"/>
  <c r="G684" i="4"/>
  <c r="H684" i="4"/>
  <c r="I684" i="4"/>
  <c r="J684" i="4"/>
  <c r="K684" i="4"/>
  <c r="B685" i="4"/>
  <c r="C685" i="4"/>
  <c r="D685" i="4"/>
  <c r="E685" i="4"/>
  <c r="F685" i="4"/>
  <c r="G685" i="4"/>
  <c r="H685" i="4"/>
  <c r="I685" i="4"/>
  <c r="J685" i="4"/>
  <c r="K685" i="4"/>
  <c r="B686" i="4"/>
  <c r="C686" i="4"/>
  <c r="D686" i="4"/>
  <c r="E686" i="4"/>
  <c r="F686" i="4"/>
  <c r="G686" i="4"/>
  <c r="H686" i="4"/>
  <c r="I686" i="4"/>
  <c r="J686" i="4"/>
  <c r="K686" i="4"/>
  <c r="B687" i="4"/>
  <c r="C687" i="4"/>
  <c r="D687" i="4"/>
  <c r="E687" i="4"/>
  <c r="F687" i="4"/>
  <c r="G687" i="4"/>
  <c r="H687" i="4"/>
  <c r="I687" i="4"/>
  <c r="J687" i="4"/>
  <c r="K687" i="4"/>
  <c r="B688" i="4"/>
  <c r="C688" i="4"/>
  <c r="D688" i="4"/>
  <c r="E688" i="4"/>
  <c r="F688" i="4"/>
  <c r="G688" i="4"/>
  <c r="H688" i="4"/>
  <c r="I688" i="4"/>
  <c r="J688" i="4"/>
  <c r="K688" i="4"/>
  <c r="B689" i="4"/>
  <c r="C689" i="4"/>
  <c r="D689" i="4"/>
  <c r="E689" i="4"/>
  <c r="F689" i="4"/>
  <c r="G689" i="4"/>
  <c r="H689" i="4"/>
  <c r="I689" i="4"/>
  <c r="J689" i="4"/>
  <c r="K689" i="4"/>
  <c r="B690" i="4"/>
  <c r="C690" i="4"/>
  <c r="D690" i="4"/>
  <c r="E690" i="4"/>
  <c r="F690" i="4"/>
  <c r="G690" i="4"/>
  <c r="H690" i="4"/>
  <c r="I690" i="4"/>
  <c r="J690" i="4"/>
  <c r="K690" i="4"/>
  <c r="B691" i="4"/>
  <c r="C691" i="4"/>
  <c r="D691" i="4"/>
  <c r="E691" i="4"/>
  <c r="F691" i="4"/>
  <c r="G691" i="4"/>
  <c r="H691" i="4"/>
  <c r="I691" i="4"/>
  <c r="J691" i="4"/>
  <c r="K691" i="4"/>
  <c r="B692" i="4"/>
  <c r="C692" i="4"/>
  <c r="D692" i="4"/>
  <c r="E692" i="4"/>
  <c r="F692" i="4"/>
  <c r="G692" i="4"/>
  <c r="H692" i="4"/>
  <c r="I692" i="4"/>
  <c r="J692" i="4"/>
  <c r="K692" i="4"/>
  <c r="B693" i="4"/>
  <c r="C693" i="4"/>
  <c r="D693" i="4"/>
  <c r="E693" i="4"/>
  <c r="F693" i="4"/>
  <c r="G693" i="4"/>
  <c r="H693" i="4"/>
  <c r="I693" i="4"/>
  <c r="J693" i="4"/>
  <c r="K693" i="4"/>
  <c r="B694" i="4"/>
  <c r="C694" i="4"/>
  <c r="D694" i="4"/>
  <c r="E694" i="4"/>
  <c r="F694" i="4"/>
  <c r="G694" i="4"/>
  <c r="H694" i="4"/>
  <c r="I694" i="4"/>
  <c r="J694" i="4"/>
  <c r="K694" i="4"/>
  <c r="B695" i="4"/>
  <c r="C695" i="4"/>
  <c r="D695" i="4"/>
  <c r="E695" i="4"/>
  <c r="F695" i="4"/>
  <c r="G695" i="4"/>
  <c r="H695" i="4"/>
  <c r="I695" i="4"/>
  <c r="J695" i="4"/>
  <c r="K695" i="4"/>
  <c r="B696" i="4"/>
  <c r="C696" i="4"/>
  <c r="D696" i="4"/>
  <c r="E696" i="4"/>
  <c r="F696" i="4"/>
  <c r="G696" i="4"/>
  <c r="H696" i="4"/>
  <c r="I696" i="4"/>
  <c r="J696" i="4"/>
  <c r="K696" i="4"/>
  <c r="B697" i="4"/>
  <c r="C697" i="4"/>
  <c r="D697" i="4"/>
  <c r="E697" i="4"/>
  <c r="F697" i="4"/>
  <c r="G697" i="4"/>
  <c r="H697" i="4"/>
  <c r="I697" i="4"/>
  <c r="J697" i="4"/>
  <c r="K697" i="4"/>
  <c r="B698" i="4"/>
  <c r="C698" i="4"/>
  <c r="D698" i="4"/>
  <c r="E698" i="4"/>
  <c r="F698" i="4"/>
  <c r="G698" i="4"/>
  <c r="H698" i="4"/>
  <c r="I698" i="4"/>
  <c r="J698" i="4"/>
  <c r="K698" i="4"/>
  <c r="B699" i="4"/>
  <c r="C699" i="4"/>
  <c r="D699" i="4"/>
  <c r="E699" i="4"/>
  <c r="F699" i="4"/>
  <c r="G699" i="4"/>
  <c r="H699" i="4"/>
  <c r="I699" i="4"/>
  <c r="J699" i="4"/>
  <c r="K699" i="4"/>
  <c r="B700" i="4"/>
  <c r="C700" i="4"/>
  <c r="D700" i="4"/>
  <c r="E700" i="4"/>
  <c r="F700" i="4"/>
  <c r="G700" i="4"/>
  <c r="H700" i="4"/>
  <c r="I700" i="4"/>
  <c r="J700" i="4"/>
  <c r="K700" i="4"/>
  <c r="B701" i="4"/>
  <c r="C701" i="4"/>
  <c r="D701" i="4"/>
  <c r="E701" i="4"/>
  <c r="F701" i="4"/>
  <c r="G701" i="4"/>
  <c r="H701" i="4"/>
  <c r="I701" i="4"/>
  <c r="J701" i="4"/>
  <c r="K701" i="4"/>
  <c r="B702" i="4"/>
  <c r="C702" i="4"/>
  <c r="D702" i="4"/>
  <c r="E702" i="4"/>
  <c r="F702" i="4"/>
  <c r="G702" i="4"/>
  <c r="H702" i="4"/>
  <c r="I702" i="4"/>
  <c r="J702" i="4"/>
  <c r="K702" i="4"/>
  <c r="B703" i="4"/>
  <c r="C703" i="4"/>
  <c r="D703" i="4"/>
  <c r="E703" i="4"/>
  <c r="F703" i="4"/>
  <c r="G703" i="4"/>
  <c r="H703" i="4"/>
  <c r="I703" i="4"/>
  <c r="J703" i="4"/>
  <c r="K703" i="4"/>
  <c r="B704" i="4"/>
  <c r="C704" i="4"/>
  <c r="D704" i="4"/>
  <c r="E704" i="4"/>
  <c r="F704" i="4"/>
  <c r="G704" i="4"/>
  <c r="H704" i="4"/>
  <c r="I704" i="4"/>
  <c r="J704" i="4"/>
  <c r="K704" i="4"/>
  <c r="B705" i="4"/>
  <c r="C705" i="4"/>
  <c r="D705" i="4"/>
  <c r="E705" i="4"/>
  <c r="F705" i="4"/>
  <c r="G705" i="4"/>
  <c r="H705" i="4"/>
  <c r="I705" i="4"/>
  <c r="J705" i="4"/>
  <c r="K705" i="4"/>
  <c r="B706" i="4"/>
  <c r="C706" i="4"/>
  <c r="D706" i="4"/>
  <c r="E706" i="4"/>
  <c r="F706" i="4"/>
  <c r="G706" i="4"/>
  <c r="H706" i="4"/>
  <c r="I706" i="4"/>
  <c r="J706" i="4"/>
  <c r="K706" i="4"/>
  <c r="B707" i="4"/>
  <c r="C707" i="4"/>
  <c r="D707" i="4"/>
  <c r="E707" i="4"/>
  <c r="F707" i="4"/>
  <c r="G707" i="4"/>
  <c r="H707" i="4"/>
  <c r="I707" i="4"/>
  <c r="J707" i="4"/>
  <c r="K707" i="4"/>
  <c r="B708" i="4"/>
  <c r="C708" i="4"/>
  <c r="D708" i="4"/>
  <c r="E708" i="4"/>
  <c r="F708" i="4"/>
  <c r="G708" i="4"/>
  <c r="H708" i="4"/>
  <c r="I708" i="4"/>
  <c r="J708" i="4"/>
  <c r="K708" i="4"/>
  <c r="B709" i="4"/>
  <c r="C709" i="4"/>
  <c r="D709" i="4"/>
  <c r="E709" i="4"/>
  <c r="F709" i="4"/>
  <c r="G709" i="4"/>
  <c r="H709" i="4"/>
  <c r="I709" i="4"/>
  <c r="J709" i="4"/>
  <c r="K709" i="4"/>
  <c r="B710" i="4"/>
  <c r="C710" i="4"/>
  <c r="D710" i="4"/>
  <c r="E710" i="4"/>
  <c r="F710" i="4"/>
  <c r="G710" i="4"/>
  <c r="H710" i="4"/>
  <c r="I710" i="4"/>
  <c r="J710" i="4"/>
  <c r="K710" i="4"/>
  <c r="B711" i="4"/>
  <c r="C711" i="4"/>
  <c r="D711" i="4"/>
  <c r="E711" i="4"/>
  <c r="F711" i="4"/>
  <c r="G711" i="4"/>
  <c r="H711" i="4"/>
  <c r="I711" i="4"/>
  <c r="J711" i="4"/>
  <c r="K711" i="4"/>
  <c r="B712" i="4"/>
  <c r="C712" i="4"/>
  <c r="D712" i="4"/>
  <c r="E712" i="4"/>
  <c r="F712" i="4"/>
  <c r="G712" i="4"/>
  <c r="H712" i="4"/>
  <c r="I712" i="4"/>
  <c r="J712" i="4"/>
  <c r="K712" i="4"/>
  <c r="B713" i="4"/>
  <c r="C713" i="4"/>
  <c r="D713" i="4"/>
  <c r="E713" i="4"/>
  <c r="F713" i="4"/>
  <c r="G713" i="4"/>
  <c r="H713" i="4"/>
  <c r="I713" i="4"/>
  <c r="J713" i="4"/>
  <c r="K713" i="4"/>
  <c r="B714" i="4"/>
  <c r="C714" i="4"/>
  <c r="D714" i="4"/>
  <c r="E714" i="4"/>
  <c r="F714" i="4"/>
  <c r="G714" i="4"/>
  <c r="H714" i="4"/>
  <c r="I714" i="4"/>
  <c r="J714" i="4"/>
  <c r="K714" i="4"/>
  <c r="B715" i="4"/>
  <c r="C715" i="4"/>
  <c r="D715" i="4"/>
  <c r="E715" i="4"/>
  <c r="F715" i="4"/>
  <c r="G715" i="4"/>
  <c r="H715" i="4"/>
  <c r="I715" i="4"/>
  <c r="J715" i="4"/>
  <c r="K715" i="4"/>
  <c r="B716" i="4"/>
  <c r="C716" i="4"/>
  <c r="D716" i="4"/>
  <c r="E716" i="4"/>
  <c r="F716" i="4"/>
  <c r="G716" i="4"/>
  <c r="H716" i="4"/>
  <c r="I716" i="4"/>
  <c r="J716" i="4"/>
  <c r="K716" i="4"/>
  <c r="B717" i="4"/>
  <c r="C717" i="4"/>
  <c r="D717" i="4"/>
  <c r="E717" i="4"/>
  <c r="F717" i="4"/>
  <c r="G717" i="4"/>
  <c r="H717" i="4"/>
  <c r="I717" i="4"/>
  <c r="J717" i="4"/>
  <c r="K717" i="4"/>
  <c r="B718" i="4"/>
  <c r="C718" i="4"/>
  <c r="D718" i="4"/>
  <c r="E718" i="4"/>
  <c r="F718" i="4"/>
  <c r="G718" i="4"/>
  <c r="H718" i="4"/>
  <c r="I718" i="4"/>
  <c r="J718" i="4"/>
  <c r="K718" i="4"/>
  <c r="B719" i="4"/>
  <c r="C719" i="4"/>
  <c r="D719" i="4"/>
  <c r="E719" i="4"/>
  <c r="F719" i="4"/>
  <c r="G719" i="4"/>
  <c r="H719" i="4"/>
  <c r="I719" i="4"/>
  <c r="J719" i="4"/>
  <c r="K719" i="4"/>
  <c r="B720" i="4"/>
  <c r="C720" i="4"/>
  <c r="D720" i="4"/>
  <c r="E720" i="4"/>
  <c r="F720" i="4"/>
  <c r="G720" i="4"/>
  <c r="H720" i="4"/>
  <c r="I720" i="4"/>
  <c r="J720" i="4"/>
  <c r="K720" i="4"/>
  <c r="B721" i="4"/>
  <c r="C721" i="4"/>
  <c r="D721" i="4"/>
  <c r="E721" i="4"/>
  <c r="F721" i="4"/>
  <c r="G721" i="4"/>
  <c r="H721" i="4"/>
  <c r="I721" i="4"/>
  <c r="J721" i="4"/>
  <c r="K721" i="4"/>
  <c r="B722" i="4"/>
  <c r="C722" i="4"/>
  <c r="D722" i="4"/>
  <c r="E722" i="4"/>
  <c r="F722" i="4"/>
  <c r="G722" i="4"/>
  <c r="H722" i="4"/>
  <c r="I722" i="4"/>
  <c r="J722" i="4"/>
  <c r="K722" i="4"/>
  <c r="B723" i="4"/>
  <c r="C723" i="4"/>
  <c r="D723" i="4"/>
  <c r="E723" i="4"/>
  <c r="F723" i="4"/>
  <c r="G723" i="4"/>
  <c r="H723" i="4"/>
  <c r="I723" i="4"/>
  <c r="J723" i="4"/>
  <c r="K723" i="4"/>
  <c r="B724" i="4"/>
  <c r="C724" i="4"/>
  <c r="D724" i="4"/>
  <c r="E724" i="4"/>
  <c r="F724" i="4"/>
  <c r="G724" i="4"/>
  <c r="H724" i="4"/>
  <c r="I724" i="4"/>
  <c r="J724" i="4"/>
  <c r="K724" i="4"/>
  <c r="B725" i="4"/>
  <c r="C725" i="4"/>
  <c r="D725" i="4"/>
  <c r="E725" i="4"/>
  <c r="F725" i="4"/>
  <c r="G725" i="4"/>
  <c r="H725" i="4"/>
  <c r="I725" i="4"/>
  <c r="J725" i="4"/>
  <c r="K725" i="4"/>
  <c r="B726" i="4"/>
  <c r="C726" i="4"/>
  <c r="D726" i="4"/>
  <c r="E726" i="4"/>
  <c r="F726" i="4"/>
  <c r="G726" i="4"/>
  <c r="H726" i="4"/>
  <c r="I726" i="4"/>
  <c r="J726" i="4"/>
  <c r="K726" i="4"/>
  <c r="B727" i="4"/>
  <c r="C727" i="4"/>
  <c r="D727" i="4"/>
  <c r="E727" i="4"/>
  <c r="F727" i="4"/>
  <c r="G727" i="4"/>
  <c r="H727" i="4"/>
  <c r="I727" i="4"/>
  <c r="J727" i="4"/>
  <c r="K727" i="4"/>
  <c r="B728" i="4"/>
  <c r="C728" i="4"/>
  <c r="D728" i="4"/>
  <c r="E728" i="4"/>
  <c r="F728" i="4"/>
  <c r="G728" i="4"/>
  <c r="H728" i="4"/>
  <c r="I728" i="4"/>
  <c r="J728" i="4"/>
  <c r="K728" i="4"/>
  <c r="B729" i="4"/>
  <c r="C729" i="4"/>
  <c r="D729" i="4"/>
  <c r="E729" i="4"/>
  <c r="F729" i="4"/>
  <c r="G729" i="4"/>
  <c r="H729" i="4"/>
  <c r="I729" i="4"/>
  <c r="J729" i="4"/>
  <c r="K729" i="4"/>
  <c r="B730" i="4"/>
  <c r="C730" i="4"/>
  <c r="D730" i="4"/>
  <c r="E730" i="4"/>
  <c r="F730" i="4"/>
  <c r="G730" i="4"/>
  <c r="G1091" i="4" s="1"/>
  <c r="H730" i="4"/>
  <c r="I730" i="4"/>
  <c r="J730" i="4"/>
  <c r="K730" i="4"/>
  <c r="B731" i="4"/>
  <c r="C731" i="4"/>
  <c r="D731" i="4"/>
  <c r="E731" i="4"/>
  <c r="F731" i="4"/>
  <c r="G731" i="4"/>
  <c r="H731" i="4"/>
  <c r="I731" i="4"/>
  <c r="J731" i="4"/>
  <c r="K731" i="4"/>
  <c r="B732" i="4"/>
  <c r="C732" i="4"/>
  <c r="D732" i="4"/>
  <c r="E732" i="4"/>
  <c r="F732" i="4"/>
  <c r="G732" i="4"/>
  <c r="H732" i="4"/>
  <c r="I732" i="4"/>
  <c r="J732" i="4"/>
  <c r="K732" i="4"/>
  <c r="B733" i="4"/>
  <c r="C733" i="4"/>
  <c r="D733" i="4"/>
  <c r="E733" i="4"/>
  <c r="F733" i="4"/>
  <c r="G733" i="4"/>
  <c r="H733" i="4"/>
  <c r="I733" i="4"/>
  <c r="J733" i="4"/>
  <c r="K733" i="4"/>
  <c r="B734" i="4"/>
  <c r="C734" i="4"/>
  <c r="D734" i="4"/>
  <c r="E734" i="4"/>
  <c r="F734" i="4"/>
  <c r="G734" i="4"/>
  <c r="H734" i="4"/>
  <c r="I734" i="4"/>
  <c r="J734" i="4"/>
  <c r="K734" i="4"/>
  <c r="B735" i="4"/>
  <c r="C735" i="4"/>
  <c r="D735" i="4"/>
  <c r="E735" i="4"/>
  <c r="F735" i="4"/>
  <c r="G735" i="4"/>
  <c r="H735" i="4"/>
  <c r="I735" i="4"/>
  <c r="J735" i="4"/>
  <c r="K735" i="4"/>
  <c r="B736" i="4"/>
  <c r="C736" i="4"/>
  <c r="D736" i="4"/>
  <c r="E736" i="4"/>
  <c r="F736" i="4"/>
  <c r="G736" i="4"/>
  <c r="H736" i="4"/>
  <c r="I736" i="4"/>
  <c r="J736" i="4"/>
  <c r="K736" i="4"/>
  <c r="B737" i="4"/>
  <c r="C737" i="4"/>
  <c r="D737" i="4"/>
  <c r="E737" i="4"/>
  <c r="F737" i="4"/>
  <c r="G737" i="4"/>
  <c r="H737" i="4"/>
  <c r="I737" i="4"/>
  <c r="J737" i="4"/>
  <c r="K737" i="4"/>
  <c r="B738" i="4"/>
  <c r="C738" i="4"/>
  <c r="D738" i="4"/>
  <c r="E738" i="4"/>
  <c r="F738" i="4"/>
  <c r="G738" i="4"/>
  <c r="H738" i="4"/>
  <c r="I738" i="4"/>
  <c r="J738" i="4"/>
  <c r="K738" i="4"/>
  <c r="B739" i="4"/>
  <c r="C739" i="4"/>
  <c r="D739" i="4"/>
  <c r="E739" i="4"/>
  <c r="F739" i="4"/>
  <c r="G739" i="4"/>
  <c r="H739" i="4"/>
  <c r="I739" i="4"/>
  <c r="J739" i="4"/>
  <c r="K739" i="4"/>
  <c r="B740" i="4"/>
  <c r="C740" i="4"/>
  <c r="D740" i="4"/>
  <c r="E740" i="4"/>
  <c r="F740" i="4"/>
  <c r="G740" i="4"/>
  <c r="H740" i="4"/>
  <c r="I740" i="4"/>
  <c r="J740" i="4"/>
  <c r="K740" i="4"/>
  <c r="B741" i="4"/>
  <c r="C741" i="4"/>
  <c r="D741" i="4"/>
  <c r="E741" i="4"/>
  <c r="F741" i="4"/>
  <c r="G741" i="4"/>
  <c r="H741" i="4"/>
  <c r="I741" i="4"/>
  <c r="J741" i="4"/>
  <c r="K741" i="4"/>
  <c r="B742" i="4"/>
  <c r="C742" i="4"/>
  <c r="D742" i="4"/>
  <c r="E742" i="4"/>
  <c r="F742" i="4"/>
  <c r="G742" i="4"/>
  <c r="H742" i="4"/>
  <c r="I742" i="4"/>
  <c r="J742" i="4"/>
  <c r="K742" i="4"/>
  <c r="B743" i="4"/>
  <c r="C743" i="4"/>
  <c r="D743" i="4"/>
  <c r="E743" i="4"/>
  <c r="F743" i="4"/>
  <c r="G743" i="4"/>
  <c r="H743" i="4"/>
  <c r="I743" i="4"/>
  <c r="J743" i="4"/>
  <c r="K743" i="4"/>
  <c r="B744" i="4"/>
  <c r="C744" i="4"/>
  <c r="D744" i="4"/>
  <c r="E744" i="4"/>
  <c r="F744" i="4"/>
  <c r="G744" i="4"/>
  <c r="H744" i="4"/>
  <c r="I744" i="4"/>
  <c r="J744" i="4"/>
  <c r="K744" i="4"/>
  <c r="B745" i="4"/>
  <c r="C745" i="4"/>
  <c r="D745" i="4"/>
  <c r="E745" i="4"/>
  <c r="F745" i="4"/>
  <c r="G745" i="4"/>
  <c r="H745" i="4"/>
  <c r="I745" i="4"/>
  <c r="J745" i="4"/>
  <c r="K745" i="4"/>
  <c r="B746" i="4"/>
  <c r="C746" i="4"/>
  <c r="D746" i="4"/>
  <c r="E746" i="4"/>
  <c r="F746" i="4"/>
  <c r="G746" i="4"/>
  <c r="H746" i="4"/>
  <c r="I746" i="4"/>
  <c r="J746" i="4"/>
  <c r="K746" i="4"/>
  <c r="B747" i="4"/>
  <c r="C747" i="4"/>
  <c r="D747" i="4"/>
  <c r="E747" i="4"/>
  <c r="F747" i="4"/>
  <c r="G747" i="4"/>
  <c r="H747" i="4"/>
  <c r="I747" i="4"/>
  <c r="J747" i="4"/>
  <c r="K747" i="4"/>
  <c r="B748" i="4"/>
  <c r="C748" i="4"/>
  <c r="D748" i="4"/>
  <c r="E748" i="4"/>
  <c r="F748" i="4"/>
  <c r="G748" i="4"/>
  <c r="H748" i="4"/>
  <c r="I748" i="4"/>
  <c r="J748" i="4"/>
  <c r="K748" i="4"/>
  <c r="B749" i="4"/>
  <c r="C749" i="4"/>
  <c r="D749" i="4"/>
  <c r="E749" i="4"/>
  <c r="F749" i="4"/>
  <c r="G749" i="4"/>
  <c r="H749" i="4"/>
  <c r="I749" i="4"/>
  <c r="J749" i="4"/>
  <c r="K749" i="4"/>
  <c r="B750" i="4"/>
  <c r="C750" i="4"/>
  <c r="D750" i="4"/>
  <c r="E750" i="4"/>
  <c r="F750" i="4"/>
  <c r="G750" i="4"/>
  <c r="H750" i="4"/>
  <c r="I750" i="4"/>
  <c r="J750" i="4"/>
  <c r="K750" i="4"/>
  <c r="B751" i="4"/>
  <c r="C751" i="4"/>
  <c r="D751" i="4"/>
  <c r="E751" i="4"/>
  <c r="F751" i="4"/>
  <c r="G751" i="4"/>
  <c r="H751" i="4"/>
  <c r="I751" i="4"/>
  <c r="J751" i="4"/>
  <c r="K751" i="4"/>
  <c r="B752" i="4"/>
  <c r="C752" i="4"/>
  <c r="D752" i="4"/>
  <c r="E752" i="4"/>
  <c r="F752" i="4"/>
  <c r="G752" i="4"/>
  <c r="H752" i="4"/>
  <c r="I752" i="4"/>
  <c r="J752" i="4"/>
  <c r="K752" i="4"/>
  <c r="B753" i="4"/>
  <c r="C753" i="4"/>
  <c r="D753" i="4"/>
  <c r="E753" i="4"/>
  <c r="F753" i="4"/>
  <c r="G753" i="4"/>
  <c r="H753" i="4"/>
  <c r="I753" i="4"/>
  <c r="J753" i="4"/>
  <c r="K753" i="4"/>
  <c r="B754" i="4"/>
  <c r="C754" i="4"/>
  <c r="D754" i="4"/>
  <c r="E754" i="4"/>
  <c r="F754" i="4"/>
  <c r="G754" i="4"/>
  <c r="H754" i="4"/>
  <c r="I754" i="4"/>
  <c r="J754" i="4"/>
  <c r="K754" i="4"/>
  <c r="B755" i="4"/>
  <c r="C755" i="4"/>
  <c r="D755" i="4"/>
  <c r="E755" i="4"/>
  <c r="F755" i="4"/>
  <c r="G755" i="4"/>
  <c r="H755" i="4"/>
  <c r="I755" i="4"/>
  <c r="J755" i="4"/>
  <c r="K755" i="4"/>
  <c r="B756" i="4"/>
  <c r="C756" i="4"/>
  <c r="D756" i="4"/>
  <c r="E756" i="4"/>
  <c r="F756" i="4"/>
  <c r="G756" i="4"/>
  <c r="H756" i="4"/>
  <c r="I756" i="4"/>
  <c r="J756" i="4"/>
  <c r="K756" i="4"/>
  <c r="B757" i="4"/>
  <c r="C757" i="4"/>
  <c r="D757" i="4"/>
  <c r="E757" i="4"/>
  <c r="F757" i="4"/>
  <c r="G757" i="4"/>
  <c r="H757" i="4"/>
  <c r="I757" i="4"/>
  <c r="J757" i="4"/>
  <c r="K757" i="4"/>
  <c r="B758" i="4"/>
  <c r="C758" i="4"/>
  <c r="D758" i="4"/>
  <c r="E758" i="4"/>
  <c r="F758" i="4"/>
  <c r="G758" i="4"/>
  <c r="H758" i="4"/>
  <c r="I758" i="4"/>
  <c r="J758" i="4"/>
  <c r="K758" i="4"/>
  <c r="B759" i="4"/>
  <c r="C759" i="4"/>
  <c r="D759" i="4"/>
  <c r="E759" i="4"/>
  <c r="F759" i="4"/>
  <c r="G759" i="4"/>
  <c r="H759" i="4"/>
  <c r="I759" i="4"/>
  <c r="J759" i="4"/>
  <c r="K759" i="4"/>
  <c r="B760" i="4"/>
  <c r="C760" i="4"/>
  <c r="D760" i="4"/>
  <c r="E760" i="4"/>
  <c r="F760" i="4"/>
  <c r="G760" i="4"/>
  <c r="H760" i="4"/>
  <c r="I760" i="4"/>
  <c r="J760" i="4"/>
  <c r="K760" i="4"/>
  <c r="B761" i="4"/>
  <c r="C761" i="4"/>
  <c r="D761" i="4"/>
  <c r="E761" i="4"/>
  <c r="F761" i="4"/>
  <c r="G761" i="4"/>
  <c r="H761" i="4"/>
  <c r="I761" i="4"/>
  <c r="J761" i="4"/>
  <c r="K761" i="4"/>
  <c r="B762" i="4"/>
  <c r="C762" i="4"/>
  <c r="D762" i="4"/>
  <c r="E762" i="4"/>
  <c r="F762" i="4"/>
  <c r="G762" i="4"/>
  <c r="H762" i="4"/>
  <c r="I762" i="4"/>
  <c r="J762" i="4"/>
  <c r="K762" i="4"/>
  <c r="B763" i="4"/>
  <c r="C763" i="4"/>
  <c r="D763" i="4"/>
  <c r="E763" i="4"/>
  <c r="F763" i="4"/>
  <c r="G763" i="4"/>
  <c r="H763" i="4"/>
  <c r="I763" i="4"/>
  <c r="J763" i="4"/>
  <c r="K763" i="4"/>
  <c r="B764" i="4"/>
  <c r="C764" i="4"/>
  <c r="D764" i="4"/>
  <c r="E764" i="4"/>
  <c r="F764" i="4"/>
  <c r="G764" i="4"/>
  <c r="H764" i="4"/>
  <c r="I764" i="4"/>
  <c r="J764" i="4"/>
  <c r="K764" i="4"/>
  <c r="B765" i="4"/>
  <c r="C765" i="4"/>
  <c r="D765" i="4"/>
  <c r="E765" i="4"/>
  <c r="F765" i="4"/>
  <c r="G765" i="4"/>
  <c r="H765" i="4"/>
  <c r="I765" i="4"/>
  <c r="J765" i="4"/>
  <c r="K765" i="4"/>
  <c r="B766" i="4"/>
  <c r="C766" i="4"/>
  <c r="D766" i="4"/>
  <c r="E766" i="4"/>
  <c r="F766" i="4"/>
  <c r="G766" i="4"/>
  <c r="H766" i="4"/>
  <c r="I766" i="4"/>
  <c r="J766" i="4"/>
  <c r="K766" i="4"/>
  <c r="B767" i="4"/>
  <c r="C767" i="4"/>
  <c r="D767" i="4"/>
  <c r="E767" i="4"/>
  <c r="F767" i="4"/>
  <c r="G767" i="4"/>
  <c r="H767" i="4"/>
  <c r="I767" i="4"/>
  <c r="J767" i="4"/>
  <c r="K767" i="4"/>
  <c r="B768" i="4"/>
  <c r="C768" i="4"/>
  <c r="D768" i="4"/>
  <c r="E768" i="4"/>
  <c r="F768" i="4"/>
  <c r="G768" i="4"/>
  <c r="H768" i="4"/>
  <c r="I768" i="4"/>
  <c r="J768" i="4"/>
  <c r="K768" i="4"/>
  <c r="B769" i="4"/>
  <c r="C769" i="4"/>
  <c r="D769" i="4"/>
  <c r="E769" i="4"/>
  <c r="F769" i="4"/>
  <c r="G769" i="4"/>
  <c r="H769" i="4"/>
  <c r="I769" i="4"/>
  <c r="J769" i="4"/>
  <c r="K769" i="4"/>
  <c r="B770" i="4"/>
  <c r="C770" i="4"/>
  <c r="D770" i="4"/>
  <c r="E770" i="4"/>
  <c r="F770" i="4"/>
  <c r="G770" i="4"/>
  <c r="H770" i="4"/>
  <c r="I770" i="4"/>
  <c r="J770" i="4"/>
  <c r="K770" i="4"/>
  <c r="B771" i="4"/>
  <c r="C771" i="4"/>
  <c r="D771" i="4"/>
  <c r="E771" i="4"/>
  <c r="F771" i="4"/>
  <c r="G771" i="4"/>
  <c r="H771" i="4"/>
  <c r="I771" i="4"/>
  <c r="J771" i="4"/>
  <c r="K771" i="4"/>
  <c r="B772" i="4"/>
  <c r="C772" i="4"/>
  <c r="D772" i="4"/>
  <c r="E772" i="4"/>
  <c r="F772" i="4"/>
  <c r="G772" i="4"/>
  <c r="H772" i="4"/>
  <c r="I772" i="4"/>
  <c r="J772" i="4"/>
  <c r="K772" i="4"/>
  <c r="B773" i="4"/>
  <c r="C773" i="4"/>
  <c r="D773" i="4"/>
  <c r="E773" i="4"/>
  <c r="F773" i="4"/>
  <c r="G773" i="4"/>
  <c r="H773" i="4"/>
  <c r="I773" i="4"/>
  <c r="J773" i="4"/>
  <c r="K773" i="4"/>
  <c r="B774" i="4"/>
  <c r="C774" i="4"/>
  <c r="D774" i="4"/>
  <c r="E774" i="4"/>
  <c r="F774" i="4"/>
  <c r="G774" i="4"/>
  <c r="H774" i="4"/>
  <c r="I774" i="4"/>
  <c r="J774" i="4"/>
  <c r="K774" i="4"/>
  <c r="B775" i="4"/>
  <c r="C775" i="4"/>
  <c r="D775" i="4"/>
  <c r="E775" i="4"/>
  <c r="F775" i="4"/>
  <c r="G775" i="4"/>
  <c r="H775" i="4"/>
  <c r="I775" i="4"/>
  <c r="J775" i="4"/>
  <c r="K775" i="4"/>
  <c r="B776" i="4"/>
  <c r="C776" i="4"/>
  <c r="D776" i="4"/>
  <c r="E776" i="4"/>
  <c r="F776" i="4"/>
  <c r="G776" i="4"/>
  <c r="H776" i="4"/>
  <c r="I776" i="4"/>
  <c r="J776" i="4"/>
  <c r="K776" i="4"/>
  <c r="B777" i="4"/>
  <c r="C777" i="4"/>
  <c r="D777" i="4"/>
  <c r="E777" i="4"/>
  <c r="F777" i="4"/>
  <c r="G777" i="4"/>
  <c r="H777" i="4"/>
  <c r="I777" i="4"/>
  <c r="J777" i="4"/>
  <c r="K777" i="4"/>
  <c r="B778" i="4"/>
  <c r="C778" i="4"/>
  <c r="D778" i="4"/>
  <c r="E778" i="4"/>
  <c r="F778" i="4"/>
  <c r="G778" i="4"/>
  <c r="H778" i="4"/>
  <c r="I778" i="4"/>
  <c r="J778" i="4"/>
  <c r="K778" i="4"/>
  <c r="B779" i="4"/>
  <c r="C779" i="4"/>
  <c r="D779" i="4"/>
  <c r="E779" i="4"/>
  <c r="F779" i="4"/>
  <c r="G779" i="4"/>
  <c r="H779" i="4"/>
  <c r="I779" i="4"/>
  <c r="J779" i="4"/>
  <c r="K779" i="4"/>
  <c r="B780" i="4"/>
  <c r="C780" i="4"/>
  <c r="D780" i="4"/>
  <c r="E780" i="4"/>
  <c r="F780" i="4"/>
  <c r="G780" i="4"/>
  <c r="H780" i="4"/>
  <c r="I780" i="4"/>
  <c r="J780" i="4"/>
  <c r="K780" i="4"/>
  <c r="B781" i="4"/>
  <c r="C781" i="4"/>
  <c r="D781" i="4"/>
  <c r="E781" i="4"/>
  <c r="F781" i="4"/>
  <c r="G781" i="4"/>
  <c r="H781" i="4"/>
  <c r="I781" i="4"/>
  <c r="J781" i="4"/>
  <c r="K781" i="4"/>
  <c r="B782" i="4"/>
  <c r="C782" i="4"/>
  <c r="D782" i="4"/>
  <c r="E782" i="4"/>
  <c r="F782" i="4"/>
  <c r="G782" i="4"/>
  <c r="H782" i="4"/>
  <c r="I782" i="4"/>
  <c r="J782" i="4"/>
  <c r="K782" i="4"/>
  <c r="B783" i="4"/>
  <c r="C783" i="4"/>
  <c r="D783" i="4"/>
  <c r="E783" i="4"/>
  <c r="F783" i="4"/>
  <c r="G783" i="4"/>
  <c r="H783" i="4"/>
  <c r="I783" i="4"/>
  <c r="J783" i="4"/>
  <c r="K783" i="4"/>
  <c r="B784" i="4"/>
  <c r="C784" i="4"/>
  <c r="D784" i="4"/>
  <c r="E784" i="4"/>
  <c r="F784" i="4"/>
  <c r="G784" i="4"/>
  <c r="H784" i="4"/>
  <c r="I784" i="4"/>
  <c r="J784" i="4"/>
  <c r="K784" i="4"/>
  <c r="B785" i="4"/>
  <c r="C785" i="4"/>
  <c r="D785" i="4"/>
  <c r="E785" i="4"/>
  <c r="F785" i="4"/>
  <c r="G785" i="4"/>
  <c r="H785" i="4"/>
  <c r="I785" i="4"/>
  <c r="J785" i="4"/>
  <c r="K785" i="4"/>
  <c r="B786" i="4"/>
  <c r="C786" i="4"/>
  <c r="D786" i="4"/>
  <c r="E786" i="4"/>
  <c r="F786" i="4"/>
  <c r="G786" i="4"/>
  <c r="H786" i="4"/>
  <c r="I786" i="4"/>
  <c r="J786" i="4"/>
  <c r="K786" i="4"/>
  <c r="B787" i="4"/>
  <c r="C787" i="4"/>
  <c r="D787" i="4"/>
  <c r="E787" i="4"/>
  <c r="F787" i="4"/>
  <c r="G787" i="4"/>
  <c r="H787" i="4"/>
  <c r="I787" i="4"/>
  <c r="J787" i="4"/>
  <c r="K787" i="4"/>
  <c r="B788" i="4"/>
  <c r="C788" i="4"/>
  <c r="D788" i="4"/>
  <c r="E788" i="4"/>
  <c r="F788" i="4"/>
  <c r="G788" i="4"/>
  <c r="H788" i="4"/>
  <c r="I788" i="4"/>
  <c r="J788" i="4"/>
  <c r="K788" i="4"/>
  <c r="B789" i="4"/>
  <c r="C789" i="4"/>
  <c r="D789" i="4"/>
  <c r="E789" i="4"/>
  <c r="F789" i="4"/>
  <c r="G789" i="4"/>
  <c r="H789" i="4"/>
  <c r="I789" i="4"/>
  <c r="J789" i="4"/>
  <c r="K789" i="4"/>
  <c r="B790" i="4"/>
  <c r="C790" i="4"/>
  <c r="D790" i="4"/>
  <c r="E790" i="4"/>
  <c r="F790" i="4"/>
  <c r="G790" i="4"/>
  <c r="H790" i="4"/>
  <c r="I790" i="4"/>
  <c r="J790" i="4"/>
  <c r="K790" i="4"/>
  <c r="B791" i="4"/>
  <c r="C791" i="4"/>
  <c r="D791" i="4"/>
  <c r="E791" i="4"/>
  <c r="F791" i="4"/>
  <c r="G791" i="4"/>
  <c r="H791" i="4"/>
  <c r="I791" i="4"/>
  <c r="J791" i="4"/>
  <c r="K791" i="4"/>
  <c r="B792" i="4"/>
  <c r="C792" i="4"/>
  <c r="D792" i="4"/>
  <c r="E792" i="4"/>
  <c r="F792" i="4"/>
  <c r="G792" i="4"/>
  <c r="H792" i="4"/>
  <c r="I792" i="4"/>
  <c r="J792" i="4"/>
  <c r="K792" i="4"/>
  <c r="B793" i="4"/>
  <c r="C793" i="4"/>
  <c r="D793" i="4"/>
  <c r="E793" i="4"/>
  <c r="F793" i="4"/>
  <c r="G793" i="4"/>
  <c r="H793" i="4"/>
  <c r="I793" i="4"/>
  <c r="J793" i="4"/>
  <c r="K793" i="4"/>
  <c r="B794" i="4"/>
  <c r="C794" i="4"/>
  <c r="D794" i="4"/>
  <c r="E794" i="4"/>
  <c r="F794" i="4"/>
  <c r="G794" i="4"/>
  <c r="H794" i="4"/>
  <c r="I794" i="4"/>
  <c r="J794" i="4"/>
  <c r="K794" i="4"/>
  <c r="B795" i="4"/>
  <c r="C795" i="4"/>
  <c r="D795" i="4"/>
  <c r="E795" i="4"/>
  <c r="F795" i="4"/>
  <c r="G795" i="4"/>
  <c r="H795" i="4"/>
  <c r="I795" i="4"/>
  <c r="J795" i="4"/>
  <c r="K795" i="4"/>
  <c r="B796" i="4"/>
  <c r="C796" i="4"/>
  <c r="D796" i="4"/>
  <c r="E796" i="4"/>
  <c r="F796" i="4"/>
  <c r="G796" i="4"/>
  <c r="H796" i="4"/>
  <c r="I796" i="4"/>
  <c r="J796" i="4"/>
  <c r="K796" i="4"/>
  <c r="B797" i="4"/>
  <c r="C797" i="4"/>
  <c r="D797" i="4"/>
  <c r="E797" i="4"/>
  <c r="F797" i="4"/>
  <c r="G797" i="4"/>
  <c r="H797" i="4"/>
  <c r="I797" i="4"/>
  <c r="J797" i="4"/>
  <c r="K797" i="4"/>
  <c r="B798" i="4"/>
  <c r="C798" i="4"/>
  <c r="D798" i="4"/>
  <c r="E798" i="4"/>
  <c r="F798" i="4"/>
  <c r="G798" i="4"/>
  <c r="H798" i="4"/>
  <c r="I798" i="4"/>
  <c r="J798" i="4"/>
  <c r="K798" i="4"/>
  <c r="B799" i="4"/>
  <c r="C799" i="4"/>
  <c r="D799" i="4"/>
  <c r="E799" i="4"/>
  <c r="F799" i="4"/>
  <c r="G799" i="4"/>
  <c r="H799" i="4"/>
  <c r="I799" i="4"/>
  <c r="J799" i="4"/>
  <c r="K799" i="4"/>
  <c r="B800" i="4"/>
  <c r="C800" i="4"/>
  <c r="D800" i="4"/>
  <c r="E800" i="4"/>
  <c r="F800" i="4"/>
  <c r="G800" i="4"/>
  <c r="H800" i="4"/>
  <c r="I800" i="4"/>
  <c r="J800" i="4"/>
  <c r="K800" i="4"/>
  <c r="B801" i="4"/>
  <c r="C801" i="4"/>
  <c r="D801" i="4"/>
  <c r="E801" i="4"/>
  <c r="F801" i="4"/>
  <c r="G801" i="4"/>
  <c r="H801" i="4"/>
  <c r="I801" i="4"/>
  <c r="J801" i="4"/>
  <c r="K801" i="4"/>
  <c r="B802" i="4"/>
  <c r="C802" i="4"/>
  <c r="D802" i="4"/>
  <c r="E802" i="4"/>
  <c r="F802" i="4"/>
  <c r="G802" i="4"/>
  <c r="H802" i="4"/>
  <c r="I802" i="4"/>
  <c r="J802" i="4"/>
  <c r="K802" i="4"/>
  <c r="B803" i="4"/>
  <c r="C803" i="4"/>
  <c r="D803" i="4"/>
  <c r="E803" i="4"/>
  <c r="F803" i="4"/>
  <c r="G803" i="4"/>
  <c r="H803" i="4"/>
  <c r="I803" i="4"/>
  <c r="J803" i="4"/>
  <c r="K803" i="4"/>
  <c r="B804" i="4"/>
  <c r="C804" i="4"/>
  <c r="D804" i="4"/>
  <c r="E804" i="4"/>
  <c r="F804" i="4"/>
  <c r="G804" i="4"/>
  <c r="H804" i="4"/>
  <c r="I804" i="4"/>
  <c r="J804" i="4"/>
  <c r="K804" i="4"/>
  <c r="B805" i="4"/>
  <c r="C805" i="4"/>
  <c r="D805" i="4"/>
  <c r="E805" i="4"/>
  <c r="F805" i="4"/>
  <c r="G805" i="4"/>
  <c r="H805" i="4"/>
  <c r="I805" i="4"/>
  <c r="J805" i="4"/>
  <c r="K805" i="4"/>
  <c r="B806" i="4"/>
  <c r="C806" i="4"/>
  <c r="D806" i="4"/>
  <c r="E806" i="4"/>
  <c r="F806" i="4"/>
  <c r="G806" i="4"/>
  <c r="H806" i="4"/>
  <c r="I806" i="4"/>
  <c r="J806" i="4"/>
  <c r="K806" i="4"/>
  <c r="B807" i="4"/>
  <c r="C807" i="4"/>
  <c r="D807" i="4"/>
  <c r="E807" i="4"/>
  <c r="F807" i="4"/>
  <c r="G807" i="4"/>
  <c r="H807" i="4"/>
  <c r="I807" i="4"/>
  <c r="J807" i="4"/>
  <c r="K807" i="4"/>
  <c r="B808" i="4"/>
  <c r="C808" i="4"/>
  <c r="D808" i="4"/>
  <c r="E808" i="4"/>
  <c r="F808" i="4"/>
  <c r="G808" i="4"/>
  <c r="H808" i="4"/>
  <c r="I808" i="4"/>
  <c r="J808" i="4"/>
  <c r="K808" i="4"/>
  <c r="B809" i="4"/>
  <c r="C809" i="4"/>
  <c r="D809" i="4"/>
  <c r="E809" i="4"/>
  <c r="F809" i="4"/>
  <c r="G809" i="4"/>
  <c r="H809" i="4"/>
  <c r="I809" i="4"/>
  <c r="J809" i="4"/>
  <c r="K809" i="4"/>
  <c r="B810" i="4"/>
  <c r="C810" i="4"/>
  <c r="D810" i="4"/>
  <c r="E810" i="4"/>
  <c r="F810" i="4"/>
  <c r="G810" i="4"/>
  <c r="H810" i="4"/>
  <c r="I810" i="4"/>
  <c r="J810" i="4"/>
  <c r="K810" i="4"/>
  <c r="B811" i="4"/>
  <c r="C811" i="4"/>
  <c r="D811" i="4"/>
  <c r="E811" i="4"/>
  <c r="F811" i="4"/>
  <c r="G811" i="4"/>
  <c r="H811" i="4"/>
  <c r="I811" i="4"/>
  <c r="J811" i="4"/>
  <c r="K811" i="4"/>
  <c r="B812" i="4"/>
  <c r="C812" i="4"/>
  <c r="D812" i="4"/>
  <c r="E812" i="4"/>
  <c r="F812" i="4"/>
  <c r="G812" i="4"/>
  <c r="H812" i="4"/>
  <c r="I812" i="4"/>
  <c r="J812" i="4"/>
  <c r="K812" i="4"/>
  <c r="B813" i="4"/>
  <c r="C813" i="4"/>
  <c r="D813" i="4"/>
  <c r="E813" i="4"/>
  <c r="F813" i="4"/>
  <c r="G813" i="4"/>
  <c r="H813" i="4"/>
  <c r="I813" i="4"/>
  <c r="J813" i="4"/>
  <c r="K813" i="4"/>
  <c r="B814" i="4"/>
  <c r="C814" i="4"/>
  <c r="D814" i="4"/>
  <c r="E814" i="4"/>
  <c r="F814" i="4"/>
  <c r="G814" i="4"/>
  <c r="H814" i="4"/>
  <c r="I814" i="4"/>
  <c r="J814" i="4"/>
  <c r="K814" i="4"/>
  <c r="B815" i="4"/>
  <c r="C815" i="4"/>
  <c r="D815" i="4"/>
  <c r="E815" i="4"/>
  <c r="F815" i="4"/>
  <c r="G815" i="4"/>
  <c r="H815" i="4"/>
  <c r="I815" i="4"/>
  <c r="J815" i="4"/>
  <c r="K815" i="4"/>
  <c r="B816" i="4"/>
  <c r="C816" i="4"/>
  <c r="D816" i="4"/>
  <c r="E816" i="4"/>
  <c r="F816" i="4"/>
  <c r="G816" i="4"/>
  <c r="H816" i="4"/>
  <c r="I816" i="4"/>
  <c r="J816" i="4"/>
  <c r="K816" i="4"/>
  <c r="B817" i="4"/>
  <c r="C817" i="4"/>
  <c r="D817" i="4"/>
  <c r="E817" i="4"/>
  <c r="F817" i="4"/>
  <c r="G817" i="4"/>
  <c r="H817" i="4"/>
  <c r="I817" i="4"/>
  <c r="J817" i="4"/>
  <c r="K817" i="4"/>
  <c r="B818" i="4"/>
  <c r="C818" i="4"/>
  <c r="D818" i="4"/>
  <c r="E818" i="4"/>
  <c r="F818" i="4"/>
  <c r="G818" i="4"/>
  <c r="H818" i="4"/>
  <c r="I818" i="4"/>
  <c r="J818" i="4"/>
  <c r="K818" i="4"/>
  <c r="B819" i="4"/>
  <c r="C819" i="4"/>
  <c r="D819" i="4"/>
  <c r="E819" i="4"/>
  <c r="F819" i="4"/>
  <c r="G819" i="4"/>
  <c r="H819" i="4"/>
  <c r="I819" i="4"/>
  <c r="J819" i="4"/>
  <c r="K819" i="4"/>
  <c r="B820" i="4"/>
  <c r="C820" i="4"/>
  <c r="D820" i="4"/>
  <c r="E820" i="4"/>
  <c r="F820" i="4"/>
  <c r="G820" i="4"/>
  <c r="H820" i="4"/>
  <c r="I820" i="4"/>
  <c r="J820" i="4"/>
  <c r="K820" i="4"/>
  <c r="B821" i="4"/>
  <c r="C821" i="4"/>
  <c r="D821" i="4"/>
  <c r="E821" i="4"/>
  <c r="F821" i="4"/>
  <c r="G821" i="4"/>
  <c r="H821" i="4"/>
  <c r="I821" i="4"/>
  <c r="J821" i="4"/>
  <c r="K821" i="4"/>
  <c r="B822" i="4"/>
  <c r="C822" i="4"/>
  <c r="D822" i="4"/>
  <c r="E822" i="4"/>
  <c r="F822" i="4"/>
  <c r="G822" i="4"/>
  <c r="H822" i="4"/>
  <c r="I822" i="4"/>
  <c r="J822" i="4"/>
  <c r="K822" i="4"/>
  <c r="B823" i="4"/>
  <c r="C823" i="4"/>
  <c r="D823" i="4"/>
  <c r="E823" i="4"/>
  <c r="F823" i="4"/>
  <c r="G823" i="4"/>
  <c r="H823" i="4"/>
  <c r="I823" i="4"/>
  <c r="J823" i="4"/>
  <c r="K823" i="4"/>
  <c r="B824" i="4"/>
  <c r="C824" i="4"/>
  <c r="D824" i="4"/>
  <c r="E824" i="4"/>
  <c r="F824" i="4"/>
  <c r="G824" i="4"/>
  <c r="H824" i="4"/>
  <c r="I824" i="4"/>
  <c r="J824" i="4"/>
  <c r="K824" i="4"/>
  <c r="B825" i="4"/>
  <c r="C825" i="4"/>
  <c r="D825" i="4"/>
  <c r="E825" i="4"/>
  <c r="F825" i="4"/>
  <c r="G825" i="4"/>
  <c r="H825" i="4"/>
  <c r="I825" i="4"/>
  <c r="J825" i="4"/>
  <c r="K825" i="4"/>
  <c r="B826" i="4"/>
  <c r="C826" i="4"/>
  <c r="D826" i="4"/>
  <c r="E826" i="4"/>
  <c r="F826" i="4"/>
  <c r="G826" i="4"/>
  <c r="H826" i="4"/>
  <c r="I826" i="4"/>
  <c r="J826" i="4"/>
  <c r="K826" i="4"/>
  <c r="B827" i="4"/>
  <c r="C827" i="4"/>
  <c r="D827" i="4"/>
  <c r="E827" i="4"/>
  <c r="F827" i="4"/>
  <c r="G827" i="4"/>
  <c r="H827" i="4"/>
  <c r="I827" i="4"/>
  <c r="J827" i="4"/>
  <c r="K827" i="4"/>
  <c r="B828" i="4"/>
  <c r="C828" i="4"/>
  <c r="D828" i="4"/>
  <c r="E828" i="4"/>
  <c r="F828" i="4"/>
  <c r="G828" i="4"/>
  <c r="H828" i="4"/>
  <c r="I828" i="4"/>
  <c r="J828" i="4"/>
  <c r="K828" i="4"/>
  <c r="B829" i="4"/>
  <c r="C829" i="4"/>
  <c r="D829" i="4"/>
  <c r="E829" i="4"/>
  <c r="F829" i="4"/>
  <c r="G829" i="4"/>
  <c r="H829" i="4"/>
  <c r="I829" i="4"/>
  <c r="J829" i="4"/>
  <c r="K829" i="4"/>
  <c r="B830" i="4"/>
  <c r="C830" i="4"/>
  <c r="D830" i="4"/>
  <c r="E830" i="4"/>
  <c r="F830" i="4"/>
  <c r="G830" i="4"/>
  <c r="H830" i="4"/>
  <c r="I830" i="4"/>
  <c r="J830" i="4"/>
  <c r="K830" i="4"/>
  <c r="B831" i="4"/>
  <c r="C831" i="4"/>
  <c r="D831" i="4"/>
  <c r="E831" i="4"/>
  <c r="F831" i="4"/>
  <c r="G831" i="4"/>
  <c r="H831" i="4"/>
  <c r="I831" i="4"/>
  <c r="J831" i="4"/>
  <c r="K831" i="4"/>
  <c r="B832" i="4"/>
  <c r="C832" i="4"/>
  <c r="D832" i="4"/>
  <c r="E832" i="4"/>
  <c r="F832" i="4"/>
  <c r="G832" i="4"/>
  <c r="H832" i="4"/>
  <c r="I832" i="4"/>
  <c r="J832" i="4"/>
  <c r="K832" i="4"/>
  <c r="B833" i="4"/>
  <c r="C833" i="4"/>
  <c r="D833" i="4"/>
  <c r="E833" i="4"/>
  <c r="F833" i="4"/>
  <c r="G833" i="4"/>
  <c r="H833" i="4"/>
  <c r="I833" i="4"/>
  <c r="J833" i="4"/>
  <c r="K833" i="4"/>
  <c r="B834" i="4"/>
  <c r="C834" i="4"/>
  <c r="D834" i="4"/>
  <c r="E834" i="4"/>
  <c r="F834" i="4"/>
  <c r="G834" i="4"/>
  <c r="H834" i="4"/>
  <c r="I834" i="4"/>
  <c r="J834" i="4"/>
  <c r="K834" i="4"/>
  <c r="B835" i="4"/>
  <c r="C835" i="4"/>
  <c r="D835" i="4"/>
  <c r="E835" i="4"/>
  <c r="F835" i="4"/>
  <c r="G835" i="4"/>
  <c r="H835" i="4"/>
  <c r="I835" i="4"/>
  <c r="J835" i="4"/>
  <c r="K835" i="4"/>
  <c r="B836" i="4"/>
  <c r="C836" i="4"/>
  <c r="D836" i="4"/>
  <c r="E836" i="4"/>
  <c r="F836" i="4"/>
  <c r="G836" i="4"/>
  <c r="H836" i="4"/>
  <c r="I836" i="4"/>
  <c r="J836" i="4"/>
  <c r="K836" i="4"/>
  <c r="B837" i="4"/>
  <c r="C837" i="4"/>
  <c r="D837" i="4"/>
  <c r="E837" i="4"/>
  <c r="F837" i="4"/>
  <c r="G837" i="4"/>
  <c r="H837" i="4"/>
  <c r="I837" i="4"/>
  <c r="J837" i="4"/>
  <c r="K837" i="4"/>
  <c r="B838" i="4"/>
  <c r="C838" i="4"/>
  <c r="D838" i="4"/>
  <c r="E838" i="4"/>
  <c r="F838" i="4"/>
  <c r="G838" i="4"/>
  <c r="H838" i="4"/>
  <c r="I838" i="4"/>
  <c r="J838" i="4"/>
  <c r="K838" i="4"/>
  <c r="B839" i="4"/>
  <c r="C839" i="4"/>
  <c r="D839" i="4"/>
  <c r="E839" i="4"/>
  <c r="F839" i="4"/>
  <c r="G839" i="4"/>
  <c r="H839" i="4"/>
  <c r="I839" i="4"/>
  <c r="J839" i="4"/>
  <c r="K839" i="4"/>
  <c r="B840" i="4"/>
  <c r="C840" i="4"/>
  <c r="D840" i="4"/>
  <c r="E840" i="4"/>
  <c r="F840" i="4"/>
  <c r="G840" i="4"/>
  <c r="H840" i="4"/>
  <c r="I840" i="4"/>
  <c r="J840" i="4"/>
  <c r="K840" i="4"/>
  <c r="B841" i="4"/>
  <c r="C841" i="4"/>
  <c r="D841" i="4"/>
  <c r="E841" i="4"/>
  <c r="F841" i="4"/>
  <c r="G841" i="4"/>
  <c r="H841" i="4"/>
  <c r="I841" i="4"/>
  <c r="J841" i="4"/>
  <c r="K841" i="4"/>
  <c r="B842" i="4"/>
  <c r="C842" i="4"/>
  <c r="D842" i="4"/>
  <c r="E842" i="4"/>
  <c r="F842" i="4"/>
  <c r="G842" i="4"/>
  <c r="H842" i="4"/>
  <c r="I842" i="4"/>
  <c r="J842" i="4"/>
  <c r="K842" i="4"/>
  <c r="B843" i="4"/>
  <c r="C843" i="4"/>
  <c r="D843" i="4"/>
  <c r="E843" i="4"/>
  <c r="F843" i="4"/>
  <c r="G843" i="4"/>
  <c r="H843" i="4"/>
  <c r="I843" i="4"/>
  <c r="J843" i="4"/>
  <c r="K843" i="4"/>
  <c r="B844" i="4"/>
  <c r="C844" i="4"/>
  <c r="D844" i="4"/>
  <c r="E844" i="4"/>
  <c r="F844" i="4"/>
  <c r="G844" i="4"/>
  <c r="H844" i="4"/>
  <c r="I844" i="4"/>
  <c r="J844" i="4"/>
  <c r="K844" i="4"/>
  <c r="B845" i="4"/>
  <c r="C845" i="4"/>
  <c r="D845" i="4"/>
  <c r="E845" i="4"/>
  <c r="F845" i="4"/>
  <c r="G845" i="4"/>
  <c r="H845" i="4"/>
  <c r="I845" i="4"/>
  <c r="J845" i="4"/>
  <c r="K845" i="4"/>
  <c r="B846" i="4"/>
  <c r="C846" i="4"/>
  <c r="D846" i="4"/>
  <c r="E846" i="4"/>
  <c r="F846" i="4"/>
  <c r="G846" i="4"/>
  <c r="H846" i="4"/>
  <c r="I846" i="4"/>
  <c r="J846" i="4"/>
  <c r="K846" i="4"/>
  <c r="B847" i="4"/>
  <c r="C847" i="4"/>
  <c r="D847" i="4"/>
  <c r="E847" i="4"/>
  <c r="F847" i="4"/>
  <c r="G847" i="4"/>
  <c r="H847" i="4"/>
  <c r="I847" i="4"/>
  <c r="J847" i="4"/>
  <c r="K847" i="4"/>
  <c r="B848" i="4"/>
  <c r="C848" i="4"/>
  <c r="D848" i="4"/>
  <c r="E848" i="4"/>
  <c r="F848" i="4"/>
  <c r="G848" i="4"/>
  <c r="H848" i="4"/>
  <c r="I848" i="4"/>
  <c r="J848" i="4"/>
  <c r="K848" i="4"/>
  <c r="B849" i="4"/>
  <c r="C849" i="4"/>
  <c r="D849" i="4"/>
  <c r="E849" i="4"/>
  <c r="F849" i="4"/>
  <c r="G849" i="4"/>
  <c r="H849" i="4"/>
  <c r="I849" i="4"/>
  <c r="J849" i="4"/>
  <c r="K849" i="4"/>
  <c r="B850" i="4"/>
  <c r="C850" i="4"/>
  <c r="D850" i="4"/>
  <c r="E850" i="4"/>
  <c r="F850" i="4"/>
  <c r="G850" i="4"/>
  <c r="H850" i="4"/>
  <c r="I850" i="4"/>
  <c r="J850" i="4"/>
  <c r="K850" i="4"/>
  <c r="B851" i="4"/>
  <c r="C851" i="4"/>
  <c r="D851" i="4"/>
  <c r="E851" i="4"/>
  <c r="F851" i="4"/>
  <c r="G851" i="4"/>
  <c r="H851" i="4"/>
  <c r="I851" i="4"/>
  <c r="J851" i="4"/>
  <c r="K851" i="4"/>
  <c r="B852" i="4"/>
  <c r="C852" i="4"/>
  <c r="D852" i="4"/>
  <c r="E852" i="4"/>
  <c r="F852" i="4"/>
  <c r="G852" i="4"/>
  <c r="H852" i="4"/>
  <c r="I852" i="4"/>
  <c r="J852" i="4"/>
  <c r="K852" i="4"/>
  <c r="B853" i="4"/>
  <c r="C853" i="4"/>
  <c r="D853" i="4"/>
  <c r="E853" i="4"/>
  <c r="F853" i="4"/>
  <c r="G853" i="4"/>
  <c r="H853" i="4"/>
  <c r="I853" i="4"/>
  <c r="J853" i="4"/>
  <c r="K853" i="4"/>
  <c r="B854" i="4"/>
  <c r="C854" i="4"/>
  <c r="D854" i="4"/>
  <c r="E854" i="4"/>
  <c r="F854" i="4"/>
  <c r="G854" i="4"/>
  <c r="H854" i="4"/>
  <c r="I854" i="4"/>
  <c r="J854" i="4"/>
  <c r="K854" i="4"/>
  <c r="B855" i="4"/>
  <c r="C855" i="4"/>
  <c r="D855" i="4"/>
  <c r="E855" i="4"/>
  <c r="F855" i="4"/>
  <c r="G855" i="4"/>
  <c r="H855" i="4"/>
  <c r="I855" i="4"/>
  <c r="J855" i="4"/>
  <c r="K855" i="4"/>
  <c r="B856" i="4"/>
  <c r="C856" i="4"/>
  <c r="D856" i="4"/>
  <c r="E856" i="4"/>
  <c r="F856" i="4"/>
  <c r="G856" i="4"/>
  <c r="H856" i="4"/>
  <c r="I856" i="4"/>
  <c r="J856" i="4"/>
  <c r="K856" i="4"/>
  <c r="B857" i="4"/>
  <c r="C857" i="4"/>
  <c r="D857" i="4"/>
  <c r="E857" i="4"/>
  <c r="F857" i="4"/>
  <c r="G857" i="4"/>
  <c r="H857" i="4"/>
  <c r="I857" i="4"/>
  <c r="J857" i="4"/>
  <c r="K857" i="4"/>
  <c r="B858" i="4"/>
  <c r="C858" i="4"/>
  <c r="D858" i="4"/>
  <c r="E858" i="4"/>
  <c r="F858" i="4"/>
  <c r="G858" i="4"/>
  <c r="H858" i="4"/>
  <c r="I858" i="4"/>
  <c r="J858" i="4"/>
  <c r="K858" i="4"/>
  <c r="B859" i="4"/>
  <c r="C859" i="4"/>
  <c r="D859" i="4"/>
  <c r="E859" i="4"/>
  <c r="F859" i="4"/>
  <c r="G859" i="4"/>
  <c r="H859" i="4"/>
  <c r="I859" i="4"/>
  <c r="J859" i="4"/>
  <c r="K859" i="4"/>
  <c r="B860" i="4"/>
  <c r="C860" i="4"/>
  <c r="D860" i="4"/>
  <c r="E860" i="4"/>
  <c r="F860" i="4"/>
  <c r="G860" i="4"/>
  <c r="H860" i="4"/>
  <c r="I860" i="4"/>
  <c r="J860" i="4"/>
  <c r="K860" i="4"/>
  <c r="B861" i="4"/>
  <c r="C861" i="4"/>
  <c r="D861" i="4"/>
  <c r="E861" i="4"/>
  <c r="F861" i="4"/>
  <c r="G861" i="4"/>
  <c r="H861" i="4"/>
  <c r="I861" i="4"/>
  <c r="J861" i="4"/>
  <c r="K861" i="4"/>
  <c r="B862" i="4"/>
  <c r="C862" i="4"/>
  <c r="D862" i="4"/>
  <c r="E862" i="4"/>
  <c r="F862" i="4"/>
  <c r="G862" i="4"/>
  <c r="H862" i="4"/>
  <c r="I862" i="4"/>
  <c r="J862" i="4"/>
  <c r="K862" i="4"/>
  <c r="B863" i="4"/>
  <c r="C863" i="4"/>
  <c r="D863" i="4"/>
  <c r="E863" i="4"/>
  <c r="F863" i="4"/>
  <c r="G863" i="4"/>
  <c r="H863" i="4"/>
  <c r="I863" i="4"/>
  <c r="J863" i="4"/>
  <c r="K863" i="4"/>
  <c r="B864" i="4"/>
  <c r="C864" i="4"/>
  <c r="D864" i="4"/>
  <c r="E864" i="4"/>
  <c r="F864" i="4"/>
  <c r="G864" i="4"/>
  <c r="H864" i="4"/>
  <c r="I864" i="4"/>
  <c r="J864" i="4"/>
  <c r="K864" i="4"/>
  <c r="B865" i="4"/>
  <c r="C865" i="4"/>
  <c r="D865" i="4"/>
  <c r="E865" i="4"/>
  <c r="F865" i="4"/>
  <c r="G865" i="4"/>
  <c r="H865" i="4"/>
  <c r="I865" i="4"/>
  <c r="J865" i="4"/>
  <c r="K865" i="4"/>
  <c r="B866" i="4"/>
  <c r="C866" i="4"/>
  <c r="D866" i="4"/>
  <c r="E866" i="4"/>
  <c r="F866" i="4"/>
  <c r="G866" i="4"/>
  <c r="H866" i="4"/>
  <c r="I866" i="4"/>
  <c r="J866" i="4"/>
  <c r="K866" i="4"/>
  <c r="B867" i="4"/>
  <c r="C867" i="4"/>
  <c r="D867" i="4"/>
  <c r="E867" i="4"/>
  <c r="F867" i="4"/>
  <c r="G867" i="4"/>
  <c r="H867" i="4"/>
  <c r="I867" i="4"/>
  <c r="J867" i="4"/>
  <c r="K867" i="4"/>
  <c r="B868" i="4"/>
  <c r="C868" i="4"/>
  <c r="D868" i="4"/>
  <c r="E868" i="4"/>
  <c r="F868" i="4"/>
  <c r="G868" i="4"/>
  <c r="H868" i="4"/>
  <c r="I868" i="4"/>
  <c r="J868" i="4"/>
  <c r="K868" i="4"/>
  <c r="B869" i="4"/>
  <c r="C869" i="4"/>
  <c r="D869" i="4"/>
  <c r="E869" i="4"/>
  <c r="F869" i="4"/>
  <c r="G869" i="4"/>
  <c r="H869" i="4"/>
  <c r="I869" i="4"/>
  <c r="J869" i="4"/>
  <c r="K869" i="4"/>
  <c r="B870" i="4"/>
  <c r="C870" i="4"/>
  <c r="D870" i="4"/>
  <c r="E870" i="4"/>
  <c r="F870" i="4"/>
  <c r="G870" i="4"/>
  <c r="H870" i="4"/>
  <c r="I870" i="4"/>
  <c r="J870" i="4"/>
  <c r="K870" i="4"/>
  <c r="B871" i="4"/>
  <c r="C871" i="4"/>
  <c r="D871" i="4"/>
  <c r="E871" i="4"/>
  <c r="F871" i="4"/>
  <c r="G871" i="4"/>
  <c r="H871" i="4"/>
  <c r="I871" i="4"/>
  <c r="J871" i="4"/>
  <c r="K871" i="4"/>
  <c r="B872" i="4"/>
  <c r="C872" i="4"/>
  <c r="D872" i="4"/>
  <c r="E872" i="4"/>
  <c r="F872" i="4"/>
  <c r="G872" i="4"/>
  <c r="H872" i="4"/>
  <c r="I872" i="4"/>
  <c r="J872" i="4"/>
  <c r="K872" i="4"/>
  <c r="B873" i="4"/>
  <c r="C873" i="4"/>
  <c r="D873" i="4"/>
  <c r="E873" i="4"/>
  <c r="F873" i="4"/>
  <c r="G873" i="4"/>
  <c r="H873" i="4"/>
  <c r="I873" i="4"/>
  <c r="J873" i="4"/>
  <c r="K873" i="4"/>
  <c r="B874" i="4"/>
  <c r="C874" i="4"/>
  <c r="D874" i="4"/>
  <c r="E874" i="4"/>
  <c r="F874" i="4"/>
  <c r="G874" i="4"/>
  <c r="H874" i="4"/>
  <c r="I874" i="4"/>
  <c r="J874" i="4"/>
  <c r="K874" i="4"/>
  <c r="B875" i="4"/>
  <c r="C875" i="4"/>
  <c r="D875" i="4"/>
  <c r="E875" i="4"/>
  <c r="F875" i="4"/>
  <c r="G875" i="4"/>
  <c r="H875" i="4"/>
  <c r="I875" i="4"/>
  <c r="J875" i="4"/>
  <c r="K875" i="4"/>
  <c r="B876" i="4"/>
  <c r="C876" i="4"/>
  <c r="D876" i="4"/>
  <c r="E876" i="4"/>
  <c r="F876" i="4"/>
  <c r="G876" i="4"/>
  <c r="H876" i="4"/>
  <c r="I876" i="4"/>
  <c r="J876" i="4"/>
  <c r="K876" i="4"/>
  <c r="B877" i="4"/>
  <c r="C877" i="4"/>
  <c r="D877" i="4"/>
  <c r="E877" i="4"/>
  <c r="F877" i="4"/>
  <c r="G877" i="4"/>
  <c r="H877" i="4"/>
  <c r="I877" i="4"/>
  <c r="J877" i="4"/>
  <c r="K877" i="4"/>
  <c r="B878" i="4"/>
  <c r="C878" i="4"/>
  <c r="D878" i="4"/>
  <c r="E878" i="4"/>
  <c r="F878" i="4"/>
  <c r="G878" i="4"/>
  <c r="H878" i="4"/>
  <c r="I878" i="4"/>
  <c r="J878" i="4"/>
  <c r="K878" i="4"/>
  <c r="B879" i="4"/>
  <c r="C879" i="4"/>
  <c r="D879" i="4"/>
  <c r="E879" i="4"/>
  <c r="F879" i="4"/>
  <c r="G879" i="4"/>
  <c r="H879" i="4"/>
  <c r="I879" i="4"/>
  <c r="J879" i="4"/>
  <c r="K879" i="4"/>
  <c r="B880" i="4"/>
  <c r="C880" i="4"/>
  <c r="D880" i="4"/>
  <c r="E880" i="4"/>
  <c r="F880" i="4"/>
  <c r="G880" i="4"/>
  <c r="H880" i="4"/>
  <c r="I880" i="4"/>
  <c r="J880" i="4"/>
  <c r="K880" i="4"/>
  <c r="B881" i="4"/>
  <c r="C881" i="4"/>
  <c r="D881" i="4"/>
  <c r="E881" i="4"/>
  <c r="F881" i="4"/>
  <c r="G881" i="4"/>
  <c r="H881" i="4"/>
  <c r="I881" i="4"/>
  <c r="J881" i="4"/>
  <c r="K881" i="4"/>
  <c r="B882" i="4"/>
  <c r="C882" i="4"/>
  <c r="D882" i="4"/>
  <c r="E882" i="4"/>
  <c r="F882" i="4"/>
  <c r="G882" i="4"/>
  <c r="H882" i="4"/>
  <c r="I882" i="4"/>
  <c r="J882" i="4"/>
  <c r="K882" i="4"/>
  <c r="B883" i="4"/>
  <c r="C883" i="4"/>
  <c r="D883" i="4"/>
  <c r="E883" i="4"/>
  <c r="F883" i="4"/>
  <c r="G883" i="4"/>
  <c r="H883" i="4"/>
  <c r="I883" i="4"/>
  <c r="J883" i="4"/>
  <c r="K883" i="4"/>
  <c r="B884" i="4"/>
  <c r="C884" i="4"/>
  <c r="D884" i="4"/>
  <c r="E884" i="4"/>
  <c r="F884" i="4"/>
  <c r="G884" i="4"/>
  <c r="H884" i="4"/>
  <c r="I884" i="4"/>
  <c r="J884" i="4"/>
  <c r="K884" i="4"/>
  <c r="B885" i="4"/>
  <c r="C885" i="4"/>
  <c r="D885" i="4"/>
  <c r="E885" i="4"/>
  <c r="F885" i="4"/>
  <c r="G885" i="4"/>
  <c r="H885" i="4"/>
  <c r="I885" i="4"/>
  <c r="J885" i="4"/>
  <c r="K885" i="4"/>
  <c r="B886" i="4"/>
  <c r="C886" i="4"/>
  <c r="D886" i="4"/>
  <c r="E886" i="4"/>
  <c r="F886" i="4"/>
  <c r="G886" i="4"/>
  <c r="H886" i="4"/>
  <c r="I886" i="4"/>
  <c r="J886" i="4"/>
  <c r="K886" i="4"/>
  <c r="B887" i="4"/>
  <c r="C887" i="4"/>
  <c r="D887" i="4"/>
  <c r="E887" i="4"/>
  <c r="F887" i="4"/>
  <c r="G887" i="4"/>
  <c r="H887" i="4"/>
  <c r="I887" i="4"/>
  <c r="J887" i="4"/>
  <c r="K887" i="4"/>
  <c r="B888" i="4"/>
  <c r="C888" i="4"/>
  <c r="D888" i="4"/>
  <c r="E888" i="4"/>
  <c r="F888" i="4"/>
  <c r="G888" i="4"/>
  <c r="H888" i="4"/>
  <c r="I888" i="4"/>
  <c r="J888" i="4"/>
  <c r="K888" i="4"/>
  <c r="B889" i="4"/>
  <c r="C889" i="4"/>
  <c r="D889" i="4"/>
  <c r="E889" i="4"/>
  <c r="F889" i="4"/>
  <c r="G889" i="4"/>
  <c r="H889" i="4"/>
  <c r="I889" i="4"/>
  <c r="J889" i="4"/>
  <c r="K889" i="4"/>
  <c r="B890" i="4"/>
  <c r="C890" i="4"/>
  <c r="D890" i="4"/>
  <c r="E890" i="4"/>
  <c r="F890" i="4"/>
  <c r="G890" i="4"/>
  <c r="H890" i="4"/>
  <c r="I890" i="4"/>
  <c r="J890" i="4"/>
  <c r="K890" i="4"/>
  <c r="B891" i="4"/>
  <c r="C891" i="4"/>
  <c r="D891" i="4"/>
  <c r="E891" i="4"/>
  <c r="F891" i="4"/>
  <c r="G891" i="4"/>
  <c r="H891" i="4"/>
  <c r="I891" i="4"/>
  <c r="J891" i="4"/>
  <c r="K891" i="4"/>
  <c r="B892" i="4"/>
  <c r="C892" i="4"/>
  <c r="D892" i="4"/>
  <c r="E892" i="4"/>
  <c r="F892" i="4"/>
  <c r="G892" i="4"/>
  <c r="H892" i="4"/>
  <c r="I892" i="4"/>
  <c r="J892" i="4"/>
  <c r="K892" i="4"/>
  <c r="B893" i="4"/>
  <c r="C893" i="4"/>
  <c r="D893" i="4"/>
  <c r="E893" i="4"/>
  <c r="F893" i="4"/>
  <c r="G893" i="4"/>
  <c r="H893" i="4"/>
  <c r="I893" i="4"/>
  <c r="J893" i="4"/>
  <c r="K893" i="4"/>
  <c r="B894" i="4"/>
  <c r="C894" i="4"/>
  <c r="D894" i="4"/>
  <c r="E894" i="4"/>
  <c r="F894" i="4"/>
  <c r="G894" i="4"/>
  <c r="H894" i="4"/>
  <c r="I894" i="4"/>
  <c r="J894" i="4"/>
  <c r="K894" i="4"/>
  <c r="B895" i="4"/>
  <c r="C895" i="4"/>
  <c r="D895" i="4"/>
  <c r="E895" i="4"/>
  <c r="F895" i="4"/>
  <c r="G895" i="4"/>
  <c r="H895" i="4"/>
  <c r="I895" i="4"/>
  <c r="J895" i="4"/>
  <c r="K895" i="4"/>
  <c r="B896" i="4"/>
  <c r="C896" i="4"/>
  <c r="D896" i="4"/>
  <c r="E896" i="4"/>
  <c r="F896" i="4"/>
  <c r="G896" i="4"/>
  <c r="H896" i="4"/>
  <c r="I896" i="4"/>
  <c r="J896" i="4"/>
  <c r="K896" i="4"/>
  <c r="B897" i="4"/>
  <c r="C897" i="4"/>
  <c r="D897" i="4"/>
  <c r="E897" i="4"/>
  <c r="F897" i="4"/>
  <c r="G897" i="4"/>
  <c r="H897" i="4"/>
  <c r="I897" i="4"/>
  <c r="J897" i="4"/>
  <c r="K897" i="4"/>
  <c r="B898" i="4"/>
  <c r="C898" i="4"/>
  <c r="D898" i="4"/>
  <c r="E898" i="4"/>
  <c r="F898" i="4"/>
  <c r="G898" i="4"/>
  <c r="H898" i="4"/>
  <c r="I898" i="4"/>
  <c r="J898" i="4"/>
  <c r="K898" i="4"/>
  <c r="B899" i="4"/>
  <c r="C899" i="4"/>
  <c r="D899" i="4"/>
  <c r="E899" i="4"/>
  <c r="F899" i="4"/>
  <c r="G899" i="4"/>
  <c r="H899" i="4"/>
  <c r="I899" i="4"/>
  <c r="J899" i="4"/>
  <c r="K899" i="4"/>
  <c r="B900" i="4"/>
  <c r="C900" i="4"/>
  <c r="D900" i="4"/>
  <c r="E900" i="4"/>
  <c r="F900" i="4"/>
  <c r="G900" i="4"/>
  <c r="H900" i="4"/>
  <c r="I900" i="4"/>
  <c r="J900" i="4"/>
  <c r="K900" i="4"/>
  <c r="B901" i="4"/>
  <c r="C901" i="4"/>
  <c r="D901" i="4"/>
  <c r="E901" i="4"/>
  <c r="F901" i="4"/>
  <c r="G901" i="4"/>
  <c r="H901" i="4"/>
  <c r="I901" i="4"/>
  <c r="J901" i="4"/>
  <c r="K901" i="4"/>
  <c r="B902" i="4"/>
  <c r="C902" i="4"/>
  <c r="D902" i="4"/>
  <c r="E902" i="4"/>
  <c r="F902" i="4"/>
  <c r="G902" i="4"/>
  <c r="H902" i="4"/>
  <c r="I902" i="4"/>
  <c r="J902" i="4"/>
  <c r="K902" i="4"/>
  <c r="B903" i="4"/>
  <c r="C903" i="4"/>
  <c r="D903" i="4"/>
  <c r="E903" i="4"/>
  <c r="F903" i="4"/>
  <c r="G903" i="4"/>
  <c r="H903" i="4"/>
  <c r="I903" i="4"/>
  <c r="J903" i="4"/>
  <c r="K903" i="4"/>
  <c r="B904" i="4"/>
  <c r="C904" i="4"/>
  <c r="D904" i="4"/>
  <c r="E904" i="4"/>
  <c r="F904" i="4"/>
  <c r="G904" i="4"/>
  <c r="H904" i="4"/>
  <c r="I904" i="4"/>
  <c r="J904" i="4"/>
  <c r="K904" i="4"/>
  <c r="B905" i="4"/>
  <c r="C905" i="4"/>
  <c r="D905" i="4"/>
  <c r="E905" i="4"/>
  <c r="F905" i="4"/>
  <c r="G905" i="4"/>
  <c r="H905" i="4"/>
  <c r="I905" i="4"/>
  <c r="J905" i="4"/>
  <c r="K905" i="4"/>
  <c r="B906" i="4"/>
  <c r="C906" i="4"/>
  <c r="D906" i="4"/>
  <c r="E906" i="4"/>
  <c r="F906" i="4"/>
  <c r="G906" i="4"/>
  <c r="H906" i="4"/>
  <c r="I906" i="4"/>
  <c r="J906" i="4"/>
  <c r="K906" i="4"/>
  <c r="B907" i="4"/>
  <c r="C907" i="4"/>
  <c r="D907" i="4"/>
  <c r="E907" i="4"/>
  <c r="F907" i="4"/>
  <c r="G907" i="4"/>
  <c r="H907" i="4"/>
  <c r="I907" i="4"/>
  <c r="J907" i="4"/>
  <c r="K907" i="4"/>
  <c r="B908" i="4"/>
  <c r="C908" i="4"/>
  <c r="D908" i="4"/>
  <c r="E908" i="4"/>
  <c r="F908" i="4"/>
  <c r="G908" i="4"/>
  <c r="H908" i="4"/>
  <c r="I908" i="4"/>
  <c r="J908" i="4"/>
  <c r="K908" i="4"/>
  <c r="B909" i="4"/>
  <c r="C909" i="4"/>
  <c r="D909" i="4"/>
  <c r="E909" i="4"/>
  <c r="F909" i="4"/>
  <c r="G909" i="4"/>
  <c r="H909" i="4"/>
  <c r="I909" i="4"/>
  <c r="J909" i="4"/>
  <c r="K909" i="4"/>
  <c r="B910" i="4"/>
  <c r="C910" i="4"/>
  <c r="D910" i="4"/>
  <c r="E910" i="4"/>
  <c r="F910" i="4"/>
  <c r="G910" i="4"/>
  <c r="H910" i="4"/>
  <c r="I910" i="4"/>
  <c r="J910" i="4"/>
  <c r="K910" i="4"/>
  <c r="B911" i="4"/>
  <c r="C911" i="4"/>
  <c r="D911" i="4"/>
  <c r="E911" i="4"/>
  <c r="F911" i="4"/>
  <c r="G911" i="4"/>
  <c r="H911" i="4"/>
  <c r="I911" i="4"/>
  <c r="J911" i="4"/>
  <c r="K911" i="4"/>
  <c r="B912" i="4"/>
  <c r="C912" i="4"/>
  <c r="D912" i="4"/>
  <c r="E912" i="4"/>
  <c r="F912" i="4"/>
  <c r="G912" i="4"/>
  <c r="H912" i="4"/>
  <c r="I912" i="4"/>
  <c r="J912" i="4"/>
  <c r="K912" i="4"/>
  <c r="B913" i="4"/>
  <c r="C913" i="4"/>
  <c r="D913" i="4"/>
  <c r="E913" i="4"/>
  <c r="F913" i="4"/>
  <c r="G913" i="4"/>
  <c r="H913" i="4"/>
  <c r="I913" i="4"/>
  <c r="J913" i="4"/>
  <c r="K913" i="4"/>
  <c r="B914" i="4"/>
  <c r="C914" i="4"/>
  <c r="D914" i="4"/>
  <c r="E914" i="4"/>
  <c r="F914" i="4"/>
  <c r="G914" i="4"/>
  <c r="H914" i="4"/>
  <c r="I914" i="4"/>
  <c r="J914" i="4"/>
  <c r="K914" i="4"/>
  <c r="B915" i="4"/>
  <c r="C915" i="4"/>
  <c r="D915" i="4"/>
  <c r="E915" i="4"/>
  <c r="F915" i="4"/>
  <c r="G915" i="4"/>
  <c r="H915" i="4"/>
  <c r="I915" i="4"/>
  <c r="J915" i="4"/>
  <c r="K915" i="4"/>
  <c r="B916" i="4"/>
  <c r="C916" i="4"/>
  <c r="D916" i="4"/>
  <c r="E916" i="4"/>
  <c r="F916" i="4"/>
  <c r="G916" i="4"/>
  <c r="H916" i="4"/>
  <c r="I916" i="4"/>
  <c r="J916" i="4"/>
  <c r="K916" i="4"/>
  <c r="B917" i="4"/>
  <c r="C917" i="4"/>
  <c r="D917" i="4"/>
  <c r="E917" i="4"/>
  <c r="F917" i="4"/>
  <c r="G917" i="4"/>
  <c r="H917" i="4"/>
  <c r="I917" i="4"/>
  <c r="J917" i="4"/>
  <c r="K917" i="4"/>
  <c r="B918" i="4"/>
  <c r="C918" i="4"/>
  <c r="D918" i="4"/>
  <c r="E918" i="4"/>
  <c r="F918" i="4"/>
  <c r="G918" i="4"/>
  <c r="H918" i="4"/>
  <c r="I918" i="4"/>
  <c r="J918" i="4"/>
  <c r="K918" i="4"/>
  <c r="B919" i="4"/>
  <c r="C919" i="4"/>
  <c r="D919" i="4"/>
  <c r="E919" i="4"/>
  <c r="F919" i="4"/>
  <c r="G919" i="4"/>
  <c r="H919" i="4"/>
  <c r="I919" i="4"/>
  <c r="J919" i="4"/>
  <c r="K919" i="4"/>
  <c r="B920" i="4"/>
  <c r="C920" i="4"/>
  <c r="D920" i="4"/>
  <c r="E920" i="4"/>
  <c r="F920" i="4"/>
  <c r="G920" i="4"/>
  <c r="H920" i="4"/>
  <c r="I920" i="4"/>
  <c r="J920" i="4"/>
  <c r="K920" i="4"/>
  <c r="B921" i="4"/>
  <c r="C921" i="4"/>
  <c r="D921" i="4"/>
  <c r="E921" i="4"/>
  <c r="F921" i="4"/>
  <c r="G921" i="4"/>
  <c r="H921" i="4"/>
  <c r="I921" i="4"/>
  <c r="J921" i="4"/>
  <c r="K921" i="4"/>
  <c r="B922" i="4"/>
  <c r="C922" i="4"/>
  <c r="D922" i="4"/>
  <c r="E922" i="4"/>
  <c r="F922" i="4"/>
  <c r="G922" i="4"/>
  <c r="H922" i="4"/>
  <c r="I922" i="4"/>
  <c r="J922" i="4"/>
  <c r="K922" i="4"/>
  <c r="B923" i="4"/>
  <c r="C923" i="4"/>
  <c r="D923" i="4"/>
  <c r="E923" i="4"/>
  <c r="F923" i="4"/>
  <c r="G923" i="4"/>
  <c r="H923" i="4"/>
  <c r="I923" i="4"/>
  <c r="J923" i="4"/>
  <c r="K923" i="4"/>
  <c r="B924" i="4"/>
  <c r="C924" i="4"/>
  <c r="D924" i="4"/>
  <c r="E924" i="4"/>
  <c r="F924" i="4"/>
  <c r="G924" i="4"/>
  <c r="H924" i="4"/>
  <c r="I924" i="4"/>
  <c r="J924" i="4"/>
  <c r="K924" i="4"/>
  <c r="B925" i="4"/>
  <c r="C925" i="4"/>
  <c r="D925" i="4"/>
  <c r="E925" i="4"/>
  <c r="F925" i="4"/>
  <c r="G925" i="4"/>
  <c r="H925" i="4"/>
  <c r="I925" i="4"/>
  <c r="J925" i="4"/>
  <c r="K925" i="4"/>
  <c r="B926" i="4"/>
  <c r="C926" i="4"/>
  <c r="D926" i="4"/>
  <c r="E926" i="4"/>
  <c r="F926" i="4"/>
  <c r="G926" i="4"/>
  <c r="H926" i="4"/>
  <c r="I926" i="4"/>
  <c r="J926" i="4"/>
  <c r="K926" i="4"/>
  <c r="B927" i="4"/>
  <c r="C927" i="4"/>
  <c r="D927" i="4"/>
  <c r="E927" i="4"/>
  <c r="F927" i="4"/>
  <c r="G927" i="4"/>
  <c r="H927" i="4"/>
  <c r="I927" i="4"/>
  <c r="J927" i="4"/>
  <c r="K927" i="4"/>
  <c r="B928" i="4"/>
  <c r="C928" i="4"/>
  <c r="D928" i="4"/>
  <c r="E928" i="4"/>
  <c r="F928" i="4"/>
  <c r="G928" i="4"/>
  <c r="H928" i="4"/>
  <c r="I928" i="4"/>
  <c r="J928" i="4"/>
  <c r="K928" i="4"/>
  <c r="B929" i="4"/>
  <c r="C929" i="4"/>
  <c r="D929" i="4"/>
  <c r="E929" i="4"/>
  <c r="F929" i="4"/>
  <c r="G929" i="4"/>
  <c r="H929" i="4"/>
  <c r="I929" i="4"/>
  <c r="J929" i="4"/>
  <c r="K929" i="4"/>
  <c r="B930" i="4"/>
  <c r="C930" i="4"/>
  <c r="D930" i="4"/>
  <c r="E930" i="4"/>
  <c r="F930" i="4"/>
  <c r="G930" i="4"/>
  <c r="H930" i="4"/>
  <c r="I930" i="4"/>
  <c r="J930" i="4"/>
  <c r="K930" i="4"/>
  <c r="B931" i="4"/>
  <c r="C931" i="4"/>
  <c r="D931" i="4"/>
  <c r="E931" i="4"/>
  <c r="F931" i="4"/>
  <c r="G931" i="4"/>
  <c r="H931" i="4"/>
  <c r="I931" i="4"/>
  <c r="J931" i="4"/>
  <c r="K931" i="4"/>
  <c r="B932" i="4"/>
  <c r="C932" i="4"/>
  <c r="D932" i="4"/>
  <c r="E932" i="4"/>
  <c r="F932" i="4"/>
  <c r="G932" i="4"/>
  <c r="H932" i="4"/>
  <c r="I932" i="4"/>
  <c r="J932" i="4"/>
  <c r="K932" i="4"/>
  <c r="B933" i="4"/>
  <c r="C933" i="4"/>
  <c r="D933" i="4"/>
  <c r="E933" i="4"/>
  <c r="F933" i="4"/>
  <c r="G933" i="4"/>
  <c r="H933" i="4"/>
  <c r="I933" i="4"/>
  <c r="J933" i="4"/>
  <c r="K933" i="4"/>
  <c r="B934" i="4"/>
  <c r="C934" i="4"/>
  <c r="D934" i="4"/>
  <c r="E934" i="4"/>
  <c r="F934" i="4"/>
  <c r="G934" i="4"/>
  <c r="H934" i="4"/>
  <c r="I934" i="4"/>
  <c r="J934" i="4"/>
  <c r="K934" i="4"/>
  <c r="B935" i="4"/>
  <c r="C935" i="4"/>
  <c r="D935" i="4"/>
  <c r="E935" i="4"/>
  <c r="F935" i="4"/>
  <c r="G935" i="4"/>
  <c r="H935" i="4"/>
  <c r="I935" i="4"/>
  <c r="J935" i="4"/>
  <c r="K935" i="4"/>
  <c r="B936" i="4"/>
  <c r="C936" i="4"/>
  <c r="D936" i="4"/>
  <c r="E936" i="4"/>
  <c r="F936" i="4"/>
  <c r="G936" i="4"/>
  <c r="H936" i="4"/>
  <c r="I936" i="4"/>
  <c r="J936" i="4"/>
  <c r="K936" i="4"/>
  <c r="B937" i="4"/>
  <c r="C937" i="4"/>
  <c r="D937" i="4"/>
  <c r="E937" i="4"/>
  <c r="F937" i="4"/>
  <c r="G937" i="4"/>
  <c r="H937" i="4"/>
  <c r="I937" i="4"/>
  <c r="J937" i="4"/>
  <c r="K937" i="4"/>
  <c r="B938" i="4"/>
  <c r="C938" i="4"/>
  <c r="D938" i="4"/>
  <c r="E938" i="4"/>
  <c r="F938" i="4"/>
  <c r="G938" i="4"/>
  <c r="H938" i="4"/>
  <c r="I938" i="4"/>
  <c r="J938" i="4"/>
  <c r="K938" i="4"/>
  <c r="B939" i="4"/>
  <c r="C939" i="4"/>
  <c r="D939" i="4"/>
  <c r="E939" i="4"/>
  <c r="F939" i="4"/>
  <c r="G939" i="4"/>
  <c r="H939" i="4"/>
  <c r="I939" i="4"/>
  <c r="J939" i="4"/>
  <c r="K939" i="4"/>
  <c r="B940" i="4"/>
  <c r="C940" i="4"/>
  <c r="D940" i="4"/>
  <c r="E940" i="4"/>
  <c r="F940" i="4"/>
  <c r="G940" i="4"/>
  <c r="H940" i="4"/>
  <c r="I940" i="4"/>
  <c r="J940" i="4"/>
  <c r="K940" i="4"/>
  <c r="B941" i="4"/>
  <c r="C941" i="4"/>
  <c r="D941" i="4"/>
  <c r="E941" i="4"/>
  <c r="F941" i="4"/>
  <c r="G941" i="4"/>
  <c r="H941" i="4"/>
  <c r="I941" i="4"/>
  <c r="J941" i="4"/>
  <c r="K941" i="4"/>
  <c r="B942" i="4"/>
  <c r="C942" i="4"/>
  <c r="D942" i="4"/>
  <c r="E942" i="4"/>
  <c r="F942" i="4"/>
  <c r="G942" i="4"/>
  <c r="H942" i="4"/>
  <c r="I942" i="4"/>
  <c r="J942" i="4"/>
  <c r="K942" i="4"/>
  <c r="B943" i="4"/>
  <c r="C943" i="4"/>
  <c r="D943" i="4"/>
  <c r="E943" i="4"/>
  <c r="F943" i="4"/>
  <c r="G943" i="4"/>
  <c r="H943" i="4"/>
  <c r="I943" i="4"/>
  <c r="J943" i="4"/>
  <c r="K943" i="4"/>
  <c r="B944" i="4"/>
  <c r="C944" i="4"/>
  <c r="D944" i="4"/>
  <c r="E944" i="4"/>
  <c r="F944" i="4"/>
  <c r="G944" i="4"/>
  <c r="H944" i="4"/>
  <c r="I944" i="4"/>
  <c r="J944" i="4"/>
  <c r="K944" i="4"/>
  <c r="B945" i="4"/>
  <c r="C945" i="4"/>
  <c r="D945" i="4"/>
  <c r="E945" i="4"/>
  <c r="F945" i="4"/>
  <c r="G945" i="4"/>
  <c r="H945" i="4"/>
  <c r="I945" i="4"/>
  <c r="J945" i="4"/>
  <c r="K945" i="4"/>
  <c r="B946" i="4"/>
  <c r="C946" i="4"/>
  <c r="D946" i="4"/>
  <c r="E946" i="4"/>
  <c r="F946" i="4"/>
  <c r="G946" i="4"/>
  <c r="H946" i="4"/>
  <c r="I946" i="4"/>
  <c r="J946" i="4"/>
  <c r="K946" i="4"/>
  <c r="B947" i="4"/>
  <c r="C947" i="4"/>
  <c r="D947" i="4"/>
  <c r="E947" i="4"/>
  <c r="F947" i="4"/>
  <c r="G947" i="4"/>
  <c r="H947" i="4"/>
  <c r="I947" i="4"/>
  <c r="J947" i="4"/>
  <c r="K947" i="4"/>
  <c r="B948" i="4"/>
  <c r="C948" i="4"/>
  <c r="D948" i="4"/>
  <c r="E948" i="4"/>
  <c r="F948" i="4"/>
  <c r="G948" i="4"/>
  <c r="H948" i="4"/>
  <c r="I948" i="4"/>
  <c r="J948" i="4"/>
  <c r="K948" i="4"/>
  <c r="B949" i="4"/>
  <c r="C949" i="4"/>
  <c r="D949" i="4"/>
  <c r="E949" i="4"/>
  <c r="F949" i="4"/>
  <c r="G949" i="4"/>
  <c r="H949" i="4"/>
  <c r="H1109" i="4" s="1"/>
  <c r="I949" i="4"/>
  <c r="J949" i="4"/>
  <c r="K949" i="4"/>
  <c r="B950" i="4"/>
  <c r="C950" i="4"/>
  <c r="D950" i="4"/>
  <c r="E950" i="4"/>
  <c r="F950" i="4"/>
  <c r="G950" i="4"/>
  <c r="H950" i="4"/>
  <c r="I950" i="4"/>
  <c r="J950" i="4"/>
  <c r="K950" i="4"/>
  <c r="B951" i="4"/>
  <c r="C951" i="4"/>
  <c r="D951" i="4"/>
  <c r="E951" i="4"/>
  <c r="F951" i="4"/>
  <c r="G951" i="4"/>
  <c r="H951" i="4"/>
  <c r="I951" i="4"/>
  <c r="J951" i="4"/>
  <c r="K951" i="4"/>
  <c r="B952" i="4"/>
  <c r="C952" i="4"/>
  <c r="D952" i="4"/>
  <c r="E952" i="4"/>
  <c r="F952" i="4"/>
  <c r="G952" i="4"/>
  <c r="H952" i="4"/>
  <c r="I952" i="4"/>
  <c r="J952" i="4"/>
  <c r="K952" i="4"/>
  <c r="B953" i="4"/>
  <c r="C953" i="4"/>
  <c r="D953" i="4"/>
  <c r="E953" i="4"/>
  <c r="F953" i="4"/>
  <c r="G953" i="4"/>
  <c r="H953" i="4"/>
  <c r="I953" i="4"/>
  <c r="J953" i="4"/>
  <c r="K953" i="4"/>
  <c r="B954" i="4"/>
  <c r="C954" i="4"/>
  <c r="D954" i="4"/>
  <c r="E954" i="4"/>
  <c r="F954" i="4"/>
  <c r="G954" i="4"/>
  <c r="H954" i="4"/>
  <c r="I954" i="4"/>
  <c r="J954" i="4"/>
  <c r="K954" i="4"/>
  <c r="B955" i="4"/>
  <c r="C955" i="4"/>
  <c r="D955" i="4"/>
  <c r="E955" i="4"/>
  <c r="F955" i="4"/>
  <c r="G955" i="4"/>
  <c r="H955" i="4"/>
  <c r="I955" i="4"/>
  <c r="J955" i="4"/>
  <c r="K955" i="4"/>
  <c r="B956" i="4"/>
  <c r="C956" i="4"/>
  <c r="D956" i="4"/>
  <c r="E956" i="4"/>
  <c r="F956" i="4"/>
  <c r="G956" i="4"/>
  <c r="H956" i="4"/>
  <c r="I956" i="4"/>
  <c r="J956" i="4"/>
  <c r="K956" i="4"/>
  <c r="B957" i="4"/>
  <c r="C957" i="4"/>
  <c r="D957" i="4"/>
  <c r="E957" i="4"/>
  <c r="F957" i="4"/>
  <c r="G957" i="4"/>
  <c r="H957" i="4"/>
  <c r="I957" i="4"/>
  <c r="J957" i="4"/>
  <c r="K957" i="4"/>
  <c r="B958" i="4"/>
  <c r="C958" i="4"/>
  <c r="D958" i="4"/>
  <c r="E958" i="4"/>
  <c r="F958" i="4"/>
  <c r="G958" i="4"/>
  <c r="H958" i="4"/>
  <c r="I958" i="4"/>
  <c r="J958" i="4"/>
  <c r="K958" i="4"/>
  <c r="B959" i="4"/>
  <c r="C959" i="4"/>
  <c r="D959" i="4"/>
  <c r="E959" i="4"/>
  <c r="F959" i="4"/>
  <c r="G959" i="4"/>
  <c r="H959" i="4"/>
  <c r="I959" i="4"/>
  <c r="J959" i="4"/>
  <c r="K959" i="4"/>
  <c r="B960" i="4"/>
  <c r="C960" i="4"/>
  <c r="D960" i="4"/>
  <c r="E960" i="4"/>
  <c r="F960" i="4"/>
  <c r="G960" i="4"/>
  <c r="H960" i="4"/>
  <c r="I960" i="4"/>
  <c r="J960" i="4"/>
  <c r="J1110" i="4" s="1"/>
  <c r="K960" i="4"/>
  <c r="B961" i="4"/>
  <c r="C961" i="4"/>
  <c r="D961" i="4"/>
  <c r="E961" i="4"/>
  <c r="F961" i="4"/>
  <c r="G961" i="4"/>
  <c r="H961" i="4"/>
  <c r="I961" i="4"/>
  <c r="J961" i="4"/>
  <c r="K961" i="4"/>
  <c r="B962" i="4"/>
  <c r="C962" i="4"/>
  <c r="D962" i="4"/>
  <c r="E962" i="4"/>
  <c r="F962" i="4"/>
  <c r="G962" i="4"/>
  <c r="H962" i="4"/>
  <c r="I962" i="4"/>
  <c r="J962" i="4"/>
  <c r="K962" i="4"/>
  <c r="B963" i="4"/>
  <c r="C963" i="4"/>
  <c r="D963" i="4"/>
  <c r="E963" i="4"/>
  <c r="F963" i="4"/>
  <c r="G963" i="4"/>
  <c r="H963" i="4"/>
  <c r="I963" i="4"/>
  <c r="J963" i="4"/>
  <c r="K963" i="4"/>
  <c r="B964" i="4"/>
  <c r="C964" i="4"/>
  <c r="D964" i="4"/>
  <c r="E964" i="4"/>
  <c r="F964" i="4"/>
  <c r="G964" i="4"/>
  <c r="H964" i="4"/>
  <c r="I964" i="4"/>
  <c r="J964" i="4"/>
  <c r="K964" i="4"/>
  <c r="B965" i="4"/>
  <c r="C965" i="4"/>
  <c r="D965" i="4"/>
  <c r="E965" i="4"/>
  <c r="F965" i="4"/>
  <c r="G965" i="4"/>
  <c r="H965" i="4"/>
  <c r="I965" i="4"/>
  <c r="J965" i="4"/>
  <c r="K965" i="4"/>
  <c r="B966" i="4"/>
  <c r="C966" i="4"/>
  <c r="D966" i="4"/>
  <c r="E966" i="4"/>
  <c r="F966" i="4"/>
  <c r="G966" i="4"/>
  <c r="H966" i="4"/>
  <c r="I966" i="4"/>
  <c r="J966" i="4"/>
  <c r="K966" i="4"/>
  <c r="B967" i="4"/>
  <c r="C967" i="4"/>
  <c r="D967" i="4"/>
  <c r="E967" i="4"/>
  <c r="F967" i="4"/>
  <c r="G967" i="4"/>
  <c r="H967" i="4"/>
  <c r="I967" i="4"/>
  <c r="J967" i="4"/>
  <c r="K967" i="4"/>
  <c r="B968" i="4"/>
  <c r="C968" i="4"/>
  <c r="D968" i="4"/>
  <c r="E968" i="4"/>
  <c r="F968" i="4"/>
  <c r="G968" i="4"/>
  <c r="H968" i="4"/>
  <c r="I968" i="4"/>
  <c r="J968" i="4"/>
  <c r="K968" i="4"/>
  <c r="B969" i="4"/>
  <c r="C969" i="4"/>
  <c r="D969" i="4"/>
  <c r="E969" i="4"/>
  <c r="F969" i="4"/>
  <c r="G969" i="4"/>
  <c r="H969" i="4"/>
  <c r="I969" i="4"/>
  <c r="J969" i="4"/>
  <c r="K969" i="4"/>
  <c r="B970" i="4"/>
  <c r="C970" i="4"/>
  <c r="D970" i="4"/>
  <c r="E970" i="4"/>
  <c r="F970" i="4"/>
  <c r="G970" i="4"/>
  <c r="H970" i="4"/>
  <c r="I970" i="4"/>
  <c r="J970" i="4"/>
  <c r="K970" i="4"/>
  <c r="B971" i="4"/>
  <c r="C971" i="4"/>
  <c r="D971" i="4"/>
  <c r="E971" i="4"/>
  <c r="F971" i="4"/>
  <c r="G971" i="4"/>
  <c r="H971" i="4"/>
  <c r="I971" i="4"/>
  <c r="J971" i="4"/>
  <c r="K971" i="4"/>
  <c r="B972" i="4"/>
  <c r="C972" i="4"/>
  <c r="D972" i="4"/>
  <c r="E972" i="4"/>
  <c r="F972" i="4"/>
  <c r="G972" i="4"/>
  <c r="H972" i="4"/>
  <c r="I972" i="4"/>
  <c r="J972" i="4"/>
  <c r="K972" i="4"/>
  <c r="B973" i="4"/>
  <c r="C973" i="4"/>
  <c r="D973" i="4"/>
  <c r="E973" i="4"/>
  <c r="F973" i="4"/>
  <c r="G973" i="4"/>
  <c r="H973" i="4"/>
  <c r="I973" i="4"/>
  <c r="J973" i="4"/>
  <c r="K973" i="4"/>
  <c r="B974" i="4"/>
  <c r="C974" i="4"/>
  <c r="D974" i="4"/>
  <c r="E974" i="4"/>
  <c r="F974" i="4"/>
  <c r="G974" i="4"/>
  <c r="H974" i="4"/>
  <c r="I974" i="4"/>
  <c r="J974" i="4"/>
  <c r="K974" i="4"/>
  <c r="B975" i="4"/>
  <c r="C975" i="4"/>
  <c r="D975" i="4"/>
  <c r="E975" i="4"/>
  <c r="F975" i="4"/>
  <c r="G975" i="4"/>
  <c r="H975" i="4"/>
  <c r="I975" i="4"/>
  <c r="J975" i="4"/>
  <c r="K975" i="4"/>
  <c r="B976" i="4"/>
  <c r="C976" i="4"/>
  <c r="D976" i="4"/>
  <c r="E976" i="4"/>
  <c r="F976" i="4"/>
  <c r="G976" i="4"/>
  <c r="H976" i="4"/>
  <c r="I976" i="4"/>
  <c r="J976" i="4"/>
  <c r="K976" i="4"/>
  <c r="B977" i="4"/>
  <c r="C977" i="4"/>
  <c r="D977" i="4"/>
  <c r="E977" i="4"/>
  <c r="F977" i="4"/>
  <c r="G977" i="4"/>
  <c r="H977" i="4"/>
  <c r="I977" i="4"/>
  <c r="J977" i="4"/>
  <c r="K977" i="4"/>
  <c r="B978" i="4"/>
  <c r="C978" i="4"/>
  <c r="D978" i="4"/>
  <c r="E978" i="4"/>
  <c r="F978" i="4"/>
  <c r="G978" i="4"/>
  <c r="H978" i="4"/>
  <c r="I978" i="4"/>
  <c r="J978" i="4"/>
  <c r="K978" i="4"/>
  <c r="B979" i="4"/>
  <c r="C979" i="4"/>
  <c r="D979" i="4"/>
  <c r="E979" i="4"/>
  <c r="F979" i="4"/>
  <c r="G979" i="4"/>
  <c r="H979" i="4"/>
  <c r="I979" i="4"/>
  <c r="J979" i="4"/>
  <c r="K979" i="4"/>
  <c r="B980" i="4"/>
  <c r="C980" i="4"/>
  <c r="D980" i="4"/>
  <c r="E980" i="4"/>
  <c r="F980" i="4"/>
  <c r="G980" i="4"/>
  <c r="H980" i="4"/>
  <c r="I980" i="4"/>
  <c r="J980" i="4"/>
  <c r="K980" i="4"/>
  <c r="B981" i="4"/>
  <c r="C981" i="4"/>
  <c r="D981" i="4"/>
  <c r="E981" i="4"/>
  <c r="F981" i="4"/>
  <c r="G981" i="4"/>
  <c r="H981" i="4"/>
  <c r="I981" i="4"/>
  <c r="J981" i="4"/>
  <c r="K981" i="4"/>
  <c r="B982" i="4"/>
  <c r="C982" i="4"/>
  <c r="D982" i="4"/>
  <c r="E982" i="4"/>
  <c r="F982" i="4"/>
  <c r="G982" i="4"/>
  <c r="H982" i="4"/>
  <c r="I982" i="4"/>
  <c r="J982" i="4"/>
  <c r="K982" i="4"/>
  <c r="B983" i="4"/>
  <c r="C983" i="4"/>
  <c r="D983" i="4"/>
  <c r="E983" i="4"/>
  <c r="F983" i="4"/>
  <c r="G983" i="4"/>
  <c r="H983" i="4"/>
  <c r="I983" i="4"/>
  <c r="J983" i="4"/>
  <c r="K983" i="4"/>
  <c r="B984" i="4"/>
  <c r="C984" i="4"/>
  <c r="D984" i="4"/>
  <c r="E984" i="4"/>
  <c r="F984" i="4"/>
  <c r="G984" i="4"/>
  <c r="H984" i="4"/>
  <c r="I984" i="4"/>
  <c r="J984" i="4"/>
  <c r="K984" i="4"/>
  <c r="B985" i="4"/>
  <c r="C985" i="4"/>
  <c r="D985" i="4"/>
  <c r="E985" i="4"/>
  <c r="F985" i="4"/>
  <c r="G985" i="4"/>
  <c r="H985" i="4"/>
  <c r="I985" i="4"/>
  <c r="J985" i="4"/>
  <c r="K985" i="4"/>
  <c r="B986" i="4"/>
  <c r="C986" i="4"/>
  <c r="D986" i="4"/>
  <c r="E986" i="4"/>
  <c r="F986" i="4"/>
  <c r="G986" i="4"/>
  <c r="H986" i="4"/>
  <c r="I986" i="4"/>
  <c r="J986" i="4"/>
  <c r="K986" i="4"/>
  <c r="B987" i="4"/>
  <c r="C987" i="4"/>
  <c r="D987" i="4"/>
  <c r="E987" i="4"/>
  <c r="F987" i="4"/>
  <c r="G987" i="4"/>
  <c r="H987" i="4"/>
  <c r="I987" i="4"/>
  <c r="J987" i="4"/>
  <c r="K987" i="4"/>
  <c r="B988" i="4"/>
  <c r="C988" i="4"/>
  <c r="D988" i="4"/>
  <c r="E988" i="4"/>
  <c r="F988" i="4"/>
  <c r="G988" i="4"/>
  <c r="H988" i="4"/>
  <c r="I988" i="4"/>
  <c r="J988" i="4"/>
  <c r="K988" i="4"/>
  <c r="B989" i="4"/>
  <c r="C989" i="4"/>
  <c r="D989" i="4"/>
  <c r="E989" i="4"/>
  <c r="F989" i="4"/>
  <c r="G989" i="4"/>
  <c r="H989" i="4"/>
  <c r="I989" i="4"/>
  <c r="J989" i="4"/>
  <c r="K989" i="4"/>
  <c r="B990" i="4"/>
  <c r="C990" i="4"/>
  <c r="D990" i="4"/>
  <c r="E990" i="4"/>
  <c r="F990" i="4"/>
  <c r="G990" i="4"/>
  <c r="H990" i="4"/>
  <c r="I990" i="4"/>
  <c r="J990" i="4"/>
  <c r="K990" i="4"/>
  <c r="B991" i="4"/>
  <c r="C991" i="4"/>
  <c r="D991" i="4"/>
  <c r="E991" i="4"/>
  <c r="F991" i="4"/>
  <c r="G991" i="4"/>
  <c r="H991" i="4"/>
  <c r="I991" i="4"/>
  <c r="J991" i="4"/>
  <c r="K991" i="4"/>
  <c r="B992" i="4"/>
  <c r="C992" i="4"/>
  <c r="D992" i="4"/>
  <c r="E992" i="4"/>
  <c r="F992" i="4"/>
  <c r="G992" i="4"/>
  <c r="H992" i="4"/>
  <c r="I992" i="4"/>
  <c r="J992" i="4"/>
  <c r="K992" i="4"/>
  <c r="B993" i="4"/>
  <c r="C993" i="4"/>
  <c r="D993" i="4"/>
  <c r="E993" i="4"/>
  <c r="F993" i="4"/>
  <c r="G993" i="4"/>
  <c r="H993" i="4"/>
  <c r="I993" i="4"/>
  <c r="J993" i="4"/>
  <c r="K993" i="4"/>
  <c r="B994" i="4"/>
  <c r="C994" i="4"/>
  <c r="D994" i="4"/>
  <c r="E994" i="4"/>
  <c r="F994" i="4"/>
  <c r="G994" i="4"/>
  <c r="H994" i="4"/>
  <c r="I994" i="4"/>
  <c r="J994" i="4"/>
  <c r="K994" i="4"/>
  <c r="B995" i="4"/>
  <c r="C995" i="4"/>
  <c r="D995" i="4"/>
  <c r="E995" i="4"/>
  <c r="F995" i="4"/>
  <c r="G995" i="4"/>
  <c r="H995" i="4"/>
  <c r="I995" i="4"/>
  <c r="J995" i="4"/>
  <c r="K995" i="4"/>
  <c r="B996" i="4"/>
  <c r="C996" i="4"/>
  <c r="D996" i="4"/>
  <c r="E996" i="4"/>
  <c r="F996" i="4"/>
  <c r="G996" i="4"/>
  <c r="H996" i="4"/>
  <c r="I996" i="4"/>
  <c r="J996" i="4"/>
  <c r="K996" i="4"/>
  <c r="B997" i="4"/>
  <c r="C997" i="4"/>
  <c r="D997" i="4"/>
  <c r="E997" i="4"/>
  <c r="F997" i="4"/>
  <c r="G997" i="4"/>
  <c r="H997" i="4"/>
  <c r="I997" i="4"/>
  <c r="J997" i="4"/>
  <c r="K997" i="4"/>
  <c r="B998" i="4"/>
  <c r="C998" i="4"/>
  <c r="D998" i="4"/>
  <c r="E998" i="4"/>
  <c r="F998" i="4"/>
  <c r="G998" i="4"/>
  <c r="H998" i="4"/>
  <c r="I998" i="4"/>
  <c r="J998" i="4"/>
  <c r="K998" i="4"/>
  <c r="B999" i="4"/>
  <c r="C999" i="4"/>
  <c r="D999" i="4"/>
  <c r="E999" i="4"/>
  <c r="F999" i="4"/>
  <c r="G999" i="4"/>
  <c r="H999" i="4"/>
  <c r="I999" i="4"/>
  <c r="J999" i="4"/>
  <c r="K999" i="4"/>
  <c r="B1000" i="4"/>
  <c r="C1000" i="4"/>
  <c r="D1000" i="4"/>
  <c r="E1000" i="4"/>
  <c r="F1000" i="4"/>
  <c r="G1000" i="4"/>
  <c r="H1000" i="4"/>
  <c r="I1000" i="4"/>
  <c r="J1000" i="4"/>
  <c r="K1000" i="4"/>
  <c r="B1001" i="4"/>
  <c r="C1001" i="4"/>
  <c r="D1001" i="4"/>
  <c r="E1001" i="4"/>
  <c r="F1001" i="4"/>
  <c r="G1001" i="4"/>
  <c r="H1001" i="4"/>
  <c r="I1001" i="4"/>
  <c r="J1001" i="4"/>
  <c r="K1001" i="4"/>
  <c r="B1002" i="4"/>
  <c r="C1002" i="4"/>
  <c r="D1002" i="4"/>
  <c r="E1002" i="4"/>
  <c r="F1002" i="4"/>
  <c r="G1002" i="4"/>
  <c r="H1002" i="4"/>
  <c r="I1002" i="4"/>
  <c r="J1002" i="4"/>
  <c r="K1002" i="4"/>
  <c r="B1003" i="4"/>
  <c r="C1003" i="4"/>
  <c r="D1003" i="4"/>
  <c r="E1003" i="4"/>
  <c r="F1003" i="4"/>
  <c r="G1003" i="4"/>
  <c r="H1003" i="4"/>
  <c r="I1003" i="4"/>
  <c r="J1003" i="4"/>
  <c r="K1003" i="4"/>
  <c r="B1004" i="4"/>
  <c r="C1004" i="4"/>
  <c r="D1004" i="4"/>
  <c r="E1004" i="4"/>
  <c r="F1004" i="4"/>
  <c r="G1004" i="4"/>
  <c r="H1004" i="4"/>
  <c r="I1004" i="4"/>
  <c r="J1004" i="4"/>
  <c r="K1004" i="4"/>
  <c r="B1005" i="4"/>
  <c r="C1005" i="4"/>
  <c r="D1005" i="4"/>
  <c r="E1005" i="4"/>
  <c r="F1005" i="4"/>
  <c r="G1005" i="4"/>
  <c r="H1005" i="4"/>
  <c r="I1005" i="4"/>
  <c r="J1005" i="4"/>
  <c r="K1005" i="4"/>
  <c r="B1006" i="4"/>
  <c r="C1006" i="4"/>
  <c r="D1006" i="4"/>
  <c r="E1006" i="4"/>
  <c r="F1006" i="4"/>
  <c r="G1006" i="4"/>
  <c r="H1006" i="4"/>
  <c r="I1006" i="4"/>
  <c r="J1006" i="4"/>
  <c r="K1006" i="4"/>
  <c r="B1007" i="4"/>
  <c r="C1007" i="4"/>
  <c r="D1007" i="4"/>
  <c r="E1007" i="4"/>
  <c r="F1007" i="4"/>
  <c r="G1007" i="4"/>
  <c r="H1007" i="4"/>
  <c r="I1007" i="4"/>
  <c r="J1007" i="4"/>
  <c r="K1007" i="4"/>
  <c r="B1008" i="4"/>
  <c r="C1008" i="4"/>
  <c r="D1008" i="4"/>
  <c r="E1008" i="4"/>
  <c r="F1008" i="4"/>
  <c r="G1008" i="4"/>
  <c r="H1008" i="4"/>
  <c r="I1008" i="4"/>
  <c r="J1008" i="4"/>
  <c r="K1008" i="4"/>
  <c r="B1009" i="4"/>
  <c r="C1009" i="4"/>
  <c r="D1009" i="4"/>
  <c r="E1009" i="4"/>
  <c r="F1009" i="4"/>
  <c r="G1009" i="4"/>
  <c r="H1009" i="4"/>
  <c r="I1009" i="4"/>
  <c r="J1009" i="4"/>
  <c r="K1009" i="4"/>
  <c r="B1010" i="4"/>
  <c r="C1010" i="4"/>
  <c r="D1010" i="4"/>
  <c r="E1010" i="4"/>
  <c r="F1010" i="4"/>
  <c r="G1010" i="4"/>
  <c r="H1010" i="4"/>
  <c r="I1010" i="4"/>
  <c r="J1010" i="4"/>
  <c r="K1010" i="4"/>
  <c r="B1011" i="4"/>
  <c r="C1011" i="4"/>
  <c r="D1011" i="4"/>
  <c r="E1011" i="4"/>
  <c r="F1011" i="4"/>
  <c r="G1011" i="4"/>
  <c r="H1011" i="4"/>
  <c r="I1011" i="4"/>
  <c r="J1011" i="4"/>
  <c r="K1011" i="4"/>
  <c r="B1012" i="4"/>
  <c r="C1012" i="4"/>
  <c r="D1012" i="4"/>
  <c r="E1012" i="4"/>
  <c r="F1012" i="4"/>
  <c r="G1012" i="4"/>
  <c r="H1012" i="4"/>
  <c r="I1012" i="4"/>
  <c r="J1012" i="4"/>
  <c r="K1012" i="4"/>
  <c r="B1013" i="4"/>
  <c r="C1013" i="4"/>
  <c r="D1013" i="4"/>
  <c r="E1013" i="4"/>
  <c r="F1013" i="4"/>
  <c r="G1013" i="4"/>
  <c r="H1013" i="4"/>
  <c r="I1013" i="4"/>
  <c r="J1013" i="4"/>
  <c r="K1013" i="4"/>
  <c r="B1014" i="4"/>
  <c r="C1014" i="4"/>
  <c r="D1014" i="4"/>
  <c r="E1014" i="4"/>
  <c r="F1014" i="4"/>
  <c r="G1014" i="4"/>
  <c r="H1014" i="4"/>
  <c r="I1014" i="4"/>
  <c r="J1014" i="4"/>
  <c r="K1014" i="4"/>
  <c r="B1015" i="4"/>
  <c r="C1015" i="4"/>
  <c r="D1015" i="4"/>
  <c r="E1015" i="4"/>
  <c r="F1015" i="4"/>
  <c r="G1015" i="4"/>
  <c r="H1015" i="4"/>
  <c r="I1015" i="4"/>
  <c r="J1015" i="4"/>
  <c r="K1015" i="4"/>
  <c r="B1016" i="4"/>
  <c r="C1016" i="4"/>
  <c r="D1016" i="4"/>
  <c r="E1016" i="4"/>
  <c r="F1016" i="4"/>
  <c r="G1016" i="4"/>
  <c r="H1016" i="4"/>
  <c r="I1016" i="4"/>
  <c r="J1016" i="4"/>
  <c r="K1016" i="4"/>
  <c r="B1017" i="4"/>
  <c r="C1017" i="4"/>
  <c r="D1017" i="4"/>
  <c r="E1017" i="4"/>
  <c r="F1017" i="4"/>
  <c r="G1017" i="4"/>
  <c r="H1017" i="4"/>
  <c r="I1017" i="4"/>
  <c r="J1017" i="4"/>
  <c r="K1017" i="4"/>
  <c r="B1018" i="4"/>
  <c r="C1018" i="4"/>
  <c r="D1018" i="4"/>
  <c r="E1018" i="4"/>
  <c r="F1018" i="4"/>
  <c r="G1018" i="4"/>
  <c r="H1018" i="4"/>
  <c r="I1018" i="4"/>
  <c r="J1018" i="4"/>
  <c r="K1018" i="4"/>
  <c r="B1019" i="4"/>
  <c r="C1019" i="4"/>
  <c r="D1019" i="4"/>
  <c r="E1019" i="4"/>
  <c r="F1019" i="4"/>
  <c r="G1019" i="4"/>
  <c r="H1019" i="4"/>
  <c r="I1019" i="4"/>
  <c r="J1019" i="4"/>
  <c r="K1019" i="4"/>
  <c r="B1020" i="4"/>
  <c r="C1020" i="4"/>
  <c r="D1020" i="4"/>
  <c r="E1020" i="4"/>
  <c r="F1020" i="4"/>
  <c r="G1020" i="4"/>
  <c r="H1020" i="4"/>
  <c r="I1020" i="4"/>
  <c r="J1020" i="4"/>
  <c r="K1020" i="4"/>
  <c r="B1021" i="4"/>
  <c r="C1021" i="4"/>
  <c r="D1021" i="4"/>
  <c r="E1021" i="4"/>
  <c r="F1021" i="4"/>
  <c r="G1021" i="4"/>
  <c r="H1021" i="4"/>
  <c r="I1021" i="4"/>
  <c r="J1021" i="4"/>
  <c r="K1021" i="4"/>
  <c r="B1022" i="4"/>
  <c r="C1022" i="4"/>
  <c r="D1022" i="4"/>
  <c r="E1022" i="4"/>
  <c r="F1022" i="4"/>
  <c r="G1022" i="4"/>
  <c r="H1022" i="4"/>
  <c r="I1022" i="4"/>
  <c r="J1022" i="4"/>
  <c r="K1022" i="4"/>
  <c r="B1023" i="4"/>
  <c r="C1023" i="4"/>
  <c r="D1023" i="4"/>
  <c r="E1023" i="4"/>
  <c r="F1023" i="4"/>
  <c r="G1023" i="4"/>
  <c r="H1023" i="4"/>
  <c r="I1023" i="4"/>
  <c r="J1023" i="4"/>
  <c r="K1023" i="4"/>
  <c r="B1024" i="4"/>
  <c r="C1024" i="4"/>
  <c r="D1024" i="4"/>
  <c r="E1024" i="4"/>
  <c r="F1024" i="4"/>
  <c r="G1024" i="4"/>
  <c r="H1024" i="4"/>
  <c r="I1024" i="4"/>
  <c r="J1024" i="4"/>
  <c r="K1024" i="4"/>
  <c r="B1025" i="4"/>
  <c r="C1025" i="4"/>
  <c r="D1025" i="4"/>
  <c r="E1025" i="4"/>
  <c r="F1025" i="4"/>
  <c r="G1025" i="4"/>
  <c r="H1025" i="4"/>
  <c r="I1025" i="4"/>
  <c r="J1025" i="4"/>
  <c r="K1025" i="4"/>
  <c r="B1026" i="4"/>
  <c r="C1026" i="4"/>
  <c r="D1026" i="4"/>
  <c r="E1026" i="4"/>
  <c r="F1026" i="4"/>
  <c r="G1026" i="4"/>
  <c r="H1026" i="4"/>
  <c r="I1026" i="4"/>
  <c r="J1026" i="4"/>
  <c r="K1026" i="4"/>
  <c r="B1027" i="4"/>
  <c r="C1027" i="4"/>
  <c r="D1027" i="4"/>
  <c r="E1027" i="4"/>
  <c r="F1027" i="4"/>
  <c r="G1027" i="4"/>
  <c r="H1027" i="4"/>
  <c r="I1027" i="4"/>
  <c r="J1027" i="4"/>
  <c r="K1027" i="4"/>
  <c r="B1028" i="4"/>
  <c r="C1028" i="4"/>
  <c r="D1028" i="4"/>
  <c r="E1028" i="4"/>
  <c r="F1028" i="4"/>
  <c r="G1028" i="4"/>
  <c r="H1028" i="4"/>
  <c r="I1028" i="4"/>
  <c r="J1028" i="4"/>
  <c r="K1028" i="4"/>
  <c r="B1029" i="4"/>
  <c r="C1029" i="4"/>
  <c r="D1029" i="4"/>
  <c r="E1029" i="4"/>
  <c r="F1029" i="4"/>
  <c r="G1029" i="4"/>
  <c r="H1029" i="4"/>
  <c r="I1029" i="4"/>
  <c r="J1029" i="4"/>
  <c r="K1029" i="4"/>
  <c r="D1048" i="4"/>
  <c r="H1067" i="4"/>
  <c r="B1100" i="4"/>
  <c r="C6" i="3"/>
  <c r="E6" i="3"/>
  <c r="B10" i="3"/>
  <c r="C10" i="3"/>
  <c r="D10" i="3"/>
  <c r="E10" i="3"/>
  <c r="B11" i="3"/>
  <c r="C11" i="3"/>
  <c r="D11" i="3"/>
  <c r="E11" i="3"/>
  <c r="B12" i="3"/>
  <c r="C12" i="3"/>
  <c r="D12" i="3"/>
  <c r="E12" i="3"/>
  <c r="B13" i="3"/>
  <c r="C13" i="3"/>
  <c r="D13" i="3"/>
  <c r="E13" i="3"/>
  <c r="B14" i="3"/>
  <c r="C14" i="3"/>
  <c r="D14" i="3"/>
  <c r="E14" i="3"/>
  <c r="B15" i="3"/>
  <c r="C15" i="3"/>
  <c r="D15" i="3"/>
  <c r="E15" i="3"/>
  <c r="B16" i="3"/>
  <c r="C16" i="3"/>
  <c r="D16" i="3"/>
  <c r="E16" i="3"/>
  <c r="B17" i="3"/>
  <c r="C17" i="3"/>
  <c r="D17" i="3"/>
  <c r="E17" i="3"/>
  <c r="B18" i="3"/>
  <c r="C18" i="3"/>
  <c r="D18" i="3"/>
  <c r="E18" i="3"/>
  <c r="B19" i="3"/>
  <c r="C19" i="3"/>
  <c r="D19" i="3"/>
  <c r="E19" i="3"/>
  <c r="B20" i="3"/>
  <c r="C20" i="3"/>
  <c r="D20" i="3"/>
  <c r="E20" i="3"/>
  <c r="B21" i="3"/>
  <c r="C21" i="3"/>
  <c r="D21" i="3"/>
  <c r="E21" i="3"/>
  <c r="B22" i="3"/>
  <c r="C22" i="3"/>
  <c r="D22" i="3"/>
  <c r="D1032" i="3" s="1"/>
  <c r="E22" i="3"/>
  <c r="B23" i="3"/>
  <c r="C23" i="3"/>
  <c r="D23" i="3"/>
  <c r="E23" i="3"/>
  <c r="B24" i="3"/>
  <c r="C24" i="3"/>
  <c r="D24" i="3"/>
  <c r="E24" i="3"/>
  <c r="B25" i="3"/>
  <c r="C25" i="3"/>
  <c r="D25" i="3"/>
  <c r="E25" i="3"/>
  <c r="B26" i="3"/>
  <c r="C26" i="3"/>
  <c r="D26" i="3"/>
  <c r="E26" i="3"/>
  <c r="B27" i="3"/>
  <c r="C27" i="3"/>
  <c r="D27" i="3"/>
  <c r="E27" i="3"/>
  <c r="B28" i="3"/>
  <c r="C28" i="3"/>
  <c r="D28" i="3"/>
  <c r="E28" i="3"/>
  <c r="B29" i="3"/>
  <c r="C29" i="3"/>
  <c r="D29" i="3"/>
  <c r="E29" i="3"/>
  <c r="B30" i="3"/>
  <c r="C30" i="3"/>
  <c r="D30" i="3"/>
  <c r="E30" i="3"/>
  <c r="B31" i="3"/>
  <c r="C31" i="3"/>
  <c r="D31" i="3"/>
  <c r="E31" i="3"/>
  <c r="B32" i="3"/>
  <c r="C32" i="3"/>
  <c r="D32" i="3"/>
  <c r="E32" i="3"/>
  <c r="B33" i="3"/>
  <c r="C33" i="3"/>
  <c r="D33" i="3"/>
  <c r="E33" i="3"/>
  <c r="B34" i="3"/>
  <c r="C34" i="3"/>
  <c r="D34" i="3"/>
  <c r="D1033" i="3" s="1"/>
  <c r="E34" i="3"/>
  <c r="B35" i="3"/>
  <c r="C35" i="3"/>
  <c r="D35" i="3"/>
  <c r="E35" i="3"/>
  <c r="B36" i="3"/>
  <c r="C36" i="3"/>
  <c r="D36" i="3"/>
  <c r="E36" i="3"/>
  <c r="B37" i="3"/>
  <c r="C37" i="3"/>
  <c r="D37" i="3"/>
  <c r="E37" i="3"/>
  <c r="B38" i="3"/>
  <c r="C38" i="3"/>
  <c r="D38" i="3"/>
  <c r="E38" i="3"/>
  <c r="B39" i="3"/>
  <c r="C39" i="3"/>
  <c r="D39" i="3"/>
  <c r="E39" i="3"/>
  <c r="B40" i="3"/>
  <c r="C40" i="3"/>
  <c r="D40" i="3"/>
  <c r="E40" i="3"/>
  <c r="B41" i="3"/>
  <c r="C41" i="3"/>
  <c r="D41" i="3"/>
  <c r="E41" i="3"/>
  <c r="B42" i="3"/>
  <c r="C42" i="3"/>
  <c r="D42" i="3"/>
  <c r="E42" i="3"/>
  <c r="B43" i="3"/>
  <c r="C43" i="3"/>
  <c r="D43" i="3"/>
  <c r="E43" i="3"/>
  <c r="B44" i="3"/>
  <c r="C44" i="3"/>
  <c r="D44" i="3"/>
  <c r="E44" i="3"/>
  <c r="B45" i="3"/>
  <c r="C45" i="3"/>
  <c r="D45" i="3"/>
  <c r="E45" i="3"/>
  <c r="B46" i="3"/>
  <c r="C46" i="3"/>
  <c r="D46" i="3"/>
  <c r="E46" i="3"/>
  <c r="B47" i="3"/>
  <c r="C47" i="3"/>
  <c r="D47" i="3"/>
  <c r="E47" i="3"/>
  <c r="B48" i="3"/>
  <c r="C48" i="3"/>
  <c r="D48" i="3"/>
  <c r="E48" i="3"/>
  <c r="B49" i="3"/>
  <c r="C49" i="3"/>
  <c r="D49" i="3"/>
  <c r="E49" i="3"/>
  <c r="B50" i="3"/>
  <c r="C50" i="3"/>
  <c r="D50" i="3"/>
  <c r="E50" i="3"/>
  <c r="B51" i="3"/>
  <c r="C51" i="3"/>
  <c r="D51" i="3"/>
  <c r="E51" i="3"/>
  <c r="B52" i="3"/>
  <c r="C52" i="3"/>
  <c r="D52" i="3"/>
  <c r="E52" i="3"/>
  <c r="B53" i="3"/>
  <c r="C53" i="3"/>
  <c r="D53" i="3"/>
  <c r="E53" i="3"/>
  <c r="B54" i="3"/>
  <c r="C54" i="3"/>
  <c r="D54" i="3"/>
  <c r="E54" i="3"/>
  <c r="B55" i="3"/>
  <c r="C55" i="3"/>
  <c r="D55" i="3"/>
  <c r="E55" i="3"/>
  <c r="B56" i="3"/>
  <c r="C56" i="3"/>
  <c r="D56" i="3"/>
  <c r="E56" i="3"/>
  <c r="B57" i="3"/>
  <c r="C57" i="3"/>
  <c r="D57" i="3"/>
  <c r="E57" i="3"/>
  <c r="B58" i="3"/>
  <c r="C58" i="3"/>
  <c r="D58" i="3"/>
  <c r="E58" i="3"/>
  <c r="B59" i="3"/>
  <c r="C59" i="3"/>
  <c r="D59" i="3"/>
  <c r="E59" i="3"/>
  <c r="B60" i="3"/>
  <c r="C60" i="3"/>
  <c r="D60" i="3"/>
  <c r="E60" i="3"/>
  <c r="B61" i="3"/>
  <c r="C61" i="3"/>
  <c r="D61" i="3"/>
  <c r="E61" i="3"/>
  <c r="B62" i="3"/>
  <c r="C62" i="3"/>
  <c r="D62" i="3"/>
  <c r="E62" i="3"/>
  <c r="B63" i="3"/>
  <c r="C63" i="3"/>
  <c r="D63" i="3"/>
  <c r="E63" i="3"/>
  <c r="B64" i="3"/>
  <c r="C64" i="3"/>
  <c r="D64" i="3"/>
  <c r="E64" i="3"/>
  <c r="B65" i="3"/>
  <c r="C65" i="3"/>
  <c r="D65" i="3"/>
  <c r="E65" i="3"/>
  <c r="B66" i="3"/>
  <c r="C66" i="3"/>
  <c r="D66" i="3"/>
  <c r="E66" i="3"/>
  <c r="B67" i="3"/>
  <c r="C67" i="3"/>
  <c r="D67" i="3"/>
  <c r="E67" i="3"/>
  <c r="B68" i="3"/>
  <c r="C68" i="3"/>
  <c r="D68" i="3"/>
  <c r="E68" i="3"/>
  <c r="B69" i="3"/>
  <c r="C69" i="3"/>
  <c r="D69" i="3"/>
  <c r="E69" i="3"/>
  <c r="B70" i="3"/>
  <c r="C70" i="3"/>
  <c r="D70" i="3"/>
  <c r="E70" i="3"/>
  <c r="B71" i="3"/>
  <c r="C71" i="3"/>
  <c r="D71" i="3"/>
  <c r="E71" i="3"/>
  <c r="B72" i="3"/>
  <c r="C72" i="3"/>
  <c r="D72" i="3"/>
  <c r="E72" i="3"/>
  <c r="B73" i="3"/>
  <c r="C73" i="3"/>
  <c r="D73" i="3"/>
  <c r="E73" i="3"/>
  <c r="B74" i="3"/>
  <c r="C74" i="3"/>
  <c r="D74" i="3"/>
  <c r="E74" i="3"/>
  <c r="B75" i="3"/>
  <c r="C75" i="3"/>
  <c r="D75" i="3"/>
  <c r="E75" i="3"/>
  <c r="B76" i="3"/>
  <c r="C76" i="3"/>
  <c r="D76" i="3"/>
  <c r="E76" i="3"/>
  <c r="B77" i="3"/>
  <c r="C77" i="3"/>
  <c r="D77" i="3"/>
  <c r="E77" i="3"/>
  <c r="B78" i="3"/>
  <c r="C78" i="3"/>
  <c r="D78" i="3"/>
  <c r="E78" i="3"/>
  <c r="B79" i="3"/>
  <c r="C79" i="3"/>
  <c r="D79" i="3"/>
  <c r="E79" i="3"/>
  <c r="B80" i="3"/>
  <c r="C80" i="3"/>
  <c r="D80" i="3"/>
  <c r="E80" i="3"/>
  <c r="B81" i="3"/>
  <c r="C81" i="3"/>
  <c r="D81" i="3"/>
  <c r="E81" i="3"/>
  <c r="B82" i="3"/>
  <c r="C82" i="3"/>
  <c r="D82" i="3"/>
  <c r="E82" i="3"/>
  <c r="B83" i="3"/>
  <c r="C83" i="3"/>
  <c r="D83" i="3"/>
  <c r="E83" i="3"/>
  <c r="B84" i="3"/>
  <c r="C84" i="3"/>
  <c r="D84" i="3"/>
  <c r="E84" i="3"/>
  <c r="B85" i="3"/>
  <c r="C85" i="3"/>
  <c r="D85" i="3"/>
  <c r="E85" i="3"/>
  <c r="B86" i="3"/>
  <c r="C86" i="3"/>
  <c r="D86" i="3"/>
  <c r="E86" i="3"/>
  <c r="B87" i="3"/>
  <c r="C87" i="3"/>
  <c r="D87" i="3"/>
  <c r="E87" i="3"/>
  <c r="B88" i="3"/>
  <c r="C88" i="3"/>
  <c r="D88" i="3"/>
  <c r="E88" i="3"/>
  <c r="B89" i="3"/>
  <c r="C89" i="3"/>
  <c r="D89" i="3"/>
  <c r="E89" i="3"/>
  <c r="B90" i="3"/>
  <c r="C90" i="3"/>
  <c r="D90" i="3"/>
  <c r="E90" i="3"/>
  <c r="B91" i="3"/>
  <c r="C91" i="3"/>
  <c r="D91" i="3"/>
  <c r="E91" i="3"/>
  <c r="B92" i="3"/>
  <c r="C92" i="3"/>
  <c r="D92" i="3"/>
  <c r="E92" i="3"/>
  <c r="B93" i="3"/>
  <c r="C93" i="3"/>
  <c r="D93" i="3"/>
  <c r="E93" i="3"/>
  <c r="B94" i="3"/>
  <c r="C94" i="3"/>
  <c r="D94" i="3"/>
  <c r="D1038" i="3" s="1"/>
  <c r="E94" i="3"/>
  <c r="B95" i="3"/>
  <c r="C95" i="3"/>
  <c r="D95" i="3"/>
  <c r="E95" i="3"/>
  <c r="B96" i="3"/>
  <c r="C96" i="3"/>
  <c r="D96" i="3"/>
  <c r="E96" i="3"/>
  <c r="B97" i="3"/>
  <c r="C97" i="3"/>
  <c r="D97" i="3"/>
  <c r="E97" i="3"/>
  <c r="B98" i="3"/>
  <c r="C98" i="3"/>
  <c r="D98" i="3"/>
  <c r="E98" i="3"/>
  <c r="B99" i="3"/>
  <c r="C99" i="3"/>
  <c r="D99" i="3"/>
  <c r="E99" i="3"/>
  <c r="B100" i="3"/>
  <c r="C100" i="3"/>
  <c r="D100" i="3"/>
  <c r="E100" i="3"/>
  <c r="B101" i="3"/>
  <c r="C101" i="3"/>
  <c r="D101" i="3"/>
  <c r="E101" i="3"/>
  <c r="B102" i="3"/>
  <c r="C102" i="3"/>
  <c r="D102" i="3"/>
  <c r="E102" i="3"/>
  <c r="B103" i="3"/>
  <c r="C103" i="3"/>
  <c r="D103" i="3"/>
  <c r="E103" i="3"/>
  <c r="B104" i="3"/>
  <c r="C104" i="3"/>
  <c r="D104" i="3"/>
  <c r="E104" i="3"/>
  <c r="B105" i="3"/>
  <c r="C105" i="3"/>
  <c r="D105" i="3"/>
  <c r="E105" i="3"/>
  <c r="B106" i="3"/>
  <c r="C106" i="3"/>
  <c r="D106" i="3"/>
  <c r="E106" i="3"/>
  <c r="B107" i="3"/>
  <c r="C107" i="3"/>
  <c r="D107" i="3"/>
  <c r="E107" i="3"/>
  <c r="B108" i="3"/>
  <c r="C108" i="3"/>
  <c r="D108" i="3"/>
  <c r="E108" i="3"/>
  <c r="B109" i="3"/>
  <c r="C109" i="3"/>
  <c r="D109" i="3"/>
  <c r="E109" i="3"/>
  <c r="B110" i="3"/>
  <c r="C110" i="3"/>
  <c r="D110" i="3"/>
  <c r="E110" i="3"/>
  <c r="B111" i="3"/>
  <c r="C111" i="3"/>
  <c r="D111" i="3"/>
  <c r="E111" i="3"/>
  <c r="B112" i="3"/>
  <c r="C112" i="3"/>
  <c r="D112" i="3"/>
  <c r="E112" i="3"/>
  <c r="B113" i="3"/>
  <c r="C113" i="3"/>
  <c r="D113" i="3"/>
  <c r="E113" i="3"/>
  <c r="B114" i="3"/>
  <c r="C114" i="3"/>
  <c r="D114" i="3"/>
  <c r="E114" i="3"/>
  <c r="B115" i="3"/>
  <c r="C115" i="3"/>
  <c r="D115" i="3"/>
  <c r="E115" i="3"/>
  <c r="B116" i="3"/>
  <c r="C116" i="3"/>
  <c r="D116" i="3"/>
  <c r="E116" i="3"/>
  <c r="B117" i="3"/>
  <c r="C117" i="3"/>
  <c r="D117" i="3"/>
  <c r="E117" i="3"/>
  <c r="B118" i="3"/>
  <c r="C118" i="3"/>
  <c r="D118" i="3"/>
  <c r="D1040" i="3" s="1"/>
  <c r="E118" i="3"/>
  <c r="B119" i="3"/>
  <c r="C119" i="3"/>
  <c r="D119" i="3"/>
  <c r="E119" i="3"/>
  <c r="B120" i="3"/>
  <c r="C120" i="3"/>
  <c r="D120" i="3"/>
  <c r="E120" i="3"/>
  <c r="B121" i="3"/>
  <c r="C121" i="3"/>
  <c r="D121" i="3"/>
  <c r="E121" i="3"/>
  <c r="B122" i="3"/>
  <c r="C122" i="3"/>
  <c r="D122" i="3"/>
  <c r="E122" i="3"/>
  <c r="B123" i="3"/>
  <c r="C123" i="3"/>
  <c r="D123" i="3"/>
  <c r="E123" i="3"/>
  <c r="B124" i="3"/>
  <c r="C124" i="3"/>
  <c r="D124" i="3"/>
  <c r="E124" i="3"/>
  <c r="B125" i="3"/>
  <c r="C125" i="3"/>
  <c r="D125" i="3"/>
  <c r="E125" i="3"/>
  <c r="B126" i="3"/>
  <c r="C126" i="3"/>
  <c r="D126" i="3"/>
  <c r="E126" i="3"/>
  <c r="B127" i="3"/>
  <c r="C127" i="3"/>
  <c r="D127" i="3"/>
  <c r="E127" i="3"/>
  <c r="B128" i="3"/>
  <c r="C128" i="3"/>
  <c r="D128" i="3"/>
  <c r="E128" i="3"/>
  <c r="B129" i="3"/>
  <c r="C129" i="3"/>
  <c r="D129" i="3"/>
  <c r="E129" i="3"/>
  <c r="B130" i="3"/>
  <c r="C130" i="3"/>
  <c r="D130" i="3"/>
  <c r="E130" i="3"/>
  <c r="B131" i="3"/>
  <c r="C131" i="3"/>
  <c r="D131" i="3"/>
  <c r="E131" i="3"/>
  <c r="B132" i="3"/>
  <c r="C132" i="3"/>
  <c r="D132" i="3"/>
  <c r="E132" i="3"/>
  <c r="B133" i="3"/>
  <c r="C133" i="3"/>
  <c r="D133" i="3"/>
  <c r="E133" i="3"/>
  <c r="B134" i="3"/>
  <c r="C134" i="3"/>
  <c r="D134" i="3"/>
  <c r="E134" i="3"/>
  <c r="B135" i="3"/>
  <c r="C135" i="3"/>
  <c r="D135" i="3"/>
  <c r="E135" i="3"/>
  <c r="B136" i="3"/>
  <c r="C136" i="3"/>
  <c r="D136" i="3"/>
  <c r="E136" i="3"/>
  <c r="B137" i="3"/>
  <c r="C137" i="3"/>
  <c r="D137" i="3"/>
  <c r="E137" i="3"/>
  <c r="B138" i="3"/>
  <c r="C138" i="3"/>
  <c r="D138" i="3"/>
  <c r="E138" i="3"/>
  <c r="B139" i="3"/>
  <c r="C139" i="3"/>
  <c r="D139" i="3"/>
  <c r="E139" i="3"/>
  <c r="B140" i="3"/>
  <c r="C140" i="3"/>
  <c r="D140" i="3"/>
  <c r="E140" i="3"/>
  <c r="B141" i="3"/>
  <c r="C141" i="3"/>
  <c r="D141" i="3"/>
  <c r="E141" i="3"/>
  <c r="B142" i="3"/>
  <c r="C142" i="3"/>
  <c r="D142" i="3"/>
  <c r="E142" i="3"/>
  <c r="B143" i="3"/>
  <c r="C143" i="3"/>
  <c r="D143" i="3"/>
  <c r="E143" i="3"/>
  <c r="B144" i="3"/>
  <c r="C144" i="3"/>
  <c r="D144" i="3"/>
  <c r="E144" i="3"/>
  <c r="B145" i="3"/>
  <c r="C145" i="3"/>
  <c r="D145" i="3"/>
  <c r="E145" i="3"/>
  <c r="B146" i="3"/>
  <c r="C146" i="3"/>
  <c r="D146" i="3"/>
  <c r="E146" i="3"/>
  <c r="B147" i="3"/>
  <c r="C147" i="3"/>
  <c r="D147" i="3"/>
  <c r="E147" i="3"/>
  <c r="B148" i="3"/>
  <c r="C148" i="3"/>
  <c r="D148" i="3"/>
  <c r="E148" i="3"/>
  <c r="B149" i="3"/>
  <c r="C149" i="3"/>
  <c r="D149" i="3"/>
  <c r="E149" i="3"/>
  <c r="B150" i="3"/>
  <c r="C150" i="3"/>
  <c r="D150" i="3"/>
  <c r="E150" i="3"/>
  <c r="B151" i="3"/>
  <c r="C151" i="3"/>
  <c r="D151" i="3"/>
  <c r="E151" i="3"/>
  <c r="B152" i="3"/>
  <c r="C152" i="3"/>
  <c r="D152" i="3"/>
  <c r="E152" i="3"/>
  <c r="B153" i="3"/>
  <c r="C153" i="3"/>
  <c r="D153" i="3"/>
  <c r="E153" i="3"/>
  <c r="B154" i="3"/>
  <c r="C154" i="3"/>
  <c r="D154" i="3"/>
  <c r="E154" i="3"/>
  <c r="B155" i="3"/>
  <c r="C155" i="3"/>
  <c r="D155" i="3"/>
  <c r="E155" i="3"/>
  <c r="B156" i="3"/>
  <c r="C156" i="3"/>
  <c r="D156" i="3"/>
  <c r="E156" i="3"/>
  <c r="B157" i="3"/>
  <c r="C157" i="3"/>
  <c r="D157" i="3"/>
  <c r="E157" i="3"/>
  <c r="B158" i="3"/>
  <c r="C158" i="3"/>
  <c r="D158" i="3"/>
  <c r="E158" i="3"/>
  <c r="B159" i="3"/>
  <c r="C159" i="3"/>
  <c r="D159" i="3"/>
  <c r="E159" i="3"/>
  <c r="B160" i="3"/>
  <c r="C160" i="3"/>
  <c r="D160" i="3"/>
  <c r="E160" i="3"/>
  <c r="B161" i="3"/>
  <c r="C161" i="3"/>
  <c r="D161" i="3"/>
  <c r="E161" i="3"/>
  <c r="B162" i="3"/>
  <c r="C162" i="3"/>
  <c r="D162" i="3"/>
  <c r="E162" i="3"/>
  <c r="B163" i="3"/>
  <c r="C163" i="3"/>
  <c r="D163" i="3"/>
  <c r="E163" i="3"/>
  <c r="B164" i="3"/>
  <c r="C164" i="3"/>
  <c r="D164" i="3"/>
  <c r="E164" i="3"/>
  <c r="B165" i="3"/>
  <c r="C165" i="3"/>
  <c r="D165" i="3"/>
  <c r="E165" i="3"/>
  <c r="B166" i="3"/>
  <c r="C166" i="3"/>
  <c r="D166" i="3"/>
  <c r="E166" i="3"/>
  <c r="B167" i="3"/>
  <c r="C167" i="3"/>
  <c r="D167" i="3"/>
  <c r="E167" i="3"/>
  <c r="B168" i="3"/>
  <c r="C168" i="3"/>
  <c r="D168" i="3"/>
  <c r="E168" i="3"/>
  <c r="B169" i="3"/>
  <c r="C169" i="3"/>
  <c r="D169" i="3"/>
  <c r="E169" i="3"/>
  <c r="B170" i="3"/>
  <c r="C170" i="3"/>
  <c r="D170" i="3"/>
  <c r="E170" i="3"/>
  <c r="B171" i="3"/>
  <c r="C171" i="3"/>
  <c r="D171" i="3"/>
  <c r="E171" i="3"/>
  <c r="B172" i="3"/>
  <c r="C172" i="3"/>
  <c r="D172" i="3"/>
  <c r="E172" i="3"/>
  <c r="B173" i="3"/>
  <c r="C173" i="3"/>
  <c r="D173" i="3"/>
  <c r="E173" i="3"/>
  <c r="B174" i="3"/>
  <c r="C174" i="3"/>
  <c r="D174" i="3"/>
  <c r="E174" i="3"/>
  <c r="B175" i="3"/>
  <c r="C175" i="3"/>
  <c r="D175" i="3"/>
  <c r="E175" i="3"/>
  <c r="B176" i="3"/>
  <c r="C176" i="3"/>
  <c r="D176" i="3"/>
  <c r="E176" i="3"/>
  <c r="B177" i="3"/>
  <c r="C177" i="3"/>
  <c r="D177" i="3"/>
  <c r="E177" i="3"/>
  <c r="B178" i="3"/>
  <c r="C178" i="3"/>
  <c r="D178" i="3"/>
  <c r="E178" i="3"/>
  <c r="B179" i="3"/>
  <c r="C179" i="3"/>
  <c r="D179" i="3"/>
  <c r="E179" i="3"/>
  <c r="B180" i="3"/>
  <c r="C180" i="3"/>
  <c r="D180" i="3"/>
  <c r="E180" i="3"/>
  <c r="B181" i="3"/>
  <c r="C181" i="3"/>
  <c r="D181" i="3"/>
  <c r="E181" i="3"/>
  <c r="B182" i="3"/>
  <c r="C182" i="3"/>
  <c r="D182" i="3"/>
  <c r="E182" i="3"/>
  <c r="B183" i="3"/>
  <c r="C183" i="3"/>
  <c r="D183" i="3"/>
  <c r="E183" i="3"/>
  <c r="B184" i="3"/>
  <c r="C184" i="3"/>
  <c r="D184" i="3"/>
  <c r="E184" i="3"/>
  <c r="B185" i="3"/>
  <c r="C185" i="3"/>
  <c r="D185" i="3"/>
  <c r="E185" i="3"/>
  <c r="B186" i="3"/>
  <c r="C186" i="3"/>
  <c r="D186" i="3"/>
  <c r="E186" i="3"/>
  <c r="B187" i="3"/>
  <c r="C187" i="3"/>
  <c r="D187" i="3"/>
  <c r="E187" i="3"/>
  <c r="B188" i="3"/>
  <c r="C188" i="3"/>
  <c r="D188" i="3"/>
  <c r="E188" i="3"/>
  <c r="B189" i="3"/>
  <c r="C189" i="3"/>
  <c r="D189" i="3"/>
  <c r="E189" i="3"/>
  <c r="B190" i="3"/>
  <c r="C190" i="3"/>
  <c r="D190" i="3"/>
  <c r="E190" i="3"/>
  <c r="B191" i="3"/>
  <c r="C191" i="3"/>
  <c r="D191" i="3"/>
  <c r="E191" i="3"/>
  <c r="B192" i="3"/>
  <c r="C192" i="3"/>
  <c r="D192" i="3"/>
  <c r="E192" i="3"/>
  <c r="B193" i="3"/>
  <c r="C193" i="3"/>
  <c r="D193" i="3"/>
  <c r="E193" i="3"/>
  <c r="B194" i="3"/>
  <c r="C194" i="3"/>
  <c r="D194" i="3"/>
  <c r="E194" i="3"/>
  <c r="B195" i="3"/>
  <c r="C195" i="3"/>
  <c r="D195" i="3"/>
  <c r="E195" i="3"/>
  <c r="B196" i="3"/>
  <c r="C196" i="3"/>
  <c r="D196" i="3"/>
  <c r="E196" i="3"/>
  <c r="B197" i="3"/>
  <c r="C197" i="3"/>
  <c r="D197" i="3"/>
  <c r="E197" i="3"/>
  <c r="B198" i="3"/>
  <c r="C198" i="3"/>
  <c r="D198" i="3"/>
  <c r="E198" i="3"/>
  <c r="B199" i="3"/>
  <c r="C199" i="3"/>
  <c r="D199" i="3"/>
  <c r="E199" i="3"/>
  <c r="B200" i="3"/>
  <c r="C200" i="3"/>
  <c r="D200" i="3"/>
  <c r="E200" i="3"/>
  <c r="B201" i="3"/>
  <c r="C201" i="3"/>
  <c r="D201" i="3"/>
  <c r="E201" i="3"/>
  <c r="B202" i="3"/>
  <c r="C202" i="3"/>
  <c r="D202" i="3"/>
  <c r="E202" i="3"/>
  <c r="B203" i="3"/>
  <c r="C203" i="3"/>
  <c r="D203" i="3"/>
  <c r="E203" i="3"/>
  <c r="B204" i="3"/>
  <c r="C204" i="3"/>
  <c r="D204" i="3"/>
  <c r="E204" i="3"/>
  <c r="B205" i="3"/>
  <c r="C205" i="3"/>
  <c r="D205" i="3"/>
  <c r="E205" i="3"/>
  <c r="B206" i="3"/>
  <c r="C206" i="3"/>
  <c r="D206" i="3"/>
  <c r="E206" i="3"/>
  <c r="B207" i="3"/>
  <c r="C207" i="3"/>
  <c r="D207" i="3"/>
  <c r="E207" i="3"/>
  <c r="B208" i="3"/>
  <c r="C208" i="3"/>
  <c r="D208" i="3"/>
  <c r="E208" i="3"/>
  <c r="B209" i="3"/>
  <c r="C209" i="3"/>
  <c r="D209" i="3"/>
  <c r="E209" i="3"/>
  <c r="B210" i="3"/>
  <c r="C210" i="3"/>
  <c r="D210" i="3"/>
  <c r="E210" i="3"/>
  <c r="B211" i="3"/>
  <c r="C211" i="3"/>
  <c r="D211" i="3"/>
  <c r="E211" i="3"/>
  <c r="B212" i="3"/>
  <c r="C212" i="3"/>
  <c r="D212" i="3"/>
  <c r="E212" i="3"/>
  <c r="B213" i="3"/>
  <c r="C213" i="3"/>
  <c r="D213" i="3"/>
  <c r="E213" i="3"/>
  <c r="B214" i="3"/>
  <c r="C214" i="3"/>
  <c r="D214" i="3"/>
  <c r="E214" i="3"/>
  <c r="B215" i="3"/>
  <c r="C215" i="3"/>
  <c r="D215" i="3"/>
  <c r="E215" i="3"/>
  <c r="B216" i="3"/>
  <c r="C216" i="3"/>
  <c r="D216" i="3"/>
  <c r="E216" i="3"/>
  <c r="B217" i="3"/>
  <c r="C217" i="3"/>
  <c r="D217" i="3"/>
  <c r="E217" i="3"/>
  <c r="B218" i="3"/>
  <c r="C218" i="3"/>
  <c r="D218" i="3"/>
  <c r="E218" i="3"/>
  <c r="B219" i="3"/>
  <c r="C219" i="3"/>
  <c r="D219" i="3"/>
  <c r="E219" i="3"/>
  <c r="B220" i="3"/>
  <c r="C220" i="3"/>
  <c r="D220" i="3"/>
  <c r="E220" i="3"/>
  <c r="B221" i="3"/>
  <c r="C221" i="3"/>
  <c r="D221" i="3"/>
  <c r="E221" i="3"/>
  <c r="B222" i="3"/>
  <c r="C222" i="3"/>
  <c r="D222" i="3"/>
  <c r="E222" i="3"/>
  <c r="B223" i="3"/>
  <c r="C223" i="3"/>
  <c r="D223" i="3"/>
  <c r="E223" i="3"/>
  <c r="B224" i="3"/>
  <c r="C224" i="3"/>
  <c r="D224" i="3"/>
  <c r="E224" i="3"/>
  <c r="B225" i="3"/>
  <c r="C225" i="3"/>
  <c r="D225" i="3"/>
  <c r="E225" i="3"/>
  <c r="B226" i="3"/>
  <c r="C226" i="3"/>
  <c r="D226" i="3"/>
  <c r="E226" i="3"/>
  <c r="B227" i="3"/>
  <c r="C227" i="3"/>
  <c r="D227" i="3"/>
  <c r="E227" i="3"/>
  <c r="B228" i="3"/>
  <c r="C228" i="3"/>
  <c r="D228" i="3"/>
  <c r="E228" i="3"/>
  <c r="B229" i="3"/>
  <c r="C229" i="3"/>
  <c r="D229" i="3"/>
  <c r="E229" i="3"/>
  <c r="B230" i="3"/>
  <c r="C230" i="3"/>
  <c r="D230" i="3"/>
  <c r="E230" i="3"/>
  <c r="B231" i="3"/>
  <c r="C231" i="3"/>
  <c r="D231" i="3"/>
  <c r="E231" i="3"/>
  <c r="B232" i="3"/>
  <c r="C232" i="3"/>
  <c r="D232" i="3"/>
  <c r="E232" i="3"/>
  <c r="B233" i="3"/>
  <c r="C233" i="3"/>
  <c r="D233" i="3"/>
  <c r="E233" i="3"/>
  <c r="B234" i="3"/>
  <c r="C234" i="3"/>
  <c r="D234" i="3"/>
  <c r="E234" i="3"/>
  <c r="B235" i="3"/>
  <c r="C235" i="3"/>
  <c r="D235" i="3"/>
  <c r="E235" i="3"/>
  <c r="B236" i="3"/>
  <c r="C236" i="3"/>
  <c r="D236" i="3"/>
  <c r="E236" i="3"/>
  <c r="B237" i="3"/>
  <c r="C237" i="3"/>
  <c r="D237" i="3"/>
  <c r="E237" i="3"/>
  <c r="B238" i="3"/>
  <c r="C238" i="3"/>
  <c r="D238" i="3"/>
  <c r="E238" i="3"/>
  <c r="B239" i="3"/>
  <c r="C239" i="3"/>
  <c r="D239" i="3"/>
  <c r="E239" i="3"/>
  <c r="B240" i="3"/>
  <c r="C240" i="3"/>
  <c r="D240" i="3"/>
  <c r="E240" i="3"/>
  <c r="B241" i="3"/>
  <c r="C241" i="3"/>
  <c r="D241" i="3"/>
  <c r="E241" i="3"/>
  <c r="B242" i="3"/>
  <c r="C242" i="3"/>
  <c r="D242" i="3"/>
  <c r="E242" i="3"/>
  <c r="B243" i="3"/>
  <c r="C243" i="3"/>
  <c r="D243" i="3"/>
  <c r="E243" i="3"/>
  <c r="B244" i="3"/>
  <c r="C244" i="3"/>
  <c r="D244" i="3"/>
  <c r="E244" i="3"/>
  <c r="B245" i="3"/>
  <c r="C245" i="3"/>
  <c r="D245" i="3"/>
  <c r="E245" i="3"/>
  <c r="B246" i="3"/>
  <c r="C246" i="3"/>
  <c r="D246" i="3"/>
  <c r="E246" i="3"/>
  <c r="B247" i="3"/>
  <c r="C247" i="3"/>
  <c r="D247" i="3"/>
  <c r="E247" i="3"/>
  <c r="B248" i="3"/>
  <c r="C248" i="3"/>
  <c r="D248" i="3"/>
  <c r="E248" i="3"/>
  <c r="B249" i="3"/>
  <c r="C249" i="3"/>
  <c r="D249" i="3"/>
  <c r="E249" i="3"/>
  <c r="B250" i="3"/>
  <c r="C250" i="3"/>
  <c r="D250" i="3"/>
  <c r="E250" i="3"/>
  <c r="B251" i="3"/>
  <c r="C251" i="3"/>
  <c r="D251" i="3"/>
  <c r="E251" i="3"/>
  <c r="B252" i="3"/>
  <c r="C252" i="3"/>
  <c r="D252" i="3"/>
  <c r="E252" i="3"/>
  <c r="B253" i="3"/>
  <c r="C253" i="3"/>
  <c r="D253" i="3"/>
  <c r="E253" i="3"/>
  <c r="B254" i="3"/>
  <c r="C254" i="3"/>
  <c r="D254" i="3"/>
  <c r="E254" i="3"/>
  <c r="B255" i="3"/>
  <c r="C255" i="3"/>
  <c r="D255" i="3"/>
  <c r="E255" i="3"/>
  <c r="B256" i="3"/>
  <c r="C256" i="3"/>
  <c r="D256" i="3"/>
  <c r="E256" i="3"/>
  <c r="B257" i="3"/>
  <c r="C257" i="3"/>
  <c r="D257" i="3"/>
  <c r="E257" i="3"/>
  <c r="B258" i="3"/>
  <c r="C258" i="3"/>
  <c r="D258" i="3"/>
  <c r="E258" i="3"/>
  <c r="B259" i="3"/>
  <c r="C259" i="3"/>
  <c r="D259" i="3"/>
  <c r="E259" i="3"/>
  <c r="B260" i="3"/>
  <c r="C260" i="3"/>
  <c r="D260" i="3"/>
  <c r="E260" i="3"/>
  <c r="B261" i="3"/>
  <c r="C261" i="3"/>
  <c r="D261" i="3"/>
  <c r="E261" i="3"/>
  <c r="B262" i="3"/>
  <c r="C262" i="3"/>
  <c r="D262" i="3"/>
  <c r="E262" i="3"/>
  <c r="B263" i="3"/>
  <c r="C263" i="3"/>
  <c r="D263" i="3"/>
  <c r="E263" i="3"/>
  <c r="B264" i="3"/>
  <c r="C264" i="3"/>
  <c r="D264" i="3"/>
  <c r="E264" i="3"/>
  <c r="B265" i="3"/>
  <c r="C265" i="3"/>
  <c r="D265" i="3"/>
  <c r="E265" i="3"/>
  <c r="B266" i="3"/>
  <c r="C266" i="3"/>
  <c r="D266" i="3"/>
  <c r="E266" i="3"/>
  <c r="B267" i="3"/>
  <c r="C267" i="3"/>
  <c r="D267" i="3"/>
  <c r="E267" i="3"/>
  <c r="B268" i="3"/>
  <c r="C268" i="3"/>
  <c r="D268" i="3"/>
  <c r="E268" i="3"/>
  <c r="B269" i="3"/>
  <c r="C269" i="3"/>
  <c r="D269" i="3"/>
  <c r="E269" i="3"/>
  <c r="B270" i="3"/>
  <c r="C270" i="3"/>
  <c r="D270" i="3"/>
  <c r="E270" i="3"/>
  <c r="B271" i="3"/>
  <c r="C271" i="3"/>
  <c r="D271" i="3"/>
  <c r="E271" i="3"/>
  <c r="B272" i="3"/>
  <c r="C272" i="3"/>
  <c r="D272" i="3"/>
  <c r="E272" i="3"/>
  <c r="B273" i="3"/>
  <c r="C273" i="3"/>
  <c r="D273" i="3"/>
  <c r="E273" i="3"/>
  <c r="B274" i="3"/>
  <c r="C274" i="3"/>
  <c r="D274" i="3"/>
  <c r="E274" i="3"/>
  <c r="B275" i="3"/>
  <c r="C275" i="3"/>
  <c r="D275" i="3"/>
  <c r="E275" i="3"/>
  <c r="B276" i="3"/>
  <c r="C276" i="3"/>
  <c r="D276" i="3"/>
  <c r="E276" i="3"/>
  <c r="B277" i="3"/>
  <c r="C277" i="3"/>
  <c r="D277" i="3"/>
  <c r="E277" i="3"/>
  <c r="B278" i="3"/>
  <c r="C278" i="3"/>
  <c r="D278" i="3"/>
  <c r="E278" i="3"/>
  <c r="B279" i="3"/>
  <c r="C279" i="3"/>
  <c r="D279" i="3"/>
  <c r="E279" i="3"/>
  <c r="B280" i="3"/>
  <c r="C280" i="3"/>
  <c r="D280" i="3"/>
  <c r="E280" i="3"/>
  <c r="B281" i="3"/>
  <c r="C281" i="3"/>
  <c r="D281" i="3"/>
  <c r="E281" i="3"/>
  <c r="B282" i="3"/>
  <c r="C282" i="3"/>
  <c r="D282" i="3"/>
  <c r="E282" i="3"/>
  <c r="B283" i="3"/>
  <c r="C283" i="3"/>
  <c r="D283" i="3"/>
  <c r="E283" i="3"/>
  <c r="B284" i="3"/>
  <c r="C284" i="3"/>
  <c r="D284" i="3"/>
  <c r="E284" i="3"/>
  <c r="B285" i="3"/>
  <c r="C285" i="3"/>
  <c r="D285" i="3"/>
  <c r="E285" i="3"/>
  <c r="B286" i="3"/>
  <c r="C286" i="3"/>
  <c r="D286" i="3"/>
  <c r="E286" i="3"/>
  <c r="B287" i="3"/>
  <c r="C287" i="3"/>
  <c r="D287" i="3"/>
  <c r="E287" i="3"/>
  <c r="B288" i="3"/>
  <c r="C288" i="3"/>
  <c r="D288" i="3"/>
  <c r="E288" i="3"/>
  <c r="B289" i="3"/>
  <c r="C289" i="3"/>
  <c r="D289" i="3"/>
  <c r="E289" i="3"/>
  <c r="B290" i="3"/>
  <c r="C290" i="3"/>
  <c r="D290" i="3"/>
  <c r="E290" i="3"/>
  <c r="B291" i="3"/>
  <c r="C291" i="3"/>
  <c r="D291" i="3"/>
  <c r="E291" i="3"/>
  <c r="B292" i="3"/>
  <c r="C292" i="3"/>
  <c r="D292" i="3"/>
  <c r="E292" i="3"/>
  <c r="B293" i="3"/>
  <c r="C293" i="3"/>
  <c r="D293" i="3"/>
  <c r="E293" i="3"/>
  <c r="B294" i="3"/>
  <c r="C294" i="3"/>
  <c r="D294" i="3"/>
  <c r="E294" i="3"/>
  <c r="B295" i="3"/>
  <c r="C295" i="3"/>
  <c r="D295" i="3"/>
  <c r="E295" i="3"/>
  <c r="B296" i="3"/>
  <c r="C296" i="3"/>
  <c r="D296" i="3"/>
  <c r="E296" i="3"/>
  <c r="B297" i="3"/>
  <c r="C297" i="3"/>
  <c r="D297" i="3"/>
  <c r="E297" i="3"/>
  <c r="B298" i="3"/>
  <c r="C298" i="3"/>
  <c r="D298" i="3"/>
  <c r="E298" i="3"/>
  <c r="B299" i="3"/>
  <c r="C299" i="3"/>
  <c r="D299" i="3"/>
  <c r="E299" i="3"/>
  <c r="B300" i="3"/>
  <c r="C300" i="3"/>
  <c r="D300" i="3"/>
  <c r="E300" i="3"/>
  <c r="B301" i="3"/>
  <c r="C301" i="3"/>
  <c r="D301" i="3"/>
  <c r="E301" i="3"/>
  <c r="B302" i="3"/>
  <c r="C302" i="3"/>
  <c r="D302" i="3"/>
  <c r="E302" i="3"/>
  <c r="B303" i="3"/>
  <c r="C303" i="3"/>
  <c r="D303" i="3"/>
  <c r="E303" i="3"/>
  <c r="B304" i="3"/>
  <c r="C304" i="3"/>
  <c r="D304" i="3"/>
  <c r="E304" i="3"/>
  <c r="B305" i="3"/>
  <c r="C305" i="3"/>
  <c r="D305" i="3"/>
  <c r="E305" i="3"/>
  <c r="B306" i="3"/>
  <c r="C306" i="3"/>
  <c r="D306" i="3"/>
  <c r="E306" i="3"/>
  <c r="B307" i="3"/>
  <c r="C307" i="3"/>
  <c r="D307" i="3"/>
  <c r="E307" i="3"/>
  <c r="B308" i="3"/>
  <c r="C308" i="3"/>
  <c r="D308" i="3"/>
  <c r="E308" i="3"/>
  <c r="B309" i="3"/>
  <c r="C309" i="3"/>
  <c r="D309" i="3"/>
  <c r="E309" i="3"/>
  <c r="B310" i="3"/>
  <c r="B1056" i="3" s="1"/>
  <c r="C310" i="3"/>
  <c r="D310" i="3"/>
  <c r="E310" i="3"/>
  <c r="B311" i="3"/>
  <c r="C311" i="3"/>
  <c r="D311" i="3"/>
  <c r="E311" i="3"/>
  <c r="B312" i="3"/>
  <c r="C312" i="3"/>
  <c r="D312" i="3"/>
  <c r="E312" i="3"/>
  <c r="B313" i="3"/>
  <c r="C313" i="3"/>
  <c r="D313" i="3"/>
  <c r="E313" i="3"/>
  <c r="B314" i="3"/>
  <c r="C314" i="3"/>
  <c r="D314" i="3"/>
  <c r="E314" i="3"/>
  <c r="B315" i="3"/>
  <c r="C315" i="3"/>
  <c r="D315" i="3"/>
  <c r="E315" i="3"/>
  <c r="B316" i="3"/>
  <c r="C316" i="3"/>
  <c r="D316" i="3"/>
  <c r="E316" i="3"/>
  <c r="B317" i="3"/>
  <c r="C317" i="3"/>
  <c r="D317" i="3"/>
  <c r="E317" i="3"/>
  <c r="B318" i="3"/>
  <c r="C318" i="3"/>
  <c r="D318" i="3"/>
  <c r="E318" i="3"/>
  <c r="B319" i="3"/>
  <c r="C319" i="3"/>
  <c r="D319" i="3"/>
  <c r="E319" i="3"/>
  <c r="B320" i="3"/>
  <c r="C320" i="3"/>
  <c r="D320" i="3"/>
  <c r="E320" i="3"/>
  <c r="B321" i="3"/>
  <c r="C321" i="3"/>
  <c r="D321" i="3"/>
  <c r="E321" i="3"/>
  <c r="B322" i="3"/>
  <c r="C322" i="3"/>
  <c r="D322" i="3"/>
  <c r="D1057" i="3" s="1"/>
  <c r="E322" i="3"/>
  <c r="B323" i="3"/>
  <c r="C323" i="3"/>
  <c r="D323" i="3"/>
  <c r="E323" i="3"/>
  <c r="B324" i="3"/>
  <c r="C324" i="3"/>
  <c r="D324" i="3"/>
  <c r="E324" i="3"/>
  <c r="B325" i="3"/>
  <c r="C325" i="3"/>
  <c r="D325" i="3"/>
  <c r="E325" i="3"/>
  <c r="B326" i="3"/>
  <c r="C326" i="3"/>
  <c r="D326" i="3"/>
  <c r="E326" i="3"/>
  <c r="B327" i="3"/>
  <c r="C327" i="3"/>
  <c r="D327" i="3"/>
  <c r="E327" i="3"/>
  <c r="B328" i="3"/>
  <c r="C328" i="3"/>
  <c r="D328" i="3"/>
  <c r="E328" i="3"/>
  <c r="B329" i="3"/>
  <c r="C329" i="3"/>
  <c r="D329" i="3"/>
  <c r="E329" i="3"/>
  <c r="B330" i="3"/>
  <c r="C330" i="3"/>
  <c r="D330" i="3"/>
  <c r="E330" i="3"/>
  <c r="B331" i="3"/>
  <c r="C331" i="3"/>
  <c r="D331" i="3"/>
  <c r="E331" i="3"/>
  <c r="B332" i="3"/>
  <c r="C332" i="3"/>
  <c r="D332" i="3"/>
  <c r="E332" i="3"/>
  <c r="B333" i="3"/>
  <c r="C333" i="3"/>
  <c r="D333" i="3"/>
  <c r="E333" i="3"/>
  <c r="B334" i="3"/>
  <c r="C334" i="3"/>
  <c r="D334" i="3"/>
  <c r="E334" i="3"/>
  <c r="B335" i="3"/>
  <c r="C335" i="3"/>
  <c r="D335" i="3"/>
  <c r="E335" i="3"/>
  <c r="B336" i="3"/>
  <c r="C336" i="3"/>
  <c r="D336" i="3"/>
  <c r="E336" i="3"/>
  <c r="B337" i="3"/>
  <c r="C337" i="3"/>
  <c r="D337" i="3"/>
  <c r="E337" i="3"/>
  <c r="B338" i="3"/>
  <c r="C338" i="3"/>
  <c r="D338" i="3"/>
  <c r="E338" i="3"/>
  <c r="B339" i="3"/>
  <c r="C339" i="3"/>
  <c r="D339" i="3"/>
  <c r="E339" i="3"/>
  <c r="B340" i="3"/>
  <c r="C340" i="3"/>
  <c r="D340" i="3"/>
  <c r="E340" i="3"/>
  <c r="B341" i="3"/>
  <c r="C341" i="3"/>
  <c r="D341" i="3"/>
  <c r="E341" i="3"/>
  <c r="B342" i="3"/>
  <c r="C342" i="3"/>
  <c r="D342" i="3"/>
  <c r="E342" i="3"/>
  <c r="B343" i="3"/>
  <c r="C343" i="3"/>
  <c r="D343" i="3"/>
  <c r="E343" i="3"/>
  <c r="B344" i="3"/>
  <c r="C344" i="3"/>
  <c r="D344" i="3"/>
  <c r="E344" i="3"/>
  <c r="B345" i="3"/>
  <c r="C345" i="3"/>
  <c r="D345" i="3"/>
  <c r="E345" i="3"/>
  <c r="B346" i="3"/>
  <c r="C346" i="3"/>
  <c r="D346" i="3"/>
  <c r="E346" i="3"/>
  <c r="B347" i="3"/>
  <c r="C347" i="3"/>
  <c r="D347" i="3"/>
  <c r="E347" i="3"/>
  <c r="B348" i="3"/>
  <c r="C348" i="3"/>
  <c r="D348" i="3"/>
  <c r="E348" i="3"/>
  <c r="B349" i="3"/>
  <c r="C349" i="3"/>
  <c r="D349" i="3"/>
  <c r="E349" i="3"/>
  <c r="B350" i="3"/>
  <c r="C350" i="3"/>
  <c r="D350" i="3"/>
  <c r="E350" i="3"/>
  <c r="B351" i="3"/>
  <c r="C351" i="3"/>
  <c r="D351" i="3"/>
  <c r="E351" i="3"/>
  <c r="B352" i="3"/>
  <c r="C352" i="3"/>
  <c r="D352" i="3"/>
  <c r="E352" i="3"/>
  <c r="B353" i="3"/>
  <c r="C353" i="3"/>
  <c r="D353" i="3"/>
  <c r="E353" i="3"/>
  <c r="B354" i="3"/>
  <c r="C354" i="3"/>
  <c r="D354" i="3"/>
  <c r="E354" i="3"/>
  <c r="B355" i="3"/>
  <c r="C355" i="3"/>
  <c r="D355" i="3"/>
  <c r="E355" i="3"/>
  <c r="B356" i="3"/>
  <c r="C356" i="3"/>
  <c r="D356" i="3"/>
  <c r="E356" i="3"/>
  <c r="B357" i="3"/>
  <c r="C357" i="3"/>
  <c r="D357" i="3"/>
  <c r="E357" i="3"/>
  <c r="B358" i="3"/>
  <c r="C358" i="3"/>
  <c r="D358" i="3"/>
  <c r="E358" i="3"/>
  <c r="B359" i="3"/>
  <c r="C359" i="3"/>
  <c r="D359" i="3"/>
  <c r="E359" i="3"/>
  <c r="B360" i="3"/>
  <c r="C360" i="3"/>
  <c r="D360" i="3"/>
  <c r="E360" i="3"/>
  <c r="B361" i="3"/>
  <c r="C361" i="3"/>
  <c r="D361" i="3"/>
  <c r="E361" i="3"/>
  <c r="B362" i="3"/>
  <c r="C362" i="3"/>
  <c r="D362" i="3"/>
  <c r="E362" i="3"/>
  <c r="B363" i="3"/>
  <c r="C363" i="3"/>
  <c r="D363" i="3"/>
  <c r="E363" i="3"/>
  <c r="B364" i="3"/>
  <c r="C364" i="3"/>
  <c r="D364" i="3"/>
  <c r="E364" i="3"/>
  <c r="B365" i="3"/>
  <c r="C365" i="3"/>
  <c r="D365" i="3"/>
  <c r="E365" i="3"/>
  <c r="B366" i="3"/>
  <c r="C366" i="3"/>
  <c r="D366" i="3"/>
  <c r="E366" i="3"/>
  <c r="B367" i="3"/>
  <c r="C367" i="3"/>
  <c r="D367" i="3"/>
  <c r="E367" i="3"/>
  <c r="B368" i="3"/>
  <c r="C368" i="3"/>
  <c r="D368" i="3"/>
  <c r="E368" i="3"/>
  <c r="B369" i="3"/>
  <c r="C369" i="3"/>
  <c r="D369" i="3"/>
  <c r="E369" i="3"/>
  <c r="B370" i="3"/>
  <c r="C370" i="3"/>
  <c r="D370" i="3"/>
  <c r="E370" i="3"/>
  <c r="B371" i="3"/>
  <c r="C371" i="3"/>
  <c r="D371" i="3"/>
  <c r="E371" i="3"/>
  <c r="B372" i="3"/>
  <c r="C372" i="3"/>
  <c r="D372" i="3"/>
  <c r="E372" i="3"/>
  <c r="B373" i="3"/>
  <c r="C373" i="3"/>
  <c r="D373" i="3"/>
  <c r="E373" i="3"/>
  <c r="B374" i="3"/>
  <c r="C374" i="3"/>
  <c r="D374" i="3"/>
  <c r="E374" i="3"/>
  <c r="B375" i="3"/>
  <c r="C375" i="3"/>
  <c r="D375" i="3"/>
  <c r="E375" i="3"/>
  <c r="B376" i="3"/>
  <c r="C376" i="3"/>
  <c r="D376" i="3"/>
  <c r="E376" i="3"/>
  <c r="B377" i="3"/>
  <c r="C377" i="3"/>
  <c r="D377" i="3"/>
  <c r="E377" i="3"/>
  <c r="B378" i="3"/>
  <c r="C378" i="3"/>
  <c r="D378" i="3"/>
  <c r="E378" i="3"/>
  <c r="B379" i="3"/>
  <c r="C379" i="3"/>
  <c r="D379" i="3"/>
  <c r="E379" i="3"/>
  <c r="B380" i="3"/>
  <c r="C380" i="3"/>
  <c r="D380" i="3"/>
  <c r="E380" i="3"/>
  <c r="B381" i="3"/>
  <c r="C381" i="3"/>
  <c r="D381" i="3"/>
  <c r="E381" i="3"/>
  <c r="B382" i="3"/>
  <c r="C382" i="3"/>
  <c r="D382" i="3"/>
  <c r="E382" i="3"/>
  <c r="B383" i="3"/>
  <c r="C383" i="3"/>
  <c r="D383" i="3"/>
  <c r="E383" i="3"/>
  <c r="B384" i="3"/>
  <c r="C384" i="3"/>
  <c r="D384" i="3"/>
  <c r="E384" i="3"/>
  <c r="B385" i="3"/>
  <c r="C385" i="3"/>
  <c r="D385" i="3"/>
  <c r="E385" i="3"/>
  <c r="B386" i="3"/>
  <c r="C386" i="3"/>
  <c r="D386" i="3"/>
  <c r="E386" i="3"/>
  <c r="B387" i="3"/>
  <c r="C387" i="3"/>
  <c r="D387" i="3"/>
  <c r="E387" i="3"/>
  <c r="B388" i="3"/>
  <c r="C388" i="3"/>
  <c r="D388" i="3"/>
  <c r="E388" i="3"/>
  <c r="B389" i="3"/>
  <c r="C389" i="3"/>
  <c r="D389" i="3"/>
  <c r="E389" i="3"/>
  <c r="B390" i="3"/>
  <c r="C390" i="3"/>
  <c r="D390" i="3"/>
  <c r="E390" i="3"/>
  <c r="B391" i="3"/>
  <c r="C391" i="3"/>
  <c r="D391" i="3"/>
  <c r="E391" i="3"/>
  <c r="B392" i="3"/>
  <c r="C392" i="3"/>
  <c r="D392" i="3"/>
  <c r="E392" i="3"/>
  <c r="B393" i="3"/>
  <c r="C393" i="3"/>
  <c r="D393" i="3"/>
  <c r="E393" i="3"/>
  <c r="B394" i="3"/>
  <c r="B1063" i="3" s="1"/>
  <c r="C394" i="3"/>
  <c r="D394" i="3"/>
  <c r="E394" i="3"/>
  <c r="B395" i="3"/>
  <c r="C395" i="3"/>
  <c r="D395" i="3"/>
  <c r="E395" i="3"/>
  <c r="B396" i="3"/>
  <c r="C396" i="3"/>
  <c r="D396" i="3"/>
  <c r="E396" i="3"/>
  <c r="B397" i="3"/>
  <c r="C397" i="3"/>
  <c r="D397" i="3"/>
  <c r="E397" i="3"/>
  <c r="B398" i="3"/>
  <c r="C398" i="3"/>
  <c r="D398" i="3"/>
  <c r="E398" i="3"/>
  <c r="B399" i="3"/>
  <c r="C399" i="3"/>
  <c r="D399" i="3"/>
  <c r="E399" i="3"/>
  <c r="B400" i="3"/>
  <c r="C400" i="3"/>
  <c r="D400" i="3"/>
  <c r="E400" i="3"/>
  <c r="B401" i="3"/>
  <c r="C401" i="3"/>
  <c r="D401" i="3"/>
  <c r="E401" i="3"/>
  <c r="B402" i="3"/>
  <c r="C402" i="3"/>
  <c r="D402" i="3"/>
  <c r="E402" i="3"/>
  <c r="B403" i="3"/>
  <c r="C403" i="3"/>
  <c r="D403" i="3"/>
  <c r="E403" i="3"/>
  <c r="B404" i="3"/>
  <c r="C404" i="3"/>
  <c r="D404" i="3"/>
  <c r="E404" i="3"/>
  <c r="B405" i="3"/>
  <c r="C405" i="3"/>
  <c r="D405" i="3"/>
  <c r="E405" i="3"/>
  <c r="B406" i="3"/>
  <c r="C406" i="3"/>
  <c r="D406" i="3"/>
  <c r="E406" i="3"/>
  <c r="B407" i="3"/>
  <c r="C407" i="3"/>
  <c r="D407" i="3"/>
  <c r="E407" i="3"/>
  <c r="B408" i="3"/>
  <c r="C408" i="3"/>
  <c r="D408" i="3"/>
  <c r="E408" i="3"/>
  <c r="B409" i="3"/>
  <c r="C409" i="3"/>
  <c r="D409" i="3"/>
  <c r="E409" i="3"/>
  <c r="B410" i="3"/>
  <c r="C410" i="3"/>
  <c r="D410" i="3"/>
  <c r="E410" i="3"/>
  <c r="B411" i="3"/>
  <c r="C411" i="3"/>
  <c r="D411" i="3"/>
  <c r="E411" i="3"/>
  <c r="B412" i="3"/>
  <c r="C412" i="3"/>
  <c r="D412" i="3"/>
  <c r="E412" i="3"/>
  <c r="B413" i="3"/>
  <c r="C413" i="3"/>
  <c r="D413" i="3"/>
  <c r="E413" i="3"/>
  <c r="B414" i="3"/>
  <c r="C414" i="3"/>
  <c r="D414" i="3"/>
  <c r="E414" i="3"/>
  <c r="B415" i="3"/>
  <c r="C415" i="3"/>
  <c r="D415" i="3"/>
  <c r="E415" i="3"/>
  <c r="B416" i="3"/>
  <c r="C416" i="3"/>
  <c r="D416" i="3"/>
  <c r="E416" i="3"/>
  <c r="B417" i="3"/>
  <c r="C417" i="3"/>
  <c r="D417" i="3"/>
  <c r="E417" i="3"/>
  <c r="B418" i="3"/>
  <c r="C418" i="3"/>
  <c r="D418" i="3"/>
  <c r="E418" i="3"/>
  <c r="B419" i="3"/>
  <c r="C419" i="3"/>
  <c r="D419" i="3"/>
  <c r="E419" i="3"/>
  <c r="B420" i="3"/>
  <c r="C420" i="3"/>
  <c r="D420" i="3"/>
  <c r="E420" i="3"/>
  <c r="B421" i="3"/>
  <c r="C421" i="3"/>
  <c r="D421" i="3"/>
  <c r="E421" i="3"/>
  <c r="B422" i="3"/>
  <c r="C422" i="3"/>
  <c r="D422" i="3"/>
  <c r="E422" i="3"/>
  <c r="B423" i="3"/>
  <c r="C423" i="3"/>
  <c r="D423" i="3"/>
  <c r="E423" i="3"/>
  <c r="B424" i="3"/>
  <c r="C424" i="3"/>
  <c r="D424" i="3"/>
  <c r="E424" i="3"/>
  <c r="B425" i="3"/>
  <c r="C425" i="3"/>
  <c r="D425" i="3"/>
  <c r="E425" i="3"/>
  <c r="B426" i="3"/>
  <c r="C426" i="3"/>
  <c r="D426" i="3"/>
  <c r="E426" i="3"/>
  <c r="B427" i="3"/>
  <c r="C427" i="3"/>
  <c r="D427" i="3"/>
  <c r="E427" i="3"/>
  <c r="B428" i="3"/>
  <c r="C428" i="3"/>
  <c r="D428" i="3"/>
  <c r="E428" i="3"/>
  <c r="B429" i="3"/>
  <c r="C429" i="3"/>
  <c r="D429" i="3"/>
  <c r="E429" i="3"/>
  <c r="B430" i="3"/>
  <c r="C430" i="3"/>
  <c r="D430" i="3"/>
  <c r="E430" i="3"/>
  <c r="B431" i="3"/>
  <c r="C431" i="3"/>
  <c r="D431" i="3"/>
  <c r="E431" i="3"/>
  <c r="B432" i="3"/>
  <c r="C432" i="3"/>
  <c r="D432" i="3"/>
  <c r="E432" i="3"/>
  <c r="B433" i="3"/>
  <c r="C433" i="3"/>
  <c r="D433" i="3"/>
  <c r="E433" i="3"/>
  <c r="B434" i="3"/>
  <c r="C434" i="3"/>
  <c r="D434" i="3"/>
  <c r="E434" i="3"/>
  <c r="B435" i="3"/>
  <c r="C435" i="3"/>
  <c r="D435" i="3"/>
  <c r="E435" i="3"/>
  <c r="B436" i="3"/>
  <c r="C436" i="3"/>
  <c r="D436" i="3"/>
  <c r="E436" i="3"/>
  <c r="B437" i="3"/>
  <c r="C437" i="3"/>
  <c r="D437" i="3"/>
  <c r="E437" i="3"/>
  <c r="B438" i="3"/>
  <c r="C438" i="3"/>
  <c r="D438" i="3"/>
  <c r="E438" i="3"/>
  <c r="B439" i="3"/>
  <c r="C439" i="3"/>
  <c r="D439" i="3"/>
  <c r="E439" i="3"/>
  <c r="B440" i="3"/>
  <c r="C440" i="3"/>
  <c r="D440" i="3"/>
  <c r="E440" i="3"/>
  <c r="B441" i="3"/>
  <c r="C441" i="3"/>
  <c r="D441" i="3"/>
  <c r="E441" i="3"/>
  <c r="B442" i="3"/>
  <c r="C442" i="3"/>
  <c r="D442" i="3"/>
  <c r="E442" i="3"/>
  <c r="B443" i="3"/>
  <c r="C443" i="3"/>
  <c r="D443" i="3"/>
  <c r="E443" i="3"/>
  <c r="B444" i="3"/>
  <c r="C444" i="3"/>
  <c r="D444" i="3"/>
  <c r="E444" i="3"/>
  <c r="B445" i="3"/>
  <c r="C445" i="3"/>
  <c r="D445" i="3"/>
  <c r="E445" i="3"/>
  <c r="B446" i="3"/>
  <c r="C446" i="3"/>
  <c r="D446" i="3"/>
  <c r="E446" i="3"/>
  <c r="B447" i="3"/>
  <c r="C447" i="3"/>
  <c r="D447" i="3"/>
  <c r="E447" i="3"/>
  <c r="B448" i="3"/>
  <c r="C448" i="3"/>
  <c r="D448" i="3"/>
  <c r="E448" i="3"/>
  <c r="B449" i="3"/>
  <c r="C449" i="3"/>
  <c r="D449" i="3"/>
  <c r="E449" i="3"/>
  <c r="B450" i="3"/>
  <c r="C450" i="3"/>
  <c r="D450" i="3"/>
  <c r="E450" i="3"/>
  <c r="B451" i="3"/>
  <c r="C451" i="3"/>
  <c r="D451" i="3"/>
  <c r="E451" i="3"/>
  <c r="B452" i="3"/>
  <c r="C452" i="3"/>
  <c r="D452" i="3"/>
  <c r="E452" i="3"/>
  <c r="B453" i="3"/>
  <c r="C453" i="3"/>
  <c r="D453" i="3"/>
  <c r="E453" i="3"/>
  <c r="B454" i="3"/>
  <c r="C454" i="3"/>
  <c r="D454" i="3"/>
  <c r="E454" i="3"/>
  <c r="B455" i="3"/>
  <c r="C455" i="3"/>
  <c r="D455" i="3"/>
  <c r="E455" i="3"/>
  <c r="B456" i="3"/>
  <c r="C456" i="3"/>
  <c r="D456" i="3"/>
  <c r="E456" i="3"/>
  <c r="B457" i="3"/>
  <c r="C457" i="3"/>
  <c r="D457" i="3"/>
  <c r="E457" i="3"/>
  <c r="B458" i="3"/>
  <c r="C458" i="3"/>
  <c r="D458" i="3"/>
  <c r="E458" i="3"/>
  <c r="B459" i="3"/>
  <c r="C459" i="3"/>
  <c r="D459" i="3"/>
  <c r="E459" i="3"/>
  <c r="B460" i="3"/>
  <c r="C460" i="3"/>
  <c r="D460" i="3"/>
  <c r="E460" i="3"/>
  <c r="B461" i="3"/>
  <c r="C461" i="3"/>
  <c r="D461" i="3"/>
  <c r="E461" i="3"/>
  <c r="B462" i="3"/>
  <c r="C462" i="3"/>
  <c r="D462" i="3"/>
  <c r="E462" i="3"/>
  <c r="B463" i="3"/>
  <c r="C463" i="3"/>
  <c r="D463" i="3"/>
  <c r="E463" i="3"/>
  <c r="B464" i="3"/>
  <c r="C464" i="3"/>
  <c r="D464" i="3"/>
  <c r="E464" i="3"/>
  <c r="B465" i="3"/>
  <c r="C465" i="3"/>
  <c r="D465" i="3"/>
  <c r="E465" i="3"/>
  <c r="B466" i="3"/>
  <c r="C466" i="3"/>
  <c r="D466" i="3"/>
  <c r="D1069" i="3" s="1"/>
  <c r="E466" i="3"/>
  <c r="B467" i="3"/>
  <c r="C467" i="3"/>
  <c r="D467" i="3"/>
  <c r="E467" i="3"/>
  <c r="B468" i="3"/>
  <c r="C468" i="3"/>
  <c r="D468" i="3"/>
  <c r="E468" i="3"/>
  <c r="B469" i="3"/>
  <c r="C469" i="3"/>
  <c r="D469" i="3"/>
  <c r="E469" i="3"/>
  <c r="B470" i="3"/>
  <c r="C470" i="3"/>
  <c r="D470" i="3"/>
  <c r="E470" i="3"/>
  <c r="B471" i="3"/>
  <c r="C471" i="3"/>
  <c r="D471" i="3"/>
  <c r="E471" i="3"/>
  <c r="B472" i="3"/>
  <c r="C472" i="3"/>
  <c r="D472" i="3"/>
  <c r="E472" i="3"/>
  <c r="B473" i="3"/>
  <c r="C473" i="3"/>
  <c r="D473" i="3"/>
  <c r="E473" i="3"/>
  <c r="B474" i="3"/>
  <c r="C474" i="3"/>
  <c r="D474" i="3"/>
  <c r="E474" i="3"/>
  <c r="B475" i="3"/>
  <c r="C475" i="3"/>
  <c r="D475" i="3"/>
  <c r="E475" i="3"/>
  <c r="B476" i="3"/>
  <c r="C476" i="3"/>
  <c r="D476" i="3"/>
  <c r="E476" i="3"/>
  <c r="B477" i="3"/>
  <c r="C477" i="3"/>
  <c r="D477" i="3"/>
  <c r="E477" i="3"/>
  <c r="B478" i="3"/>
  <c r="C478" i="3"/>
  <c r="D478" i="3"/>
  <c r="E478" i="3"/>
  <c r="B479" i="3"/>
  <c r="C479" i="3"/>
  <c r="D479" i="3"/>
  <c r="E479" i="3"/>
  <c r="B480" i="3"/>
  <c r="C480" i="3"/>
  <c r="D480" i="3"/>
  <c r="E480" i="3"/>
  <c r="B481" i="3"/>
  <c r="C481" i="3"/>
  <c r="D481" i="3"/>
  <c r="E481" i="3"/>
  <c r="B482" i="3"/>
  <c r="C482" i="3"/>
  <c r="D482" i="3"/>
  <c r="E482" i="3"/>
  <c r="B483" i="3"/>
  <c r="C483" i="3"/>
  <c r="D483" i="3"/>
  <c r="E483" i="3"/>
  <c r="B484" i="3"/>
  <c r="C484" i="3"/>
  <c r="D484" i="3"/>
  <c r="E484" i="3"/>
  <c r="B485" i="3"/>
  <c r="C485" i="3"/>
  <c r="D485" i="3"/>
  <c r="E485" i="3"/>
  <c r="B486" i="3"/>
  <c r="C486" i="3"/>
  <c r="D486" i="3"/>
  <c r="E486" i="3"/>
  <c r="B487" i="3"/>
  <c r="C487" i="3"/>
  <c r="D487" i="3"/>
  <c r="E487" i="3"/>
  <c r="B488" i="3"/>
  <c r="C488" i="3"/>
  <c r="D488" i="3"/>
  <c r="E488" i="3"/>
  <c r="B489" i="3"/>
  <c r="C489" i="3"/>
  <c r="D489" i="3"/>
  <c r="E489" i="3"/>
  <c r="B490" i="3"/>
  <c r="C490" i="3"/>
  <c r="D490" i="3"/>
  <c r="E490" i="3"/>
  <c r="B491" i="3"/>
  <c r="C491" i="3"/>
  <c r="D491" i="3"/>
  <c r="E491" i="3"/>
  <c r="B492" i="3"/>
  <c r="C492" i="3"/>
  <c r="D492" i="3"/>
  <c r="E492" i="3"/>
  <c r="B493" i="3"/>
  <c r="C493" i="3"/>
  <c r="D493" i="3"/>
  <c r="E493" i="3"/>
  <c r="B494" i="3"/>
  <c r="C494" i="3"/>
  <c r="D494" i="3"/>
  <c r="E494" i="3"/>
  <c r="B495" i="3"/>
  <c r="C495" i="3"/>
  <c r="D495" i="3"/>
  <c r="E495" i="3"/>
  <c r="B496" i="3"/>
  <c r="C496" i="3"/>
  <c r="D496" i="3"/>
  <c r="E496" i="3"/>
  <c r="B497" i="3"/>
  <c r="C497" i="3"/>
  <c r="D497" i="3"/>
  <c r="E497" i="3"/>
  <c r="B498" i="3"/>
  <c r="C498" i="3"/>
  <c r="D498" i="3"/>
  <c r="E498" i="3"/>
  <c r="B499" i="3"/>
  <c r="C499" i="3"/>
  <c r="D499" i="3"/>
  <c r="E499" i="3"/>
  <c r="B500" i="3"/>
  <c r="C500" i="3"/>
  <c r="D500" i="3"/>
  <c r="E500" i="3"/>
  <c r="B501" i="3"/>
  <c r="C501" i="3"/>
  <c r="D501" i="3"/>
  <c r="E501" i="3"/>
  <c r="B502" i="3"/>
  <c r="C502" i="3"/>
  <c r="D502" i="3"/>
  <c r="E502" i="3"/>
  <c r="B503" i="3"/>
  <c r="C503" i="3"/>
  <c r="D503" i="3"/>
  <c r="E503" i="3"/>
  <c r="B504" i="3"/>
  <c r="C504" i="3"/>
  <c r="D504" i="3"/>
  <c r="E504" i="3"/>
  <c r="B505" i="3"/>
  <c r="C505" i="3"/>
  <c r="D505" i="3"/>
  <c r="E505" i="3"/>
  <c r="B506" i="3"/>
  <c r="C506" i="3"/>
  <c r="D506" i="3"/>
  <c r="E506" i="3"/>
  <c r="B507" i="3"/>
  <c r="C507" i="3"/>
  <c r="D507" i="3"/>
  <c r="E507" i="3"/>
  <c r="B508" i="3"/>
  <c r="C508" i="3"/>
  <c r="D508" i="3"/>
  <c r="E508" i="3"/>
  <c r="B509" i="3"/>
  <c r="C509" i="3"/>
  <c r="D509" i="3"/>
  <c r="E509" i="3"/>
  <c r="B510" i="3"/>
  <c r="C510" i="3"/>
  <c r="D510" i="3"/>
  <c r="E510" i="3"/>
  <c r="B511" i="3"/>
  <c r="C511" i="3"/>
  <c r="D511" i="3"/>
  <c r="E511" i="3"/>
  <c r="B512" i="3"/>
  <c r="C512" i="3"/>
  <c r="D512" i="3"/>
  <c r="E512" i="3"/>
  <c r="B513" i="3"/>
  <c r="C513" i="3"/>
  <c r="D513" i="3"/>
  <c r="E513" i="3"/>
  <c r="B514" i="3"/>
  <c r="C514" i="3"/>
  <c r="D514" i="3"/>
  <c r="E514" i="3"/>
  <c r="B515" i="3"/>
  <c r="C515" i="3"/>
  <c r="D515" i="3"/>
  <c r="E515" i="3"/>
  <c r="B516" i="3"/>
  <c r="C516" i="3"/>
  <c r="D516" i="3"/>
  <c r="E516" i="3"/>
  <c r="B517" i="3"/>
  <c r="C517" i="3"/>
  <c r="D517" i="3"/>
  <c r="E517" i="3"/>
  <c r="B518" i="3"/>
  <c r="C518" i="3"/>
  <c r="D518" i="3"/>
  <c r="E518" i="3"/>
  <c r="B519" i="3"/>
  <c r="C519" i="3"/>
  <c r="D519" i="3"/>
  <c r="E519" i="3"/>
  <c r="B520" i="3"/>
  <c r="C520" i="3"/>
  <c r="D520" i="3"/>
  <c r="E520" i="3"/>
  <c r="B521" i="3"/>
  <c r="C521" i="3"/>
  <c r="D521" i="3"/>
  <c r="E521" i="3"/>
  <c r="B522" i="3"/>
  <c r="C522" i="3"/>
  <c r="D522" i="3"/>
  <c r="E522" i="3"/>
  <c r="B523" i="3"/>
  <c r="C523" i="3"/>
  <c r="D523" i="3"/>
  <c r="E523" i="3"/>
  <c r="B524" i="3"/>
  <c r="C524" i="3"/>
  <c r="D524" i="3"/>
  <c r="E524" i="3"/>
  <c r="B525" i="3"/>
  <c r="C525" i="3"/>
  <c r="D525" i="3"/>
  <c r="E525" i="3"/>
  <c r="B526" i="3"/>
  <c r="B1074" i="3" s="1"/>
  <c r="C526" i="3"/>
  <c r="D526" i="3"/>
  <c r="E526" i="3"/>
  <c r="B527" i="3"/>
  <c r="C527" i="3"/>
  <c r="D527" i="3"/>
  <c r="E527" i="3"/>
  <c r="B528" i="3"/>
  <c r="C528" i="3"/>
  <c r="D528" i="3"/>
  <c r="E528" i="3"/>
  <c r="B529" i="3"/>
  <c r="C529" i="3"/>
  <c r="D529" i="3"/>
  <c r="E529" i="3"/>
  <c r="B530" i="3"/>
  <c r="C530" i="3"/>
  <c r="D530" i="3"/>
  <c r="E530" i="3"/>
  <c r="B531" i="3"/>
  <c r="C531" i="3"/>
  <c r="D531" i="3"/>
  <c r="E531" i="3"/>
  <c r="B532" i="3"/>
  <c r="C532" i="3"/>
  <c r="D532" i="3"/>
  <c r="E532" i="3"/>
  <c r="B533" i="3"/>
  <c r="C533" i="3"/>
  <c r="D533" i="3"/>
  <c r="E533" i="3"/>
  <c r="B534" i="3"/>
  <c r="C534" i="3"/>
  <c r="D534" i="3"/>
  <c r="E534" i="3"/>
  <c r="B535" i="3"/>
  <c r="C535" i="3"/>
  <c r="D535" i="3"/>
  <c r="E535" i="3"/>
  <c r="B536" i="3"/>
  <c r="C536" i="3"/>
  <c r="D536" i="3"/>
  <c r="E536" i="3"/>
  <c r="B537" i="3"/>
  <c r="C537" i="3"/>
  <c r="D537" i="3"/>
  <c r="E537" i="3"/>
  <c r="B538" i="3"/>
  <c r="C538" i="3"/>
  <c r="D538" i="3"/>
  <c r="E538" i="3"/>
  <c r="B539" i="3"/>
  <c r="C539" i="3"/>
  <c r="D539" i="3"/>
  <c r="E539" i="3"/>
  <c r="B540" i="3"/>
  <c r="C540" i="3"/>
  <c r="D540" i="3"/>
  <c r="E540" i="3"/>
  <c r="B541" i="3"/>
  <c r="C541" i="3"/>
  <c r="D541" i="3"/>
  <c r="E541" i="3"/>
  <c r="B542" i="3"/>
  <c r="C542" i="3"/>
  <c r="D542" i="3"/>
  <c r="E542" i="3"/>
  <c r="B543" i="3"/>
  <c r="C543" i="3"/>
  <c r="D543" i="3"/>
  <c r="E543" i="3"/>
  <c r="B544" i="3"/>
  <c r="C544" i="3"/>
  <c r="D544" i="3"/>
  <c r="E544" i="3"/>
  <c r="B545" i="3"/>
  <c r="C545" i="3"/>
  <c r="D545" i="3"/>
  <c r="E545" i="3"/>
  <c r="B546" i="3"/>
  <c r="C546" i="3"/>
  <c r="D546" i="3"/>
  <c r="E546" i="3"/>
  <c r="B547" i="3"/>
  <c r="C547" i="3"/>
  <c r="D547" i="3"/>
  <c r="E547" i="3"/>
  <c r="B548" i="3"/>
  <c r="C548" i="3"/>
  <c r="D548" i="3"/>
  <c r="E548" i="3"/>
  <c r="B549" i="3"/>
  <c r="C549" i="3"/>
  <c r="D549" i="3"/>
  <c r="E549" i="3"/>
  <c r="B550" i="3"/>
  <c r="C550" i="3"/>
  <c r="D550" i="3"/>
  <c r="E550" i="3"/>
  <c r="B551" i="3"/>
  <c r="C551" i="3"/>
  <c r="D551" i="3"/>
  <c r="E551" i="3"/>
  <c r="B552" i="3"/>
  <c r="C552" i="3"/>
  <c r="D552" i="3"/>
  <c r="E552" i="3"/>
  <c r="B553" i="3"/>
  <c r="C553" i="3"/>
  <c r="D553" i="3"/>
  <c r="E553" i="3"/>
  <c r="B554" i="3"/>
  <c r="C554" i="3"/>
  <c r="D554" i="3"/>
  <c r="E554" i="3"/>
  <c r="B555" i="3"/>
  <c r="C555" i="3"/>
  <c r="D555" i="3"/>
  <c r="E555" i="3"/>
  <c r="B556" i="3"/>
  <c r="C556" i="3"/>
  <c r="D556" i="3"/>
  <c r="E556" i="3"/>
  <c r="B557" i="3"/>
  <c r="C557" i="3"/>
  <c r="D557" i="3"/>
  <c r="E557" i="3"/>
  <c r="B558" i="3"/>
  <c r="C558" i="3"/>
  <c r="D558" i="3"/>
  <c r="E558" i="3"/>
  <c r="B559" i="3"/>
  <c r="C559" i="3"/>
  <c r="D559" i="3"/>
  <c r="E559" i="3"/>
  <c r="B560" i="3"/>
  <c r="C560" i="3"/>
  <c r="D560" i="3"/>
  <c r="E560" i="3"/>
  <c r="B561" i="3"/>
  <c r="C561" i="3"/>
  <c r="D561" i="3"/>
  <c r="E561" i="3"/>
  <c r="B562" i="3"/>
  <c r="C562" i="3"/>
  <c r="D562" i="3"/>
  <c r="E562" i="3"/>
  <c r="B563" i="3"/>
  <c r="C563" i="3"/>
  <c r="D563" i="3"/>
  <c r="E563" i="3"/>
  <c r="B564" i="3"/>
  <c r="C564" i="3"/>
  <c r="D564" i="3"/>
  <c r="E564" i="3"/>
  <c r="B565" i="3"/>
  <c r="C565" i="3"/>
  <c r="D565" i="3"/>
  <c r="E565" i="3"/>
  <c r="B566" i="3"/>
  <c r="C566" i="3"/>
  <c r="D566" i="3"/>
  <c r="E566" i="3"/>
  <c r="B567" i="3"/>
  <c r="C567" i="3"/>
  <c r="D567" i="3"/>
  <c r="E567" i="3"/>
  <c r="B568" i="3"/>
  <c r="C568" i="3"/>
  <c r="D568" i="3"/>
  <c r="E568" i="3"/>
  <c r="B569" i="3"/>
  <c r="C569" i="3"/>
  <c r="D569" i="3"/>
  <c r="E569" i="3"/>
  <c r="B570" i="3"/>
  <c r="C570" i="3"/>
  <c r="D570" i="3"/>
  <c r="E570" i="3"/>
  <c r="B571" i="3"/>
  <c r="C571" i="3"/>
  <c r="D571" i="3"/>
  <c r="E571" i="3"/>
  <c r="B572" i="3"/>
  <c r="C572" i="3"/>
  <c r="D572" i="3"/>
  <c r="E572" i="3"/>
  <c r="B573" i="3"/>
  <c r="C573" i="3"/>
  <c r="D573" i="3"/>
  <c r="E573" i="3"/>
  <c r="B574" i="3"/>
  <c r="C574" i="3"/>
  <c r="D574" i="3"/>
  <c r="E574" i="3"/>
  <c r="B575" i="3"/>
  <c r="C575" i="3"/>
  <c r="D575" i="3"/>
  <c r="E575" i="3"/>
  <c r="B576" i="3"/>
  <c r="C576" i="3"/>
  <c r="D576" i="3"/>
  <c r="E576" i="3"/>
  <c r="B577" i="3"/>
  <c r="C577" i="3"/>
  <c r="D577" i="3"/>
  <c r="E577" i="3"/>
  <c r="B578" i="3"/>
  <c r="C578" i="3"/>
  <c r="D578" i="3"/>
  <c r="E578" i="3"/>
  <c r="B579" i="3"/>
  <c r="C579" i="3"/>
  <c r="D579" i="3"/>
  <c r="E579" i="3"/>
  <c r="B580" i="3"/>
  <c r="C580" i="3"/>
  <c r="D580" i="3"/>
  <c r="E580" i="3"/>
  <c r="B581" i="3"/>
  <c r="C581" i="3"/>
  <c r="D581" i="3"/>
  <c r="E581" i="3"/>
  <c r="B582" i="3"/>
  <c r="C582" i="3"/>
  <c r="D582" i="3"/>
  <c r="E582" i="3"/>
  <c r="B583" i="3"/>
  <c r="C583" i="3"/>
  <c r="D583" i="3"/>
  <c r="E583" i="3"/>
  <c r="B584" i="3"/>
  <c r="C584" i="3"/>
  <c r="D584" i="3"/>
  <c r="E584" i="3"/>
  <c r="B585" i="3"/>
  <c r="C585" i="3"/>
  <c r="D585" i="3"/>
  <c r="E585" i="3"/>
  <c r="B586" i="3"/>
  <c r="C586" i="3"/>
  <c r="D586" i="3"/>
  <c r="E586" i="3"/>
  <c r="B587" i="3"/>
  <c r="C587" i="3"/>
  <c r="D587" i="3"/>
  <c r="E587" i="3"/>
  <c r="B588" i="3"/>
  <c r="C588" i="3"/>
  <c r="D588" i="3"/>
  <c r="E588" i="3"/>
  <c r="B589" i="3"/>
  <c r="C589" i="3"/>
  <c r="D589" i="3"/>
  <c r="E589" i="3"/>
  <c r="B590" i="3"/>
  <c r="C590" i="3"/>
  <c r="D590" i="3"/>
  <c r="E590" i="3"/>
  <c r="B591" i="3"/>
  <c r="C591" i="3"/>
  <c r="D591" i="3"/>
  <c r="E591" i="3"/>
  <c r="B592" i="3"/>
  <c r="C592" i="3"/>
  <c r="D592" i="3"/>
  <c r="E592" i="3"/>
  <c r="B593" i="3"/>
  <c r="C593" i="3"/>
  <c r="D593" i="3"/>
  <c r="E593" i="3"/>
  <c r="B594" i="3"/>
  <c r="C594" i="3"/>
  <c r="D594" i="3"/>
  <c r="E594" i="3"/>
  <c r="B595" i="3"/>
  <c r="C595" i="3"/>
  <c r="D595" i="3"/>
  <c r="E595" i="3"/>
  <c r="B596" i="3"/>
  <c r="C596" i="3"/>
  <c r="D596" i="3"/>
  <c r="E596" i="3"/>
  <c r="B597" i="3"/>
  <c r="C597" i="3"/>
  <c r="D597" i="3"/>
  <c r="E597" i="3"/>
  <c r="B598" i="3"/>
  <c r="C598" i="3"/>
  <c r="D598" i="3"/>
  <c r="E598" i="3"/>
  <c r="B599" i="3"/>
  <c r="C599" i="3"/>
  <c r="D599" i="3"/>
  <c r="E599" i="3"/>
  <c r="B600" i="3"/>
  <c r="C600" i="3"/>
  <c r="D600" i="3"/>
  <c r="E600" i="3"/>
  <c r="B601" i="3"/>
  <c r="C601" i="3"/>
  <c r="D601" i="3"/>
  <c r="E601" i="3"/>
  <c r="B602" i="3"/>
  <c r="C602" i="3"/>
  <c r="D602" i="3"/>
  <c r="E602" i="3"/>
  <c r="B603" i="3"/>
  <c r="C603" i="3"/>
  <c r="D603" i="3"/>
  <c r="E603" i="3"/>
  <c r="B604" i="3"/>
  <c r="C604" i="3"/>
  <c r="D604" i="3"/>
  <c r="E604" i="3"/>
  <c r="B605" i="3"/>
  <c r="C605" i="3"/>
  <c r="D605" i="3"/>
  <c r="E605" i="3"/>
  <c r="B606" i="3"/>
  <c r="C606" i="3"/>
  <c r="D606" i="3"/>
  <c r="E606" i="3"/>
  <c r="B607" i="3"/>
  <c r="C607" i="3"/>
  <c r="D607" i="3"/>
  <c r="E607" i="3"/>
  <c r="B608" i="3"/>
  <c r="C608" i="3"/>
  <c r="D608" i="3"/>
  <c r="E608" i="3"/>
  <c r="B609" i="3"/>
  <c r="C609" i="3"/>
  <c r="D609" i="3"/>
  <c r="E609" i="3"/>
  <c r="B610" i="3"/>
  <c r="C610" i="3"/>
  <c r="D610" i="3"/>
  <c r="E610" i="3"/>
  <c r="B611" i="3"/>
  <c r="C611" i="3"/>
  <c r="D611" i="3"/>
  <c r="E611" i="3"/>
  <c r="B612" i="3"/>
  <c r="C612" i="3"/>
  <c r="D612" i="3"/>
  <c r="E612" i="3"/>
  <c r="B613" i="3"/>
  <c r="C613" i="3"/>
  <c r="D613" i="3"/>
  <c r="E613" i="3"/>
  <c r="B614" i="3"/>
  <c r="C614" i="3"/>
  <c r="D614" i="3"/>
  <c r="E614" i="3"/>
  <c r="B615" i="3"/>
  <c r="C615" i="3"/>
  <c r="D615" i="3"/>
  <c r="E615" i="3"/>
  <c r="B616" i="3"/>
  <c r="C616" i="3"/>
  <c r="D616" i="3"/>
  <c r="E616" i="3"/>
  <c r="B617" i="3"/>
  <c r="C617" i="3"/>
  <c r="D617" i="3"/>
  <c r="E617" i="3"/>
  <c r="B618" i="3"/>
  <c r="C618" i="3"/>
  <c r="D618" i="3"/>
  <c r="E618" i="3"/>
  <c r="B619" i="3"/>
  <c r="C619" i="3"/>
  <c r="D619" i="3"/>
  <c r="E619" i="3"/>
  <c r="B620" i="3"/>
  <c r="C620" i="3"/>
  <c r="D620" i="3"/>
  <c r="E620" i="3"/>
  <c r="B621" i="3"/>
  <c r="C621" i="3"/>
  <c r="D621" i="3"/>
  <c r="E621" i="3"/>
  <c r="B622" i="3"/>
  <c r="C622" i="3"/>
  <c r="D622" i="3"/>
  <c r="E622" i="3"/>
  <c r="B623" i="3"/>
  <c r="C623" i="3"/>
  <c r="D623" i="3"/>
  <c r="E623" i="3"/>
  <c r="B624" i="3"/>
  <c r="C624" i="3"/>
  <c r="D624" i="3"/>
  <c r="E624" i="3"/>
  <c r="B625" i="3"/>
  <c r="C625" i="3"/>
  <c r="D625" i="3"/>
  <c r="E625" i="3"/>
  <c r="B626" i="3"/>
  <c r="C626" i="3"/>
  <c r="D626" i="3"/>
  <c r="E626" i="3"/>
  <c r="B627" i="3"/>
  <c r="C627" i="3"/>
  <c r="D627" i="3"/>
  <c r="E627" i="3"/>
  <c r="B628" i="3"/>
  <c r="C628" i="3"/>
  <c r="D628" i="3"/>
  <c r="E628" i="3"/>
  <c r="B629" i="3"/>
  <c r="C629" i="3"/>
  <c r="D629" i="3"/>
  <c r="E629" i="3"/>
  <c r="B630" i="3"/>
  <c r="C630" i="3"/>
  <c r="D630" i="3"/>
  <c r="E630" i="3"/>
  <c r="B631" i="3"/>
  <c r="C631" i="3"/>
  <c r="D631" i="3"/>
  <c r="E631" i="3"/>
  <c r="B632" i="3"/>
  <c r="C632" i="3"/>
  <c r="D632" i="3"/>
  <c r="E632" i="3"/>
  <c r="B633" i="3"/>
  <c r="C633" i="3"/>
  <c r="D633" i="3"/>
  <c r="E633" i="3"/>
  <c r="B634" i="3"/>
  <c r="C634" i="3"/>
  <c r="D634" i="3"/>
  <c r="E634" i="3"/>
  <c r="B635" i="3"/>
  <c r="C635" i="3"/>
  <c r="D635" i="3"/>
  <c r="E635" i="3"/>
  <c r="B636" i="3"/>
  <c r="C636" i="3"/>
  <c r="D636" i="3"/>
  <c r="E636" i="3"/>
  <c r="B637" i="3"/>
  <c r="C637" i="3"/>
  <c r="D637" i="3"/>
  <c r="E637" i="3"/>
  <c r="B638" i="3"/>
  <c r="C638" i="3"/>
  <c r="D638" i="3"/>
  <c r="E638" i="3"/>
  <c r="B639" i="3"/>
  <c r="C639" i="3"/>
  <c r="D639" i="3"/>
  <c r="E639" i="3"/>
  <c r="B640" i="3"/>
  <c r="C640" i="3"/>
  <c r="D640" i="3"/>
  <c r="E640" i="3"/>
  <c r="B641" i="3"/>
  <c r="C641" i="3"/>
  <c r="D641" i="3"/>
  <c r="E641" i="3"/>
  <c r="B642" i="3"/>
  <c r="C642" i="3"/>
  <c r="D642" i="3"/>
  <c r="E642" i="3"/>
  <c r="B643" i="3"/>
  <c r="C643" i="3"/>
  <c r="D643" i="3"/>
  <c r="E643" i="3"/>
  <c r="B644" i="3"/>
  <c r="C644" i="3"/>
  <c r="D644" i="3"/>
  <c r="E644" i="3"/>
  <c r="B645" i="3"/>
  <c r="C645" i="3"/>
  <c r="D645" i="3"/>
  <c r="E645" i="3"/>
  <c r="B646" i="3"/>
  <c r="C646" i="3"/>
  <c r="D646" i="3"/>
  <c r="E646" i="3"/>
  <c r="B647" i="3"/>
  <c r="C647" i="3"/>
  <c r="D647" i="3"/>
  <c r="E647" i="3"/>
  <c r="B648" i="3"/>
  <c r="C648" i="3"/>
  <c r="D648" i="3"/>
  <c r="E648" i="3"/>
  <c r="B649" i="3"/>
  <c r="C649" i="3"/>
  <c r="D649" i="3"/>
  <c r="E649" i="3"/>
  <c r="B650" i="3"/>
  <c r="C650" i="3"/>
  <c r="D650" i="3"/>
  <c r="E650" i="3"/>
  <c r="B651" i="3"/>
  <c r="C651" i="3"/>
  <c r="D651" i="3"/>
  <c r="E651" i="3"/>
  <c r="B652" i="3"/>
  <c r="C652" i="3"/>
  <c r="D652" i="3"/>
  <c r="E652" i="3"/>
  <c r="B653" i="3"/>
  <c r="C653" i="3"/>
  <c r="D653" i="3"/>
  <c r="E653" i="3"/>
  <c r="B654" i="3"/>
  <c r="C654" i="3"/>
  <c r="D654" i="3"/>
  <c r="E654" i="3"/>
  <c r="B655" i="3"/>
  <c r="C655" i="3"/>
  <c r="D655" i="3"/>
  <c r="E655" i="3"/>
  <c r="B656" i="3"/>
  <c r="C656" i="3"/>
  <c r="D656" i="3"/>
  <c r="E656" i="3"/>
  <c r="B657" i="3"/>
  <c r="C657" i="3"/>
  <c r="D657" i="3"/>
  <c r="E657" i="3"/>
  <c r="B658" i="3"/>
  <c r="C658" i="3"/>
  <c r="D658" i="3"/>
  <c r="E658" i="3"/>
  <c r="B659" i="3"/>
  <c r="C659" i="3"/>
  <c r="D659" i="3"/>
  <c r="E659" i="3"/>
  <c r="B660" i="3"/>
  <c r="C660" i="3"/>
  <c r="D660" i="3"/>
  <c r="E660" i="3"/>
  <c r="B661" i="3"/>
  <c r="C661" i="3"/>
  <c r="D661" i="3"/>
  <c r="E661" i="3"/>
  <c r="B662" i="3"/>
  <c r="C662" i="3"/>
  <c r="D662" i="3"/>
  <c r="E662" i="3"/>
  <c r="B663" i="3"/>
  <c r="C663" i="3"/>
  <c r="D663" i="3"/>
  <c r="E663" i="3"/>
  <c r="B664" i="3"/>
  <c r="C664" i="3"/>
  <c r="D664" i="3"/>
  <c r="E664" i="3"/>
  <c r="B665" i="3"/>
  <c r="C665" i="3"/>
  <c r="D665" i="3"/>
  <c r="E665" i="3"/>
  <c r="B666" i="3"/>
  <c r="C666" i="3"/>
  <c r="D666" i="3"/>
  <c r="E666" i="3"/>
  <c r="B667" i="3"/>
  <c r="C667" i="3"/>
  <c r="D667" i="3"/>
  <c r="E667" i="3"/>
  <c r="B668" i="3"/>
  <c r="C668" i="3"/>
  <c r="D668" i="3"/>
  <c r="E668" i="3"/>
  <c r="B669" i="3"/>
  <c r="C669" i="3"/>
  <c r="D669" i="3"/>
  <c r="E669" i="3"/>
  <c r="B670" i="3"/>
  <c r="C670" i="3"/>
  <c r="D670" i="3"/>
  <c r="E670" i="3"/>
  <c r="B671" i="3"/>
  <c r="C671" i="3"/>
  <c r="D671" i="3"/>
  <c r="E671" i="3"/>
  <c r="B672" i="3"/>
  <c r="C672" i="3"/>
  <c r="D672" i="3"/>
  <c r="E672" i="3"/>
  <c r="B673" i="3"/>
  <c r="C673" i="3"/>
  <c r="D673" i="3"/>
  <c r="E673" i="3"/>
  <c r="B674" i="3"/>
  <c r="C674" i="3"/>
  <c r="D674" i="3"/>
  <c r="E674" i="3"/>
  <c r="B675" i="3"/>
  <c r="C675" i="3"/>
  <c r="D675" i="3"/>
  <c r="E675" i="3"/>
  <c r="B676" i="3"/>
  <c r="C676" i="3"/>
  <c r="D676" i="3"/>
  <c r="E676" i="3"/>
  <c r="B677" i="3"/>
  <c r="C677" i="3"/>
  <c r="D677" i="3"/>
  <c r="E677" i="3"/>
  <c r="B678" i="3"/>
  <c r="C678" i="3"/>
  <c r="D678" i="3"/>
  <c r="E678" i="3"/>
  <c r="B679" i="3"/>
  <c r="C679" i="3"/>
  <c r="D679" i="3"/>
  <c r="E679" i="3"/>
  <c r="B680" i="3"/>
  <c r="C680" i="3"/>
  <c r="D680" i="3"/>
  <c r="E680" i="3"/>
  <c r="B681" i="3"/>
  <c r="C681" i="3"/>
  <c r="D681" i="3"/>
  <c r="E681" i="3"/>
  <c r="B682" i="3"/>
  <c r="C682" i="3"/>
  <c r="D682" i="3"/>
  <c r="E682" i="3"/>
  <c r="B683" i="3"/>
  <c r="C683" i="3"/>
  <c r="D683" i="3"/>
  <c r="E683" i="3"/>
  <c r="B684" i="3"/>
  <c r="C684" i="3"/>
  <c r="D684" i="3"/>
  <c r="E684" i="3"/>
  <c r="B685" i="3"/>
  <c r="C685" i="3"/>
  <c r="D685" i="3"/>
  <c r="E685" i="3"/>
  <c r="B686" i="3"/>
  <c r="C686" i="3"/>
  <c r="D686" i="3"/>
  <c r="E686" i="3"/>
  <c r="B687" i="3"/>
  <c r="C687" i="3"/>
  <c r="D687" i="3"/>
  <c r="E687" i="3"/>
  <c r="B688" i="3"/>
  <c r="C688" i="3"/>
  <c r="D688" i="3"/>
  <c r="E688" i="3"/>
  <c r="B689" i="3"/>
  <c r="C689" i="3"/>
  <c r="D689" i="3"/>
  <c r="E689" i="3"/>
  <c r="B690" i="3"/>
  <c r="C690" i="3"/>
  <c r="D690" i="3"/>
  <c r="E690" i="3"/>
  <c r="B691" i="3"/>
  <c r="C691" i="3"/>
  <c r="D691" i="3"/>
  <c r="E691" i="3"/>
  <c r="B692" i="3"/>
  <c r="C692" i="3"/>
  <c r="D692" i="3"/>
  <c r="E692" i="3"/>
  <c r="B693" i="3"/>
  <c r="C693" i="3"/>
  <c r="D693" i="3"/>
  <c r="E693" i="3"/>
  <c r="B694" i="3"/>
  <c r="C694" i="3"/>
  <c r="D694" i="3"/>
  <c r="E694" i="3"/>
  <c r="B695" i="3"/>
  <c r="C695" i="3"/>
  <c r="D695" i="3"/>
  <c r="E695" i="3"/>
  <c r="B696" i="3"/>
  <c r="C696" i="3"/>
  <c r="D696" i="3"/>
  <c r="E696" i="3"/>
  <c r="B697" i="3"/>
  <c r="C697" i="3"/>
  <c r="D697" i="3"/>
  <c r="E697" i="3"/>
  <c r="B698" i="3"/>
  <c r="C698" i="3"/>
  <c r="D698" i="3"/>
  <c r="E698" i="3"/>
  <c r="B699" i="3"/>
  <c r="C699" i="3"/>
  <c r="D699" i="3"/>
  <c r="E699" i="3"/>
  <c r="B700" i="3"/>
  <c r="C700" i="3"/>
  <c r="D700" i="3"/>
  <c r="E700" i="3"/>
  <c r="B701" i="3"/>
  <c r="C701" i="3"/>
  <c r="D701" i="3"/>
  <c r="E701" i="3"/>
  <c r="B702" i="3"/>
  <c r="C702" i="3"/>
  <c r="D702" i="3"/>
  <c r="E702" i="3"/>
  <c r="B703" i="3"/>
  <c r="C703" i="3"/>
  <c r="D703" i="3"/>
  <c r="E703" i="3"/>
  <c r="B704" i="3"/>
  <c r="C704" i="3"/>
  <c r="D704" i="3"/>
  <c r="E704" i="3"/>
  <c r="B705" i="3"/>
  <c r="C705" i="3"/>
  <c r="D705" i="3"/>
  <c r="E705" i="3"/>
  <c r="B706" i="3"/>
  <c r="C706" i="3"/>
  <c r="D706" i="3"/>
  <c r="E706" i="3"/>
  <c r="B707" i="3"/>
  <c r="C707" i="3"/>
  <c r="D707" i="3"/>
  <c r="E707" i="3"/>
  <c r="B708" i="3"/>
  <c r="C708" i="3"/>
  <c r="D708" i="3"/>
  <c r="E708" i="3"/>
  <c r="B709" i="3"/>
  <c r="C709" i="3"/>
  <c r="D709" i="3"/>
  <c r="E709" i="3"/>
  <c r="B710" i="3"/>
  <c r="C710" i="3"/>
  <c r="D710" i="3"/>
  <c r="E710" i="3"/>
  <c r="B711" i="3"/>
  <c r="C711" i="3"/>
  <c r="D711" i="3"/>
  <c r="E711" i="3"/>
  <c r="B712" i="3"/>
  <c r="C712" i="3"/>
  <c r="D712" i="3"/>
  <c r="E712" i="3"/>
  <c r="B713" i="3"/>
  <c r="C713" i="3"/>
  <c r="D713" i="3"/>
  <c r="E713" i="3"/>
  <c r="B714" i="3"/>
  <c r="C714" i="3"/>
  <c r="D714" i="3"/>
  <c r="E714" i="3"/>
  <c r="B715" i="3"/>
  <c r="C715" i="3"/>
  <c r="D715" i="3"/>
  <c r="E715" i="3"/>
  <c r="B716" i="3"/>
  <c r="C716" i="3"/>
  <c r="D716" i="3"/>
  <c r="E716" i="3"/>
  <c r="B717" i="3"/>
  <c r="C717" i="3"/>
  <c r="D717" i="3"/>
  <c r="E717" i="3"/>
  <c r="B718" i="3"/>
  <c r="C718" i="3"/>
  <c r="D718" i="3"/>
  <c r="E718" i="3"/>
  <c r="B719" i="3"/>
  <c r="C719" i="3"/>
  <c r="D719" i="3"/>
  <c r="E719" i="3"/>
  <c r="B720" i="3"/>
  <c r="C720" i="3"/>
  <c r="D720" i="3"/>
  <c r="E720" i="3"/>
  <c r="B721" i="3"/>
  <c r="C721" i="3"/>
  <c r="D721" i="3"/>
  <c r="E721" i="3"/>
  <c r="B722" i="3"/>
  <c r="C722" i="3"/>
  <c r="D722" i="3"/>
  <c r="E722" i="3"/>
  <c r="B723" i="3"/>
  <c r="C723" i="3"/>
  <c r="D723" i="3"/>
  <c r="E723" i="3"/>
  <c r="B724" i="3"/>
  <c r="C724" i="3"/>
  <c r="D724" i="3"/>
  <c r="E724" i="3"/>
  <c r="B725" i="3"/>
  <c r="C725" i="3"/>
  <c r="D725" i="3"/>
  <c r="E725" i="3"/>
  <c r="B726" i="3"/>
  <c r="C726" i="3"/>
  <c r="D726" i="3"/>
  <c r="E726" i="3"/>
  <c r="B727" i="3"/>
  <c r="C727" i="3"/>
  <c r="D727" i="3"/>
  <c r="E727" i="3"/>
  <c r="B728" i="3"/>
  <c r="C728" i="3"/>
  <c r="D728" i="3"/>
  <c r="E728" i="3"/>
  <c r="B729" i="3"/>
  <c r="C729" i="3"/>
  <c r="D729" i="3"/>
  <c r="E729" i="3"/>
  <c r="B730" i="3"/>
  <c r="C730" i="3"/>
  <c r="D730" i="3"/>
  <c r="E730" i="3"/>
  <c r="B731" i="3"/>
  <c r="C731" i="3"/>
  <c r="D731" i="3"/>
  <c r="E731" i="3"/>
  <c r="B732" i="3"/>
  <c r="C732" i="3"/>
  <c r="D732" i="3"/>
  <c r="E732" i="3"/>
  <c r="B733" i="3"/>
  <c r="C733" i="3"/>
  <c r="D733" i="3"/>
  <c r="E733" i="3"/>
  <c r="B734" i="3"/>
  <c r="C734" i="3"/>
  <c r="D734" i="3"/>
  <c r="E734" i="3"/>
  <c r="B735" i="3"/>
  <c r="C735" i="3"/>
  <c r="D735" i="3"/>
  <c r="E735" i="3"/>
  <c r="B736" i="3"/>
  <c r="C736" i="3"/>
  <c r="D736" i="3"/>
  <c r="E736" i="3"/>
  <c r="B737" i="3"/>
  <c r="C737" i="3"/>
  <c r="D737" i="3"/>
  <c r="E737" i="3"/>
  <c r="B738" i="3"/>
  <c r="C738" i="3"/>
  <c r="D738" i="3"/>
  <c r="E738" i="3"/>
  <c r="B739" i="3"/>
  <c r="C739" i="3"/>
  <c r="D739" i="3"/>
  <c r="E739" i="3"/>
  <c r="B740" i="3"/>
  <c r="C740" i="3"/>
  <c r="D740" i="3"/>
  <c r="E740" i="3"/>
  <c r="B741" i="3"/>
  <c r="C741" i="3"/>
  <c r="D741" i="3"/>
  <c r="E741" i="3"/>
  <c r="B742" i="3"/>
  <c r="C742" i="3"/>
  <c r="D742" i="3"/>
  <c r="E742" i="3"/>
  <c r="B743" i="3"/>
  <c r="C743" i="3"/>
  <c r="D743" i="3"/>
  <c r="E743" i="3"/>
  <c r="B744" i="3"/>
  <c r="C744" i="3"/>
  <c r="D744" i="3"/>
  <c r="E744" i="3"/>
  <c r="B745" i="3"/>
  <c r="C745" i="3"/>
  <c r="D745" i="3"/>
  <c r="E745" i="3"/>
  <c r="B746" i="3"/>
  <c r="C746" i="3"/>
  <c r="D746" i="3"/>
  <c r="E746" i="3"/>
  <c r="B747" i="3"/>
  <c r="C747" i="3"/>
  <c r="D747" i="3"/>
  <c r="E747" i="3"/>
  <c r="B748" i="3"/>
  <c r="C748" i="3"/>
  <c r="D748" i="3"/>
  <c r="E748" i="3"/>
  <c r="B749" i="3"/>
  <c r="C749" i="3"/>
  <c r="D749" i="3"/>
  <c r="E749" i="3"/>
  <c r="B750" i="3"/>
  <c r="C750" i="3"/>
  <c r="D750" i="3"/>
  <c r="E750" i="3"/>
  <c r="B751" i="3"/>
  <c r="C751" i="3"/>
  <c r="D751" i="3"/>
  <c r="E751" i="3"/>
  <c r="B752" i="3"/>
  <c r="C752" i="3"/>
  <c r="D752" i="3"/>
  <c r="E752" i="3"/>
  <c r="B753" i="3"/>
  <c r="C753" i="3"/>
  <c r="D753" i="3"/>
  <c r="E753" i="3"/>
  <c r="B754" i="3"/>
  <c r="C754" i="3"/>
  <c r="D754" i="3"/>
  <c r="E754" i="3"/>
  <c r="B755" i="3"/>
  <c r="C755" i="3"/>
  <c r="D755" i="3"/>
  <c r="E755" i="3"/>
  <c r="B756" i="3"/>
  <c r="C756" i="3"/>
  <c r="D756" i="3"/>
  <c r="E756" i="3"/>
  <c r="B757" i="3"/>
  <c r="C757" i="3"/>
  <c r="D757" i="3"/>
  <c r="E757" i="3"/>
  <c r="B758" i="3"/>
  <c r="C758" i="3"/>
  <c r="D758" i="3"/>
  <c r="E758" i="3"/>
  <c r="B759" i="3"/>
  <c r="C759" i="3"/>
  <c r="D759" i="3"/>
  <c r="E759" i="3"/>
  <c r="B760" i="3"/>
  <c r="C760" i="3"/>
  <c r="D760" i="3"/>
  <c r="E760" i="3"/>
  <c r="B761" i="3"/>
  <c r="C761" i="3"/>
  <c r="D761" i="3"/>
  <c r="E761" i="3"/>
  <c r="B762" i="3"/>
  <c r="C762" i="3"/>
  <c r="D762" i="3"/>
  <c r="E762" i="3"/>
  <c r="B763" i="3"/>
  <c r="C763" i="3"/>
  <c r="D763" i="3"/>
  <c r="E763" i="3"/>
  <c r="B764" i="3"/>
  <c r="C764" i="3"/>
  <c r="D764" i="3"/>
  <c r="E764" i="3"/>
  <c r="B765" i="3"/>
  <c r="C765" i="3"/>
  <c r="D765" i="3"/>
  <c r="E765" i="3"/>
  <c r="B766" i="3"/>
  <c r="C766" i="3"/>
  <c r="D766" i="3"/>
  <c r="E766" i="3"/>
  <c r="B767" i="3"/>
  <c r="C767" i="3"/>
  <c r="D767" i="3"/>
  <c r="E767" i="3"/>
  <c r="B768" i="3"/>
  <c r="C768" i="3"/>
  <c r="D768" i="3"/>
  <c r="E768" i="3"/>
  <c r="B769" i="3"/>
  <c r="C769" i="3"/>
  <c r="D769" i="3"/>
  <c r="E769" i="3"/>
  <c r="B770" i="3"/>
  <c r="C770" i="3"/>
  <c r="D770" i="3"/>
  <c r="E770" i="3"/>
  <c r="B771" i="3"/>
  <c r="C771" i="3"/>
  <c r="D771" i="3"/>
  <c r="E771" i="3"/>
  <c r="B772" i="3"/>
  <c r="C772" i="3"/>
  <c r="D772" i="3"/>
  <c r="E772" i="3"/>
  <c r="B773" i="3"/>
  <c r="C773" i="3"/>
  <c r="D773" i="3"/>
  <c r="E773" i="3"/>
  <c r="B774" i="3"/>
  <c r="C774" i="3"/>
  <c r="D774" i="3"/>
  <c r="E774" i="3"/>
  <c r="B775" i="3"/>
  <c r="C775" i="3"/>
  <c r="D775" i="3"/>
  <c r="E775" i="3"/>
  <c r="B776" i="3"/>
  <c r="C776" i="3"/>
  <c r="D776" i="3"/>
  <c r="E776" i="3"/>
  <c r="B777" i="3"/>
  <c r="C777" i="3"/>
  <c r="D777" i="3"/>
  <c r="E777" i="3"/>
  <c r="B778" i="3"/>
  <c r="C778" i="3"/>
  <c r="D778" i="3"/>
  <c r="E778" i="3"/>
  <c r="B779" i="3"/>
  <c r="C779" i="3"/>
  <c r="D779" i="3"/>
  <c r="E779" i="3"/>
  <c r="B780" i="3"/>
  <c r="C780" i="3"/>
  <c r="D780" i="3"/>
  <c r="E780" i="3"/>
  <c r="B781" i="3"/>
  <c r="C781" i="3"/>
  <c r="D781" i="3"/>
  <c r="E781" i="3"/>
  <c r="B782" i="3"/>
  <c r="C782" i="3"/>
  <c r="D782" i="3"/>
  <c r="E782" i="3"/>
  <c r="B783" i="3"/>
  <c r="C783" i="3"/>
  <c r="D783" i="3"/>
  <c r="E783" i="3"/>
  <c r="B784" i="3"/>
  <c r="C784" i="3"/>
  <c r="D784" i="3"/>
  <c r="E784" i="3"/>
  <c r="B785" i="3"/>
  <c r="C785" i="3"/>
  <c r="D785" i="3"/>
  <c r="E785" i="3"/>
  <c r="B786" i="3"/>
  <c r="C786" i="3"/>
  <c r="D786" i="3"/>
  <c r="E786" i="3"/>
  <c r="B787" i="3"/>
  <c r="C787" i="3"/>
  <c r="D787" i="3"/>
  <c r="E787" i="3"/>
  <c r="B788" i="3"/>
  <c r="C788" i="3"/>
  <c r="D788" i="3"/>
  <c r="E788" i="3"/>
  <c r="B789" i="3"/>
  <c r="C789" i="3"/>
  <c r="D789" i="3"/>
  <c r="E789" i="3"/>
  <c r="B790" i="3"/>
  <c r="C790" i="3"/>
  <c r="D790" i="3"/>
  <c r="E790" i="3"/>
  <c r="B791" i="3"/>
  <c r="C791" i="3"/>
  <c r="D791" i="3"/>
  <c r="E791" i="3"/>
  <c r="B792" i="3"/>
  <c r="C792" i="3"/>
  <c r="D792" i="3"/>
  <c r="E792" i="3"/>
  <c r="B793" i="3"/>
  <c r="C793" i="3"/>
  <c r="D793" i="3"/>
  <c r="E793" i="3"/>
  <c r="B794" i="3"/>
  <c r="C794" i="3"/>
  <c r="D794" i="3"/>
  <c r="E794" i="3"/>
  <c r="B795" i="3"/>
  <c r="C795" i="3"/>
  <c r="D795" i="3"/>
  <c r="E795" i="3"/>
  <c r="B796" i="3"/>
  <c r="C796" i="3"/>
  <c r="D796" i="3"/>
  <c r="E796" i="3"/>
  <c r="B797" i="3"/>
  <c r="C797" i="3"/>
  <c r="D797" i="3"/>
  <c r="E797" i="3"/>
  <c r="B798" i="3"/>
  <c r="C798" i="3"/>
  <c r="D798" i="3"/>
  <c r="E798" i="3"/>
  <c r="B799" i="3"/>
  <c r="C799" i="3"/>
  <c r="D799" i="3"/>
  <c r="E799" i="3"/>
  <c r="B800" i="3"/>
  <c r="C800" i="3"/>
  <c r="D800" i="3"/>
  <c r="E800" i="3"/>
  <c r="B801" i="3"/>
  <c r="C801" i="3"/>
  <c r="D801" i="3"/>
  <c r="E801" i="3"/>
  <c r="B802" i="3"/>
  <c r="C802" i="3"/>
  <c r="D802" i="3"/>
  <c r="E802" i="3"/>
  <c r="B803" i="3"/>
  <c r="C803" i="3"/>
  <c r="D803" i="3"/>
  <c r="E803" i="3"/>
  <c r="B804" i="3"/>
  <c r="C804" i="3"/>
  <c r="D804" i="3"/>
  <c r="E804" i="3"/>
  <c r="B805" i="3"/>
  <c r="C805" i="3"/>
  <c r="D805" i="3"/>
  <c r="E805" i="3"/>
  <c r="B806" i="3"/>
  <c r="C806" i="3"/>
  <c r="D806" i="3"/>
  <c r="E806" i="3"/>
  <c r="B807" i="3"/>
  <c r="C807" i="3"/>
  <c r="D807" i="3"/>
  <c r="E807" i="3"/>
  <c r="B808" i="3"/>
  <c r="C808" i="3"/>
  <c r="D808" i="3"/>
  <c r="E808" i="3"/>
  <c r="B809" i="3"/>
  <c r="C809" i="3"/>
  <c r="D809" i="3"/>
  <c r="E809" i="3"/>
  <c r="B810" i="3"/>
  <c r="C810" i="3"/>
  <c r="D810" i="3"/>
  <c r="E810" i="3"/>
  <c r="B811" i="3"/>
  <c r="C811" i="3"/>
  <c r="D811" i="3"/>
  <c r="E811" i="3"/>
  <c r="B812" i="3"/>
  <c r="C812" i="3"/>
  <c r="D812" i="3"/>
  <c r="E812" i="3"/>
  <c r="B813" i="3"/>
  <c r="C813" i="3"/>
  <c r="D813" i="3"/>
  <c r="E813" i="3"/>
  <c r="B814" i="3"/>
  <c r="C814" i="3"/>
  <c r="D814" i="3"/>
  <c r="E814" i="3"/>
  <c r="B815" i="3"/>
  <c r="C815" i="3"/>
  <c r="D815" i="3"/>
  <c r="E815" i="3"/>
  <c r="B816" i="3"/>
  <c r="C816" i="3"/>
  <c r="D816" i="3"/>
  <c r="E816" i="3"/>
  <c r="B817" i="3"/>
  <c r="C817" i="3"/>
  <c r="D817" i="3"/>
  <c r="E817" i="3"/>
  <c r="B818" i="3"/>
  <c r="C818" i="3"/>
  <c r="D818" i="3"/>
  <c r="E818" i="3"/>
  <c r="B819" i="3"/>
  <c r="C819" i="3"/>
  <c r="D819" i="3"/>
  <c r="E819" i="3"/>
  <c r="B820" i="3"/>
  <c r="C820" i="3"/>
  <c r="D820" i="3"/>
  <c r="E820" i="3"/>
  <c r="B821" i="3"/>
  <c r="C821" i="3"/>
  <c r="D821" i="3"/>
  <c r="E821" i="3"/>
  <c r="B822" i="3"/>
  <c r="C822" i="3"/>
  <c r="D822" i="3"/>
  <c r="E822" i="3"/>
  <c r="B823" i="3"/>
  <c r="C823" i="3"/>
  <c r="D823" i="3"/>
  <c r="E823" i="3"/>
  <c r="B824" i="3"/>
  <c r="C824" i="3"/>
  <c r="D824" i="3"/>
  <c r="E824" i="3"/>
  <c r="B825" i="3"/>
  <c r="C825" i="3"/>
  <c r="D825" i="3"/>
  <c r="E825" i="3"/>
  <c r="B826" i="3"/>
  <c r="C826" i="3"/>
  <c r="D826" i="3"/>
  <c r="E826" i="3"/>
  <c r="B827" i="3"/>
  <c r="C827" i="3"/>
  <c r="D827" i="3"/>
  <c r="E827" i="3"/>
  <c r="B828" i="3"/>
  <c r="C828" i="3"/>
  <c r="D828" i="3"/>
  <c r="E828" i="3"/>
  <c r="B829" i="3"/>
  <c r="C829" i="3"/>
  <c r="D829" i="3"/>
  <c r="E829" i="3"/>
  <c r="B830" i="3"/>
  <c r="C830" i="3"/>
  <c r="D830" i="3"/>
  <c r="E830" i="3"/>
  <c r="B831" i="3"/>
  <c r="C831" i="3"/>
  <c r="D831" i="3"/>
  <c r="E831" i="3"/>
  <c r="B832" i="3"/>
  <c r="C832" i="3"/>
  <c r="D832" i="3"/>
  <c r="E832" i="3"/>
  <c r="B833" i="3"/>
  <c r="C833" i="3"/>
  <c r="D833" i="3"/>
  <c r="E833" i="3"/>
  <c r="B834" i="3"/>
  <c r="C834" i="3"/>
  <c r="D834" i="3"/>
  <c r="E834" i="3"/>
  <c r="B835" i="3"/>
  <c r="C835" i="3"/>
  <c r="D835" i="3"/>
  <c r="E835" i="3"/>
  <c r="B836" i="3"/>
  <c r="C836" i="3"/>
  <c r="D836" i="3"/>
  <c r="E836" i="3"/>
  <c r="B837" i="3"/>
  <c r="C837" i="3"/>
  <c r="D837" i="3"/>
  <c r="E837" i="3"/>
  <c r="B838" i="3"/>
  <c r="C838" i="3"/>
  <c r="D838" i="3"/>
  <c r="E838" i="3"/>
  <c r="B839" i="3"/>
  <c r="C839" i="3"/>
  <c r="D839" i="3"/>
  <c r="E839" i="3"/>
  <c r="B840" i="3"/>
  <c r="C840" i="3"/>
  <c r="D840" i="3"/>
  <c r="E840" i="3"/>
  <c r="B841" i="3"/>
  <c r="C841" i="3"/>
  <c r="D841" i="3"/>
  <c r="E841" i="3"/>
  <c r="B842" i="3"/>
  <c r="C842" i="3"/>
  <c r="D842" i="3"/>
  <c r="E842" i="3"/>
  <c r="B843" i="3"/>
  <c r="C843" i="3"/>
  <c r="D843" i="3"/>
  <c r="E843" i="3"/>
  <c r="B844" i="3"/>
  <c r="C844" i="3"/>
  <c r="D844" i="3"/>
  <c r="E844" i="3"/>
  <c r="B845" i="3"/>
  <c r="C845" i="3"/>
  <c r="D845" i="3"/>
  <c r="E845" i="3"/>
  <c r="B846" i="3"/>
  <c r="C846" i="3"/>
  <c r="D846" i="3"/>
  <c r="E846" i="3"/>
  <c r="B847" i="3"/>
  <c r="C847" i="3"/>
  <c r="D847" i="3"/>
  <c r="E847" i="3"/>
  <c r="B848" i="3"/>
  <c r="C848" i="3"/>
  <c r="D848" i="3"/>
  <c r="E848" i="3"/>
  <c r="B849" i="3"/>
  <c r="C849" i="3"/>
  <c r="D849" i="3"/>
  <c r="E849" i="3"/>
  <c r="B850" i="3"/>
  <c r="C850" i="3"/>
  <c r="D850" i="3"/>
  <c r="E850" i="3"/>
  <c r="B851" i="3"/>
  <c r="C851" i="3"/>
  <c r="D851" i="3"/>
  <c r="E851" i="3"/>
  <c r="B852" i="3"/>
  <c r="C852" i="3"/>
  <c r="D852" i="3"/>
  <c r="E852" i="3"/>
  <c r="B853" i="3"/>
  <c r="C853" i="3"/>
  <c r="D853" i="3"/>
  <c r="E853" i="3"/>
  <c r="B854" i="3"/>
  <c r="C854" i="3"/>
  <c r="D854" i="3"/>
  <c r="E854" i="3"/>
  <c r="B855" i="3"/>
  <c r="C855" i="3"/>
  <c r="D855" i="3"/>
  <c r="E855" i="3"/>
  <c r="B856" i="3"/>
  <c r="C856" i="3"/>
  <c r="D856" i="3"/>
  <c r="E856" i="3"/>
  <c r="B857" i="3"/>
  <c r="C857" i="3"/>
  <c r="D857" i="3"/>
  <c r="E857" i="3"/>
  <c r="B858" i="3"/>
  <c r="C858" i="3"/>
  <c r="D858" i="3"/>
  <c r="E858" i="3"/>
  <c r="B859" i="3"/>
  <c r="C859" i="3"/>
  <c r="D859" i="3"/>
  <c r="E859" i="3"/>
  <c r="B860" i="3"/>
  <c r="C860" i="3"/>
  <c r="D860" i="3"/>
  <c r="E860" i="3"/>
  <c r="B861" i="3"/>
  <c r="C861" i="3"/>
  <c r="D861" i="3"/>
  <c r="E861" i="3"/>
  <c r="B862" i="3"/>
  <c r="C862" i="3"/>
  <c r="D862" i="3"/>
  <c r="E862" i="3"/>
  <c r="B863" i="3"/>
  <c r="C863" i="3"/>
  <c r="D863" i="3"/>
  <c r="E863" i="3"/>
  <c r="B864" i="3"/>
  <c r="C864" i="3"/>
  <c r="D864" i="3"/>
  <c r="E864" i="3"/>
  <c r="B865" i="3"/>
  <c r="C865" i="3"/>
  <c r="D865" i="3"/>
  <c r="E865" i="3"/>
  <c r="B866" i="3"/>
  <c r="C866" i="3"/>
  <c r="D866" i="3"/>
  <c r="E866" i="3"/>
  <c r="B867" i="3"/>
  <c r="C867" i="3"/>
  <c r="D867" i="3"/>
  <c r="E867" i="3"/>
  <c r="B868" i="3"/>
  <c r="C868" i="3"/>
  <c r="D868" i="3"/>
  <c r="E868" i="3"/>
  <c r="B869" i="3"/>
  <c r="C869" i="3"/>
  <c r="D869" i="3"/>
  <c r="E869" i="3"/>
  <c r="B870" i="3"/>
  <c r="C870" i="3"/>
  <c r="D870" i="3"/>
  <c r="E870" i="3"/>
  <c r="B871" i="3"/>
  <c r="C871" i="3"/>
  <c r="D871" i="3"/>
  <c r="E871" i="3"/>
  <c r="B872" i="3"/>
  <c r="C872" i="3"/>
  <c r="D872" i="3"/>
  <c r="E872" i="3"/>
  <c r="B873" i="3"/>
  <c r="C873" i="3"/>
  <c r="D873" i="3"/>
  <c r="E873" i="3"/>
  <c r="B874" i="3"/>
  <c r="C874" i="3"/>
  <c r="D874" i="3"/>
  <c r="E874" i="3"/>
  <c r="B875" i="3"/>
  <c r="C875" i="3"/>
  <c r="D875" i="3"/>
  <c r="E875" i="3"/>
  <c r="B876" i="3"/>
  <c r="C876" i="3"/>
  <c r="D876" i="3"/>
  <c r="E876" i="3"/>
  <c r="B877" i="3"/>
  <c r="C877" i="3"/>
  <c r="D877" i="3"/>
  <c r="E877" i="3"/>
  <c r="B878" i="3"/>
  <c r="C878" i="3"/>
  <c r="D878" i="3"/>
  <c r="E878" i="3"/>
  <c r="B879" i="3"/>
  <c r="C879" i="3"/>
  <c r="D879" i="3"/>
  <c r="E879" i="3"/>
  <c r="B880" i="3"/>
  <c r="C880" i="3"/>
  <c r="D880" i="3"/>
  <c r="E880" i="3"/>
  <c r="B881" i="3"/>
  <c r="C881" i="3"/>
  <c r="D881" i="3"/>
  <c r="E881" i="3"/>
  <c r="B882" i="3"/>
  <c r="C882" i="3"/>
  <c r="D882" i="3"/>
  <c r="E882" i="3"/>
  <c r="B883" i="3"/>
  <c r="C883" i="3"/>
  <c r="D883" i="3"/>
  <c r="E883" i="3"/>
  <c r="B884" i="3"/>
  <c r="C884" i="3"/>
  <c r="D884" i="3"/>
  <c r="E884" i="3"/>
  <c r="B885" i="3"/>
  <c r="C885" i="3"/>
  <c r="D885" i="3"/>
  <c r="E885" i="3"/>
  <c r="B886" i="3"/>
  <c r="C886" i="3"/>
  <c r="D886" i="3"/>
  <c r="E886" i="3"/>
  <c r="B887" i="3"/>
  <c r="C887" i="3"/>
  <c r="D887" i="3"/>
  <c r="E887" i="3"/>
  <c r="B888" i="3"/>
  <c r="C888" i="3"/>
  <c r="D888" i="3"/>
  <c r="E888" i="3"/>
  <c r="B889" i="3"/>
  <c r="C889" i="3"/>
  <c r="D889" i="3"/>
  <c r="E889" i="3"/>
  <c r="B890" i="3"/>
  <c r="C890" i="3"/>
  <c r="D890" i="3"/>
  <c r="E890" i="3"/>
  <c r="B891" i="3"/>
  <c r="C891" i="3"/>
  <c r="D891" i="3"/>
  <c r="E891" i="3"/>
  <c r="B892" i="3"/>
  <c r="C892" i="3"/>
  <c r="D892" i="3"/>
  <c r="E892" i="3"/>
  <c r="B893" i="3"/>
  <c r="C893" i="3"/>
  <c r="D893" i="3"/>
  <c r="E893" i="3"/>
  <c r="B894" i="3"/>
  <c r="C894" i="3"/>
  <c r="D894" i="3"/>
  <c r="E894" i="3"/>
  <c r="B895" i="3"/>
  <c r="C895" i="3"/>
  <c r="D895" i="3"/>
  <c r="E895" i="3"/>
  <c r="B896" i="3"/>
  <c r="C896" i="3"/>
  <c r="D896" i="3"/>
  <c r="E896" i="3"/>
  <c r="B897" i="3"/>
  <c r="C897" i="3"/>
  <c r="D897" i="3"/>
  <c r="E897" i="3"/>
  <c r="B898" i="3"/>
  <c r="C898" i="3"/>
  <c r="D898" i="3"/>
  <c r="E898" i="3"/>
  <c r="B899" i="3"/>
  <c r="C899" i="3"/>
  <c r="D899" i="3"/>
  <c r="E899" i="3"/>
  <c r="B900" i="3"/>
  <c r="C900" i="3"/>
  <c r="D900" i="3"/>
  <c r="E900" i="3"/>
  <c r="B901" i="3"/>
  <c r="C901" i="3"/>
  <c r="D901" i="3"/>
  <c r="E901" i="3"/>
  <c r="B902" i="3"/>
  <c r="C902" i="3"/>
  <c r="D902" i="3"/>
  <c r="E902" i="3"/>
  <c r="B903" i="3"/>
  <c r="C903" i="3"/>
  <c r="D903" i="3"/>
  <c r="E903" i="3"/>
  <c r="B904" i="3"/>
  <c r="C904" i="3"/>
  <c r="D904" i="3"/>
  <c r="E904" i="3"/>
  <c r="B905" i="3"/>
  <c r="C905" i="3"/>
  <c r="D905" i="3"/>
  <c r="E905" i="3"/>
  <c r="B906" i="3"/>
  <c r="C906" i="3"/>
  <c r="D906" i="3"/>
  <c r="E906" i="3"/>
  <c r="B907" i="3"/>
  <c r="C907" i="3"/>
  <c r="D907" i="3"/>
  <c r="E907" i="3"/>
  <c r="B908" i="3"/>
  <c r="C908" i="3"/>
  <c r="D908" i="3"/>
  <c r="E908" i="3"/>
  <c r="B909" i="3"/>
  <c r="C909" i="3"/>
  <c r="D909" i="3"/>
  <c r="E909" i="3"/>
  <c r="B910" i="3"/>
  <c r="C910" i="3"/>
  <c r="D910" i="3"/>
  <c r="E910" i="3"/>
  <c r="B911" i="3"/>
  <c r="C911" i="3"/>
  <c r="D911" i="3"/>
  <c r="E911" i="3"/>
  <c r="B912" i="3"/>
  <c r="C912" i="3"/>
  <c r="D912" i="3"/>
  <c r="E912" i="3"/>
  <c r="B913" i="3"/>
  <c r="C913" i="3"/>
  <c r="D913" i="3"/>
  <c r="E913" i="3"/>
  <c r="B914" i="3"/>
  <c r="C914" i="3"/>
  <c r="D914" i="3"/>
  <c r="E914" i="3"/>
  <c r="B915" i="3"/>
  <c r="C915" i="3"/>
  <c r="D915" i="3"/>
  <c r="E915" i="3"/>
  <c r="B916" i="3"/>
  <c r="C916" i="3"/>
  <c r="D916" i="3"/>
  <c r="E916" i="3"/>
  <c r="B917" i="3"/>
  <c r="C917" i="3"/>
  <c r="D917" i="3"/>
  <c r="E917" i="3"/>
  <c r="B918" i="3"/>
  <c r="C918" i="3"/>
  <c r="D918" i="3"/>
  <c r="E918" i="3"/>
  <c r="B919" i="3"/>
  <c r="C919" i="3"/>
  <c r="D919" i="3"/>
  <c r="E919" i="3"/>
  <c r="B920" i="3"/>
  <c r="C920" i="3"/>
  <c r="D920" i="3"/>
  <c r="E920" i="3"/>
  <c r="B921" i="3"/>
  <c r="C921" i="3"/>
  <c r="D921" i="3"/>
  <c r="E921" i="3"/>
  <c r="B922" i="3"/>
  <c r="C922" i="3"/>
  <c r="D922" i="3"/>
  <c r="E922" i="3"/>
  <c r="B923" i="3"/>
  <c r="C923" i="3"/>
  <c r="D923" i="3"/>
  <c r="E923" i="3"/>
  <c r="B924" i="3"/>
  <c r="C924" i="3"/>
  <c r="D924" i="3"/>
  <c r="E924" i="3"/>
  <c r="B925" i="3"/>
  <c r="C925" i="3"/>
  <c r="D925" i="3"/>
  <c r="E925" i="3"/>
  <c r="B926" i="3"/>
  <c r="C926" i="3"/>
  <c r="D926" i="3"/>
  <c r="E926" i="3"/>
  <c r="B927" i="3"/>
  <c r="C927" i="3"/>
  <c r="D927" i="3"/>
  <c r="E927" i="3"/>
  <c r="B928" i="3"/>
  <c r="C928" i="3"/>
  <c r="D928" i="3"/>
  <c r="E928" i="3"/>
  <c r="B929" i="3"/>
  <c r="C929" i="3"/>
  <c r="D929" i="3"/>
  <c r="E929" i="3"/>
  <c r="B930" i="3"/>
  <c r="C930" i="3"/>
  <c r="D930" i="3"/>
  <c r="E930" i="3"/>
  <c r="B931" i="3"/>
  <c r="C931" i="3"/>
  <c r="D931" i="3"/>
  <c r="E931" i="3"/>
  <c r="B932" i="3"/>
  <c r="C932" i="3"/>
  <c r="D932" i="3"/>
  <c r="E932" i="3"/>
  <c r="B933" i="3"/>
  <c r="C933" i="3"/>
  <c r="D933" i="3"/>
  <c r="E933" i="3"/>
  <c r="B934" i="3"/>
  <c r="C934" i="3"/>
  <c r="D934" i="3"/>
  <c r="E934" i="3"/>
  <c r="B935" i="3"/>
  <c r="C935" i="3"/>
  <c r="D935" i="3"/>
  <c r="E935" i="3"/>
  <c r="B936" i="3"/>
  <c r="C936" i="3"/>
  <c r="D936" i="3"/>
  <c r="E936" i="3"/>
  <c r="B937" i="3"/>
  <c r="C937" i="3"/>
  <c r="D937" i="3"/>
  <c r="E937" i="3"/>
  <c r="B938" i="3"/>
  <c r="C938" i="3"/>
  <c r="D938" i="3"/>
  <c r="E938" i="3"/>
  <c r="B939" i="3"/>
  <c r="C939" i="3"/>
  <c r="D939" i="3"/>
  <c r="E939" i="3"/>
  <c r="B940" i="3"/>
  <c r="C940" i="3"/>
  <c r="D940" i="3"/>
  <c r="E940" i="3"/>
  <c r="B941" i="3"/>
  <c r="C941" i="3"/>
  <c r="D941" i="3"/>
  <c r="E941" i="3"/>
  <c r="B942" i="3"/>
  <c r="C942" i="3"/>
  <c r="D942" i="3"/>
  <c r="E942" i="3"/>
  <c r="B943" i="3"/>
  <c r="C943" i="3"/>
  <c r="D943" i="3"/>
  <c r="E943" i="3"/>
  <c r="B944" i="3"/>
  <c r="C944" i="3"/>
  <c r="D944" i="3"/>
  <c r="E944" i="3"/>
  <c r="B945" i="3"/>
  <c r="C945" i="3"/>
  <c r="D945" i="3"/>
  <c r="E945" i="3"/>
  <c r="B946" i="3"/>
  <c r="C946" i="3"/>
  <c r="D946" i="3"/>
  <c r="E946" i="3"/>
  <c r="B947" i="3"/>
  <c r="C947" i="3"/>
  <c r="D947" i="3"/>
  <c r="E947" i="3"/>
  <c r="B948" i="3"/>
  <c r="C948" i="3"/>
  <c r="D948" i="3"/>
  <c r="E948" i="3"/>
  <c r="B949" i="3"/>
  <c r="C949" i="3"/>
  <c r="D949" i="3"/>
  <c r="E949" i="3"/>
  <c r="B950" i="3"/>
  <c r="C950" i="3"/>
  <c r="D950" i="3"/>
  <c r="E950" i="3"/>
  <c r="B951" i="3"/>
  <c r="C951" i="3"/>
  <c r="D951" i="3"/>
  <c r="E951" i="3"/>
  <c r="B952" i="3"/>
  <c r="C952" i="3"/>
  <c r="D952" i="3"/>
  <c r="E952" i="3"/>
  <c r="B953" i="3"/>
  <c r="C953" i="3"/>
  <c r="D953" i="3"/>
  <c r="E953" i="3"/>
  <c r="B954" i="3"/>
  <c r="C954" i="3"/>
  <c r="D954" i="3"/>
  <c r="E954" i="3"/>
  <c r="B955" i="3"/>
  <c r="C955" i="3"/>
  <c r="D955" i="3"/>
  <c r="E955" i="3"/>
  <c r="B956" i="3"/>
  <c r="C956" i="3"/>
  <c r="D956" i="3"/>
  <c r="E956" i="3"/>
  <c r="B957" i="3"/>
  <c r="C957" i="3"/>
  <c r="D957" i="3"/>
  <c r="E957" i="3"/>
  <c r="B958" i="3"/>
  <c r="C958" i="3"/>
  <c r="D958" i="3"/>
  <c r="E958" i="3"/>
  <c r="B959" i="3"/>
  <c r="C959" i="3"/>
  <c r="D959" i="3"/>
  <c r="E959" i="3"/>
  <c r="B960" i="3"/>
  <c r="C960" i="3"/>
  <c r="D960" i="3"/>
  <c r="E960" i="3"/>
  <c r="B961" i="3"/>
  <c r="C961" i="3"/>
  <c r="D961" i="3"/>
  <c r="E961" i="3"/>
  <c r="B962" i="3"/>
  <c r="C962" i="3"/>
  <c r="D962" i="3"/>
  <c r="E962" i="3"/>
  <c r="B963" i="3"/>
  <c r="C963" i="3"/>
  <c r="D963" i="3"/>
  <c r="E963" i="3"/>
  <c r="B964" i="3"/>
  <c r="C964" i="3"/>
  <c r="D964" i="3"/>
  <c r="E964" i="3"/>
  <c r="B965" i="3"/>
  <c r="C965" i="3"/>
  <c r="D965" i="3"/>
  <c r="E965" i="3"/>
  <c r="B966" i="3"/>
  <c r="C966" i="3"/>
  <c r="D966" i="3"/>
  <c r="E966" i="3"/>
  <c r="B967" i="3"/>
  <c r="C967" i="3"/>
  <c r="D967" i="3"/>
  <c r="E967" i="3"/>
  <c r="B968" i="3"/>
  <c r="C968" i="3"/>
  <c r="D968" i="3"/>
  <c r="E968" i="3"/>
  <c r="B969" i="3"/>
  <c r="C969" i="3"/>
  <c r="D969" i="3"/>
  <c r="E969" i="3"/>
  <c r="B970" i="3"/>
  <c r="C970" i="3"/>
  <c r="D970" i="3"/>
  <c r="E970" i="3"/>
  <c r="B971" i="3"/>
  <c r="C971" i="3"/>
  <c r="D971" i="3"/>
  <c r="E971" i="3"/>
  <c r="B972" i="3"/>
  <c r="C972" i="3"/>
  <c r="D972" i="3"/>
  <c r="E972" i="3"/>
  <c r="B973" i="3"/>
  <c r="C973" i="3"/>
  <c r="D973" i="3"/>
  <c r="E973" i="3"/>
  <c r="B974" i="3"/>
  <c r="C974" i="3"/>
  <c r="D974" i="3"/>
  <c r="E974" i="3"/>
  <c r="B975" i="3"/>
  <c r="C975" i="3"/>
  <c r="D975" i="3"/>
  <c r="E975" i="3"/>
  <c r="B976" i="3"/>
  <c r="C976" i="3"/>
  <c r="D976" i="3"/>
  <c r="E976" i="3"/>
  <c r="B977" i="3"/>
  <c r="C977" i="3"/>
  <c r="D977" i="3"/>
  <c r="E977" i="3"/>
  <c r="B978" i="3"/>
  <c r="C978" i="3"/>
  <c r="D978" i="3"/>
  <c r="E978" i="3"/>
  <c r="B979" i="3"/>
  <c r="C979" i="3"/>
  <c r="D979" i="3"/>
  <c r="E979" i="3"/>
  <c r="B980" i="3"/>
  <c r="C980" i="3"/>
  <c r="D980" i="3"/>
  <c r="E980" i="3"/>
  <c r="B981" i="3"/>
  <c r="C981" i="3"/>
  <c r="D981" i="3"/>
  <c r="E981" i="3"/>
  <c r="B982" i="3"/>
  <c r="C982" i="3"/>
  <c r="D982" i="3"/>
  <c r="E982" i="3"/>
  <c r="B983" i="3"/>
  <c r="C983" i="3"/>
  <c r="D983" i="3"/>
  <c r="E983" i="3"/>
  <c r="B984" i="3"/>
  <c r="C984" i="3"/>
  <c r="D984" i="3"/>
  <c r="E984" i="3"/>
  <c r="B985" i="3"/>
  <c r="C985" i="3"/>
  <c r="D985" i="3"/>
  <c r="E985" i="3"/>
  <c r="B986" i="3"/>
  <c r="C986" i="3"/>
  <c r="D986" i="3"/>
  <c r="E986" i="3"/>
  <c r="B987" i="3"/>
  <c r="C987" i="3"/>
  <c r="D987" i="3"/>
  <c r="E987" i="3"/>
  <c r="B988" i="3"/>
  <c r="C988" i="3"/>
  <c r="D988" i="3"/>
  <c r="E988" i="3"/>
  <c r="B989" i="3"/>
  <c r="C989" i="3"/>
  <c r="D989" i="3"/>
  <c r="E989" i="3"/>
  <c r="B990" i="3"/>
  <c r="C990" i="3"/>
  <c r="D990" i="3"/>
  <c r="E990" i="3"/>
  <c r="B991" i="3"/>
  <c r="C991" i="3"/>
  <c r="D991" i="3"/>
  <c r="E991" i="3"/>
  <c r="B992" i="3"/>
  <c r="C992" i="3"/>
  <c r="D992" i="3"/>
  <c r="E992" i="3"/>
  <c r="B993" i="3"/>
  <c r="C993" i="3"/>
  <c r="D993" i="3"/>
  <c r="E993" i="3"/>
  <c r="B994" i="3"/>
  <c r="C994" i="3"/>
  <c r="D994" i="3"/>
  <c r="E994" i="3"/>
  <c r="B995" i="3"/>
  <c r="C995" i="3"/>
  <c r="D995" i="3"/>
  <c r="E995" i="3"/>
  <c r="B996" i="3"/>
  <c r="C996" i="3"/>
  <c r="D996" i="3"/>
  <c r="E996" i="3"/>
  <c r="B997" i="3"/>
  <c r="C997" i="3"/>
  <c r="D997" i="3"/>
  <c r="E997" i="3"/>
  <c r="B998" i="3"/>
  <c r="C998" i="3"/>
  <c r="D998" i="3"/>
  <c r="E998" i="3"/>
  <c r="B999" i="3"/>
  <c r="C999" i="3"/>
  <c r="D999" i="3"/>
  <c r="E999" i="3"/>
  <c r="B1000" i="3"/>
  <c r="C1000" i="3"/>
  <c r="D1000" i="3"/>
  <c r="E1000" i="3"/>
  <c r="B1001" i="3"/>
  <c r="C1001" i="3"/>
  <c r="D1001" i="3"/>
  <c r="E1001" i="3"/>
  <c r="B1002" i="3"/>
  <c r="C1002" i="3"/>
  <c r="D1002" i="3"/>
  <c r="E1002" i="3"/>
  <c r="B1003" i="3"/>
  <c r="C1003" i="3"/>
  <c r="D1003" i="3"/>
  <c r="E1003" i="3"/>
  <c r="B1004" i="3"/>
  <c r="C1004" i="3"/>
  <c r="D1004" i="3"/>
  <c r="E1004" i="3"/>
  <c r="B1005" i="3"/>
  <c r="C1005" i="3"/>
  <c r="D1005" i="3"/>
  <c r="E1005" i="3"/>
  <c r="B1006" i="3"/>
  <c r="C1006" i="3"/>
  <c r="D1006" i="3"/>
  <c r="E1006" i="3"/>
  <c r="B1007" i="3"/>
  <c r="C1007" i="3"/>
  <c r="D1007" i="3"/>
  <c r="E1007" i="3"/>
  <c r="B1008" i="3"/>
  <c r="C1008" i="3"/>
  <c r="D1008" i="3"/>
  <c r="E1008" i="3"/>
  <c r="B1009" i="3"/>
  <c r="C1009" i="3"/>
  <c r="D1009" i="3"/>
  <c r="E1009" i="3"/>
  <c r="B1010" i="3"/>
  <c r="C1010" i="3"/>
  <c r="D1010" i="3"/>
  <c r="E1010" i="3"/>
  <c r="B1011" i="3"/>
  <c r="C1011" i="3"/>
  <c r="D1011" i="3"/>
  <c r="E1011" i="3"/>
  <c r="B1012" i="3"/>
  <c r="C1012" i="3"/>
  <c r="D1012" i="3"/>
  <c r="E1012" i="3"/>
  <c r="B1013" i="3"/>
  <c r="C1013" i="3"/>
  <c r="D1013" i="3"/>
  <c r="E1013" i="3"/>
  <c r="B1014" i="3"/>
  <c r="C1014" i="3"/>
  <c r="D1014" i="3"/>
  <c r="E1014" i="3"/>
  <c r="B1015" i="3"/>
  <c r="C1015" i="3"/>
  <c r="D1015" i="3"/>
  <c r="E1015" i="3"/>
  <c r="B1016" i="3"/>
  <c r="C1016" i="3"/>
  <c r="D1016" i="3"/>
  <c r="E1016" i="3"/>
  <c r="B1017" i="3"/>
  <c r="C1017" i="3"/>
  <c r="D1017" i="3"/>
  <c r="E1017" i="3"/>
  <c r="B1018" i="3"/>
  <c r="C1018" i="3"/>
  <c r="D1018" i="3"/>
  <c r="E1018" i="3"/>
  <c r="B1019" i="3"/>
  <c r="C1019" i="3"/>
  <c r="D1019" i="3"/>
  <c r="E1019" i="3"/>
  <c r="B1020" i="3"/>
  <c r="C1020" i="3"/>
  <c r="D1020" i="3"/>
  <c r="E1020" i="3"/>
  <c r="B1021" i="3"/>
  <c r="C1021" i="3"/>
  <c r="D1021" i="3"/>
  <c r="E1021" i="3"/>
  <c r="B1022" i="3"/>
  <c r="C1022" i="3"/>
  <c r="D1022" i="3"/>
  <c r="E1022" i="3"/>
  <c r="B1023" i="3"/>
  <c r="C1023" i="3"/>
  <c r="D1023" i="3"/>
  <c r="E1023" i="3"/>
  <c r="B1024" i="3"/>
  <c r="C1024" i="3"/>
  <c r="D1024" i="3"/>
  <c r="E1024" i="3"/>
  <c r="B1025" i="3"/>
  <c r="C1025" i="3"/>
  <c r="D1025" i="3"/>
  <c r="E1025" i="3"/>
  <c r="B1026" i="3"/>
  <c r="C1026" i="3"/>
  <c r="D1026" i="3"/>
  <c r="E1026" i="3"/>
  <c r="B1027" i="3"/>
  <c r="C1027" i="3"/>
  <c r="D1027" i="3"/>
  <c r="E1027" i="3"/>
  <c r="B1028" i="3"/>
  <c r="C1028" i="3"/>
  <c r="D1028" i="3"/>
  <c r="E1028" i="3"/>
  <c r="B1029" i="3"/>
  <c r="C1029" i="3"/>
  <c r="D1029" i="3"/>
  <c r="E1029" i="3"/>
  <c r="E1031" i="3"/>
  <c r="E1032" i="3"/>
  <c r="E1033" i="3"/>
  <c r="E1034" i="3"/>
  <c r="D1035" i="3"/>
  <c r="E1035" i="3"/>
  <c r="B1036" i="3"/>
  <c r="E1036" i="3"/>
  <c r="D1037" i="3"/>
  <c r="E1037" i="3"/>
  <c r="C1038" i="3"/>
  <c r="E1038" i="3"/>
  <c r="E1039" i="3"/>
  <c r="B1040" i="3"/>
  <c r="E1040" i="3"/>
  <c r="E1041" i="3"/>
  <c r="D1042" i="3"/>
  <c r="E1042" i="3"/>
  <c r="D1043" i="3"/>
  <c r="E1043" i="3"/>
  <c r="B1044" i="3"/>
  <c r="E1044" i="3"/>
  <c r="E1045" i="3"/>
  <c r="E1046" i="3"/>
  <c r="D1047" i="3"/>
  <c r="E1047" i="3"/>
  <c r="C1048" i="3"/>
  <c r="E1048" i="3"/>
  <c r="E1049" i="3"/>
  <c r="C1050" i="3"/>
  <c r="D1050" i="3"/>
  <c r="E1050" i="3"/>
  <c r="E1051" i="3"/>
  <c r="E1052" i="3"/>
  <c r="A1053" i="3"/>
  <c r="E1053" i="3"/>
  <c r="A1054" i="3"/>
  <c r="A1055" i="3" s="1"/>
  <c r="A1056" i="3" s="1"/>
  <c r="A1057" i="3" s="1"/>
  <c r="A1058" i="3" s="1"/>
  <c r="A1059" i="3" s="1"/>
  <c r="A1060" i="3" s="1"/>
  <c r="A1061" i="3" s="1"/>
  <c r="A1062" i="3" s="1"/>
  <c r="A1063" i="3" s="1"/>
  <c r="A1064" i="3" s="1"/>
  <c r="C1054" i="3"/>
  <c r="E1055" i="3"/>
  <c r="E1056" i="3"/>
  <c r="E1057" i="3"/>
  <c r="C1058" i="3"/>
  <c r="E1058" i="3"/>
  <c r="E1059" i="3"/>
  <c r="B1060" i="3"/>
  <c r="C1060" i="3"/>
  <c r="E1060" i="3"/>
  <c r="E1061" i="3"/>
  <c r="B1062" i="3"/>
  <c r="D1063" i="3"/>
  <c r="E1063" i="3"/>
  <c r="E1064" i="3"/>
  <c r="A1065" i="3"/>
  <c r="A1066" i="3" s="1"/>
  <c r="A1067" i="3" s="1"/>
  <c r="A1068" i="3" s="1"/>
  <c r="A1069" i="3" s="1"/>
  <c r="A1070" i="3" s="1"/>
  <c r="A1071" i="3" s="1"/>
  <c r="A1072" i="3" s="1"/>
  <c r="A1073" i="3" s="1"/>
  <c r="A1074" i="3" s="1"/>
  <c r="A1075" i="3" s="1"/>
  <c r="A1076" i="3" s="1"/>
  <c r="A1077" i="3" s="1"/>
  <c r="D1065" i="3"/>
  <c r="E1065" i="3"/>
  <c r="E1066" i="3"/>
  <c r="C1067" i="3"/>
  <c r="E1067" i="3"/>
  <c r="E1068" i="3"/>
  <c r="C1069" i="3"/>
  <c r="E1069" i="3"/>
  <c r="C1070" i="3"/>
  <c r="B1071" i="3"/>
  <c r="E1071" i="3"/>
  <c r="B1072" i="3"/>
  <c r="E1072" i="3"/>
  <c r="E1073" i="3"/>
  <c r="E1074" i="3"/>
  <c r="E1075" i="3"/>
  <c r="C1076" i="3"/>
  <c r="E1076" i="3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1" i="2"/>
  <c r="B972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998" i="2"/>
  <c r="B999" i="2"/>
  <c r="B1000" i="2"/>
  <c r="B1001" i="2"/>
  <c r="B1002" i="2"/>
  <c r="B1003" i="2"/>
  <c r="B1004" i="2"/>
  <c r="B1005" i="2"/>
  <c r="B1006" i="2"/>
  <c r="B1007" i="2"/>
  <c r="B1008" i="2"/>
  <c r="B1009" i="2"/>
  <c r="B1010" i="2"/>
  <c r="B1011" i="2"/>
  <c r="B1012" i="2"/>
  <c r="B1013" i="2"/>
  <c r="B1014" i="2"/>
  <c r="B1015" i="2"/>
  <c r="B1016" i="2"/>
  <c r="B1017" i="2"/>
  <c r="B1018" i="2"/>
  <c r="B1019" i="2"/>
  <c r="B1020" i="2"/>
  <c r="B1021" i="2"/>
  <c r="B1022" i="2"/>
  <c r="B1023" i="2"/>
  <c r="B1024" i="2"/>
  <c r="B1025" i="2"/>
  <c r="B1026" i="2"/>
  <c r="B1027" i="2"/>
  <c r="B1028" i="2"/>
  <c r="B1029" i="2"/>
  <c r="B1031" i="2"/>
  <c r="C1031" i="2"/>
  <c r="D1031" i="2"/>
  <c r="E1031" i="2"/>
  <c r="F1031" i="2"/>
  <c r="G1031" i="2"/>
  <c r="I1031" i="2"/>
  <c r="J1031" i="2"/>
  <c r="B1032" i="2"/>
  <c r="C1032" i="2"/>
  <c r="D1032" i="2"/>
  <c r="E1032" i="2"/>
  <c r="F1032" i="2"/>
  <c r="G1032" i="2"/>
  <c r="H1032" i="2"/>
  <c r="I1032" i="2"/>
  <c r="J1032" i="2"/>
  <c r="B1033" i="2"/>
  <c r="C1033" i="2"/>
  <c r="D1033" i="2"/>
  <c r="E1033" i="2"/>
  <c r="F1033" i="2"/>
  <c r="G1033" i="2"/>
  <c r="H1033" i="2"/>
  <c r="I1033" i="2"/>
  <c r="J1033" i="2"/>
  <c r="B1034" i="2"/>
  <c r="C1034" i="2"/>
  <c r="D1034" i="2"/>
  <c r="E1034" i="2"/>
  <c r="F1034" i="2"/>
  <c r="G1034" i="2"/>
  <c r="H1034" i="2"/>
  <c r="I1034" i="2"/>
  <c r="J1034" i="2"/>
  <c r="B1035" i="2"/>
  <c r="C1035" i="2"/>
  <c r="D1035" i="2"/>
  <c r="E1035" i="2"/>
  <c r="F1035" i="2"/>
  <c r="G1035" i="2"/>
  <c r="H1035" i="2"/>
  <c r="I1035" i="2"/>
  <c r="J1035" i="2"/>
  <c r="B1036" i="2"/>
  <c r="C1036" i="2"/>
  <c r="D1036" i="2"/>
  <c r="E1036" i="2"/>
  <c r="F1036" i="2"/>
  <c r="G1036" i="2"/>
  <c r="H1036" i="2"/>
  <c r="I1036" i="2"/>
  <c r="J1036" i="2"/>
  <c r="B1037" i="2"/>
  <c r="C1037" i="2"/>
  <c r="D1037" i="2"/>
  <c r="E1037" i="2"/>
  <c r="F1037" i="2"/>
  <c r="G1037" i="2"/>
  <c r="H1037" i="2"/>
  <c r="I1037" i="2"/>
  <c r="J1037" i="2"/>
  <c r="B1038" i="2"/>
  <c r="C1038" i="2"/>
  <c r="D1038" i="2"/>
  <c r="E1038" i="2"/>
  <c r="F1038" i="2"/>
  <c r="G1038" i="2"/>
  <c r="H1038" i="2"/>
  <c r="I1038" i="2"/>
  <c r="J1038" i="2"/>
  <c r="B1039" i="2"/>
  <c r="C1039" i="2"/>
  <c r="D1039" i="2"/>
  <c r="E1039" i="2"/>
  <c r="F1039" i="2"/>
  <c r="G1039" i="2"/>
  <c r="H1039" i="2"/>
  <c r="I1039" i="2"/>
  <c r="J1039" i="2"/>
  <c r="B1040" i="2"/>
  <c r="C1040" i="2"/>
  <c r="D1040" i="2"/>
  <c r="E1040" i="2"/>
  <c r="F1040" i="2"/>
  <c r="G1040" i="2"/>
  <c r="H1040" i="2"/>
  <c r="I1040" i="2"/>
  <c r="J1040" i="2"/>
  <c r="B1041" i="2"/>
  <c r="C1041" i="2"/>
  <c r="D1041" i="2"/>
  <c r="E1041" i="2"/>
  <c r="F1041" i="2"/>
  <c r="G1041" i="2"/>
  <c r="H1041" i="2"/>
  <c r="I1041" i="2"/>
  <c r="J1041" i="2"/>
  <c r="B1042" i="2"/>
  <c r="C1042" i="2"/>
  <c r="D1042" i="2"/>
  <c r="E1042" i="2"/>
  <c r="F1042" i="2"/>
  <c r="G1042" i="2"/>
  <c r="H1042" i="2"/>
  <c r="I1042" i="2"/>
  <c r="J1042" i="2"/>
  <c r="B1043" i="2"/>
  <c r="C1043" i="2"/>
  <c r="D1043" i="2"/>
  <c r="E1043" i="2"/>
  <c r="F1043" i="2"/>
  <c r="G1043" i="2"/>
  <c r="H1043" i="2"/>
  <c r="I1043" i="2"/>
  <c r="J1043" i="2"/>
  <c r="B1044" i="2"/>
  <c r="C1044" i="2"/>
  <c r="D1044" i="2"/>
  <c r="E1044" i="2"/>
  <c r="F1044" i="2"/>
  <c r="G1044" i="2"/>
  <c r="H1044" i="2"/>
  <c r="I1044" i="2"/>
  <c r="J1044" i="2"/>
  <c r="B1045" i="2"/>
  <c r="C1045" i="2"/>
  <c r="D1045" i="2"/>
  <c r="E1045" i="2"/>
  <c r="F1045" i="2"/>
  <c r="G1045" i="2"/>
  <c r="H1045" i="2"/>
  <c r="I1045" i="2"/>
  <c r="J1045" i="2"/>
  <c r="B1046" i="2"/>
  <c r="C1046" i="2"/>
  <c r="D1046" i="2"/>
  <c r="E1046" i="2"/>
  <c r="F1046" i="2"/>
  <c r="G1046" i="2"/>
  <c r="H1046" i="2"/>
  <c r="I1046" i="2"/>
  <c r="J1046" i="2"/>
  <c r="B1047" i="2"/>
  <c r="C1047" i="2"/>
  <c r="D1047" i="2"/>
  <c r="E1047" i="2"/>
  <c r="F1047" i="2"/>
  <c r="G1047" i="2"/>
  <c r="H1047" i="2"/>
  <c r="I1047" i="2"/>
  <c r="J1047" i="2"/>
  <c r="B1048" i="2"/>
  <c r="C1048" i="2"/>
  <c r="D1048" i="2"/>
  <c r="E1048" i="2"/>
  <c r="F1048" i="2"/>
  <c r="G1048" i="2"/>
  <c r="H1048" i="2"/>
  <c r="I1048" i="2"/>
  <c r="J1048" i="2"/>
  <c r="B1049" i="2"/>
  <c r="C1049" i="2"/>
  <c r="D1049" i="2"/>
  <c r="E1049" i="2"/>
  <c r="F1049" i="2"/>
  <c r="G1049" i="2"/>
  <c r="H1049" i="2"/>
  <c r="I1049" i="2"/>
  <c r="J1049" i="2"/>
  <c r="B1050" i="2"/>
  <c r="C1050" i="2"/>
  <c r="D1050" i="2"/>
  <c r="E1050" i="2"/>
  <c r="F1050" i="2"/>
  <c r="G1050" i="2"/>
  <c r="H1050" i="2"/>
  <c r="I1050" i="2"/>
  <c r="J1050" i="2"/>
  <c r="B1051" i="2"/>
  <c r="C1051" i="2"/>
  <c r="D1051" i="2"/>
  <c r="E1051" i="2"/>
  <c r="F1051" i="2"/>
  <c r="G1051" i="2"/>
  <c r="H1051" i="2"/>
  <c r="I1051" i="2"/>
  <c r="J1051" i="2"/>
  <c r="B1052" i="2"/>
  <c r="C1052" i="2"/>
  <c r="D1052" i="2"/>
  <c r="E1052" i="2"/>
  <c r="F1052" i="2"/>
  <c r="G1052" i="2"/>
  <c r="H1052" i="2"/>
  <c r="I1052" i="2"/>
  <c r="J1052" i="2"/>
  <c r="A1053" i="2"/>
  <c r="C1053" i="2"/>
  <c r="D1053" i="2"/>
  <c r="E1053" i="2"/>
  <c r="F1053" i="2"/>
  <c r="G1053" i="2"/>
  <c r="H1053" i="2"/>
  <c r="I1053" i="2"/>
  <c r="J1053" i="2"/>
  <c r="C1054" i="2"/>
  <c r="D1054" i="2"/>
  <c r="E1054" i="2"/>
  <c r="F1054" i="2"/>
  <c r="G1054" i="2"/>
  <c r="H1054" i="2"/>
  <c r="I1054" i="2"/>
  <c r="J1054" i="2"/>
  <c r="C1055" i="2"/>
  <c r="D1055" i="2"/>
  <c r="E1055" i="2"/>
  <c r="F1055" i="2"/>
  <c r="G1055" i="2"/>
  <c r="H1055" i="2"/>
  <c r="I1055" i="2"/>
  <c r="J1055" i="2"/>
  <c r="C1056" i="2"/>
  <c r="D1056" i="2"/>
  <c r="E1056" i="2"/>
  <c r="F1056" i="2"/>
  <c r="G1056" i="2"/>
  <c r="H1056" i="2"/>
  <c r="I1056" i="2"/>
  <c r="J1056" i="2"/>
  <c r="C1057" i="2"/>
  <c r="D1057" i="2"/>
  <c r="E1057" i="2"/>
  <c r="F1057" i="2"/>
  <c r="G1057" i="2"/>
  <c r="H1057" i="2"/>
  <c r="I1057" i="2"/>
  <c r="J1057" i="2"/>
  <c r="C1058" i="2"/>
  <c r="D1058" i="2"/>
  <c r="E1058" i="2"/>
  <c r="F1058" i="2"/>
  <c r="G1058" i="2"/>
  <c r="H1058" i="2"/>
  <c r="I1058" i="2"/>
  <c r="J1058" i="2"/>
  <c r="C1059" i="2"/>
  <c r="D1059" i="2"/>
  <c r="E1059" i="2"/>
  <c r="F1059" i="2"/>
  <c r="G1059" i="2"/>
  <c r="H1059" i="2"/>
  <c r="I1059" i="2"/>
  <c r="J1059" i="2"/>
  <c r="C1060" i="2"/>
  <c r="D1060" i="2"/>
  <c r="E1060" i="2"/>
  <c r="F1060" i="2"/>
  <c r="G1060" i="2"/>
  <c r="H1060" i="2"/>
  <c r="I1060" i="2"/>
  <c r="J1060" i="2"/>
  <c r="C1061" i="2"/>
  <c r="D1061" i="2"/>
  <c r="E1061" i="2"/>
  <c r="F1061" i="2"/>
  <c r="G1061" i="2"/>
  <c r="H1061" i="2"/>
  <c r="I1061" i="2"/>
  <c r="J1061" i="2"/>
  <c r="C1062" i="2"/>
  <c r="D1062" i="2"/>
  <c r="E1062" i="2"/>
  <c r="F1062" i="2"/>
  <c r="G1062" i="2"/>
  <c r="H1062" i="2"/>
  <c r="I1062" i="2"/>
  <c r="J1062" i="2"/>
  <c r="C1063" i="2"/>
  <c r="D1063" i="2"/>
  <c r="E1063" i="2"/>
  <c r="F1063" i="2"/>
  <c r="G1063" i="2"/>
  <c r="H1063" i="2"/>
  <c r="I1063" i="2"/>
  <c r="J1063" i="2"/>
  <c r="C1064" i="2"/>
  <c r="D1064" i="2"/>
  <c r="E1064" i="2"/>
  <c r="F1064" i="2"/>
  <c r="G1064" i="2"/>
  <c r="H1064" i="2"/>
  <c r="I1064" i="2"/>
  <c r="J1064" i="2"/>
  <c r="C1065" i="2"/>
  <c r="D1065" i="2"/>
  <c r="E1065" i="2"/>
  <c r="F1065" i="2"/>
  <c r="G1065" i="2"/>
  <c r="H1065" i="2"/>
  <c r="I1065" i="2"/>
  <c r="J1065" i="2"/>
  <c r="C1066" i="2"/>
  <c r="D1066" i="2"/>
  <c r="E1066" i="2"/>
  <c r="F1066" i="2"/>
  <c r="G1066" i="2"/>
  <c r="H1066" i="2"/>
  <c r="I1066" i="2"/>
  <c r="J1066" i="2"/>
  <c r="C1067" i="2"/>
  <c r="D1067" i="2"/>
  <c r="E1067" i="2"/>
  <c r="F1067" i="2"/>
  <c r="G1067" i="2"/>
  <c r="H1067" i="2"/>
  <c r="I1067" i="2"/>
  <c r="J1067" i="2"/>
  <c r="C1068" i="2"/>
  <c r="D1068" i="2"/>
  <c r="E1068" i="2"/>
  <c r="F1068" i="2"/>
  <c r="G1068" i="2"/>
  <c r="H1068" i="2"/>
  <c r="I1068" i="2"/>
  <c r="J1068" i="2"/>
  <c r="C1069" i="2"/>
  <c r="D1069" i="2"/>
  <c r="E1069" i="2"/>
  <c r="F1069" i="2"/>
  <c r="G1069" i="2"/>
  <c r="H1069" i="2"/>
  <c r="I1069" i="2"/>
  <c r="J1069" i="2"/>
  <c r="C1070" i="2"/>
  <c r="D1070" i="2"/>
  <c r="E1070" i="2"/>
  <c r="F1070" i="2"/>
  <c r="G1070" i="2"/>
  <c r="H1070" i="2"/>
  <c r="I1070" i="2"/>
  <c r="J1070" i="2"/>
  <c r="C1071" i="2"/>
  <c r="D1071" i="2"/>
  <c r="E1071" i="2"/>
  <c r="F1071" i="2"/>
  <c r="G1071" i="2"/>
  <c r="H1071" i="2"/>
  <c r="I1071" i="2"/>
  <c r="J1071" i="2"/>
  <c r="C1072" i="2"/>
  <c r="D1072" i="2"/>
  <c r="E1072" i="2"/>
  <c r="F1072" i="2"/>
  <c r="G1072" i="2"/>
  <c r="H1072" i="2"/>
  <c r="I1072" i="2"/>
  <c r="J1072" i="2"/>
  <c r="C1073" i="2"/>
  <c r="D1073" i="2"/>
  <c r="E1073" i="2"/>
  <c r="F1073" i="2"/>
  <c r="G1073" i="2"/>
  <c r="H1073" i="2"/>
  <c r="I1073" i="2"/>
  <c r="J1073" i="2"/>
  <c r="C1074" i="2"/>
  <c r="D1074" i="2"/>
  <c r="E1074" i="2"/>
  <c r="F1074" i="2"/>
  <c r="G1074" i="2"/>
  <c r="H1074" i="2"/>
  <c r="I1074" i="2"/>
  <c r="J1074" i="2"/>
  <c r="C1075" i="2"/>
  <c r="D1075" i="2"/>
  <c r="E1075" i="2"/>
  <c r="F1075" i="2"/>
  <c r="G1075" i="2"/>
  <c r="H1075" i="2"/>
  <c r="I1075" i="2"/>
  <c r="J1075" i="2"/>
  <c r="C1076" i="2"/>
  <c r="D1076" i="2"/>
  <c r="E1076" i="2"/>
  <c r="F1076" i="2"/>
  <c r="G1076" i="2"/>
  <c r="H1076" i="2"/>
  <c r="I1076" i="2"/>
  <c r="J1076" i="2"/>
  <c r="D4" i="1"/>
  <c r="F4" i="1"/>
  <c r="B10" i="1"/>
  <c r="C10" i="1"/>
  <c r="D10" i="1"/>
  <c r="E10" i="1"/>
  <c r="F10" i="1"/>
  <c r="G10" i="1"/>
  <c r="H10" i="1"/>
  <c r="J10" i="1"/>
  <c r="R10" i="1"/>
  <c r="B11" i="1"/>
  <c r="C11" i="1"/>
  <c r="D11" i="1"/>
  <c r="E11" i="1"/>
  <c r="F11" i="1"/>
  <c r="G11" i="1"/>
  <c r="H11" i="1"/>
  <c r="J11" i="1"/>
  <c r="R11" i="1"/>
  <c r="B12" i="1"/>
  <c r="C12" i="1"/>
  <c r="D12" i="1"/>
  <c r="E12" i="1"/>
  <c r="F12" i="1"/>
  <c r="G12" i="1"/>
  <c r="H12" i="1"/>
  <c r="J12" i="1"/>
  <c r="R12" i="1"/>
  <c r="B13" i="1"/>
  <c r="C13" i="1"/>
  <c r="D13" i="1"/>
  <c r="E13" i="1"/>
  <c r="F13" i="1"/>
  <c r="G13" i="1"/>
  <c r="H13" i="1"/>
  <c r="J13" i="1"/>
  <c r="R13" i="1"/>
  <c r="B14" i="1"/>
  <c r="C14" i="1"/>
  <c r="D14" i="1"/>
  <c r="E14" i="1"/>
  <c r="F14" i="1"/>
  <c r="G14" i="1"/>
  <c r="H14" i="1"/>
  <c r="J14" i="1"/>
  <c r="R14" i="1"/>
  <c r="B15" i="1"/>
  <c r="C15" i="1"/>
  <c r="D15" i="1"/>
  <c r="E15" i="1"/>
  <c r="F15" i="1"/>
  <c r="G15" i="1"/>
  <c r="G1031" i="1" s="1"/>
  <c r="H15" i="1"/>
  <c r="J15" i="1"/>
  <c r="R15" i="1"/>
  <c r="B16" i="1"/>
  <c r="C16" i="1"/>
  <c r="D16" i="1"/>
  <c r="E16" i="1"/>
  <c r="F16" i="1"/>
  <c r="G16" i="1"/>
  <c r="H16" i="1"/>
  <c r="J16" i="1"/>
  <c r="R16" i="1"/>
  <c r="B17" i="1"/>
  <c r="C17" i="1"/>
  <c r="D17" i="1"/>
  <c r="E17" i="1"/>
  <c r="E1031" i="1" s="1"/>
  <c r="F17" i="1"/>
  <c r="G17" i="1"/>
  <c r="H17" i="1"/>
  <c r="J17" i="1"/>
  <c r="R17" i="1"/>
  <c r="B18" i="1"/>
  <c r="C18" i="1"/>
  <c r="D18" i="1"/>
  <c r="E18" i="1"/>
  <c r="F18" i="1"/>
  <c r="G18" i="1"/>
  <c r="H18" i="1"/>
  <c r="J18" i="1"/>
  <c r="R18" i="1"/>
  <c r="B19" i="1"/>
  <c r="C19" i="1"/>
  <c r="D19" i="1"/>
  <c r="E19" i="1"/>
  <c r="F19" i="1"/>
  <c r="G19" i="1"/>
  <c r="H19" i="1"/>
  <c r="J19" i="1"/>
  <c r="R19" i="1"/>
  <c r="B20" i="1"/>
  <c r="C20" i="1"/>
  <c r="D20" i="1"/>
  <c r="E20" i="1"/>
  <c r="F20" i="1"/>
  <c r="G20" i="1"/>
  <c r="H20" i="1"/>
  <c r="J20" i="1"/>
  <c r="R20" i="1"/>
  <c r="B21" i="1"/>
  <c r="C21" i="1"/>
  <c r="D21" i="1"/>
  <c r="E21" i="1"/>
  <c r="F21" i="1"/>
  <c r="G21" i="1"/>
  <c r="H21" i="1"/>
  <c r="J21" i="1"/>
  <c r="R21" i="1"/>
  <c r="B22" i="1"/>
  <c r="C22" i="1"/>
  <c r="D22" i="1"/>
  <c r="E22" i="1"/>
  <c r="F22" i="1"/>
  <c r="G22" i="1"/>
  <c r="H22" i="1"/>
  <c r="J22" i="1"/>
  <c r="R22" i="1"/>
  <c r="B23" i="1"/>
  <c r="C23" i="1"/>
  <c r="D23" i="1"/>
  <c r="E23" i="1"/>
  <c r="F23" i="1"/>
  <c r="G23" i="1"/>
  <c r="G1032" i="1" s="1"/>
  <c r="H23" i="1"/>
  <c r="J23" i="1"/>
  <c r="R23" i="1"/>
  <c r="B24" i="1"/>
  <c r="C24" i="1"/>
  <c r="D24" i="1"/>
  <c r="E24" i="1"/>
  <c r="F24" i="1"/>
  <c r="G24" i="1"/>
  <c r="H24" i="1"/>
  <c r="J24" i="1"/>
  <c r="R24" i="1"/>
  <c r="B25" i="1"/>
  <c r="C25" i="1"/>
  <c r="D25" i="1"/>
  <c r="E25" i="1"/>
  <c r="E1032" i="1" s="1"/>
  <c r="F25" i="1"/>
  <c r="G25" i="1"/>
  <c r="H25" i="1"/>
  <c r="J25" i="1"/>
  <c r="R25" i="1"/>
  <c r="B26" i="1"/>
  <c r="C26" i="1"/>
  <c r="D26" i="1"/>
  <c r="E26" i="1"/>
  <c r="F26" i="1"/>
  <c r="G26" i="1"/>
  <c r="H26" i="1"/>
  <c r="I26" i="1"/>
  <c r="J26" i="1"/>
  <c r="R26" i="1"/>
  <c r="B27" i="1"/>
  <c r="C27" i="1"/>
  <c r="D27" i="1"/>
  <c r="E27" i="1"/>
  <c r="F27" i="1"/>
  <c r="G27" i="1"/>
  <c r="H27" i="1"/>
  <c r="I27" i="1"/>
  <c r="J27" i="1"/>
  <c r="R27" i="1"/>
  <c r="B28" i="1"/>
  <c r="C28" i="1"/>
  <c r="D28" i="1"/>
  <c r="E28" i="1"/>
  <c r="F28" i="1"/>
  <c r="G28" i="1"/>
  <c r="H28" i="1"/>
  <c r="I28" i="1"/>
  <c r="J28" i="1"/>
  <c r="R28" i="1"/>
  <c r="B29" i="1"/>
  <c r="C29" i="1"/>
  <c r="D29" i="1"/>
  <c r="E29" i="1"/>
  <c r="F29" i="1"/>
  <c r="G29" i="1"/>
  <c r="H29" i="1"/>
  <c r="I29" i="1"/>
  <c r="J29" i="1"/>
  <c r="R29" i="1"/>
  <c r="B30" i="1"/>
  <c r="C30" i="1"/>
  <c r="D30" i="1"/>
  <c r="E30" i="1"/>
  <c r="F30" i="1"/>
  <c r="G30" i="1"/>
  <c r="H30" i="1"/>
  <c r="I30" i="1"/>
  <c r="J30" i="1"/>
  <c r="R30" i="1"/>
  <c r="B31" i="1"/>
  <c r="C31" i="1"/>
  <c r="D31" i="1"/>
  <c r="E31" i="1"/>
  <c r="F31" i="1"/>
  <c r="G31" i="1"/>
  <c r="H31" i="1"/>
  <c r="I31" i="1"/>
  <c r="J31" i="1"/>
  <c r="R31" i="1"/>
  <c r="B32" i="1"/>
  <c r="C32" i="1"/>
  <c r="D32" i="1"/>
  <c r="E32" i="1"/>
  <c r="F32" i="1"/>
  <c r="G32" i="1"/>
  <c r="H32" i="1"/>
  <c r="I32" i="1"/>
  <c r="J32" i="1"/>
  <c r="R32" i="1"/>
  <c r="B33" i="1"/>
  <c r="C33" i="1"/>
  <c r="D33" i="1"/>
  <c r="E33" i="1"/>
  <c r="F33" i="1"/>
  <c r="G33" i="1"/>
  <c r="H33" i="1"/>
  <c r="I33" i="1"/>
  <c r="J33" i="1"/>
  <c r="R33" i="1"/>
  <c r="B34" i="1"/>
  <c r="C34" i="1"/>
  <c r="D34" i="1"/>
  <c r="E34" i="1"/>
  <c r="F34" i="1"/>
  <c r="G34" i="1"/>
  <c r="H34" i="1"/>
  <c r="I34" i="1"/>
  <c r="J34" i="1"/>
  <c r="R34" i="1"/>
  <c r="B35" i="1"/>
  <c r="C35" i="1"/>
  <c r="D35" i="1"/>
  <c r="E35" i="1"/>
  <c r="F35" i="1"/>
  <c r="G35" i="1"/>
  <c r="H35" i="1"/>
  <c r="I35" i="1"/>
  <c r="J35" i="1"/>
  <c r="R35" i="1"/>
  <c r="B36" i="1"/>
  <c r="C36" i="1"/>
  <c r="D36" i="1"/>
  <c r="E36" i="1"/>
  <c r="F36" i="1"/>
  <c r="G36" i="1"/>
  <c r="H36" i="1"/>
  <c r="I36" i="1"/>
  <c r="J36" i="1"/>
  <c r="R36" i="1"/>
  <c r="B37" i="1"/>
  <c r="C37" i="1"/>
  <c r="D37" i="1"/>
  <c r="E37" i="1"/>
  <c r="F37" i="1"/>
  <c r="G37" i="1"/>
  <c r="H37" i="1"/>
  <c r="I37" i="1"/>
  <c r="J37" i="1"/>
  <c r="R37" i="1"/>
  <c r="B38" i="1"/>
  <c r="C38" i="1"/>
  <c r="D38" i="1"/>
  <c r="E38" i="1"/>
  <c r="F38" i="1"/>
  <c r="G38" i="1"/>
  <c r="H38" i="1"/>
  <c r="I38" i="1"/>
  <c r="J38" i="1"/>
  <c r="R38" i="1"/>
  <c r="B39" i="1"/>
  <c r="C39" i="1"/>
  <c r="D39" i="1"/>
  <c r="E39" i="1"/>
  <c r="F39" i="1"/>
  <c r="G39" i="1"/>
  <c r="H39" i="1"/>
  <c r="I39" i="1"/>
  <c r="J39" i="1"/>
  <c r="R39" i="1"/>
  <c r="B40" i="1"/>
  <c r="C40" i="1"/>
  <c r="D40" i="1"/>
  <c r="E40" i="1"/>
  <c r="F40" i="1"/>
  <c r="G40" i="1"/>
  <c r="H40" i="1"/>
  <c r="I40" i="1"/>
  <c r="J40" i="1"/>
  <c r="R40" i="1"/>
  <c r="B41" i="1"/>
  <c r="C41" i="1"/>
  <c r="D41" i="1"/>
  <c r="E41" i="1"/>
  <c r="F41" i="1"/>
  <c r="G41" i="1"/>
  <c r="H41" i="1"/>
  <c r="I41" i="1"/>
  <c r="J41" i="1"/>
  <c r="R41" i="1"/>
  <c r="B42" i="1"/>
  <c r="C42" i="1"/>
  <c r="D42" i="1"/>
  <c r="E42" i="1"/>
  <c r="F42" i="1"/>
  <c r="G42" i="1"/>
  <c r="H42" i="1"/>
  <c r="I42" i="1"/>
  <c r="J42" i="1"/>
  <c r="R42" i="1"/>
  <c r="B43" i="1"/>
  <c r="C43" i="1"/>
  <c r="D43" i="1"/>
  <c r="E43" i="1"/>
  <c r="F43" i="1"/>
  <c r="G43" i="1"/>
  <c r="H43" i="1"/>
  <c r="I43" i="1"/>
  <c r="J43" i="1"/>
  <c r="R43" i="1"/>
  <c r="B44" i="1"/>
  <c r="C44" i="1"/>
  <c r="D44" i="1"/>
  <c r="E44" i="1"/>
  <c r="F44" i="1"/>
  <c r="G44" i="1"/>
  <c r="H44" i="1"/>
  <c r="I44" i="1"/>
  <c r="J44" i="1"/>
  <c r="R44" i="1"/>
  <c r="B45" i="1"/>
  <c r="C45" i="1"/>
  <c r="D45" i="1"/>
  <c r="E45" i="1"/>
  <c r="F45" i="1"/>
  <c r="G45" i="1"/>
  <c r="H45" i="1"/>
  <c r="I45" i="1"/>
  <c r="J45" i="1"/>
  <c r="R45" i="1"/>
  <c r="B46" i="1"/>
  <c r="C46" i="1"/>
  <c r="D46" i="1"/>
  <c r="E46" i="1"/>
  <c r="F46" i="1"/>
  <c r="G46" i="1"/>
  <c r="H46" i="1"/>
  <c r="I46" i="1"/>
  <c r="J46" i="1"/>
  <c r="R46" i="1"/>
  <c r="B47" i="1"/>
  <c r="C47" i="1"/>
  <c r="D47" i="1"/>
  <c r="E47" i="1"/>
  <c r="F47" i="1"/>
  <c r="G47" i="1"/>
  <c r="H47" i="1"/>
  <c r="I47" i="1"/>
  <c r="J47" i="1"/>
  <c r="R47" i="1"/>
  <c r="B48" i="1"/>
  <c r="C48" i="1"/>
  <c r="D48" i="1"/>
  <c r="E48" i="1"/>
  <c r="F48" i="1"/>
  <c r="G48" i="1"/>
  <c r="H48" i="1"/>
  <c r="I48" i="1"/>
  <c r="J48" i="1"/>
  <c r="R48" i="1"/>
  <c r="B49" i="1"/>
  <c r="C49" i="1"/>
  <c r="D49" i="1"/>
  <c r="E49" i="1"/>
  <c r="F49" i="1"/>
  <c r="G49" i="1"/>
  <c r="H49" i="1"/>
  <c r="I49" i="1"/>
  <c r="J49" i="1"/>
  <c r="R49" i="1"/>
  <c r="B50" i="1"/>
  <c r="C50" i="1"/>
  <c r="D50" i="1"/>
  <c r="E50" i="1"/>
  <c r="F50" i="1"/>
  <c r="G50" i="1"/>
  <c r="H50" i="1"/>
  <c r="I50" i="1"/>
  <c r="J50" i="1"/>
  <c r="R50" i="1"/>
  <c r="B51" i="1"/>
  <c r="C51" i="1"/>
  <c r="D51" i="1"/>
  <c r="E51" i="1"/>
  <c r="F51" i="1"/>
  <c r="G51" i="1"/>
  <c r="H51" i="1"/>
  <c r="I51" i="1"/>
  <c r="J51" i="1"/>
  <c r="R51" i="1"/>
  <c r="B52" i="1"/>
  <c r="C52" i="1"/>
  <c r="D52" i="1"/>
  <c r="E52" i="1"/>
  <c r="F52" i="1"/>
  <c r="G52" i="1"/>
  <c r="H52" i="1"/>
  <c r="I52" i="1"/>
  <c r="J52" i="1"/>
  <c r="R52" i="1"/>
  <c r="B53" i="1"/>
  <c r="C53" i="1"/>
  <c r="D53" i="1"/>
  <c r="E53" i="1"/>
  <c r="F53" i="1"/>
  <c r="G53" i="1"/>
  <c r="H53" i="1"/>
  <c r="I53" i="1"/>
  <c r="J53" i="1"/>
  <c r="R53" i="1"/>
  <c r="B54" i="1"/>
  <c r="C54" i="1"/>
  <c r="D54" i="1"/>
  <c r="E54" i="1"/>
  <c r="F54" i="1"/>
  <c r="G54" i="1"/>
  <c r="H54" i="1"/>
  <c r="I54" i="1"/>
  <c r="J54" i="1"/>
  <c r="R54" i="1"/>
  <c r="B55" i="1"/>
  <c r="C55" i="1"/>
  <c r="D55" i="1"/>
  <c r="E55" i="1"/>
  <c r="F55" i="1"/>
  <c r="G55" i="1"/>
  <c r="H55" i="1"/>
  <c r="I55" i="1"/>
  <c r="J55" i="1"/>
  <c r="R55" i="1"/>
  <c r="B56" i="1"/>
  <c r="C56" i="1"/>
  <c r="D56" i="1"/>
  <c r="E56" i="1"/>
  <c r="F56" i="1"/>
  <c r="G56" i="1"/>
  <c r="H56" i="1"/>
  <c r="I56" i="1"/>
  <c r="J56" i="1"/>
  <c r="R56" i="1"/>
  <c r="B57" i="1"/>
  <c r="C57" i="1"/>
  <c r="D57" i="1"/>
  <c r="E57" i="1"/>
  <c r="F57" i="1"/>
  <c r="G57" i="1"/>
  <c r="H57" i="1"/>
  <c r="I57" i="1"/>
  <c r="J57" i="1"/>
  <c r="R57" i="1"/>
  <c r="B58" i="1"/>
  <c r="C58" i="1"/>
  <c r="D58" i="1"/>
  <c r="E58" i="1"/>
  <c r="F58" i="1"/>
  <c r="G58" i="1"/>
  <c r="H58" i="1"/>
  <c r="I58" i="1"/>
  <c r="J58" i="1"/>
  <c r="R58" i="1"/>
  <c r="B59" i="1"/>
  <c r="C59" i="1"/>
  <c r="D59" i="1"/>
  <c r="E59" i="1"/>
  <c r="F59" i="1"/>
  <c r="G59" i="1"/>
  <c r="H59" i="1"/>
  <c r="I59" i="1"/>
  <c r="J59" i="1"/>
  <c r="R59" i="1"/>
  <c r="B60" i="1"/>
  <c r="C60" i="1"/>
  <c r="D60" i="1"/>
  <c r="E60" i="1"/>
  <c r="F60" i="1"/>
  <c r="G60" i="1"/>
  <c r="H60" i="1"/>
  <c r="I60" i="1"/>
  <c r="J60" i="1"/>
  <c r="R60" i="1"/>
  <c r="B61" i="1"/>
  <c r="C61" i="1"/>
  <c r="D61" i="1"/>
  <c r="E61" i="1"/>
  <c r="F61" i="1"/>
  <c r="G61" i="1"/>
  <c r="H61" i="1"/>
  <c r="I61" i="1"/>
  <c r="J61" i="1"/>
  <c r="R61" i="1"/>
  <c r="B62" i="1"/>
  <c r="C62" i="1"/>
  <c r="D62" i="1"/>
  <c r="E62" i="1"/>
  <c r="F62" i="1"/>
  <c r="G62" i="1"/>
  <c r="H62" i="1"/>
  <c r="I62" i="1"/>
  <c r="J62" i="1"/>
  <c r="R62" i="1"/>
  <c r="B63" i="1"/>
  <c r="C63" i="1"/>
  <c r="D63" i="1"/>
  <c r="E63" i="1"/>
  <c r="F63" i="1"/>
  <c r="G63" i="1"/>
  <c r="H63" i="1"/>
  <c r="I63" i="1"/>
  <c r="J63" i="1"/>
  <c r="R63" i="1"/>
  <c r="B64" i="1"/>
  <c r="C64" i="1"/>
  <c r="D64" i="1"/>
  <c r="E64" i="1"/>
  <c r="F64" i="1"/>
  <c r="G64" i="1"/>
  <c r="H64" i="1"/>
  <c r="I64" i="1"/>
  <c r="J64" i="1"/>
  <c r="R64" i="1"/>
  <c r="B65" i="1"/>
  <c r="C65" i="1"/>
  <c r="D65" i="1"/>
  <c r="E65" i="1"/>
  <c r="F65" i="1"/>
  <c r="G65" i="1"/>
  <c r="H65" i="1"/>
  <c r="I65" i="1"/>
  <c r="J65" i="1"/>
  <c r="R65" i="1"/>
  <c r="B66" i="1"/>
  <c r="C66" i="1"/>
  <c r="D66" i="1"/>
  <c r="E66" i="1"/>
  <c r="F66" i="1"/>
  <c r="G66" i="1"/>
  <c r="H66" i="1"/>
  <c r="I66" i="1"/>
  <c r="J66" i="1"/>
  <c r="R66" i="1"/>
  <c r="B67" i="1"/>
  <c r="C67" i="1"/>
  <c r="D67" i="1"/>
  <c r="E67" i="1"/>
  <c r="F67" i="1"/>
  <c r="G67" i="1"/>
  <c r="H67" i="1"/>
  <c r="I67" i="1"/>
  <c r="J67" i="1"/>
  <c r="R67" i="1"/>
  <c r="B68" i="1"/>
  <c r="C68" i="1"/>
  <c r="D68" i="1"/>
  <c r="E68" i="1"/>
  <c r="F68" i="1"/>
  <c r="G68" i="1"/>
  <c r="H68" i="1"/>
  <c r="I68" i="1"/>
  <c r="J68" i="1"/>
  <c r="R68" i="1"/>
  <c r="B69" i="1"/>
  <c r="C69" i="1"/>
  <c r="D69" i="1"/>
  <c r="E69" i="1"/>
  <c r="F69" i="1"/>
  <c r="G69" i="1"/>
  <c r="H69" i="1"/>
  <c r="I69" i="1"/>
  <c r="J69" i="1"/>
  <c r="R69" i="1"/>
  <c r="B70" i="1"/>
  <c r="C70" i="1"/>
  <c r="D70" i="1"/>
  <c r="E70" i="1"/>
  <c r="F70" i="1"/>
  <c r="G70" i="1"/>
  <c r="H70" i="1"/>
  <c r="I70" i="1"/>
  <c r="J70" i="1"/>
  <c r="R70" i="1"/>
  <c r="B71" i="1"/>
  <c r="C71" i="1"/>
  <c r="D71" i="1"/>
  <c r="E71" i="1"/>
  <c r="F71" i="1"/>
  <c r="G71" i="1"/>
  <c r="H71" i="1"/>
  <c r="I71" i="1"/>
  <c r="J71" i="1"/>
  <c r="R71" i="1"/>
  <c r="B72" i="1"/>
  <c r="C72" i="1"/>
  <c r="D72" i="1"/>
  <c r="E72" i="1"/>
  <c r="F72" i="1"/>
  <c r="G72" i="1"/>
  <c r="H72" i="1"/>
  <c r="I72" i="1"/>
  <c r="J72" i="1"/>
  <c r="R72" i="1"/>
  <c r="B73" i="1"/>
  <c r="C73" i="1"/>
  <c r="D73" i="1"/>
  <c r="E73" i="1"/>
  <c r="F73" i="1"/>
  <c r="G73" i="1"/>
  <c r="H73" i="1"/>
  <c r="I73" i="1"/>
  <c r="J73" i="1"/>
  <c r="R73" i="1"/>
  <c r="B74" i="1"/>
  <c r="C74" i="1"/>
  <c r="D74" i="1"/>
  <c r="E74" i="1"/>
  <c r="F74" i="1"/>
  <c r="G74" i="1"/>
  <c r="H74" i="1"/>
  <c r="I74" i="1"/>
  <c r="J74" i="1"/>
  <c r="R74" i="1"/>
  <c r="B75" i="1"/>
  <c r="C75" i="1"/>
  <c r="D75" i="1"/>
  <c r="E75" i="1"/>
  <c r="F75" i="1"/>
  <c r="G75" i="1"/>
  <c r="H75" i="1"/>
  <c r="I75" i="1"/>
  <c r="J75" i="1"/>
  <c r="R75" i="1"/>
  <c r="B76" i="1"/>
  <c r="C76" i="1"/>
  <c r="D76" i="1"/>
  <c r="E76" i="1"/>
  <c r="F76" i="1"/>
  <c r="G76" i="1"/>
  <c r="H76" i="1"/>
  <c r="I76" i="1"/>
  <c r="J76" i="1"/>
  <c r="R76" i="1"/>
  <c r="B77" i="1"/>
  <c r="C77" i="1"/>
  <c r="D77" i="1"/>
  <c r="E77" i="1"/>
  <c r="F77" i="1"/>
  <c r="G77" i="1"/>
  <c r="H77" i="1"/>
  <c r="I77" i="1"/>
  <c r="J77" i="1"/>
  <c r="R77" i="1"/>
  <c r="B78" i="1"/>
  <c r="C78" i="1"/>
  <c r="D78" i="1"/>
  <c r="E78" i="1"/>
  <c r="F78" i="1"/>
  <c r="G78" i="1"/>
  <c r="H78" i="1"/>
  <c r="I78" i="1"/>
  <c r="J78" i="1"/>
  <c r="R78" i="1"/>
  <c r="B79" i="1"/>
  <c r="C79" i="1"/>
  <c r="D79" i="1"/>
  <c r="E79" i="1"/>
  <c r="F79" i="1"/>
  <c r="G79" i="1"/>
  <c r="H79" i="1"/>
  <c r="I79" i="1"/>
  <c r="J79" i="1"/>
  <c r="R79" i="1"/>
  <c r="B80" i="1"/>
  <c r="C80" i="1"/>
  <c r="D80" i="1"/>
  <c r="E80" i="1"/>
  <c r="F80" i="1"/>
  <c r="G80" i="1"/>
  <c r="H80" i="1"/>
  <c r="I80" i="1"/>
  <c r="J80" i="1"/>
  <c r="R80" i="1"/>
  <c r="B81" i="1"/>
  <c r="C81" i="1"/>
  <c r="D81" i="1"/>
  <c r="E81" i="1"/>
  <c r="F81" i="1"/>
  <c r="G81" i="1"/>
  <c r="H81" i="1"/>
  <c r="I81" i="1"/>
  <c r="J81" i="1"/>
  <c r="R81" i="1"/>
  <c r="B82" i="1"/>
  <c r="C82" i="1"/>
  <c r="D82" i="1"/>
  <c r="E82" i="1"/>
  <c r="F82" i="1"/>
  <c r="G82" i="1"/>
  <c r="H82" i="1"/>
  <c r="I82" i="1"/>
  <c r="J82" i="1"/>
  <c r="R82" i="1"/>
  <c r="B83" i="1"/>
  <c r="C83" i="1"/>
  <c r="D83" i="1"/>
  <c r="E83" i="1"/>
  <c r="F83" i="1"/>
  <c r="G83" i="1"/>
  <c r="H83" i="1"/>
  <c r="I83" i="1"/>
  <c r="J83" i="1"/>
  <c r="R83" i="1"/>
  <c r="B84" i="1"/>
  <c r="C84" i="1"/>
  <c r="D84" i="1"/>
  <c r="E84" i="1"/>
  <c r="F84" i="1"/>
  <c r="G84" i="1"/>
  <c r="H84" i="1"/>
  <c r="I84" i="1"/>
  <c r="J84" i="1"/>
  <c r="R84" i="1"/>
  <c r="B85" i="1"/>
  <c r="C85" i="1"/>
  <c r="D85" i="1"/>
  <c r="E85" i="1"/>
  <c r="F85" i="1"/>
  <c r="G85" i="1"/>
  <c r="H85" i="1"/>
  <c r="I85" i="1"/>
  <c r="J85" i="1"/>
  <c r="B86" i="1"/>
  <c r="C86" i="1"/>
  <c r="D86" i="1"/>
  <c r="E86" i="1"/>
  <c r="F86" i="1"/>
  <c r="G86" i="1"/>
  <c r="H86" i="1"/>
  <c r="I86" i="1"/>
  <c r="J86" i="1"/>
  <c r="B87" i="1"/>
  <c r="C87" i="1"/>
  <c r="D87" i="1"/>
  <c r="E87" i="1"/>
  <c r="F87" i="1"/>
  <c r="G87" i="1"/>
  <c r="H87" i="1"/>
  <c r="I87" i="1"/>
  <c r="J87" i="1"/>
  <c r="B88" i="1"/>
  <c r="C88" i="1"/>
  <c r="D88" i="1"/>
  <c r="E88" i="1"/>
  <c r="F88" i="1"/>
  <c r="G88" i="1"/>
  <c r="H88" i="1"/>
  <c r="I88" i="1"/>
  <c r="J88" i="1"/>
  <c r="B89" i="1"/>
  <c r="C89" i="1"/>
  <c r="D89" i="1"/>
  <c r="E89" i="1"/>
  <c r="F89" i="1"/>
  <c r="G89" i="1"/>
  <c r="H89" i="1"/>
  <c r="I89" i="1"/>
  <c r="J89" i="1"/>
  <c r="B90" i="1"/>
  <c r="C90" i="1"/>
  <c r="D90" i="1"/>
  <c r="E90" i="1"/>
  <c r="F90" i="1"/>
  <c r="G90" i="1"/>
  <c r="H90" i="1"/>
  <c r="I90" i="1"/>
  <c r="I1037" i="1" s="1"/>
  <c r="J90" i="1"/>
  <c r="B91" i="1"/>
  <c r="C91" i="1"/>
  <c r="D91" i="1"/>
  <c r="E91" i="1"/>
  <c r="F91" i="1"/>
  <c r="G91" i="1"/>
  <c r="H91" i="1"/>
  <c r="I91" i="1"/>
  <c r="J91" i="1"/>
  <c r="B92" i="1"/>
  <c r="C92" i="1"/>
  <c r="D92" i="1"/>
  <c r="E92" i="1"/>
  <c r="F92" i="1"/>
  <c r="G92" i="1"/>
  <c r="H92" i="1"/>
  <c r="I92" i="1"/>
  <c r="J92" i="1"/>
  <c r="B93" i="1"/>
  <c r="C93" i="1"/>
  <c r="D93" i="1"/>
  <c r="E93" i="1"/>
  <c r="F93" i="1"/>
  <c r="G93" i="1"/>
  <c r="H93" i="1"/>
  <c r="I93" i="1"/>
  <c r="J93" i="1"/>
  <c r="B94" i="1"/>
  <c r="C94" i="1"/>
  <c r="D94" i="1"/>
  <c r="E94" i="1"/>
  <c r="F94" i="1"/>
  <c r="G94" i="1"/>
  <c r="H94" i="1"/>
  <c r="I94" i="1"/>
  <c r="J94" i="1"/>
  <c r="B95" i="1"/>
  <c r="C95" i="1"/>
  <c r="D95" i="1"/>
  <c r="E95" i="1"/>
  <c r="F95" i="1"/>
  <c r="G95" i="1"/>
  <c r="H95" i="1"/>
  <c r="I95" i="1"/>
  <c r="J95" i="1"/>
  <c r="B96" i="1"/>
  <c r="C96" i="1"/>
  <c r="D96" i="1"/>
  <c r="E96" i="1"/>
  <c r="F96" i="1"/>
  <c r="G96" i="1"/>
  <c r="H96" i="1"/>
  <c r="I96" i="1"/>
  <c r="J96" i="1"/>
  <c r="B97" i="1"/>
  <c r="C97" i="1"/>
  <c r="D97" i="1"/>
  <c r="E97" i="1"/>
  <c r="F97" i="1"/>
  <c r="G97" i="1"/>
  <c r="H97" i="1"/>
  <c r="I97" i="1"/>
  <c r="J97" i="1"/>
  <c r="B98" i="1"/>
  <c r="C98" i="1"/>
  <c r="D98" i="1"/>
  <c r="E98" i="1"/>
  <c r="F98" i="1"/>
  <c r="G98" i="1"/>
  <c r="H98" i="1"/>
  <c r="I98" i="1"/>
  <c r="J98" i="1"/>
  <c r="B99" i="1"/>
  <c r="C99" i="1"/>
  <c r="D99" i="1"/>
  <c r="E99" i="1"/>
  <c r="F99" i="1"/>
  <c r="F1038" i="1" s="1"/>
  <c r="G99" i="1"/>
  <c r="H99" i="1"/>
  <c r="I99" i="1"/>
  <c r="J99" i="1"/>
  <c r="B100" i="1"/>
  <c r="C100" i="1"/>
  <c r="D100" i="1"/>
  <c r="E100" i="1"/>
  <c r="F100" i="1"/>
  <c r="G100" i="1"/>
  <c r="H100" i="1"/>
  <c r="I100" i="1"/>
  <c r="J100" i="1"/>
  <c r="B101" i="1"/>
  <c r="C101" i="1"/>
  <c r="D101" i="1"/>
  <c r="E101" i="1"/>
  <c r="F101" i="1"/>
  <c r="G101" i="1"/>
  <c r="H101" i="1"/>
  <c r="I101" i="1"/>
  <c r="J101" i="1"/>
  <c r="B102" i="1"/>
  <c r="C102" i="1"/>
  <c r="D102" i="1"/>
  <c r="E102" i="1"/>
  <c r="F102" i="1"/>
  <c r="G102" i="1"/>
  <c r="H102" i="1"/>
  <c r="I102" i="1"/>
  <c r="J102" i="1"/>
  <c r="B103" i="1"/>
  <c r="C103" i="1"/>
  <c r="D103" i="1"/>
  <c r="E103" i="1"/>
  <c r="F103" i="1"/>
  <c r="G103" i="1"/>
  <c r="H103" i="1"/>
  <c r="I103" i="1"/>
  <c r="J103" i="1"/>
  <c r="B104" i="1"/>
  <c r="C104" i="1"/>
  <c r="D104" i="1"/>
  <c r="E104" i="1"/>
  <c r="F104" i="1"/>
  <c r="G104" i="1"/>
  <c r="H104" i="1"/>
  <c r="I104" i="1"/>
  <c r="J104" i="1"/>
  <c r="B105" i="1"/>
  <c r="C105" i="1"/>
  <c r="D105" i="1"/>
  <c r="E105" i="1"/>
  <c r="F105" i="1"/>
  <c r="G105" i="1"/>
  <c r="H105" i="1"/>
  <c r="I105" i="1"/>
  <c r="J105" i="1"/>
  <c r="B106" i="1"/>
  <c r="C106" i="1"/>
  <c r="D106" i="1"/>
  <c r="E106" i="1"/>
  <c r="F106" i="1"/>
  <c r="G106" i="1"/>
  <c r="H106" i="1"/>
  <c r="I106" i="1"/>
  <c r="J106" i="1"/>
  <c r="B107" i="1"/>
  <c r="C107" i="1"/>
  <c r="D107" i="1"/>
  <c r="E107" i="1"/>
  <c r="F107" i="1"/>
  <c r="G107" i="1"/>
  <c r="H107" i="1"/>
  <c r="I107" i="1"/>
  <c r="J107" i="1"/>
  <c r="B108" i="1"/>
  <c r="C108" i="1"/>
  <c r="D108" i="1"/>
  <c r="E108" i="1"/>
  <c r="F108" i="1"/>
  <c r="G108" i="1"/>
  <c r="H108" i="1"/>
  <c r="I108" i="1"/>
  <c r="J108" i="1"/>
  <c r="B109" i="1"/>
  <c r="C109" i="1"/>
  <c r="D109" i="1"/>
  <c r="E109" i="1"/>
  <c r="F109" i="1"/>
  <c r="G109" i="1"/>
  <c r="H109" i="1"/>
  <c r="I109" i="1"/>
  <c r="J109" i="1"/>
  <c r="B110" i="1"/>
  <c r="C110" i="1"/>
  <c r="D110" i="1"/>
  <c r="E110" i="1"/>
  <c r="F110" i="1"/>
  <c r="G110" i="1"/>
  <c r="H110" i="1"/>
  <c r="I110" i="1"/>
  <c r="J110" i="1"/>
  <c r="B111" i="1"/>
  <c r="C111" i="1"/>
  <c r="D111" i="1"/>
  <c r="E111" i="1"/>
  <c r="F111" i="1"/>
  <c r="G111" i="1"/>
  <c r="H111" i="1"/>
  <c r="I111" i="1"/>
  <c r="J111" i="1"/>
  <c r="B112" i="1"/>
  <c r="C112" i="1"/>
  <c r="D112" i="1"/>
  <c r="E112" i="1"/>
  <c r="F112" i="1"/>
  <c r="G112" i="1"/>
  <c r="H112" i="1"/>
  <c r="I112" i="1"/>
  <c r="J112" i="1"/>
  <c r="B113" i="1"/>
  <c r="C113" i="1"/>
  <c r="D113" i="1"/>
  <c r="E113" i="1"/>
  <c r="F113" i="1"/>
  <c r="G113" i="1"/>
  <c r="H113" i="1"/>
  <c r="I113" i="1"/>
  <c r="J113" i="1"/>
  <c r="J1039" i="1" s="1"/>
  <c r="B114" i="1"/>
  <c r="C114" i="1"/>
  <c r="D114" i="1"/>
  <c r="E114" i="1"/>
  <c r="F114" i="1"/>
  <c r="G114" i="1"/>
  <c r="H114" i="1"/>
  <c r="I114" i="1"/>
  <c r="J114" i="1"/>
  <c r="B115" i="1"/>
  <c r="C115" i="1"/>
  <c r="D115" i="1"/>
  <c r="E115" i="1"/>
  <c r="F115" i="1"/>
  <c r="G115" i="1"/>
  <c r="H115" i="1"/>
  <c r="I115" i="1"/>
  <c r="J115" i="1"/>
  <c r="B116" i="1"/>
  <c r="C116" i="1"/>
  <c r="D116" i="1"/>
  <c r="E116" i="1"/>
  <c r="F116" i="1"/>
  <c r="G116" i="1"/>
  <c r="H116" i="1"/>
  <c r="I116" i="1"/>
  <c r="J116" i="1"/>
  <c r="B117" i="1"/>
  <c r="C117" i="1"/>
  <c r="D117" i="1"/>
  <c r="E117" i="1"/>
  <c r="F117" i="1"/>
  <c r="G117" i="1"/>
  <c r="H117" i="1"/>
  <c r="I117" i="1"/>
  <c r="J117" i="1"/>
  <c r="B118" i="1"/>
  <c r="C118" i="1"/>
  <c r="D118" i="1"/>
  <c r="E118" i="1"/>
  <c r="F118" i="1"/>
  <c r="G118" i="1"/>
  <c r="H118" i="1"/>
  <c r="I118" i="1"/>
  <c r="J118" i="1"/>
  <c r="B119" i="1"/>
  <c r="C119" i="1"/>
  <c r="D119" i="1"/>
  <c r="E119" i="1"/>
  <c r="F119" i="1"/>
  <c r="G119" i="1"/>
  <c r="H119" i="1"/>
  <c r="I119" i="1"/>
  <c r="J119" i="1"/>
  <c r="B120" i="1"/>
  <c r="C120" i="1"/>
  <c r="D120" i="1"/>
  <c r="E120" i="1"/>
  <c r="F120" i="1"/>
  <c r="G120" i="1"/>
  <c r="H120" i="1"/>
  <c r="I120" i="1"/>
  <c r="J120" i="1"/>
  <c r="B121" i="1"/>
  <c r="C121" i="1"/>
  <c r="D121" i="1"/>
  <c r="E121" i="1"/>
  <c r="F121" i="1"/>
  <c r="G121" i="1"/>
  <c r="H121" i="1"/>
  <c r="I121" i="1"/>
  <c r="J121" i="1"/>
  <c r="B122" i="1"/>
  <c r="C122" i="1"/>
  <c r="C1040" i="1" s="1"/>
  <c r="D122" i="1"/>
  <c r="E122" i="1"/>
  <c r="F122" i="1"/>
  <c r="G122" i="1"/>
  <c r="H122" i="1"/>
  <c r="I122" i="1"/>
  <c r="J122" i="1"/>
  <c r="B123" i="1"/>
  <c r="C123" i="1"/>
  <c r="D123" i="1"/>
  <c r="E123" i="1"/>
  <c r="F123" i="1"/>
  <c r="G123" i="1"/>
  <c r="H123" i="1"/>
  <c r="I123" i="1"/>
  <c r="J123" i="1"/>
  <c r="B124" i="1"/>
  <c r="C124" i="1"/>
  <c r="D124" i="1"/>
  <c r="E124" i="1"/>
  <c r="F124" i="1"/>
  <c r="G124" i="1"/>
  <c r="G1040" i="1" s="1"/>
  <c r="H124" i="1"/>
  <c r="I124" i="1"/>
  <c r="J124" i="1"/>
  <c r="B125" i="1"/>
  <c r="C125" i="1"/>
  <c r="D125" i="1"/>
  <c r="E125" i="1"/>
  <c r="F125" i="1"/>
  <c r="F1040" i="1" s="1"/>
  <c r="G125" i="1"/>
  <c r="H125" i="1"/>
  <c r="I125" i="1"/>
  <c r="J125" i="1"/>
  <c r="B126" i="1"/>
  <c r="C126" i="1"/>
  <c r="D126" i="1"/>
  <c r="E126" i="1"/>
  <c r="F126" i="1"/>
  <c r="G126" i="1"/>
  <c r="H126" i="1"/>
  <c r="I126" i="1"/>
  <c r="J126" i="1"/>
  <c r="B127" i="1"/>
  <c r="C127" i="1"/>
  <c r="D127" i="1"/>
  <c r="E127" i="1"/>
  <c r="F127" i="1"/>
  <c r="G127" i="1"/>
  <c r="H127" i="1"/>
  <c r="I127" i="1"/>
  <c r="J127" i="1"/>
  <c r="B128" i="1"/>
  <c r="C128" i="1"/>
  <c r="D128" i="1"/>
  <c r="E128" i="1"/>
  <c r="F128" i="1"/>
  <c r="G128" i="1"/>
  <c r="H128" i="1"/>
  <c r="I128" i="1"/>
  <c r="J128" i="1"/>
  <c r="B129" i="1"/>
  <c r="C129" i="1"/>
  <c r="D129" i="1"/>
  <c r="E129" i="1"/>
  <c r="F129" i="1"/>
  <c r="G129" i="1"/>
  <c r="H129" i="1"/>
  <c r="I129" i="1"/>
  <c r="J129" i="1"/>
  <c r="B130" i="1"/>
  <c r="C130" i="1"/>
  <c r="D130" i="1"/>
  <c r="E130" i="1"/>
  <c r="F130" i="1"/>
  <c r="G130" i="1"/>
  <c r="H130" i="1"/>
  <c r="I130" i="1"/>
  <c r="J130" i="1"/>
  <c r="B131" i="1"/>
  <c r="C131" i="1"/>
  <c r="D131" i="1"/>
  <c r="E131" i="1"/>
  <c r="F131" i="1"/>
  <c r="G131" i="1"/>
  <c r="H131" i="1"/>
  <c r="I131" i="1"/>
  <c r="J131" i="1"/>
  <c r="B132" i="1"/>
  <c r="C132" i="1"/>
  <c r="D132" i="1"/>
  <c r="E132" i="1"/>
  <c r="F132" i="1"/>
  <c r="G132" i="1"/>
  <c r="H132" i="1"/>
  <c r="I132" i="1"/>
  <c r="J132" i="1"/>
  <c r="B133" i="1"/>
  <c r="C133" i="1"/>
  <c r="D133" i="1"/>
  <c r="E133" i="1"/>
  <c r="F133" i="1"/>
  <c r="G133" i="1"/>
  <c r="H133" i="1"/>
  <c r="I133" i="1"/>
  <c r="J133" i="1"/>
  <c r="B134" i="1"/>
  <c r="C134" i="1"/>
  <c r="D134" i="1"/>
  <c r="E134" i="1"/>
  <c r="F134" i="1"/>
  <c r="G134" i="1"/>
  <c r="H134" i="1"/>
  <c r="I134" i="1"/>
  <c r="J134" i="1"/>
  <c r="B135" i="1"/>
  <c r="C135" i="1"/>
  <c r="D135" i="1"/>
  <c r="E135" i="1"/>
  <c r="F135" i="1"/>
  <c r="G135" i="1"/>
  <c r="H135" i="1"/>
  <c r="I135" i="1"/>
  <c r="J135" i="1"/>
  <c r="J1041" i="1" s="1"/>
  <c r="B136" i="1"/>
  <c r="C136" i="1"/>
  <c r="D136" i="1"/>
  <c r="E136" i="1"/>
  <c r="F136" i="1"/>
  <c r="G136" i="1"/>
  <c r="H136" i="1"/>
  <c r="I136" i="1"/>
  <c r="J136" i="1"/>
  <c r="B137" i="1"/>
  <c r="C137" i="1"/>
  <c r="D137" i="1"/>
  <c r="E137" i="1"/>
  <c r="F137" i="1"/>
  <c r="G137" i="1"/>
  <c r="H137" i="1"/>
  <c r="I137" i="1"/>
  <c r="J137" i="1"/>
  <c r="B138" i="1"/>
  <c r="C138" i="1"/>
  <c r="D138" i="1"/>
  <c r="E138" i="1"/>
  <c r="F138" i="1"/>
  <c r="G138" i="1"/>
  <c r="H138" i="1"/>
  <c r="I138" i="1"/>
  <c r="J138" i="1"/>
  <c r="B139" i="1"/>
  <c r="C139" i="1"/>
  <c r="D139" i="1"/>
  <c r="E139" i="1"/>
  <c r="F139" i="1"/>
  <c r="G139" i="1"/>
  <c r="H139" i="1"/>
  <c r="I139" i="1"/>
  <c r="J139" i="1"/>
  <c r="B140" i="1"/>
  <c r="C140" i="1"/>
  <c r="D140" i="1"/>
  <c r="E140" i="1"/>
  <c r="F140" i="1"/>
  <c r="G140" i="1"/>
  <c r="H140" i="1"/>
  <c r="I140" i="1"/>
  <c r="J140" i="1"/>
  <c r="B141" i="1"/>
  <c r="C141" i="1"/>
  <c r="D141" i="1"/>
  <c r="E141" i="1"/>
  <c r="F141" i="1"/>
  <c r="G141" i="1"/>
  <c r="H141" i="1"/>
  <c r="I141" i="1"/>
  <c r="J141" i="1"/>
  <c r="B142" i="1"/>
  <c r="C142" i="1"/>
  <c r="D142" i="1"/>
  <c r="E142" i="1"/>
  <c r="F142" i="1"/>
  <c r="G142" i="1"/>
  <c r="H142" i="1"/>
  <c r="I142" i="1"/>
  <c r="J142" i="1"/>
  <c r="B143" i="1"/>
  <c r="C143" i="1"/>
  <c r="D143" i="1"/>
  <c r="E143" i="1"/>
  <c r="F143" i="1"/>
  <c r="G143" i="1"/>
  <c r="H143" i="1"/>
  <c r="I143" i="1"/>
  <c r="J143" i="1"/>
  <c r="B144" i="1"/>
  <c r="C144" i="1"/>
  <c r="D144" i="1"/>
  <c r="E144" i="1"/>
  <c r="F144" i="1"/>
  <c r="G144" i="1"/>
  <c r="H144" i="1"/>
  <c r="I144" i="1"/>
  <c r="J144" i="1"/>
  <c r="B145" i="1"/>
  <c r="C145" i="1"/>
  <c r="D145" i="1"/>
  <c r="E145" i="1"/>
  <c r="F145" i="1"/>
  <c r="G145" i="1"/>
  <c r="H145" i="1"/>
  <c r="I145" i="1"/>
  <c r="J145" i="1"/>
  <c r="B146" i="1"/>
  <c r="C146" i="1"/>
  <c r="C1042" i="1" s="1"/>
  <c r="D146" i="1"/>
  <c r="E146" i="1"/>
  <c r="F146" i="1"/>
  <c r="G146" i="1"/>
  <c r="H146" i="1"/>
  <c r="I146" i="1"/>
  <c r="J146" i="1"/>
  <c r="B147" i="1"/>
  <c r="C147" i="1"/>
  <c r="D147" i="1"/>
  <c r="E147" i="1"/>
  <c r="F147" i="1"/>
  <c r="G147" i="1"/>
  <c r="H147" i="1"/>
  <c r="I147" i="1"/>
  <c r="J147" i="1"/>
  <c r="B148" i="1"/>
  <c r="C148" i="1"/>
  <c r="D148" i="1"/>
  <c r="E148" i="1"/>
  <c r="F148" i="1"/>
  <c r="G148" i="1"/>
  <c r="H148" i="1"/>
  <c r="I148" i="1"/>
  <c r="J148" i="1"/>
  <c r="B149" i="1"/>
  <c r="C149" i="1"/>
  <c r="D149" i="1"/>
  <c r="E149" i="1"/>
  <c r="F149" i="1"/>
  <c r="G149" i="1"/>
  <c r="H149" i="1"/>
  <c r="I149" i="1"/>
  <c r="J149" i="1"/>
  <c r="B150" i="1"/>
  <c r="C150" i="1"/>
  <c r="D150" i="1"/>
  <c r="E150" i="1"/>
  <c r="F150" i="1"/>
  <c r="G150" i="1"/>
  <c r="H150" i="1"/>
  <c r="I150" i="1"/>
  <c r="J150" i="1"/>
  <c r="B151" i="1"/>
  <c r="C151" i="1"/>
  <c r="D151" i="1"/>
  <c r="E151" i="1"/>
  <c r="F151" i="1"/>
  <c r="G151" i="1"/>
  <c r="H151" i="1"/>
  <c r="I151" i="1"/>
  <c r="J151" i="1"/>
  <c r="B152" i="1"/>
  <c r="C152" i="1"/>
  <c r="D152" i="1"/>
  <c r="E152" i="1"/>
  <c r="F152" i="1"/>
  <c r="G152" i="1"/>
  <c r="H152" i="1"/>
  <c r="I152" i="1"/>
  <c r="J152" i="1"/>
  <c r="B153" i="1"/>
  <c r="C153" i="1"/>
  <c r="D153" i="1"/>
  <c r="E153" i="1"/>
  <c r="F153" i="1"/>
  <c r="G153" i="1"/>
  <c r="H153" i="1"/>
  <c r="I153" i="1"/>
  <c r="J153" i="1"/>
  <c r="B154" i="1"/>
  <c r="C154" i="1"/>
  <c r="D154" i="1"/>
  <c r="E154" i="1"/>
  <c r="F154" i="1"/>
  <c r="G154" i="1"/>
  <c r="H154" i="1"/>
  <c r="I154" i="1"/>
  <c r="J154" i="1"/>
  <c r="B155" i="1"/>
  <c r="C155" i="1"/>
  <c r="D155" i="1"/>
  <c r="E155" i="1"/>
  <c r="F155" i="1"/>
  <c r="G155" i="1"/>
  <c r="H155" i="1"/>
  <c r="I155" i="1"/>
  <c r="J155" i="1"/>
  <c r="B156" i="1"/>
  <c r="C156" i="1"/>
  <c r="D156" i="1"/>
  <c r="E156" i="1"/>
  <c r="F156" i="1"/>
  <c r="G156" i="1"/>
  <c r="H156" i="1"/>
  <c r="I156" i="1"/>
  <c r="J156" i="1"/>
  <c r="B157" i="1"/>
  <c r="C157" i="1"/>
  <c r="D157" i="1"/>
  <c r="E157" i="1"/>
  <c r="F157" i="1"/>
  <c r="G157" i="1"/>
  <c r="H157" i="1"/>
  <c r="I157" i="1"/>
  <c r="J157" i="1"/>
  <c r="B158" i="1"/>
  <c r="C158" i="1"/>
  <c r="D158" i="1"/>
  <c r="E158" i="1"/>
  <c r="F158" i="1"/>
  <c r="G158" i="1"/>
  <c r="H158" i="1"/>
  <c r="I158" i="1"/>
  <c r="J158" i="1"/>
  <c r="B159" i="1"/>
  <c r="C159" i="1"/>
  <c r="D159" i="1"/>
  <c r="E159" i="1"/>
  <c r="F159" i="1"/>
  <c r="G159" i="1"/>
  <c r="H159" i="1"/>
  <c r="I159" i="1"/>
  <c r="J159" i="1"/>
  <c r="B160" i="1"/>
  <c r="C160" i="1"/>
  <c r="D160" i="1"/>
  <c r="E160" i="1"/>
  <c r="F160" i="1"/>
  <c r="G160" i="1"/>
  <c r="H160" i="1"/>
  <c r="I160" i="1"/>
  <c r="J160" i="1"/>
  <c r="B161" i="1"/>
  <c r="C161" i="1"/>
  <c r="D161" i="1"/>
  <c r="E161" i="1"/>
  <c r="F161" i="1"/>
  <c r="G161" i="1"/>
  <c r="H161" i="1"/>
  <c r="I161" i="1"/>
  <c r="J161" i="1"/>
  <c r="J1043" i="1" s="1"/>
  <c r="B162" i="1"/>
  <c r="C162" i="1"/>
  <c r="D162" i="1"/>
  <c r="E162" i="1"/>
  <c r="F162" i="1"/>
  <c r="G162" i="1"/>
  <c r="H162" i="1"/>
  <c r="I162" i="1"/>
  <c r="J162" i="1"/>
  <c r="B163" i="1"/>
  <c r="C163" i="1"/>
  <c r="D163" i="1"/>
  <c r="E163" i="1"/>
  <c r="F163" i="1"/>
  <c r="G163" i="1"/>
  <c r="H163" i="1"/>
  <c r="I163" i="1"/>
  <c r="J163" i="1"/>
  <c r="B164" i="1"/>
  <c r="C164" i="1"/>
  <c r="D164" i="1"/>
  <c r="E164" i="1"/>
  <c r="F164" i="1"/>
  <c r="G164" i="1"/>
  <c r="H164" i="1"/>
  <c r="I164" i="1"/>
  <c r="J164" i="1"/>
  <c r="B165" i="1"/>
  <c r="C165" i="1"/>
  <c r="D165" i="1"/>
  <c r="E165" i="1"/>
  <c r="F165" i="1"/>
  <c r="G165" i="1"/>
  <c r="H165" i="1"/>
  <c r="I165" i="1"/>
  <c r="J165" i="1"/>
  <c r="B166" i="1"/>
  <c r="C166" i="1"/>
  <c r="D166" i="1"/>
  <c r="E166" i="1"/>
  <c r="F166" i="1"/>
  <c r="G166" i="1"/>
  <c r="H166" i="1"/>
  <c r="I166" i="1"/>
  <c r="J166" i="1"/>
  <c r="B167" i="1"/>
  <c r="C167" i="1"/>
  <c r="D167" i="1"/>
  <c r="E167" i="1"/>
  <c r="F167" i="1"/>
  <c r="G167" i="1"/>
  <c r="H167" i="1"/>
  <c r="I167" i="1"/>
  <c r="J167" i="1"/>
  <c r="B168" i="1"/>
  <c r="C168" i="1"/>
  <c r="D168" i="1"/>
  <c r="E168" i="1"/>
  <c r="F168" i="1"/>
  <c r="G168" i="1"/>
  <c r="H168" i="1"/>
  <c r="I168" i="1"/>
  <c r="J168" i="1"/>
  <c r="B169" i="1"/>
  <c r="C169" i="1"/>
  <c r="D169" i="1"/>
  <c r="E169" i="1"/>
  <c r="F169" i="1"/>
  <c r="G169" i="1"/>
  <c r="H169" i="1"/>
  <c r="I169" i="1"/>
  <c r="J169" i="1"/>
  <c r="B170" i="1"/>
  <c r="C170" i="1"/>
  <c r="D170" i="1"/>
  <c r="E170" i="1"/>
  <c r="E1044" i="1" s="1"/>
  <c r="F170" i="1"/>
  <c r="G170" i="1"/>
  <c r="H170" i="1"/>
  <c r="I170" i="1"/>
  <c r="J170" i="1"/>
  <c r="B171" i="1"/>
  <c r="C171" i="1"/>
  <c r="D171" i="1"/>
  <c r="E171" i="1"/>
  <c r="F171" i="1"/>
  <c r="G171" i="1"/>
  <c r="H171" i="1"/>
  <c r="I171" i="1"/>
  <c r="J171" i="1"/>
  <c r="B172" i="1"/>
  <c r="C172" i="1"/>
  <c r="D172" i="1"/>
  <c r="E172" i="1"/>
  <c r="F172" i="1"/>
  <c r="G172" i="1"/>
  <c r="H172" i="1"/>
  <c r="I172" i="1"/>
  <c r="J172" i="1"/>
  <c r="B173" i="1"/>
  <c r="C173" i="1"/>
  <c r="D173" i="1"/>
  <c r="E173" i="1"/>
  <c r="F173" i="1"/>
  <c r="F1044" i="1" s="1"/>
  <c r="G173" i="1"/>
  <c r="H173" i="1"/>
  <c r="I173" i="1"/>
  <c r="J173" i="1"/>
  <c r="B174" i="1"/>
  <c r="C174" i="1"/>
  <c r="D174" i="1"/>
  <c r="E174" i="1"/>
  <c r="F174" i="1"/>
  <c r="G174" i="1"/>
  <c r="H174" i="1"/>
  <c r="I174" i="1"/>
  <c r="J174" i="1"/>
  <c r="B175" i="1"/>
  <c r="C175" i="1"/>
  <c r="D175" i="1"/>
  <c r="E175" i="1"/>
  <c r="F175" i="1"/>
  <c r="G175" i="1"/>
  <c r="H175" i="1"/>
  <c r="I175" i="1"/>
  <c r="J175" i="1"/>
  <c r="B176" i="1"/>
  <c r="C176" i="1"/>
  <c r="D176" i="1"/>
  <c r="E176" i="1"/>
  <c r="F176" i="1"/>
  <c r="G176" i="1"/>
  <c r="H176" i="1"/>
  <c r="I176" i="1"/>
  <c r="J176" i="1"/>
  <c r="B177" i="1"/>
  <c r="C177" i="1"/>
  <c r="D177" i="1"/>
  <c r="E177" i="1"/>
  <c r="F177" i="1"/>
  <c r="G177" i="1"/>
  <c r="H177" i="1"/>
  <c r="I177" i="1"/>
  <c r="J177" i="1"/>
  <c r="B178" i="1"/>
  <c r="C178" i="1"/>
  <c r="D178" i="1"/>
  <c r="E178" i="1"/>
  <c r="F178" i="1"/>
  <c r="G178" i="1"/>
  <c r="H178" i="1"/>
  <c r="I178" i="1"/>
  <c r="J178" i="1"/>
  <c r="B179" i="1"/>
  <c r="C179" i="1"/>
  <c r="D179" i="1"/>
  <c r="E179" i="1"/>
  <c r="F179" i="1"/>
  <c r="G179" i="1"/>
  <c r="H179" i="1"/>
  <c r="I179" i="1"/>
  <c r="J179" i="1"/>
  <c r="B180" i="1"/>
  <c r="C180" i="1"/>
  <c r="D180" i="1"/>
  <c r="E180" i="1"/>
  <c r="F180" i="1"/>
  <c r="G180" i="1"/>
  <c r="H180" i="1"/>
  <c r="I180" i="1"/>
  <c r="J180" i="1"/>
  <c r="B181" i="1"/>
  <c r="C181" i="1"/>
  <c r="D181" i="1"/>
  <c r="E181" i="1"/>
  <c r="F181" i="1"/>
  <c r="G181" i="1"/>
  <c r="H181" i="1"/>
  <c r="I181" i="1"/>
  <c r="J181" i="1"/>
  <c r="B182" i="1"/>
  <c r="C182" i="1"/>
  <c r="D182" i="1"/>
  <c r="E182" i="1"/>
  <c r="F182" i="1"/>
  <c r="G182" i="1"/>
  <c r="H182" i="1"/>
  <c r="I182" i="1"/>
  <c r="J182" i="1"/>
  <c r="B183" i="1"/>
  <c r="C183" i="1"/>
  <c r="D183" i="1"/>
  <c r="E183" i="1"/>
  <c r="F183" i="1"/>
  <c r="F1045" i="1" s="1"/>
  <c r="G183" i="1"/>
  <c r="H183" i="1"/>
  <c r="I183" i="1"/>
  <c r="J183" i="1"/>
  <c r="B184" i="1"/>
  <c r="C184" i="1"/>
  <c r="D184" i="1"/>
  <c r="E184" i="1"/>
  <c r="F184" i="1"/>
  <c r="G184" i="1"/>
  <c r="H184" i="1"/>
  <c r="I184" i="1"/>
  <c r="J184" i="1"/>
  <c r="B185" i="1"/>
  <c r="C185" i="1"/>
  <c r="D185" i="1"/>
  <c r="E185" i="1"/>
  <c r="F185" i="1"/>
  <c r="G185" i="1"/>
  <c r="H185" i="1"/>
  <c r="I185" i="1"/>
  <c r="J185" i="1"/>
  <c r="B186" i="1"/>
  <c r="C186" i="1"/>
  <c r="D186" i="1"/>
  <c r="E186" i="1"/>
  <c r="F186" i="1"/>
  <c r="G186" i="1"/>
  <c r="H186" i="1"/>
  <c r="I186" i="1"/>
  <c r="J186" i="1"/>
  <c r="B187" i="1"/>
  <c r="C187" i="1"/>
  <c r="D187" i="1"/>
  <c r="E187" i="1"/>
  <c r="F187" i="1"/>
  <c r="G187" i="1"/>
  <c r="H187" i="1"/>
  <c r="I187" i="1"/>
  <c r="J187" i="1"/>
  <c r="B188" i="1"/>
  <c r="C188" i="1"/>
  <c r="D188" i="1"/>
  <c r="E188" i="1"/>
  <c r="F188" i="1"/>
  <c r="G188" i="1"/>
  <c r="H188" i="1"/>
  <c r="I188" i="1"/>
  <c r="J188" i="1"/>
  <c r="B189" i="1"/>
  <c r="C189" i="1"/>
  <c r="D189" i="1"/>
  <c r="E189" i="1"/>
  <c r="F189" i="1"/>
  <c r="G189" i="1"/>
  <c r="H189" i="1"/>
  <c r="I189" i="1"/>
  <c r="J189" i="1"/>
  <c r="B190" i="1"/>
  <c r="C190" i="1"/>
  <c r="D190" i="1"/>
  <c r="E190" i="1"/>
  <c r="F190" i="1"/>
  <c r="G190" i="1"/>
  <c r="H190" i="1"/>
  <c r="I190" i="1"/>
  <c r="J190" i="1"/>
  <c r="B191" i="1"/>
  <c r="C191" i="1"/>
  <c r="D191" i="1"/>
  <c r="E191" i="1"/>
  <c r="F191" i="1"/>
  <c r="G191" i="1"/>
  <c r="H191" i="1"/>
  <c r="I191" i="1"/>
  <c r="J191" i="1"/>
  <c r="B192" i="1"/>
  <c r="C192" i="1"/>
  <c r="D192" i="1"/>
  <c r="E192" i="1"/>
  <c r="F192" i="1"/>
  <c r="G192" i="1"/>
  <c r="H192" i="1"/>
  <c r="I192" i="1"/>
  <c r="J192" i="1"/>
  <c r="B193" i="1"/>
  <c r="C193" i="1"/>
  <c r="D193" i="1"/>
  <c r="E193" i="1"/>
  <c r="F193" i="1"/>
  <c r="G193" i="1"/>
  <c r="H193" i="1"/>
  <c r="I193" i="1"/>
  <c r="J193" i="1"/>
  <c r="B194" i="1"/>
  <c r="C194" i="1"/>
  <c r="D194" i="1"/>
  <c r="E194" i="1"/>
  <c r="F194" i="1"/>
  <c r="G194" i="1"/>
  <c r="H194" i="1"/>
  <c r="I194" i="1"/>
  <c r="J194" i="1"/>
  <c r="B195" i="1"/>
  <c r="C195" i="1"/>
  <c r="D195" i="1"/>
  <c r="E195" i="1"/>
  <c r="F195" i="1"/>
  <c r="G195" i="1"/>
  <c r="H195" i="1"/>
  <c r="I195" i="1"/>
  <c r="J195" i="1"/>
  <c r="B196" i="1"/>
  <c r="C196" i="1"/>
  <c r="D196" i="1"/>
  <c r="E196" i="1"/>
  <c r="F196" i="1"/>
  <c r="G196" i="1"/>
  <c r="G1046" i="1" s="1"/>
  <c r="H196" i="1"/>
  <c r="I196" i="1"/>
  <c r="J196" i="1"/>
  <c r="B197" i="1"/>
  <c r="C197" i="1"/>
  <c r="D197" i="1"/>
  <c r="E197" i="1"/>
  <c r="F197" i="1"/>
  <c r="F1046" i="1" s="1"/>
  <c r="G197" i="1"/>
  <c r="H197" i="1"/>
  <c r="I197" i="1"/>
  <c r="J197" i="1"/>
  <c r="B198" i="1"/>
  <c r="C198" i="1"/>
  <c r="D198" i="1"/>
  <c r="E198" i="1"/>
  <c r="F198" i="1"/>
  <c r="G198" i="1"/>
  <c r="H198" i="1"/>
  <c r="I198" i="1"/>
  <c r="J198" i="1"/>
  <c r="B199" i="1"/>
  <c r="C199" i="1"/>
  <c r="D199" i="1"/>
  <c r="E199" i="1"/>
  <c r="F199" i="1"/>
  <c r="G199" i="1"/>
  <c r="H199" i="1"/>
  <c r="I199" i="1"/>
  <c r="J199" i="1"/>
  <c r="B200" i="1"/>
  <c r="C200" i="1"/>
  <c r="D200" i="1"/>
  <c r="E200" i="1"/>
  <c r="F200" i="1"/>
  <c r="G200" i="1"/>
  <c r="H200" i="1"/>
  <c r="I200" i="1"/>
  <c r="J200" i="1"/>
  <c r="B201" i="1"/>
  <c r="C201" i="1"/>
  <c r="D201" i="1"/>
  <c r="E201" i="1"/>
  <c r="F201" i="1"/>
  <c r="G201" i="1"/>
  <c r="H201" i="1"/>
  <c r="I201" i="1"/>
  <c r="J201" i="1"/>
  <c r="B202" i="1"/>
  <c r="C202" i="1"/>
  <c r="D202" i="1"/>
  <c r="E202" i="1"/>
  <c r="F202" i="1"/>
  <c r="G202" i="1"/>
  <c r="H202" i="1"/>
  <c r="I202" i="1"/>
  <c r="J202" i="1"/>
  <c r="B203" i="1"/>
  <c r="C203" i="1"/>
  <c r="D203" i="1"/>
  <c r="E203" i="1"/>
  <c r="F203" i="1"/>
  <c r="G203" i="1"/>
  <c r="H203" i="1"/>
  <c r="I203" i="1"/>
  <c r="J203" i="1"/>
  <c r="B204" i="1"/>
  <c r="C204" i="1"/>
  <c r="D204" i="1"/>
  <c r="E204" i="1"/>
  <c r="F204" i="1"/>
  <c r="G204" i="1"/>
  <c r="H204" i="1"/>
  <c r="I204" i="1"/>
  <c r="J204" i="1"/>
  <c r="B205" i="1"/>
  <c r="C205" i="1"/>
  <c r="D205" i="1"/>
  <c r="E205" i="1"/>
  <c r="F205" i="1"/>
  <c r="G205" i="1"/>
  <c r="H205" i="1"/>
  <c r="I205" i="1"/>
  <c r="J205" i="1"/>
  <c r="B206" i="1"/>
  <c r="C206" i="1"/>
  <c r="D206" i="1"/>
  <c r="E206" i="1"/>
  <c r="F206" i="1"/>
  <c r="G206" i="1"/>
  <c r="G1047" i="1" s="1"/>
  <c r="H206" i="1"/>
  <c r="I206" i="1"/>
  <c r="J206" i="1"/>
  <c r="B207" i="1"/>
  <c r="C207" i="1"/>
  <c r="D207" i="1"/>
  <c r="E207" i="1"/>
  <c r="F207" i="1"/>
  <c r="G207" i="1"/>
  <c r="H207" i="1"/>
  <c r="I207" i="1"/>
  <c r="J207" i="1"/>
  <c r="B208" i="1"/>
  <c r="C208" i="1"/>
  <c r="D208" i="1"/>
  <c r="E208" i="1"/>
  <c r="F208" i="1"/>
  <c r="G208" i="1"/>
  <c r="H208" i="1"/>
  <c r="I208" i="1"/>
  <c r="J208" i="1"/>
  <c r="B209" i="1"/>
  <c r="C209" i="1"/>
  <c r="D209" i="1"/>
  <c r="E209" i="1"/>
  <c r="F209" i="1"/>
  <c r="G209" i="1"/>
  <c r="H209" i="1"/>
  <c r="I209" i="1"/>
  <c r="J209" i="1"/>
  <c r="B210" i="1"/>
  <c r="C210" i="1"/>
  <c r="D210" i="1"/>
  <c r="E210" i="1"/>
  <c r="F210" i="1"/>
  <c r="G210" i="1"/>
  <c r="H210" i="1"/>
  <c r="I210" i="1"/>
  <c r="J210" i="1"/>
  <c r="B211" i="1"/>
  <c r="C211" i="1"/>
  <c r="D211" i="1"/>
  <c r="E211" i="1"/>
  <c r="F211" i="1"/>
  <c r="G211" i="1"/>
  <c r="H211" i="1"/>
  <c r="I211" i="1"/>
  <c r="J211" i="1"/>
  <c r="B212" i="1"/>
  <c r="C212" i="1"/>
  <c r="D212" i="1"/>
  <c r="E212" i="1"/>
  <c r="F212" i="1"/>
  <c r="G212" i="1"/>
  <c r="H212" i="1"/>
  <c r="I212" i="1"/>
  <c r="J212" i="1"/>
  <c r="B213" i="1"/>
  <c r="C213" i="1"/>
  <c r="D213" i="1"/>
  <c r="E213" i="1"/>
  <c r="F213" i="1"/>
  <c r="G213" i="1"/>
  <c r="H213" i="1"/>
  <c r="I213" i="1"/>
  <c r="J213" i="1"/>
  <c r="B214" i="1"/>
  <c r="C214" i="1"/>
  <c r="D214" i="1"/>
  <c r="E214" i="1"/>
  <c r="F214" i="1"/>
  <c r="G214" i="1"/>
  <c r="H214" i="1"/>
  <c r="I214" i="1"/>
  <c r="J214" i="1"/>
  <c r="B215" i="1"/>
  <c r="C215" i="1"/>
  <c r="D215" i="1"/>
  <c r="E215" i="1"/>
  <c r="F215" i="1"/>
  <c r="G215" i="1"/>
  <c r="H215" i="1"/>
  <c r="I215" i="1"/>
  <c r="J215" i="1"/>
  <c r="B216" i="1"/>
  <c r="C216" i="1"/>
  <c r="D216" i="1"/>
  <c r="E216" i="1"/>
  <c r="F216" i="1"/>
  <c r="G216" i="1"/>
  <c r="H216" i="1"/>
  <c r="I216" i="1"/>
  <c r="J216" i="1"/>
  <c r="B217" i="1"/>
  <c r="C217" i="1"/>
  <c r="D217" i="1"/>
  <c r="E217" i="1"/>
  <c r="F217" i="1"/>
  <c r="G217" i="1"/>
  <c r="H217" i="1"/>
  <c r="I217" i="1"/>
  <c r="J217" i="1"/>
  <c r="B218" i="1"/>
  <c r="C218" i="1"/>
  <c r="D218" i="1"/>
  <c r="E218" i="1"/>
  <c r="F218" i="1"/>
  <c r="G218" i="1"/>
  <c r="H218" i="1"/>
  <c r="I218" i="1"/>
  <c r="J218" i="1"/>
  <c r="B219" i="1"/>
  <c r="C219" i="1"/>
  <c r="D219" i="1"/>
  <c r="E219" i="1"/>
  <c r="F219" i="1"/>
  <c r="F1048" i="1" s="1"/>
  <c r="G219" i="1"/>
  <c r="H219" i="1"/>
  <c r="I219" i="1"/>
  <c r="J219" i="1"/>
  <c r="B220" i="1"/>
  <c r="C220" i="1"/>
  <c r="D220" i="1"/>
  <c r="E220" i="1"/>
  <c r="F220" i="1"/>
  <c r="G220" i="1"/>
  <c r="H220" i="1"/>
  <c r="I220" i="1"/>
  <c r="J220" i="1"/>
  <c r="B221" i="1"/>
  <c r="C221" i="1"/>
  <c r="D221" i="1"/>
  <c r="E221" i="1"/>
  <c r="F221" i="1"/>
  <c r="G221" i="1"/>
  <c r="H221" i="1"/>
  <c r="I221" i="1"/>
  <c r="J221" i="1"/>
  <c r="B222" i="1"/>
  <c r="C222" i="1"/>
  <c r="D222" i="1"/>
  <c r="E222" i="1"/>
  <c r="F222" i="1"/>
  <c r="G222" i="1"/>
  <c r="H222" i="1"/>
  <c r="I222" i="1"/>
  <c r="J222" i="1"/>
  <c r="B223" i="1"/>
  <c r="C223" i="1"/>
  <c r="D223" i="1"/>
  <c r="E223" i="1"/>
  <c r="F223" i="1"/>
  <c r="G223" i="1"/>
  <c r="H223" i="1"/>
  <c r="I223" i="1"/>
  <c r="J223" i="1"/>
  <c r="B224" i="1"/>
  <c r="C224" i="1"/>
  <c r="D224" i="1"/>
  <c r="E224" i="1"/>
  <c r="F224" i="1"/>
  <c r="G224" i="1"/>
  <c r="H224" i="1"/>
  <c r="I224" i="1"/>
  <c r="J224" i="1"/>
  <c r="B225" i="1"/>
  <c r="C225" i="1"/>
  <c r="D225" i="1"/>
  <c r="E225" i="1"/>
  <c r="F225" i="1"/>
  <c r="G225" i="1"/>
  <c r="H225" i="1"/>
  <c r="I225" i="1"/>
  <c r="J225" i="1"/>
  <c r="B226" i="1"/>
  <c r="C226" i="1"/>
  <c r="D226" i="1"/>
  <c r="E226" i="1"/>
  <c r="F226" i="1"/>
  <c r="G226" i="1"/>
  <c r="H226" i="1"/>
  <c r="I226" i="1"/>
  <c r="J226" i="1"/>
  <c r="B227" i="1"/>
  <c r="C227" i="1"/>
  <c r="D227" i="1"/>
  <c r="E227" i="1"/>
  <c r="F227" i="1"/>
  <c r="G227" i="1"/>
  <c r="H227" i="1"/>
  <c r="I227" i="1"/>
  <c r="J227" i="1"/>
  <c r="B228" i="1"/>
  <c r="C228" i="1"/>
  <c r="D228" i="1"/>
  <c r="E228" i="1"/>
  <c r="F228" i="1"/>
  <c r="G228" i="1"/>
  <c r="H228" i="1"/>
  <c r="I228" i="1"/>
  <c r="J228" i="1"/>
  <c r="B229" i="1"/>
  <c r="C229" i="1"/>
  <c r="D229" i="1"/>
  <c r="E229" i="1"/>
  <c r="F229" i="1"/>
  <c r="G229" i="1"/>
  <c r="H229" i="1"/>
  <c r="I229" i="1"/>
  <c r="J229" i="1"/>
  <c r="B230" i="1"/>
  <c r="C230" i="1"/>
  <c r="D230" i="1"/>
  <c r="E230" i="1"/>
  <c r="F230" i="1"/>
  <c r="G230" i="1"/>
  <c r="G1049" i="1" s="1"/>
  <c r="H230" i="1"/>
  <c r="I230" i="1"/>
  <c r="J230" i="1"/>
  <c r="B231" i="1"/>
  <c r="C231" i="1"/>
  <c r="D231" i="1"/>
  <c r="E231" i="1"/>
  <c r="F231" i="1"/>
  <c r="G231" i="1"/>
  <c r="H231" i="1"/>
  <c r="I231" i="1"/>
  <c r="J231" i="1"/>
  <c r="J1049" i="1" s="1"/>
  <c r="B232" i="1"/>
  <c r="C232" i="1"/>
  <c r="C1049" i="1" s="1"/>
  <c r="D232" i="1"/>
  <c r="E232" i="1"/>
  <c r="F232" i="1"/>
  <c r="G232" i="1"/>
  <c r="H232" i="1"/>
  <c r="I232" i="1"/>
  <c r="J232" i="1"/>
  <c r="B233" i="1"/>
  <c r="B1049" i="1" s="1"/>
  <c r="C233" i="1"/>
  <c r="D233" i="1"/>
  <c r="E233" i="1"/>
  <c r="F233" i="1"/>
  <c r="G233" i="1"/>
  <c r="H233" i="1"/>
  <c r="I233" i="1"/>
  <c r="J233" i="1"/>
  <c r="B234" i="1"/>
  <c r="C234" i="1"/>
  <c r="D234" i="1"/>
  <c r="E234" i="1"/>
  <c r="F234" i="1"/>
  <c r="G234" i="1"/>
  <c r="H234" i="1"/>
  <c r="I234" i="1"/>
  <c r="J234" i="1"/>
  <c r="B235" i="1"/>
  <c r="C235" i="1"/>
  <c r="D235" i="1"/>
  <c r="E235" i="1"/>
  <c r="F235" i="1"/>
  <c r="G235" i="1"/>
  <c r="H235" i="1"/>
  <c r="I235" i="1"/>
  <c r="J235" i="1"/>
  <c r="B236" i="1"/>
  <c r="C236" i="1"/>
  <c r="D236" i="1"/>
  <c r="E236" i="1"/>
  <c r="F236" i="1"/>
  <c r="G236" i="1"/>
  <c r="H236" i="1"/>
  <c r="I236" i="1"/>
  <c r="J236" i="1"/>
  <c r="B237" i="1"/>
  <c r="C237" i="1"/>
  <c r="D237" i="1"/>
  <c r="E237" i="1"/>
  <c r="F237" i="1"/>
  <c r="G237" i="1"/>
  <c r="H237" i="1"/>
  <c r="I237" i="1"/>
  <c r="J237" i="1"/>
  <c r="B238" i="1"/>
  <c r="C238" i="1"/>
  <c r="D238" i="1"/>
  <c r="E238" i="1"/>
  <c r="F238" i="1"/>
  <c r="G238" i="1"/>
  <c r="H238" i="1"/>
  <c r="I238" i="1"/>
  <c r="J238" i="1"/>
  <c r="B239" i="1"/>
  <c r="C239" i="1"/>
  <c r="D239" i="1"/>
  <c r="E239" i="1"/>
  <c r="F239" i="1"/>
  <c r="G239" i="1"/>
  <c r="H239" i="1"/>
  <c r="I239" i="1"/>
  <c r="J239" i="1"/>
  <c r="B240" i="1"/>
  <c r="C240" i="1"/>
  <c r="D240" i="1"/>
  <c r="E240" i="1"/>
  <c r="F240" i="1"/>
  <c r="G240" i="1"/>
  <c r="H240" i="1"/>
  <c r="I240" i="1"/>
  <c r="J240" i="1"/>
  <c r="B241" i="1"/>
  <c r="C241" i="1"/>
  <c r="D241" i="1"/>
  <c r="E241" i="1"/>
  <c r="F241" i="1"/>
  <c r="G241" i="1"/>
  <c r="H241" i="1"/>
  <c r="I241" i="1"/>
  <c r="J241" i="1"/>
  <c r="B242" i="1"/>
  <c r="C242" i="1"/>
  <c r="D242" i="1"/>
  <c r="E242" i="1"/>
  <c r="F242" i="1"/>
  <c r="G242" i="1"/>
  <c r="H242" i="1"/>
  <c r="I242" i="1"/>
  <c r="J242" i="1"/>
  <c r="B243" i="1"/>
  <c r="C243" i="1"/>
  <c r="D243" i="1"/>
  <c r="D1050" i="1" s="1"/>
  <c r="E243" i="1"/>
  <c r="F243" i="1"/>
  <c r="G243" i="1"/>
  <c r="H243" i="1"/>
  <c r="I243" i="1"/>
  <c r="J243" i="1"/>
  <c r="B244" i="1"/>
  <c r="C244" i="1"/>
  <c r="D244" i="1"/>
  <c r="E244" i="1"/>
  <c r="F244" i="1"/>
  <c r="G244" i="1"/>
  <c r="H244" i="1"/>
  <c r="I244" i="1"/>
  <c r="J244" i="1"/>
  <c r="B245" i="1"/>
  <c r="C245" i="1"/>
  <c r="D245" i="1"/>
  <c r="E245" i="1"/>
  <c r="F245" i="1"/>
  <c r="G245" i="1"/>
  <c r="H245" i="1"/>
  <c r="I245" i="1"/>
  <c r="J245" i="1"/>
  <c r="B246" i="1"/>
  <c r="C246" i="1"/>
  <c r="D246" i="1"/>
  <c r="E246" i="1"/>
  <c r="F246" i="1"/>
  <c r="G246" i="1"/>
  <c r="H246" i="1"/>
  <c r="I246" i="1"/>
  <c r="J246" i="1"/>
  <c r="B247" i="1"/>
  <c r="C247" i="1"/>
  <c r="D247" i="1"/>
  <c r="E247" i="1"/>
  <c r="F247" i="1"/>
  <c r="G247" i="1"/>
  <c r="H247" i="1"/>
  <c r="I247" i="1"/>
  <c r="J247" i="1"/>
  <c r="B248" i="1"/>
  <c r="C248" i="1"/>
  <c r="D248" i="1"/>
  <c r="E248" i="1"/>
  <c r="F248" i="1"/>
  <c r="G248" i="1"/>
  <c r="H248" i="1"/>
  <c r="I248" i="1"/>
  <c r="J248" i="1"/>
  <c r="B249" i="1"/>
  <c r="C249" i="1"/>
  <c r="D249" i="1"/>
  <c r="E249" i="1"/>
  <c r="F249" i="1"/>
  <c r="G249" i="1"/>
  <c r="H249" i="1"/>
  <c r="I249" i="1"/>
  <c r="J249" i="1"/>
  <c r="B250" i="1"/>
  <c r="C250" i="1"/>
  <c r="D250" i="1"/>
  <c r="E250" i="1"/>
  <c r="F250" i="1"/>
  <c r="G250" i="1"/>
  <c r="H250" i="1"/>
  <c r="I250" i="1"/>
  <c r="J250" i="1"/>
  <c r="B251" i="1"/>
  <c r="C251" i="1"/>
  <c r="D251" i="1"/>
  <c r="E251" i="1"/>
  <c r="F251" i="1"/>
  <c r="G251" i="1"/>
  <c r="H251" i="1"/>
  <c r="I251" i="1"/>
  <c r="J251" i="1"/>
  <c r="B252" i="1"/>
  <c r="C252" i="1"/>
  <c r="D252" i="1"/>
  <c r="E252" i="1"/>
  <c r="F252" i="1"/>
  <c r="G252" i="1"/>
  <c r="H252" i="1"/>
  <c r="I252" i="1"/>
  <c r="J252" i="1"/>
  <c r="B253" i="1"/>
  <c r="C253" i="1"/>
  <c r="D253" i="1"/>
  <c r="E253" i="1"/>
  <c r="F253" i="1"/>
  <c r="G253" i="1"/>
  <c r="H253" i="1"/>
  <c r="I253" i="1"/>
  <c r="J253" i="1"/>
  <c r="B254" i="1"/>
  <c r="C254" i="1"/>
  <c r="D254" i="1"/>
  <c r="E254" i="1"/>
  <c r="E1051" i="1" s="1"/>
  <c r="F254" i="1"/>
  <c r="G254" i="1"/>
  <c r="H254" i="1"/>
  <c r="I254" i="1"/>
  <c r="J254" i="1"/>
  <c r="B255" i="1"/>
  <c r="C255" i="1"/>
  <c r="D255" i="1"/>
  <c r="E255" i="1"/>
  <c r="F255" i="1"/>
  <c r="G255" i="1"/>
  <c r="H255" i="1"/>
  <c r="I255" i="1"/>
  <c r="J255" i="1"/>
  <c r="B256" i="1"/>
  <c r="C256" i="1"/>
  <c r="D256" i="1"/>
  <c r="E256" i="1"/>
  <c r="F256" i="1"/>
  <c r="G256" i="1"/>
  <c r="H256" i="1"/>
  <c r="I256" i="1"/>
  <c r="J256" i="1"/>
  <c r="B257" i="1"/>
  <c r="B1051" i="1" s="1"/>
  <c r="C257" i="1"/>
  <c r="D257" i="1"/>
  <c r="E257" i="1"/>
  <c r="F257" i="1"/>
  <c r="G257" i="1"/>
  <c r="H257" i="1"/>
  <c r="I257" i="1"/>
  <c r="J257" i="1"/>
  <c r="J1051" i="1" s="1"/>
  <c r="B258" i="1"/>
  <c r="C258" i="1"/>
  <c r="D258" i="1"/>
  <c r="E258" i="1"/>
  <c r="F258" i="1"/>
  <c r="G258" i="1"/>
  <c r="H258" i="1"/>
  <c r="I258" i="1"/>
  <c r="J258" i="1"/>
  <c r="B259" i="1"/>
  <c r="C259" i="1"/>
  <c r="D259" i="1"/>
  <c r="E259" i="1"/>
  <c r="F259" i="1"/>
  <c r="G259" i="1"/>
  <c r="H259" i="1"/>
  <c r="I259" i="1"/>
  <c r="J259" i="1"/>
  <c r="B260" i="1"/>
  <c r="C260" i="1"/>
  <c r="D260" i="1"/>
  <c r="E260" i="1"/>
  <c r="F260" i="1"/>
  <c r="G260" i="1"/>
  <c r="H260" i="1"/>
  <c r="I260" i="1"/>
  <c r="J260" i="1"/>
  <c r="B261" i="1"/>
  <c r="C261" i="1"/>
  <c r="D261" i="1"/>
  <c r="E261" i="1"/>
  <c r="F261" i="1"/>
  <c r="G261" i="1"/>
  <c r="H261" i="1"/>
  <c r="I261" i="1"/>
  <c r="J261" i="1"/>
  <c r="B262" i="1"/>
  <c r="C262" i="1"/>
  <c r="D262" i="1"/>
  <c r="E262" i="1"/>
  <c r="F262" i="1"/>
  <c r="G262" i="1"/>
  <c r="H262" i="1"/>
  <c r="I262" i="1"/>
  <c r="J262" i="1"/>
  <c r="B263" i="1"/>
  <c r="C263" i="1"/>
  <c r="D263" i="1"/>
  <c r="E263" i="1"/>
  <c r="F263" i="1"/>
  <c r="G263" i="1"/>
  <c r="H263" i="1"/>
  <c r="I263" i="1"/>
  <c r="J263" i="1"/>
  <c r="B264" i="1"/>
  <c r="C264" i="1"/>
  <c r="D264" i="1"/>
  <c r="E264" i="1"/>
  <c r="F264" i="1"/>
  <c r="G264" i="1"/>
  <c r="H264" i="1"/>
  <c r="I264" i="1"/>
  <c r="J264" i="1"/>
  <c r="B265" i="1"/>
  <c r="C265" i="1"/>
  <c r="D265" i="1"/>
  <c r="E265" i="1"/>
  <c r="F265" i="1"/>
  <c r="G265" i="1"/>
  <c r="H265" i="1"/>
  <c r="I265" i="1"/>
  <c r="J265" i="1"/>
  <c r="B266" i="1"/>
  <c r="C266" i="1"/>
  <c r="D266" i="1"/>
  <c r="E266" i="1"/>
  <c r="F266" i="1"/>
  <c r="G266" i="1"/>
  <c r="H266" i="1"/>
  <c r="I266" i="1"/>
  <c r="J266" i="1"/>
  <c r="B267" i="1"/>
  <c r="C267" i="1"/>
  <c r="D267" i="1"/>
  <c r="E267" i="1"/>
  <c r="F267" i="1"/>
  <c r="G267" i="1"/>
  <c r="H267" i="1"/>
  <c r="I267" i="1"/>
  <c r="J267" i="1"/>
  <c r="B268" i="1"/>
  <c r="C268" i="1"/>
  <c r="D268" i="1"/>
  <c r="E268" i="1"/>
  <c r="F268" i="1"/>
  <c r="G268" i="1"/>
  <c r="H268" i="1"/>
  <c r="I268" i="1"/>
  <c r="J268" i="1"/>
  <c r="B269" i="1"/>
  <c r="C269" i="1"/>
  <c r="D269" i="1"/>
  <c r="E269" i="1"/>
  <c r="F269" i="1"/>
  <c r="F1052" i="1" s="1"/>
  <c r="G269" i="1"/>
  <c r="H269" i="1"/>
  <c r="I269" i="1"/>
  <c r="J269" i="1"/>
  <c r="B270" i="1"/>
  <c r="C270" i="1"/>
  <c r="D270" i="1"/>
  <c r="E270" i="1"/>
  <c r="F270" i="1"/>
  <c r="G270" i="1"/>
  <c r="H270" i="1"/>
  <c r="I270" i="1"/>
  <c r="J270" i="1"/>
  <c r="B271" i="1"/>
  <c r="C271" i="1"/>
  <c r="D271" i="1"/>
  <c r="E271" i="1"/>
  <c r="F271" i="1"/>
  <c r="G271" i="1"/>
  <c r="H271" i="1"/>
  <c r="I271" i="1"/>
  <c r="J271" i="1"/>
  <c r="B272" i="1"/>
  <c r="C272" i="1"/>
  <c r="D272" i="1"/>
  <c r="E272" i="1"/>
  <c r="F272" i="1"/>
  <c r="G272" i="1"/>
  <c r="H272" i="1"/>
  <c r="I272" i="1"/>
  <c r="J272" i="1"/>
  <c r="B273" i="1"/>
  <c r="C273" i="1"/>
  <c r="D273" i="1"/>
  <c r="E273" i="1"/>
  <c r="F273" i="1"/>
  <c r="G273" i="1"/>
  <c r="H273" i="1"/>
  <c r="I273" i="1"/>
  <c r="J273" i="1"/>
  <c r="B274" i="1"/>
  <c r="C274" i="1"/>
  <c r="D274" i="1"/>
  <c r="E274" i="1"/>
  <c r="F274" i="1"/>
  <c r="G274" i="1"/>
  <c r="H274" i="1"/>
  <c r="I274" i="1"/>
  <c r="J274" i="1"/>
  <c r="B275" i="1"/>
  <c r="C275" i="1"/>
  <c r="D275" i="1"/>
  <c r="E275" i="1"/>
  <c r="F275" i="1"/>
  <c r="G275" i="1"/>
  <c r="H275" i="1"/>
  <c r="I275" i="1"/>
  <c r="J275" i="1"/>
  <c r="B276" i="1"/>
  <c r="C276" i="1"/>
  <c r="D276" i="1"/>
  <c r="E276" i="1"/>
  <c r="F276" i="1"/>
  <c r="G276" i="1"/>
  <c r="H276" i="1"/>
  <c r="I276" i="1"/>
  <c r="J276" i="1"/>
  <c r="B277" i="1"/>
  <c r="C277" i="1"/>
  <c r="D277" i="1"/>
  <c r="E277" i="1"/>
  <c r="F277" i="1"/>
  <c r="G277" i="1"/>
  <c r="H277" i="1"/>
  <c r="I277" i="1"/>
  <c r="J277" i="1"/>
  <c r="B278" i="1"/>
  <c r="C278" i="1"/>
  <c r="D278" i="1"/>
  <c r="E278" i="1"/>
  <c r="F278" i="1"/>
  <c r="G278" i="1"/>
  <c r="H278" i="1"/>
  <c r="I278" i="1"/>
  <c r="J278" i="1"/>
  <c r="B279" i="1"/>
  <c r="C279" i="1"/>
  <c r="D279" i="1"/>
  <c r="D1053" i="1" s="1"/>
  <c r="E279" i="1"/>
  <c r="F279" i="1"/>
  <c r="G279" i="1"/>
  <c r="H279" i="1"/>
  <c r="I279" i="1"/>
  <c r="J279" i="1"/>
  <c r="J1053" i="1" s="1"/>
  <c r="B280" i="1"/>
  <c r="C280" i="1"/>
  <c r="C1053" i="1" s="1"/>
  <c r="D280" i="1"/>
  <c r="E280" i="1"/>
  <c r="F280" i="1"/>
  <c r="G280" i="1"/>
  <c r="H280" i="1"/>
  <c r="I280" i="1"/>
  <c r="J280" i="1"/>
  <c r="B281" i="1"/>
  <c r="C281" i="1"/>
  <c r="D281" i="1"/>
  <c r="E281" i="1"/>
  <c r="F281" i="1"/>
  <c r="G281" i="1"/>
  <c r="H281" i="1"/>
  <c r="I281" i="1"/>
  <c r="J281" i="1"/>
  <c r="B282" i="1"/>
  <c r="C282" i="1"/>
  <c r="D282" i="1"/>
  <c r="E282" i="1"/>
  <c r="F282" i="1"/>
  <c r="G282" i="1"/>
  <c r="H282" i="1"/>
  <c r="I282" i="1"/>
  <c r="J282" i="1"/>
  <c r="B283" i="1"/>
  <c r="C283" i="1"/>
  <c r="D283" i="1"/>
  <c r="E283" i="1"/>
  <c r="F283" i="1"/>
  <c r="G283" i="1"/>
  <c r="H283" i="1"/>
  <c r="I283" i="1"/>
  <c r="J283" i="1"/>
  <c r="B284" i="1"/>
  <c r="C284" i="1"/>
  <c r="D284" i="1"/>
  <c r="E284" i="1"/>
  <c r="F284" i="1"/>
  <c r="G284" i="1"/>
  <c r="H284" i="1"/>
  <c r="I284" i="1"/>
  <c r="J284" i="1"/>
  <c r="B285" i="1"/>
  <c r="C285" i="1"/>
  <c r="D285" i="1"/>
  <c r="E285" i="1"/>
  <c r="F285" i="1"/>
  <c r="G285" i="1"/>
  <c r="H285" i="1"/>
  <c r="I285" i="1"/>
  <c r="J285" i="1"/>
  <c r="B286" i="1"/>
  <c r="C286" i="1"/>
  <c r="D286" i="1"/>
  <c r="E286" i="1"/>
  <c r="F286" i="1"/>
  <c r="G286" i="1"/>
  <c r="H286" i="1"/>
  <c r="I286" i="1"/>
  <c r="J286" i="1"/>
  <c r="B287" i="1"/>
  <c r="C287" i="1"/>
  <c r="D287" i="1"/>
  <c r="E287" i="1"/>
  <c r="F287" i="1"/>
  <c r="G287" i="1"/>
  <c r="H287" i="1"/>
  <c r="I287" i="1"/>
  <c r="J287" i="1"/>
  <c r="B288" i="1"/>
  <c r="C288" i="1"/>
  <c r="D288" i="1"/>
  <c r="E288" i="1"/>
  <c r="F288" i="1"/>
  <c r="G288" i="1"/>
  <c r="H288" i="1"/>
  <c r="I288" i="1"/>
  <c r="J288" i="1"/>
  <c r="B289" i="1"/>
  <c r="C289" i="1"/>
  <c r="D289" i="1"/>
  <c r="E289" i="1"/>
  <c r="F289" i="1"/>
  <c r="G289" i="1"/>
  <c r="H289" i="1"/>
  <c r="I289" i="1"/>
  <c r="J289" i="1"/>
  <c r="B290" i="1"/>
  <c r="C290" i="1"/>
  <c r="C1054" i="1" s="1"/>
  <c r="D290" i="1"/>
  <c r="E290" i="1"/>
  <c r="F290" i="1"/>
  <c r="G290" i="1"/>
  <c r="H290" i="1"/>
  <c r="I290" i="1"/>
  <c r="J290" i="1"/>
  <c r="B291" i="1"/>
  <c r="C291" i="1"/>
  <c r="D291" i="1"/>
  <c r="E291" i="1"/>
  <c r="F291" i="1"/>
  <c r="G291" i="1"/>
  <c r="H291" i="1"/>
  <c r="I291" i="1"/>
  <c r="J291" i="1"/>
  <c r="B292" i="1"/>
  <c r="C292" i="1"/>
  <c r="D292" i="1"/>
  <c r="E292" i="1"/>
  <c r="F292" i="1"/>
  <c r="G292" i="1"/>
  <c r="H292" i="1"/>
  <c r="I292" i="1"/>
  <c r="J292" i="1"/>
  <c r="B293" i="1"/>
  <c r="C293" i="1"/>
  <c r="D293" i="1"/>
  <c r="E293" i="1"/>
  <c r="F293" i="1"/>
  <c r="G293" i="1"/>
  <c r="H293" i="1"/>
  <c r="I293" i="1"/>
  <c r="J293" i="1"/>
  <c r="B294" i="1"/>
  <c r="C294" i="1"/>
  <c r="D294" i="1"/>
  <c r="E294" i="1"/>
  <c r="F294" i="1"/>
  <c r="G294" i="1"/>
  <c r="H294" i="1"/>
  <c r="I294" i="1"/>
  <c r="J294" i="1"/>
  <c r="B295" i="1"/>
  <c r="C295" i="1"/>
  <c r="D295" i="1"/>
  <c r="E295" i="1"/>
  <c r="F295" i="1"/>
  <c r="G295" i="1"/>
  <c r="H295" i="1"/>
  <c r="I295" i="1"/>
  <c r="J295" i="1"/>
  <c r="B296" i="1"/>
  <c r="C296" i="1"/>
  <c r="D296" i="1"/>
  <c r="E296" i="1"/>
  <c r="F296" i="1"/>
  <c r="G296" i="1"/>
  <c r="H296" i="1"/>
  <c r="I296" i="1"/>
  <c r="J296" i="1"/>
  <c r="B297" i="1"/>
  <c r="C297" i="1"/>
  <c r="D297" i="1"/>
  <c r="E297" i="1"/>
  <c r="F297" i="1"/>
  <c r="G297" i="1"/>
  <c r="H297" i="1"/>
  <c r="I297" i="1"/>
  <c r="J297" i="1"/>
  <c r="B298" i="1"/>
  <c r="C298" i="1"/>
  <c r="D298" i="1"/>
  <c r="E298" i="1"/>
  <c r="F298" i="1"/>
  <c r="G298" i="1"/>
  <c r="H298" i="1"/>
  <c r="I298" i="1"/>
  <c r="J298" i="1"/>
  <c r="B299" i="1"/>
  <c r="C299" i="1"/>
  <c r="D299" i="1"/>
  <c r="E299" i="1"/>
  <c r="F299" i="1"/>
  <c r="G299" i="1"/>
  <c r="H299" i="1"/>
  <c r="I299" i="1"/>
  <c r="J299" i="1"/>
  <c r="B300" i="1"/>
  <c r="C300" i="1"/>
  <c r="D300" i="1"/>
  <c r="E300" i="1"/>
  <c r="F300" i="1"/>
  <c r="G300" i="1"/>
  <c r="H300" i="1"/>
  <c r="I300" i="1"/>
  <c r="J300" i="1"/>
  <c r="B301" i="1"/>
  <c r="C301" i="1"/>
  <c r="D301" i="1"/>
  <c r="E301" i="1"/>
  <c r="F301" i="1"/>
  <c r="G301" i="1"/>
  <c r="H301" i="1"/>
  <c r="I301" i="1"/>
  <c r="J301" i="1"/>
  <c r="B302" i="1"/>
  <c r="C302" i="1"/>
  <c r="D302" i="1"/>
  <c r="E302" i="1"/>
  <c r="F302" i="1"/>
  <c r="G302" i="1"/>
  <c r="H302" i="1"/>
  <c r="I302" i="1"/>
  <c r="J302" i="1"/>
  <c r="B303" i="1"/>
  <c r="C303" i="1"/>
  <c r="D303" i="1"/>
  <c r="D1055" i="1" s="1"/>
  <c r="E303" i="1"/>
  <c r="F303" i="1"/>
  <c r="F1055" i="1" s="1"/>
  <c r="G303" i="1"/>
  <c r="H303" i="1"/>
  <c r="I303" i="1"/>
  <c r="J303" i="1"/>
  <c r="B304" i="1"/>
  <c r="C304" i="1"/>
  <c r="D304" i="1"/>
  <c r="E304" i="1"/>
  <c r="F304" i="1"/>
  <c r="G304" i="1"/>
  <c r="H304" i="1"/>
  <c r="I304" i="1"/>
  <c r="J304" i="1"/>
  <c r="B305" i="1"/>
  <c r="C305" i="1"/>
  <c r="D305" i="1"/>
  <c r="E305" i="1"/>
  <c r="F305" i="1"/>
  <c r="G305" i="1"/>
  <c r="H305" i="1"/>
  <c r="I305" i="1"/>
  <c r="J305" i="1"/>
  <c r="B306" i="1"/>
  <c r="C306" i="1"/>
  <c r="D306" i="1"/>
  <c r="E306" i="1"/>
  <c r="F306" i="1"/>
  <c r="G306" i="1"/>
  <c r="H306" i="1"/>
  <c r="I306" i="1"/>
  <c r="J306" i="1"/>
  <c r="B307" i="1"/>
  <c r="C307" i="1"/>
  <c r="D307" i="1"/>
  <c r="E307" i="1"/>
  <c r="F307" i="1"/>
  <c r="G307" i="1"/>
  <c r="H307" i="1"/>
  <c r="I307" i="1"/>
  <c r="J307" i="1"/>
  <c r="B308" i="1"/>
  <c r="C308" i="1"/>
  <c r="D308" i="1"/>
  <c r="E308" i="1"/>
  <c r="F308" i="1"/>
  <c r="G308" i="1"/>
  <c r="H308" i="1"/>
  <c r="I308" i="1"/>
  <c r="J308" i="1"/>
  <c r="B309" i="1"/>
  <c r="C309" i="1"/>
  <c r="D309" i="1"/>
  <c r="E309" i="1"/>
  <c r="F309" i="1"/>
  <c r="G309" i="1"/>
  <c r="H309" i="1"/>
  <c r="I309" i="1"/>
  <c r="J309" i="1"/>
  <c r="B310" i="1"/>
  <c r="C310" i="1"/>
  <c r="D310" i="1"/>
  <c r="E310" i="1"/>
  <c r="F310" i="1"/>
  <c r="G310" i="1"/>
  <c r="H310" i="1"/>
  <c r="I310" i="1"/>
  <c r="J310" i="1"/>
  <c r="B311" i="1"/>
  <c r="C311" i="1"/>
  <c r="D311" i="1"/>
  <c r="E311" i="1"/>
  <c r="F311" i="1"/>
  <c r="G311" i="1"/>
  <c r="H311" i="1"/>
  <c r="I311" i="1"/>
  <c r="J311" i="1"/>
  <c r="B312" i="1"/>
  <c r="C312" i="1"/>
  <c r="D312" i="1"/>
  <c r="E312" i="1"/>
  <c r="F312" i="1"/>
  <c r="G312" i="1"/>
  <c r="H312" i="1"/>
  <c r="I312" i="1"/>
  <c r="J312" i="1"/>
  <c r="B313" i="1"/>
  <c r="C313" i="1"/>
  <c r="D313" i="1"/>
  <c r="E313" i="1"/>
  <c r="F313" i="1"/>
  <c r="G313" i="1"/>
  <c r="H313" i="1"/>
  <c r="I313" i="1"/>
  <c r="J313" i="1"/>
  <c r="B314" i="1"/>
  <c r="C314" i="1"/>
  <c r="D314" i="1"/>
  <c r="E314" i="1"/>
  <c r="F314" i="1"/>
  <c r="G314" i="1"/>
  <c r="H314" i="1"/>
  <c r="I314" i="1"/>
  <c r="J314" i="1"/>
  <c r="B315" i="1"/>
  <c r="B1056" i="1" s="1"/>
  <c r="C315" i="1"/>
  <c r="D315" i="1"/>
  <c r="E315" i="1"/>
  <c r="F315" i="1"/>
  <c r="G315" i="1"/>
  <c r="H315" i="1"/>
  <c r="I315" i="1"/>
  <c r="J315" i="1"/>
  <c r="J1056" i="1" s="1"/>
  <c r="B316" i="1"/>
  <c r="C316" i="1"/>
  <c r="D316" i="1"/>
  <c r="E316" i="1"/>
  <c r="F316" i="1"/>
  <c r="G316" i="1"/>
  <c r="H316" i="1"/>
  <c r="I316" i="1"/>
  <c r="J316" i="1"/>
  <c r="B317" i="1"/>
  <c r="C317" i="1"/>
  <c r="D317" i="1"/>
  <c r="E317" i="1"/>
  <c r="F317" i="1"/>
  <c r="G317" i="1"/>
  <c r="H317" i="1"/>
  <c r="I317" i="1"/>
  <c r="J317" i="1"/>
  <c r="B318" i="1"/>
  <c r="C318" i="1"/>
  <c r="D318" i="1"/>
  <c r="E318" i="1"/>
  <c r="F318" i="1"/>
  <c r="G318" i="1"/>
  <c r="H318" i="1"/>
  <c r="I318" i="1"/>
  <c r="J318" i="1"/>
  <c r="B319" i="1"/>
  <c r="C319" i="1"/>
  <c r="D319" i="1"/>
  <c r="E319" i="1"/>
  <c r="F319" i="1"/>
  <c r="G319" i="1"/>
  <c r="H319" i="1"/>
  <c r="I319" i="1"/>
  <c r="J319" i="1"/>
  <c r="B320" i="1"/>
  <c r="C320" i="1"/>
  <c r="D320" i="1"/>
  <c r="E320" i="1"/>
  <c r="F320" i="1"/>
  <c r="G320" i="1"/>
  <c r="H320" i="1"/>
  <c r="I320" i="1"/>
  <c r="J320" i="1"/>
  <c r="B321" i="1"/>
  <c r="C321" i="1"/>
  <c r="D321" i="1"/>
  <c r="E321" i="1"/>
  <c r="F321" i="1"/>
  <c r="G321" i="1"/>
  <c r="H321" i="1"/>
  <c r="I321" i="1"/>
  <c r="J321" i="1"/>
  <c r="B322" i="1"/>
  <c r="C322" i="1"/>
  <c r="D322" i="1"/>
  <c r="E322" i="1"/>
  <c r="F322" i="1"/>
  <c r="G322" i="1"/>
  <c r="H322" i="1"/>
  <c r="I322" i="1"/>
  <c r="J322" i="1"/>
  <c r="B323" i="1"/>
  <c r="C323" i="1"/>
  <c r="D323" i="1"/>
  <c r="E323" i="1"/>
  <c r="F323" i="1"/>
  <c r="G323" i="1"/>
  <c r="H323" i="1"/>
  <c r="I323" i="1"/>
  <c r="J323" i="1"/>
  <c r="B324" i="1"/>
  <c r="C324" i="1"/>
  <c r="D324" i="1"/>
  <c r="E324" i="1"/>
  <c r="F324" i="1"/>
  <c r="G324" i="1"/>
  <c r="H324" i="1"/>
  <c r="I324" i="1"/>
  <c r="J324" i="1"/>
  <c r="B325" i="1"/>
  <c r="C325" i="1"/>
  <c r="D325" i="1"/>
  <c r="E325" i="1"/>
  <c r="F325" i="1"/>
  <c r="G325" i="1"/>
  <c r="H325" i="1"/>
  <c r="I325" i="1"/>
  <c r="J325" i="1"/>
  <c r="B326" i="1"/>
  <c r="C326" i="1"/>
  <c r="D326" i="1"/>
  <c r="E326" i="1"/>
  <c r="F326" i="1"/>
  <c r="G326" i="1"/>
  <c r="H326" i="1"/>
  <c r="I326" i="1"/>
  <c r="J326" i="1"/>
  <c r="B327" i="1"/>
  <c r="C327" i="1"/>
  <c r="D327" i="1"/>
  <c r="D1057" i="1" s="1"/>
  <c r="E327" i="1"/>
  <c r="F327" i="1"/>
  <c r="G327" i="1"/>
  <c r="H327" i="1"/>
  <c r="I327" i="1"/>
  <c r="J327" i="1"/>
  <c r="B328" i="1"/>
  <c r="C328" i="1"/>
  <c r="D328" i="1"/>
  <c r="E328" i="1"/>
  <c r="F328" i="1"/>
  <c r="G328" i="1"/>
  <c r="H328" i="1"/>
  <c r="I328" i="1"/>
  <c r="J328" i="1"/>
  <c r="B329" i="1"/>
  <c r="C329" i="1"/>
  <c r="D329" i="1"/>
  <c r="E329" i="1"/>
  <c r="F329" i="1"/>
  <c r="G329" i="1"/>
  <c r="H329" i="1"/>
  <c r="I329" i="1"/>
  <c r="J329" i="1"/>
  <c r="J1057" i="1" s="1"/>
  <c r="B330" i="1"/>
  <c r="C330" i="1"/>
  <c r="D330" i="1"/>
  <c r="E330" i="1"/>
  <c r="F330" i="1"/>
  <c r="G330" i="1"/>
  <c r="H330" i="1"/>
  <c r="I330" i="1"/>
  <c r="J330" i="1"/>
  <c r="B331" i="1"/>
  <c r="C331" i="1"/>
  <c r="D331" i="1"/>
  <c r="E331" i="1"/>
  <c r="F331" i="1"/>
  <c r="G331" i="1"/>
  <c r="H331" i="1"/>
  <c r="I331" i="1"/>
  <c r="J331" i="1"/>
  <c r="B332" i="1"/>
  <c r="C332" i="1"/>
  <c r="D332" i="1"/>
  <c r="E332" i="1"/>
  <c r="F332" i="1"/>
  <c r="G332" i="1"/>
  <c r="H332" i="1"/>
  <c r="I332" i="1"/>
  <c r="J332" i="1"/>
  <c r="B333" i="1"/>
  <c r="C333" i="1"/>
  <c r="D333" i="1"/>
  <c r="E333" i="1"/>
  <c r="F333" i="1"/>
  <c r="G333" i="1"/>
  <c r="H333" i="1"/>
  <c r="I333" i="1"/>
  <c r="J333" i="1"/>
  <c r="B334" i="1"/>
  <c r="C334" i="1"/>
  <c r="D334" i="1"/>
  <c r="E334" i="1"/>
  <c r="F334" i="1"/>
  <c r="G334" i="1"/>
  <c r="H334" i="1"/>
  <c r="I334" i="1"/>
  <c r="J334" i="1"/>
  <c r="B335" i="1"/>
  <c r="C335" i="1"/>
  <c r="D335" i="1"/>
  <c r="E335" i="1"/>
  <c r="F335" i="1"/>
  <c r="G335" i="1"/>
  <c r="H335" i="1"/>
  <c r="I335" i="1"/>
  <c r="J335" i="1"/>
  <c r="B336" i="1"/>
  <c r="C336" i="1"/>
  <c r="D336" i="1"/>
  <c r="E336" i="1"/>
  <c r="F336" i="1"/>
  <c r="G336" i="1"/>
  <c r="H336" i="1"/>
  <c r="I336" i="1"/>
  <c r="J336" i="1"/>
  <c r="B337" i="1"/>
  <c r="C337" i="1"/>
  <c r="D337" i="1"/>
  <c r="E337" i="1"/>
  <c r="F337" i="1"/>
  <c r="G337" i="1"/>
  <c r="H337" i="1"/>
  <c r="I337" i="1"/>
  <c r="J337" i="1"/>
  <c r="B338" i="1"/>
  <c r="C338" i="1"/>
  <c r="D338" i="1"/>
  <c r="E338" i="1"/>
  <c r="F338" i="1"/>
  <c r="G338" i="1"/>
  <c r="H338" i="1"/>
  <c r="I338" i="1"/>
  <c r="J338" i="1"/>
  <c r="B339" i="1"/>
  <c r="C339" i="1"/>
  <c r="D339" i="1"/>
  <c r="E339" i="1"/>
  <c r="F339" i="1"/>
  <c r="G339" i="1"/>
  <c r="H339" i="1"/>
  <c r="I339" i="1"/>
  <c r="J339" i="1"/>
  <c r="B340" i="1"/>
  <c r="C340" i="1"/>
  <c r="D340" i="1"/>
  <c r="E340" i="1"/>
  <c r="F340" i="1"/>
  <c r="G340" i="1"/>
  <c r="H340" i="1"/>
  <c r="I340" i="1"/>
  <c r="J340" i="1"/>
  <c r="B341" i="1"/>
  <c r="C341" i="1"/>
  <c r="D341" i="1"/>
  <c r="E341" i="1"/>
  <c r="F341" i="1"/>
  <c r="G341" i="1"/>
  <c r="H341" i="1"/>
  <c r="I341" i="1"/>
  <c r="J341" i="1"/>
  <c r="J1058" i="1" s="1"/>
  <c r="B342" i="1"/>
  <c r="C342" i="1"/>
  <c r="D342" i="1"/>
  <c r="E342" i="1"/>
  <c r="F342" i="1"/>
  <c r="G342" i="1"/>
  <c r="H342" i="1"/>
  <c r="I342" i="1"/>
  <c r="J342" i="1"/>
  <c r="B343" i="1"/>
  <c r="C343" i="1"/>
  <c r="D343" i="1"/>
  <c r="E343" i="1"/>
  <c r="F343" i="1"/>
  <c r="G343" i="1"/>
  <c r="H343" i="1"/>
  <c r="I343" i="1"/>
  <c r="J343" i="1"/>
  <c r="B344" i="1"/>
  <c r="C344" i="1"/>
  <c r="D344" i="1"/>
  <c r="E344" i="1"/>
  <c r="F344" i="1"/>
  <c r="G344" i="1"/>
  <c r="H344" i="1"/>
  <c r="I344" i="1"/>
  <c r="J344" i="1"/>
  <c r="B345" i="1"/>
  <c r="C345" i="1"/>
  <c r="D345" i="1"/>
  <c r="E345" i="1"/>
  <c r="F345" i="1"/>
  <c r="G345" i="1"/>
  <c r="H345" i="1"/>
  <c r="I345" i="1"/>
  <c r="J345" i="1"/>
  <c r="B346" i="1"/>
  <c r="C346" i="1"/>
  <c r="D346" i="1"/>
  <c r="E346" i="1"/>
  <c r="F346" i="1"/>
  <c r="G346" i="1"/>
  <c r="H346" i="1"/>
  <c r="I346" i="1"/>
  <c r="J346" i="1"/>
  <c r="B347" i="1"/>
  <c r="C347" i="1"/>
  <c r="D347" i="1"/>
  <c r="E347" i="1"/>
  <c r="F347" i="1"/>
  <c r="G347" i="1"/>
  <c r="H347" i="1"/>
  <c r="I347" i="1"/>
  <c r="J347" i="1"/>
  <c r="B348" i="1"/>
  <c r="C348" i="1"/>
  <c r="D348" i="1"/>
  <c r="E348" i="1"/>
  <c r="F348" i="1"/>
  <c r="G348" i="1"/>
  <c r="H348" i="1"/>
  <c r="I348" i="1"/>
  <c r="J348" i="1"/>
  <c r="B349" i="1"/>
  <c r="C349" i="1"/>
  <c r="D349" i="1"/>
  <c r="E349" i="1"/>
  <c r="F349" i="1"/>
  <c r="G349" i="1"/>
  <c r="H349" i="1"/>
  <c r="I349" i="1"/>
  <c r="J349" i="1"/>
  <c r="B350" i="1"/>
  <c r="C350" i="1"/>
  <c r="D350" i="1"/>
  <c r="E350" i="1"/>
  <c r="F350" i="1"/>
  <c r="G350" i="1"/>
  <c r="H350" i="1"/>
  <c r="I350" i="1"/>
  <c r="J350" i="1"/>
  <c r="B351" i="1"/>
  <c r="C351" i="1"/>
  <c r="D351" i="1"/>
  <c r="D1059" i="1" s="1"/>
  <c r="E351" i="1"/>
  <c r="F351" i="1"/>
  <c r="G351" i="1"/>
  <c r="H351" i="1"/>
  <c r="I351" i="1"/>
  <c r="J351" i="1"/>
  <c r="B352" i="1"/>
  <c r="C352" i="1"/>
  <c r="C1059" i="1" s="1"/>
  <c r="D352" i="1"/>
  <c r="E352" i="1"/>
  <c r="F352" i="1"/>
  <c r="G352" i="1"/>
  <c r="H352" i="1"/>
  <c r="I352" i="1"/>
  <c r="J352" i="1"/>
  <c r="B353" i="1"/>
  <c r="C353" i="1"/>
  <c r="D353" i="1"/>
  <c r="E353" i="1"/>
  <c r="F353" i="1"/>
  <c r="G353" i="1"/>
  <c r="H353" i="1"/>
  <c r="I353" i="1"/>
  <c r="J353" i="1"/>
  <c r="J1059" i="1" s="1"/>
  <c r="B354" i="1"/>
  <c r="C354" i="1"/>
  <c r="D354" i="1"/>
  <c r="E354" i="1"/>
  <c r="F354" i="1"/>
  <c r="G354" i="1"/>
  <c r="H354" i="1"/>
  <c r="I354" i="1"/>
  <c r="J354" i="1"/>
  <c r="B355" i="1"/>
  <c r="C355" i="1"/>
  <c r="D355" i="1"/>
  <c r="E355" i="1"/>
  <c r="F355" i="1"/>
  <c r="G355" i="1"/>
  <c r="H355" i="1"/>
  <c r="I355" i="1"/>
  <c r="J355" i="1"/>
  <c r="B356" i="1"/>
  <c r="C356" i="1"/>
  <c r="D356" i="1"/>
  <c r="E356" i="1"/>
  <c r="F356" i="1"/>
  <c r="G356" i="1"/>
  <c r="H356" i="1"/>
  <c r="I356" i="1"/>
  <c r="J356" i="1"/>
  <c r="B357" i="1"/>
  <c r="C357" i="1"/>
  <c r="D357" i="1"/>
  <c r="E357" i="1"/>
  <c r="F357" i="1"/>
  <c r="G357" i="1"/>
  <c r="H357" i="1"/>
  <c r="I357" i="1"/>
  <c r="J357" i="1"/>
  <c r="B358" i="1"/>
  <c r="C358" i="1"/>
  <c r="D358" i="1"/>
  <c r="E358" i="1"/>
  <c r="F358" i="1"/>
  <c r="G358" i="1"/>
  <c r="H358" i="1"/>
  <c r="I358" i="1"/>
  <c r="J358" i="1"/>
  <c r="B359" i="1"/>
  <c r="C359" i="1"/>
  <c r="D359" i="1"/>
  <c r="E359" i="1"/>
  <c r="F359" i="1"/>
  <c r="G359" i="1"/>
  <c r="H359" i="1"/>
  <c r="I359" i="1"/>
  <c r="J359" i="1"/>
  <c r="B360" i="1"/>
  <c r="C360" i="1"/>
  <c r="D360" i="1"/>
  <c r="E360" i="1"/>
  <c r="F360" i="1"/>
  <c r="G360" i="1"/>
  <c r="H360" i="1"/>
  <c r="I360" i="1"/>
  <c r="J360" i="1"/>
  <c r="B361" i="1"/>
  <c r="C361" i="1"/>
  <c r="D361" i="1"/>
  <c r="E361" i="1"/>
  <c r="F361" i="1"/>
  <c r="G361" i="1"/>
  <c r="H361" i="1"/>
  <c r="I361" i="1"/>
  <c r="J361" i="1"/>
  <c r="B362" i="1"/>
  <c r="C362" i="1"/>
  <c r="D362" i="1"/>
  <c r="E362" i="1"/>
  <c r="F362" i="1"/>
  <c r="G362" i="1"/>
  <c r="H362" i="1"/>
  <c r="I362" i="1"/>
  <c r="J362" i="1"/>
  <c r="B363" i="1"/>
  <c r="C363" i="1"/>
  <c r="D363" i="1"/>
  <c r="E363" i="1"/>
  <c r="F363" i="1"/>
  <c r="G363" i="1"/>
  <c r="H363" i="1"/>
  <c r="I363" i="1"/>
  <c r="J363" i="1"/>
  <c r="B364" i="1"/>
  <c r="C364" i="1"/>
  <c r="D364" i="1"/>
  <c r="E364" i="1"/>
  <c r="F364" i="1"/>
  <c r="G364" i="1"/>
  <c r="H364" i="1"/>
  <c r="I364" i="1"/>
  <c r="J364" i="1"/>
  <c r="B365" i="1"/>
  <c r="C365" i="1"/>
  <c r="D365" i="1"/>
  <c r="E365" i="1"/>
  <c r="F365" i="1"/>
  <c r="G365" i="1"/>
  <c r="H365" i="1"/>
  <c r="I365" i="1"/>
  <c r="J365" i="1"/>
  <c r="J1060" i="1" s="1"/>
  <c r="B366" i="1"/>
  <c r="C366" i="1"/>
  <c r="D366" i="1"/>
  <c r="E366" i="1"/>
  <c r="F366" i="1"/>
  <c r="G366" i="1"/>
  <c r="H366" i="1"/>
  <c r="I366" i="1"/>
  <c r="J366" i="1"/>
  <c r="B367" i="1"/>
  <c r="C367" i="1"/>
  <c r="D367" i="1"/>
  <c r="E367" i="1"/>
  <c r="F367" i="1"/>
  <c r="G367" i="1"/>
  <c r="H367" i="1"/>
  <c r="I367" i="1"/>
  <c r="J367" i="1"/>
  <c r="B368" i="1"/>
  <c r="C368" i="1"/>
  <c r="D368" i="1"/>
  <c r="E368" i="1"/>
  <c r="F368" i="1"/>
  <c r="G368" i="1"/>
  <c r="H368" i="1"/>
  <c r="I368" i="1"/>
  <c r="J368" i="1"/>
  <c r="B369" i="1"/>
  <c r="C369" i="1"/>
  <c r="D369" i="1"/>
  <c r="E369" i="1"/>
  <c r="F369" i="1"/>
  <c r="G369" i="1"/>
  <c r="H369" i="1"/>
  <c r="I369" i="1"/>
  <c r="J369" i="1"/>
  <c r="B370" i="1"/>
  <c r="C370" i="1"/>
  <c r="D370" i="1"/>
  <c r="E370" i="1"/>
  <c r="F370" i="1"/>
  <c r="G370" i="1"/>
  <c r="H370" i="1"/>
  <c r="I370" i="1"/>
  <c r="J370" i="1"/>
  <c r="B371" i="1"/>
  <c r="C371" i="1"/>
  <c r="D371" i="1"/>
  <c r="E371" i="1"/>
  <c r="F371" i="1"/>
  <c r="G371" i="1"/>
  <c r="H371" i="1"/>
  <c r="I371" i="1"/>
  <c r="J371" i="1"/>
  <c r="B372" i="1"/>
  <c r="C372" i="1"/>
  <c r="D372" i="1"/>
  <c r="E372" i="1"/>
  <c r="F372" i="1"/>
  <c r="G372" i="1"/>
  <c r="H372" i="1"/>
  <c r="I372" i="1"/>
  <c r="J372" i="1"/>
  <c r="B373" i="1"/>
  <c r="C373" i="1"/>
  <c r="D373" i="1"/>
  <c r="E373" i="1"/>
  <c r="F373" i="1"/>
  <c r="G373" i="1"/>
  <c r="H373" i="1"/>
  <c r="I373" i="1"/>
  <c r="J373" i="1"/>
  <c r="B374" i="1"/>
  <c r="C374" i="1"/>
  <c r="D374" i="1"/>
  <c r="E374" i="1"/>
  <c r="F374" i="1"/>
  <c r="G374" i="1"/>
  <c r="H374" i="1"/>
  <c r="I374" i="1"/>
  <c r="J374" i="1"/>
  <c r="B375" i="1"/>
  <c r="C375" i="1"/>
  <c r="D375" i="1"/>
  <c r="D1061" i="1" s="1"/>
  <c r="E375" i="1"/>
  <c r="F375" i="1"/>
  <c r="G375" i="1"/>
  <c r="H375" i="1"/>
  <c r="I375" i="1"/>
  <c r="J375" i="1"/>
  <c r="B376" i="1"/>
  <c r="C376" i="1"/>
  <c r="C1061" i="1" s="1"/>
  <c r="D376" i="1"/>
  <c r="E376" i="1"/>
  <c r="F376" i="1"/>
  <c r="G376" i="1"/>
  <c r="H376" i="1"/>
  <c r="I376" i="1"/>
  <c r="J376" i="1"/>
  <c r="B377" i="1"/>
  <c r="C377" i="1"/>
  <c r="D377" i="1"/>
  <c r="E377" i="1"/>
  <c r="F377" i="1"/>
  <c r="G377" i="1"/>
  <c r="H377" i="1"/>
  <c r="I377" i="1"/>
  <c r="J377" i="1"/>
  <c r="B378" i="1"/>
  <c r="C378" i="1"/>
  <c r="D378" i="1"/>
  <c r="E378" i="1"/>
  <c r="F378" i="1"/>
  <c r="G378" i="1"/>
  <c r="H378" i="1"/>
  <c r="I378" i="1"/>
  <c r="J378" i="1"/>
  <c r="B379" i="1"/>
  <c r="C379" i="1"/>
  <c r="D379" i="1"/>
  <c r="E379" i="1"/>
  <c r="F379" i="1"/>
  <c r="G379" i="1"/>
  <c r="H379" i="1"/>
  <c r="I379" i="1"/>
  <c r="J379" i="1"/>
  <c r="B380" i="1"/>
  <c r="C380" i="1"/>
  <c r="D380" i="1"/>
  <c r="E380" i="1"/>
  <c r="F380" i="1"/>
  <c r="G380" i="1"/>
  <c r="H380" i="1"/>
  <c r="I380" i="1"/>
  <c r="J380" i="1"/>
  <c r="B381" i="1"/>
  <c r="C381" i="1"/>
  <c r="D381" i="1"/>
  <c r="E381" i="1"/>
  <c r="F381" i="1"/>
  <c r="G381" i="1"/>
  <c r="H381" i="1"/>
  <c r="I381" i="1"/>
  <c r="J381" i="1"/>
  <c r="B382" i="1"/>
  <c r="C382" i="1"/>
  <c r="D382" i="1"/>
  <c r="E382" i="1"/>
  <c r="F382" i="1"/>
  <c r="G382" i="1"/>
  <c r="H382" i="1"/>
  <c r="I382" i="1"/>
  <c r="J382" i="1"/>
  <c r="B383" i="1"/>
  <c r="C383" i="1"/>
  <c r="D383" i="1"/>
  <c r="E383" i="1"/>
  <c r="F383" i="1"/>
  <c r="G383" i="1"/>
  <c r="H383" i="1"/>
  <c r="I383" i="1"/>
  <c r="J383" i="1"/>
  <c r="B384" i="1"/>
  <c r="C384" i="1"/>
  <c r="D384" i="1"/>
  <c r="E384" i="1"/>
  <c r="F384" i="1"/>
  <c r="G384" i="1"/>
  <c r="H384" i="1"/>
  <c r="I384" i="1"/>
  <c r="J384" i="1"/>
  <c r="B385" i="1"/>
  <c r="C385" i="1"/>
  <c r="D385" i="1"/>
  <c r="E385" i="1"/>
  <c r="F385" i="1"/>
  <c r="G385" i="1"/>
  <c r="H385" i="1"/>
  <c r="I385" i="1"/>
  <c r="J385" i="1"/>
  <c r="B386" i="1"/>
  <c r="C386" i="1"/>
  <c r="D386" i="1"/>
  <c r="E386" i="1"/>
  <c r="F386" i="1"/>
  <c r="G386" i="1"/>
  <c r="H386" i="1"/>
  <c r="I386" i="1"/>
  <c r="J386" i="1"/>
  <c r="B387" i="1"/>
  <c r="C387" i="1"/>
  <c r="D387" i="1"/>
  <c r="E387" i="1"/>
  <c r="F387" i="1"/>
  <c r="G387" i="1"/>
  <c r="H387" i="1"/>
  <c r="I387" i="1"/>
  <c r="J387" i="1"/>
  <c r="B388" i="1"/>
  <c r="C388" i="1"/>
  <c r="D388" i="1"/>
  <c r="E388" i="1"/>
  <c r="F388" i="1"/>
  <c r="G388" i="1"/>
  <c r="H388" i="1"/>
  <c r="I388" i="1"/>
  <c r="J388" i="1"/>
  <c r="B389" i="1"/>
  <c r="B1062" i="1" s="1"/>
  <c r="C389" i="1"/>
  <c r="D389" i="1"/>
  <c r="E389" i="1"/>
  <c r="F389" i="1"/>
  <c r="G389" i="1"/>
  <c r="H389" i="1"/>
  <c r="I389" i="1"/>
  <c r="J389" i="1"/>
  <c r="B390" i="1"/>
  <c r="C390" i="1"/>
  <c r="D390" i="1"/>
  <c r="E390" i="1"/>
  <c r="F390" i="1"/>
  <c r="G390" i="1"/>
  <c r="H390" i="1"/>
  <c r="I390" i="1"/>
  <c r="J390" i="1"/>
  <c r="B391" i="1"/>
  <c r="C391" i="1"/>
  <c r="D391" i="1"/>
  <c r="E391" i="1"/>
  <c r="F391" i="1"/>
  <c r="G391" i="1"/>
  <c r="H391" i="1"/>
  <c r="I391" i="1"/>
  <c r="J391" i="1"/>
  <c r="B392" i="1"/>
  <c r="C392" i="1"/>
  <c r="D392" i="1"/>
  <c r="E392" i="1"/>
  <c r="F392" i="1"/>
  <c r="G392" i="1"/>
  <c r="H392" i="1"/>
  <c r="I392" i="1"/>
  <c r="J392" i="1"/>
  <c r="B393" i="1"/>
  <c r="C393" i="1"/>
  <c r="D393" i="1"/>
  <c r="E393" i="1"/>
  <c r="F393" i="1"/>
  <c r="G393" i="1"/>
  <c r="H393" i="1"/>
  <c r="I393" i="1"/>
  <c r="J393" i="1"/>
  <c r="B394" i="1"/>
  <c r="C394" i="1"/>
  <c r="D394" i="1"/>
  <c r="E394" i="1"/>
  <c r="F394" i="1"/>
  <c r="G394" i="1"/>
  <c r="H394" i="1"/>
  <c r="I394" i="1"/>
  <c r="J394" i="1"/>
  <c r="B395" i="1"/>
  <c r="C395" i="1"/>
  <c r="D395" i="1"/>
  <c r="E395" i="1"/>
  <c r="F395" i="1"/>
  <c r="G395" i="1"/>
  <c r="H395" i="1"/>
  <c r="I395" i="1"/>
  <c r="J395" i="1"/>
  <c r="B396" i="1"/>
  <c r="C396" i="1"/>
  <c r="D396" i="1"/>
  <c r="E396" i="1"/>
  <c r="F396" i="1"/>
  <c r="G396" i="1"/>
  <c r="H396" i="1"/>
  <c r="I396" i="1"/>
  <c r="J396" i="1"/>
  <c r="B397" i="1"/>
  <c r="C397" i="1"/>
  <c r="D397" i="1"/>
  <c r="E397" i="1"/>
  <c r="F397" i="1"/>
  <c r="G397" i="1"/>
  <c r="H397" i="1"/>
  <c r="I397" i="1"/>
  <c r="J397" i="1"/>
  <c r="B398" i="1"/>
  <c r="C398" i="1"/>
  <c r="D398" i="1"/>
  <c r="E398" i="1"/>
  <c r="F398" i="1"/>
  <c r="G398" i="1"/>
  <c r="H398" i="1"/>
  <c r="I398" i="1"/>
  <c r="J398" i="1"/>
  <c r="B399" i="1"/>
  <c r="C399" i="1"/>
  <c r="D399" i="1"/>
  <c r="D1063" i="1" s="1"/>
  <c r="E399" i="1"/>
  <c r="F399" i="1"/>
  <c r="G399" i="1"/>
  <c r="H399" i="1"/>
  <c r="I399" i="1"/>
  <c r="J399" i="1"/>
  <c r="B400" i="1"/>
  <c r="C400" i="1"/>
  <c r="D400" i="1"/>
  <c r="E400" i="1"/>
  <c r="F400" i="1"/>
  <c r="G400" i="1"/>
  <c r="H400" i="1"/>
  <c r="I400" i="1"/>
  <c r="J400" i="1"/>
  <c r="B401" i="1"/>
  <c r="C401" i="1"/>
  <c r="D401" i="1"/>
  <c r="E401" i="1"/>
  <c r="F401" i="1"/>
  <c r="G401" i="1"/>
  <c r="H401" i="1"/>
  <c r="I401" i="1"/>
  <c r="J401" i="1"/>
  <c r="B402" i="1"/>
  <c r="C402" i="1"/>
  <c r="D402" i="1"/>
  <c r="E402" i="1"/>
  <c r="F402" i="1"/>
  <c r="G402" i="1"/>
  <c r="H402" i="1"/>
  <c r="I402" i="1"/>
  <c r="J402" i="1"/>
  <c r="B403" i="1"/>
  <c r="C403" i="1"/>
  <c r="D403" i="1"/>
  <c r="E403" i="1"/>
  <c r="F403" i="1"/>
  <c r="G403" i="1"/>
  <c r="H403" i="1"/>
  <c r="I403" i="1"/>
  <c r="J403" i="1"/>
  <c r="B404" i="1"/>
  <c r="C404" i="1"/>
  <c r="D404" i="1"/>
  <c r="E404" i="1"/>
  <c r="F404" i="1"/>
  <c r="G404" i="1"/>
  <c r="H404" i="1"/>
  <c r="I404" i="1"/>
  <c r="J404" i="1"/>
  <c r="B405" i="1"/>
  <c r="C405" i="1"/>
  <c r="D405" i="1"/>
  <c r="E405" i="1"/>
  <c r="F405" i="1"/>
  <c r="G405" i="1"/>
  <c r="H405" i="1"/>
  <c r="I405" i="1"/>
  <c r="J405" i="1"/>
  <c r="B406" i="1"/>
  <c r="C406" i="1"/>
  <c r="D406" i="1"/>
  <c r="E406" i="1"/>
  <c r="F406" i="1"/>
  <c r="G406" i="1"/>
  <c r="H406" i="1"/>
  <c r="I406" i="1"/>
  <c r="J406" i="1"/>
  <c r="B407" i="1"/>
  <c r="C407" i="1"/>
  <c r="D407" i="1"/>
  <c r="E407" i="1"/>
  <c r="F407" i="1"/>
  <c r="G407" i="1"/>
  <c r="H407" i="1"/>
  <c r="I407" i="1"/>
  <c r="J407" i="1"/>
  <c r="B408" i="1"/>
  <c r="C408" i="1"/>
  <c r="D408" i="1"/>
  <c r="E408" i="1"/>
  <c r="F408" i="1"/>
  <c r="G408" i="1"/>
  <c r="H408" i="1"/>
  <c r="I408" i="1"/>
  <c r="J408" i="1"/>
  <c r="B409" i="1"/>
  <c r="C409" i="1"/>
  <c r="D409" i="1"/>
  <c r="E409" i="1"/>
  <c r="F409" i="1"/>
  <c r="G409" i="1"/>
  <c r="H409" i="1"/>
  <c r="I409" i="1"/>
  <c r="J409" i="1"/>
  <c r="B410" i="1"/>
  <c r="C410" i="1"/>
  <c r="D410" i="1"/>
  <c r="E410" i="1"/>
  <c r="F410" i="1"/>
  <c r="G410" i="1"/>
  <c r="H410" i="1"/>
  <c r="I410" i="1"/>
  <c r="J410" i="1"/>
  <c r="B411" i="1"/>
  <c r="C411" i="1"/>
  <c r="D411" i="1"/>
  <c r="E411" i="1"/>
  <c r="F411" i="1"/>
  <c r="G411" i="1"/>
  <c r="H411" i="1"/>
  <c r="I411" i="1"/>
  <c r="J411" i="1"/>
  <c r="B412" i="1"/>
  <c r="C412" i="1"/>
  <c r="C1064" i="1" s="1"/>
  <c r="D412" i="1"/>
  <c r="E412" i="1"/>
  <c r="F412" i="1"/>
  <c r="G412" i="1"/>
  <c r="H412" i="1"/>
  <c r="I412" i="1"/>
  <c r="J412" i="1"/>
  <c r="B413" i="1"/>
  <c r="C413" i="1"/>
  <c r="D413" i="1"/>
  <c r="E413" i="1"/>
  <c r="F413" i="1"/>
  <c r="G413" i="1"/>
  <c r="H413" i="1"/>
  <c r="I413" i="1"/>
  <c r="J413" i="1"/>
  <c r="B414" i="1"/>
  <c r="C414" i="1"/>
  <c r="D414" i="1"/>
  <c r="E414" i="1"/>
  <c r="F414" i="1"/>
  <c r="G414" i="1"/>
  <c r="H414" i="1"/>
  <c r="I414" i="1"/>
  <c r="J414" i="1"/>
  <c r="B415" i="1"/>
  <c r="C415" i="1"/>
  <c r="D415" i="1"/>
  <c r="E415" i="1"/>
  <c r="F415" i="1"/>
  <c r="G415" i="1"/>
  <c r="H415" i="1"/>
  <c r="I415" i="1"/>
  <c r="J415" i="1"/>
  <c r="B416" i="1"/>
  <c r="C416" i="1"/>
  <c r="D416" i="1"/>
  <c r="E416" i="1"/>
  <c r="F416" i="1"/>
  <c r="G416" i="1"/>
  <c r="H416" i="1"/>
  <c r="I416" i="1"/>
  <c r="J416" i="1"/>
  <c r="B417" i="1"/>
  <c r="C417" i="1"/>
  <c r="D417" i="1"/>
  <c r="E417" i="1"/>
  <c r="F417" i="1"/>
  <c r="G417" i="1"/>
  <c r="H417" i="1"/>
  <c r="I417" i="1"/>
  <c r="J417" i="1"/>
  <c r="B418" i="1"/>
  <c r="C418" i="1"/>
  <c r="D418" i="1"/>
  <c r="E418" i="1"/>
  <c r="F418" i="1"/>
  <c r="G418" i="1"/>
  <c r="H418" i="1"/>
  <c r="I418" i="1"/>
  <c r="J418" i="1"/>
  <c r="B419" i="1"/>
  <c r="C419" i="1"/>
  <c r="D419" i="1"/>
  <c r="E419" i="1"/>
  <c r="F419" i="1"/>
  <c r="G419" i="1"/>
  <c r="H419" i="1"/>
  <c r="I419" i="1"/>
  <c r="J419" i="1"/>
  <c r="B420" i="1"/>
  <c r="C420" i="1"/>
  <c r="D420" i="1"/>
  <c r="E420" i="1"/>
  <c r="F420" i="1"/>
  <c r="G420" i="1"/>
  <c r="H420" i="1"/>
  <c r="I420" i="1"/>
  <c r="J420" i="1"/>
  <c r="B421" i="1"/>
  <c r="C421" i="1"/>
  <c r="D421" i="1"/>
  <c r="E421" i="1"/>
  <c r="F421" i="1"/>
  <c r="G421" i="1"/>
  <c r="H421" i="1"/>
  <c r="I421" i="1"/>
  <c r="J421" i="1"/>
  <c r="B422" i="1"/>
  <c r="C422" i="1"/>
  <c r="D422" i="1"/>
  <c r="E422" i="1"/>
  <c r="F422" i="1"/>
  <c r="G422" i="1"/>
  <c r="H422" i="1"/>
  <c r="I422" i="1"/>
  <c r="J422" i="1"/>
  <c r="B423" i="1"/>
  <c r="C423" i="1"/>
  <c r="D423" i="1"/>
  <c r="D1065" i="1" s="1"/>
  <c r="E423" i="1"/>
  <c r="F423" i="1"/>
  <c r="G423" i="1"/>
  <c r="H423" i="1"/>
  <c r="I423" i="1"/>
  <c r="J423" i="1"/>
  <c r="B424" i="1"/>
  <c r="C424" i="1"/>
  <c r="D424" i="1"/>
  <c r="E424" i="1"/>
  <c r="F424" i="1"/>
  <c r="G424" i="1"/>
  <c r="H424" i="1"/>
  <c r="I424" i="1"/>
  <c r="J424" i="1"/>
  <c r="B425" i="1"/>
  <c r="C425" i="1"/>
  <c r="D425" i="1"/>
  <c r="E425" i="1"/>
  <c r="F425" i="1"/>
  <c r="G425" i="1"/>
  <c r="H425" i="1"/>
  <c r="I425" i="1"/>
  <c r="J425" i="1"/>
  <c r="J1065" i="1" s="1"/>
  <c r="B426" i="1"/>
  <c r="C426" i="1"/>
  <c r="D426" i="1"/>
  <c r="E426" i="1"/>
  <c r="F426" i="1"/>
  <c r="G426" i="1"/>
  <c r="H426" i="1"/>
  <c r="I426" i="1"/>
  <c r="J426" i="1"/>
  <c r="B427" i="1"/>
  <c r="C427" i="1"/>
  <c r="D427" i="1"/>
  <c r="E427" i="1"/>
  <c r="F427" i="1"/>
  <c r="G427" i="1"/>
  <c r="H427" i="1"/>
  <c r="I427" i="1"/>
  <c r="J427" i="1"/>
  <c r="B428" i="1"/>
  <c r="C428" i="1"/>
  <c r="D428" i="1"/>
  <c r="E428" i="1"/>
  <c r="F428" i="1"/>
  <c r="G428" i="1"/>
  <c r="H428" i="1"/>
  <c r="I428" i="1"/>
  <c r="J428" i="1"/>
  <c r="B429" i="1"/>
  <c r="C429" i="1"/>
  <c r="D429" i="1"/>
  <c r="E429" i="1"/>
  <c r="F429" i="1"/>
  <c r="G429" i="1"/>
  <c r="H429" i="1"/>
  <c r="I429" i="1"/>
  <c r="J429" i="1"/>
  <c r="B430" i="1"/>
  <c r="C430" i="1"/>
  <c r="D430" i="1"/>
  <c r="E430" i="1"/>
  <c r="F430" i="1"/>
  <c r="G430" i="1"/>
  <c r="H430" i="1"/>
  <c r="I430" i="1"/>
  <c r="J430" i="1"/>
  <c r="B431" i="1"/>
  <c r="C431" i="1"/>
  <c r="D431" i="1"/>
  <c r="E431" i="1"/>
  <c r="F431" i="1"/>
  <c r="G431" i="1"/>
  <c r="H431" i="1"/>
  <c r="I431" i="1"/>
  <c r="J431" i="1"/>
  <c r="B432" i="1"/>
  <c r="C432" i="1"/>
  <c r="D432" i="1"/>
  <c r="E432" i="1"/>
  <c r="F432" i="1"/>
  <c r="G432" i="1"/>
  <c r="H432" i="1"/>
  <c r="I432" i="1"/>
  <c r="J432" i="1"/>
  <c r="B433" i="1"/>
  <c r="C433" i="1"/>
  <c r="D433" i="1"/>
  <c r="E433" i="1"/>
  <c r="F433" i="1"/>
  <c r="G433" i="1"/>
  <c r="H433" i="1"/>
  <c r="I433" i="1"/>
  <c r="J433" i="1"/>
  <c r="B434" i="1"/>
  <c r="C434" i="1"/>
  <c r="D434" i="1"/>
  <c r="E434" i="1"/>
  <c r="F434" i="1"/>
  <c r="G434" i="1"/>
  <c r="H434" i="1"/>
  <c r="I434" i="1"/>
  <c r="J434" i="1"/>
  <c r="B435" i="1"/>
  <c r="C435" i="1"/>
  <c r="D435" i="1"/>
  <c r="E435" i="1"/>
  <c r="F435" i="1"/>
  <c r="G435" i="1"/>
  <c r="H435" i="1"/>
  <c r="I435" i="1"/>
  <c r="J435" i="1"/>
  <c r="B436" i="1"/>
  <c r="C436" i="1"/>
  <c r="D436" i="1"/>
  <c r="E436" i="1"/>
  <c r="F436" i="1"/>
  <c r="G436" i="1"/>
  <c r="H436" i="1"/>
  <c r="I436" i="1"/>
  <c r="J436" i="1"/>
  <c r="B437" i="1"/>
  <c r="C437" i="1"/>
  <c r="D437" i="1"/>
  <c r="E437" i="1"/>
  <c r="F437" i="1"/>
  <c r="G437" i="1"/>
  <c r="H437" i="1"/>
  <c r="I437" i="1"/>
  <c r="J437" i="1"/>
  <c r="B438" i="1"/>
  <c r="C438" i="1"/>
  <c r="D438" i="1"/>
  <c r="E438" i="1"/>
  <c r="F438" i="1"/>
  <c r="G438" i="1"/>
  <c r="H438" i="1"/>
  <c r="I438" i="1"/>
  <c r="J438" i="1"/>
  <c r="B439" i="1"/>
  <c r="C439" i="1"/>
  <c r="D439" i="1"/>
  <c r="E439" i="1"/>
  <c r="F439" i="1"/>
  <c r="G439" i="1"/>
  <c r="H439" i="1"/>
  <c r="I439" i="1"/>
  <c r="J439" i="1"/>
  <c r="B440" i="1"/>
  <c r="C440" i="1"/>
  <c r="D440" i="1"/>
  <c r="E440" i="1"/>
  <c r="F440" i="1"/>
  <c r="G440" i="1"/>
  <c r="H440" i="1"/>
  <c r="I440" i="1"/>
  <c r="J440" i="1"/>
  <c r="B441" i="1"/>
  <c r="C441" i="1"/>
  <c r="D441" i="1"/>
  <c r="E441" i="1"/>
  <c r="F441" i="1"/>
  <c r="G441" i="1"/>
  <c r="H441" i="1"/>
  <c r="I441" i="1"/>
  <c r="J441" i="1"/>
  <c r="B442" i="1"/>
  <c r="C442" i="1"/>
  <c r="D442" i="1"/>
  <c r="E442" i="1"/>
  <c r="F442" i="1"/>
  <c r="G442" i="1"/>
  <c r="H442" i="1"/>
  <c r="I442" i="1"/>
  <c r="J442" i="1"/>
  <c r="B443" i="1"/>
  <c r="C443" i="1"/>
  <c r="D443" i="1"/>
  <c r="E443" i="1"/>
  <c r="F443" i="1"/>
  <c r="G443" i="1"/>
  <c r="H443" i="1"/>
  <c r="I443" i="1"/>
  <c r="J443" i="1"/>
  <c r="B444" i="1"/>
  <c r="C444" i="1"/>
  <c r="D444" i="1"/>
  <c r="E444" i="1"/>
  <c r="F444" i="1"/>
  <c r="G444" i="1"/>
  <c r="H444" i="1"/>
  <c r="I444" i="1"/>
  <c r="J444" i="1"/>
  <c r="B445" i="1"/>
  <c r="C445" i="1"/>
  <c r="D445" i="1"/>
  <c r="E445" i="1"/>
  <c r="F445" i="1"/>
  <c r="G445" i="1"/>
  <c r="H445" i="1"/>
  <c r="I445" i="1"/>
  <c r="J445" i="1"/>
  <c r="B446" i="1"/>
  <c r="C446" i="1"/>
  <c r="D446" i="1"/>
  <c r="E446" i="1"/>
  <c r="F446" i="1"/>
  <c r="G446" i="1"/>
  <c r="H446" i="1"/>
  <c r="I446" i="1"/>
  <c r="J446" i="1"/>
  <c r="B447" i="1"/>
  <c r="C447" i="1"/>
  <c r="D447" i="1"/>
  <c r="D1067" i="1" s="1"/>
  <c r="E447" i="1"/>
  <c r="F447" i="1"/>
  <c r="G447" i="1"/>
  <c r="H447" i="1"/>
  <c r="I447" i="1"/>
  <c r="J447" i="1"/>
  <c r="B448" i="1"/>
  <c r="C448" i="1"/>
  <c r="D448" i="1"/>
  <c r="E448" i="1"/>
  <c r="F448" i="1"/>
  <c r="G448" i="1"/>
  <c r="H448" i="1"/>
  <c r="I448" i="1"/>
  <c r="J448" i="1"/>
  <c r="B449" i="1"/>
  <c r="C449" i="1"/>
  <c r="D449" i="1"/>
  <c r="E449" i="1"/>
  <c r="F449" i="1"/>
  <c r="G449" i="1"/>
  <c r="H449" i="1"/>
  <c r="I449" i="1"/>
  <c r="J449" i="1"/>
  <c r="J1067" i="1" s="1"/>
  <c r="B450" i="1"/>
  <c r="C450" i="1"/>
  <c r="D450" i="1"/>
  <c r="E450" i="1"/>
  <c r="F450" i="1"/>
  <c r="G450" i="1"/>
  <c r="H450" i="1"/>
  <c r="I450" i="1"/>
  <c r="J450" i="1"/>
  <c r="B451" i="1"/>
  <c r="C451" i="1"/>
  <c r="D451" i="1"/>
  <c r="E451" i="1"/>
  <c r="F451" i="1"/>
  <c r="G451" i="1"/>
  <c r="H451" i="1"/>
  <c r="I451" i="1"/>
  <c r="J451" i="1"/>
  <c r="B452" i="1"/>
  <c r="C452" i="1"/>
  <c r="D452" i="1"/>
  <c r="E452" i="1"/>
  <c r="F452" i="1"/>
  <c r="G452" i="1"/>
  <c r="H452" i="1"/>
  <c r="I452" i="1"/>
  <c r="J452" i="1"/>
  <c r="B453" i="1"/>
  <c r="C453" i="1"/>
  <c r="D453" i="1"/>
  <c r="E453" i="1"/>
  <c r="F453" i="1"/>
  <c r="G453" i="1"/>
  <c r="H453" i="1"/>
  <c r="I453" i="1"/>
  <c r="J453" i="1"/>
  <c r="B454" i="1"/>
  <c r="C454" i="1"/>
  <c r="D454" i="1"/>
  <c r="E454" i="1"/>
  <c r="F454" i="1"/>
  <c r="G454" i="1"/>
  <c r="H454" i="1"/>
  <c r="I454" i="1"/>
  <c r="J454" i="1"/>
  <c r="B455" i="1"/>
  <c r="C455" i="1"/>
  <c r="D455" i="1"/>
  <c r="E455" i="1"/>
  <c r="F455" i="1"/>
  <c r="G455" i="1"/>
  <c r="H455" i="1"/>
  <c r="I455" i="1"/>
  <c r="J455" i="1"/>
  <c r="B456" i="1"/>
  <c r="C456" i="1"/>
  <c r="D456" i="1"/>
  <c r="E456" i="1"/>
  <c r="F456" i="1"/>
  <c r="G456" i="1"/>
  <c r="H456" i="1"/>
  <c r="I456" i="1"/>
  <c r="J456" i="1"/>
  <c r="B457" i="1"/>
  <c r="C457" i="1"/>
  <c r="D457" i="1"/>
  <c r="E457" i="1"/>
  <c r="F457" i="1"/>
  <c r="G457" i="1"/>
  <c r="H457" i="1"/>
  <c r="I457" i="1"/>
  <c r="J457" i="1"/>
  <c r="B458" i="1"/>
  <c r="C458" i="1"/>
  <c r="D458" i="1"/>
  <c r="E458" i="1"/>
  <c r="F458" i="1"/>
  <c r="G458" i="1"/>
  <c r="H458" i="1"/>
  <c r="I458" i="1"/>
  <c r="J458" i="1"/>
  <c r="B459" i="1"/>
  <c r="C459" i="1"/>
  <c r="D459" i="1"/>
  <c r="E459" i="1"/>
  <c r="F459" i="1"/>
  <c r="G459" i="1"/>
  <c r="H459" i="1"/>
  <c r="I459" i="1"/>
  <c r="J459" i="1"/>
  <c r="B460" i="1"/>
  <c r="C460" i="1"/>
  <c r="D460" i="1"/>
  <c r="E460" i="1"/>
  <c r="F460" i="1"/>
  <c r="G460" i="1"/>
  <c r="H460" i="1"/>
  <c r="I460" i="1"/>
  <c r="J460" i="1"/>
  <c r="B461" i="1"/>
  <c r="C461" i="1"/>
  <c r="D461" i="1"/>
  <c r="E461" i="1"/>
  <c r="F461" i="1"/>
  <c r="G461" i="1"/>
  <c r="H461" i="1"/>
  <c r="I461" i="1"/>
  <c r="J461" i="1"/>
  <c r="B462" i="1"/>
  <c r="C462" i="1"/>
  <c r="D462" i="1"/>
  <c r="E462" i="1"/>
  <c r="F462" i="1"/>
  <c r="G462" i="1"/>
  <c r="H462" i="1"/>
  <c r="I462" i="1"/>
  <c r="J462" i="1"/>
  <c r="B463" i="1"/>
  <c r="C463" i="1"/>
  <c r="D463" i="1"/>
  <c r="E463" i="1"/>
  <c r="F463" i="1"/>
  <c r="G463" i="1"/>
  <c r="H463" i="1"/>
  <c r="I463" i="1"/>
  <c r="J463" i="1"/>
  <c r="B464" i="1"/>
  <c r="C464" i="1"/>
  <c r="D464" i="1"/>
  <c r="E464" i="1"/>
  <c r="F464" i="1"/>
  <c r="G464" i="1"/>
  <c r="H464" i="1"/>
  <c r="I464" i="1"/>
  <c r="J464" i="1"/>
  <c r="B465" i="1"/>
  <c r="C465" i="1"/>
  <c r="D465" i="1"/>
  <c r="E465" i="1"/>
  <c r="F465" i="1"/>
  <c r="G465" i="1"/>
  <c r="H465" i="1"/>
  <c r="I465" i="1"/>
  <c r="J465" i="1"/>
  <c r="B466" i="1"/>
  <c r="C466" i="1"/>
  <c r="D466" i="1"/>
  <c r="E466" i="1"/>
  <c r="F466" i="1"/>
  <c r="G466" i="1"/>
  <c r="H466" i="1"/>
  <c r="I466" i="1"/>
  <c r="J466" i="1"/>
  <c r="B467" i="1"/>
  <c r="C467" i="1"/>
  <c r="D467" i="1"/>
  <c r="E467" i="1"/>
  <c r="F467" i="1"/>
  <c r="G467" i="1"/>
  <c r="H467" i="1"/>
  <c r="I467" i="1"/>
  <c r="J467" i="1"/>
  <c r="B468" i="1"/>
  <c r="C468" i="1"/>
  <c r="D468" i="1"/>
  <c r="E468" i="1"/>
  <c r="F468" i="1"/>
  <c r="G468" i="1"/>
  <c r="H468" i="1"/>
  <c r="I468" i="1"/>
  <c r="J468" i="1"/>
  <c r="B469" i="1"/>
  <c r="C469" i="1"/>
  <c r="D469" i="1"/>
  <c r="E469" i="1"/>
  <c r="F469" i="1"/>
  <c r="G469" i="1"/>
  <c r="H469" i="1"/>
  <c r="I469" i="1"/>
  <c r="J469" i="1"/>
  <c r="B470" i="1"/>
  <c r="C470" i="1"/>
  <c r="D470" i="1"/>
  <c r="E470" i="1"/>
  <c r="F470" i="1"/>
  <c r="G470" i="1"/>
  <c r="H470" i="1"/>
  <c r="I470" i="1"/>
  <c r="J470" i="1"/>
  <c r="B471" i="1"/>
  <c r="C471" i="1"/>
  <c r="D471" i="1"/>
  <c r="D1069" i="1" s="1"/>
  <c r="E471" i="1"/>
  <c r="F471" i="1"/>
  <c r="G471" i="1"/>
  <c r="H471" i="1"/>
  <c r="I471" i="1"/>
  <c r="J471" i="1"/>
  <c r="J1069" i="1" s="1"/>
  <c r="B472" i="1"/>
  <c r="C472" i="1"/>
  <c r="C1069" i="1" s="1"/>
  <c r="D472" i="1"/>
  <c r="E472" i="1"/>
  <c r="F472" i="1"/>
  <c r="G472" i="1"/>
  <c r="H472" i="1"/>
  <c r="I472" i="1"/>
  <c r="J472" i="1"/>
  <c r="B473" i="1"/>
  <c r="C473" i="1"/>
  <c r="D473" i="1"/>
  <c r="E473" i="1"/>
  <c r="F473" i="1"/>
  <c r="G473" i="1"/>
  <c r="H473" i="1"/>
  <c r="I473" i="1"/>
  <c r="J473" i="1"/>
  <c r="B474" i="1"/>
  <c r="C474" i="1"/>
  <c r="D474" i="1"/>
  <c r="E474" i="1"/>
  <c r="F474" i="1"/>
  <c r="G474" i="1"/>
  <c r="H474" i="1"/>
  <c r="I474" i="1"/>
  <c r="J474" i="1"/>
  <c r="B475" i="1"/>
  <c r="C475" i="1"/>
  <c r="D475" i="1"/>
  <c r="E475" i="1"/>
  <c r="F475" i="1"/>
  <c r="G475" i="1"/>
  <c r="H475" i="1"/>
  <c r="I475" i="1"/>
  <c r="J475" i="1"/>
  <c r="B476" i="1"/>
  <c r="C476" i="1"/>
  <c r="D476" i="1"/>
  <c r="E476" i="1"/>
  <c r="F476" i="1"/>
  <c r="G476" i="1"/>
  <c r="H476" i="1"/>
  <c r="I476" i="1"/>
  <c r="J476" i="1"/>
  <c r="B477" i="1"/>
  <c r="C477" i="1"/>
  <c r="D477" i="1"/>
  <c r="E477" i="1"/>
  <c r="F477" i="1"/>
  <c r="G477" i="1"/>
  <c r="H477" i="1"/>
  <c r="I477" i="1"/>
  <c r="J477" i="1"/>
  <c r="B478" i="1"/>
  <c r="C478" i="1"/>
  <c r="D478" i="1"/>
  <c r="E478" i="1"/>
  <c r="F478" i="1"/>
  <c r="G478" i="1"/>
  <c r="H478" i="1"/>
  <c r="I478" i="1"/>
  <c r="J478" i="1"/>
  <c r="B479" i="1"/>
  <c r="C479" i="1"/>
  <c r="D479" i="1"/>
  <c r="E479" i="1"/>
  <c r="F479" i="1"/>
  <c r="G479" i="1"/>
  <c r="H479" i="1"/>
  <c r="I479" i="1"/>
  <c r="J479" i="1"/>
  <c r="B480" i="1"/>
  <c r="C480" i="1"/>
  <c r="D480" i="1"/>
  <c r="E480" i="1"/>
  <c r="F480" i="1"/>
  <c r="G480" i="1"/>
  <c r="H480" i="1"/>
  <c r="I480" i="1"/>
  <c r="J480" i="1"/>
  <c r="B481" i="1"/>
  <c r="C481" i="1"/>
  <c r="D481" i="1"/>
  <c r="E481" i="1"/>
  <c r="F481" i="1"/>
  <c r="G481" i="1"/>
  <c r="H481" i="1"/>
  <c r="I481" i="1"/>
  <c r="J481" i="1"/>
  <c r="B482" i="1"/>
  <c r="C482" i="1"/>
  <c r="D482" i="1"/>
  <c r="E482" i="1"/>
  <c r="F482" i="1"/>
  <c r="G482" i="1"/>
  <c r="H482" i="1"/>
  <c r="I482" i="1"/>
  <c r="J482" i="1"/>
  <c r="B483" i="1"/>
  <c r="C483" i="1"/>
  <c r="D483" i="1"/>
  <c r="E483" i="1"/>
  <c r="F483" i="1"/>
  <c r="G483" i="1"/>
  <c r="H483" i="1"/>
  <c r="I483" i="1"/>
  <c r="J483" i="1"/>
  <c r="B484" i="1"/>
  <c r="C484" i="1"/>
  <c r="D484" i="1"/>
  <c r="E484" i="1"/>
  <c r="F484" i="1"/>
  <c r="G484" i="1"/>
  <c r="H484" i="1"/>
  <c r="I484" i="1"/>
  <c r="J484" i="1"/>
  <c r="B485" i="1"/>
  <c r="C485" i="1"/>
  <c r="D485" i="1"/>
  <c r="E485" i="1"/>
  <c r="F485" i="1"/>
  <c r="G485" i="1"/>
  <c r="H485" i="1"/>
  <c r="I485" i="1"/>
  <c r="J485" i="1"/>
  <c r="B486" i="1"/>
  <c r="C486" i="1"/>
  <c r="D486" i="1"/>
  <c r="E486" i="1"/>
  <c r="F486" i="1"/>
  <c r="G486" i="1"/>
  <c r="H486" i="1"/>
  <c r="I486" i="1"/>
  <c r="J486" i="1"/>
  <c r="B487" i="1"/>
  <c r="C487" i="1"/>
  <c r="D487" i="1"/>
  <c r="E487" i="1"/>
  <c r="F487" i="1"/>
  <c r="G487" i="1"/>
  <c r="H487" i="1"/>
  <c r="I487" i="1"/>
  <c r="J487" i="1"/>
  <c r="B488" i="1"/>
  <c r="C488" i="1"/>
  <c r="D488" i="1"/>
  <c r="E488" i="1"/>
  <c r="F488" i="1"/>
  <c r="G488" i="1"/>
  <c r="H488" i="1"/>
  <c r="I488" i="1"/>
  <c r="J488" i="1"/>
  <c r="B489" i="1"/>
  <c r="C489" i="1"/>
  <c r="D489" i="1"/>
  <c r="E489" i="1"/>
  <c r="F489" i="1"/>
  <c r="G489" i="1"/>
  <c r="H489" i="1"/>
  <c r="I489" i="1"/>
  <c r="J489" i="1"/>
  <c r="B490" i="1"/>
  <c r="C490" i="1"/>
  <c r="D490" i="1"/>
  <c r="E490" i="1"/>
  <c r="F490" i="1"/>
  <c r="G490" i="1"/>
  <c r="H490" i="1"/>
  <c r="I490" i="1"/>
  <c r="J490" i="1"/>
  <c r="B491" i="1"/>
  <c r="C491" i="1"/>
  <c r="D491" i="1"/>
  <c r="E491" i="1"/>
  <c r="F491" i="1"/>
  <c r="G491" i="1"/>
  <c r="H491" i="1"/>
  <c r="I491" i="1"/>
  <c r="J491" i="1"/>
  <c r="B492" i="1"/>
  <c r="C492" i="1"/>
  <c r="D492" i="1"/>
  <c r="E492" i="1"/>
  <c r="F492" i="1"/>
  <c r="G492" i="1"/>
  <c r="H492" i="1"/>
  <c r="I492" i="1"/>
  <c r="J492" i="1"/>
  <c r="B493" i="1"/>
  <c r="C493" i="1"/>
  <c r="D493" i="1"/>
  <c r="E493" i="1"/>
  <c r="F493" i="1"/>
  <c r="G493" i="1"/>
  <c r="H493" i="1"/>
  <c r="I493" i="1"/>
  <c r="J493" i="1"/>
  <c r="B494" i="1"/>
  <c r="C494" i="1"/>
  <c r="D494" i="1"/>
  <c r="E494" i="1"/>
  <c r="F494" i="1"/>
  <c r="G494" i="1"/>
  <c r="H494" i="1"/>
  <c r="I494" i="1"/>
  <c r="J494" i="1"/>
  <c r="B495" i="1"/>
  <c r="C495" i="1"/>
  <c r="D495" i="1"/>
  <c r="D1071" i="1" s="1"/>
  <c r="E495" i="1"/>
  <c r="F495" i="1"/>
  <c r="F1071" i="1" s="1"/>
  <c r="G495" i="1"/>
  <c r="H495" i="1"/>
  <c r="I495" i="1"/>
  <c r="J495" i="1"/>
  <c r="B496" i="1"/>
  <c r="C496" i="1"/>
  <c r="D496" i="1"/>
  <c r="E496" i="1"/>
  <c r="F496" i="1"/>
  <c r="G496" i="1"/>
  <c r="H496" i="1"/>
  <c r="I496" i="1"/>
  <c r="J496" i="1"/>
  <c r="B497" i="1"/>
  <c r="C497" i="1"/>
  <c r="D497" i="1"/>
  <c r="E497" i="1"/>
  <c r="F497" i="1"/>
  <c r="G497" i="1"/>
  <c r="H497" i="1"/>
  <c r="I497" i="1"/>
  <c r="J497" i="1"/>
  <c r="B498" i="1"/>
  <c r="C498" i="1"/>
  <c r="D498" i="1"/>
  <c r="E498" i="1"/>
  <c r="F498" i="1"/>
  <c r="G498" i="1"/>
  <c r="H498" i="1"/>
  <c r="I498" i="1"/>
  <c r="J498" i="1"/>
  <c r="B499" i="1"/>
  <c r="C499" i="1"/>
  <c r="D499" i="1"/>
  <c r="E499" i="1"/>
  <c r="F499" i="1"/>
  <c r="G499" i="1"/>
  <c r="H499" i="1"/>
  <c r="I499" i="1"/>
  <c r="J499" i="1"/>
  <c r="B500" i="1"/>
  <c r="C500" i="1"/>
  <c r="D500" i="1"/>
  <c r="E500" i="1"/>
  <c r="F500" i="1"/>
  <c r="G500" i="1"/>
  <c r="H500" i="1"/>
  <c r="I500" i="1"/>
  <c r="J500" i="1"/>
  <c r="B501" i="1"/>
  <c r="C501" i="1"/>
  <c r="D501" i="1"/>
  <c r="E501" i="1"/>
  <c r="F501" i="1"/>
  <c r="G501" i="1"/>
  <c r="H501" i="1"/>
  <c r="I501" i="1"/>
  <c r="J501" i="1"/>
  <c r="B502" i="1"/>
  <c r="C502" i="1"/>
  <c r="D502" i="1"/>
  <c r="E502" i="1"/>
  <c r="F502" i="1"/>
  <c r="G502" i="1"/>
  <c r="H502" i="1"/>
  <c r="I502" i="1"/>
  <c r="J502" i="1"/>
  <c r="B503" i="1"/>
  <c r="C503" i="1"/>
  <c r="D503" i="1"/>
  <c r="E503" i="1"/>
  <c r="F503" i="1"/>
  <c r="G503" i="1"/>
  <c r="H503" i="1"/>
  <c r="I503" i="1"/>
  <c r="J503" i="1"/>
  <c r="B504" i="1"/>
  <c r="C504" i="1"/>
  <c r="D504" i="1"/>
  <c r="E504" i="1"/>
  <c r="F504" i="1"/>
  <c r="G504" i="1"/>
  <c r="H504" i="1"/>
  <c r="I504" i="1"/>
  <c r="J504" i="1"/>
  <c r="B505" i="1"/>
  <c r="C505" i="1"/>
  <c r="D505" i="1"/>
  <c r="E505" i="1"/>
  <c r="F505" i="1"/>
  <c r="G505" i="1"/>
  <c r="H505" i="1"/>
  <c r="I505" i="1"/>
  <c r="J505" i="1"/>
  <c r="B506" i="1"/>
  <c r="C506" i="1"/>
  <c r="D506" i="1"/>
  <c r="E506" i="1"/>
  <c r="F506" i="1"/>
  <c r="G506" i="1"/>
  <c r="H506" i="1"/>
  <c r="I506" i="1"/>
  <c r="I1072" i="1" s="1"/>
  <c r="J506" i="1"/>
  <c r="B507" i="1"/>
  <c r="C507" i="1"/>
  <c r="D507" i="1"/>
  <c r="E507" i="1"/>
  <c r="F507" i="1"/>
  <c r="G507" i="1"/>
  <c r="H507" i="1"/>
  <c r="I507" i="1"/>
  <c r="J507" i="1"/>
  <c r="B508" i="1"/>
  <c r="C508" i="1"/>
  <c r="D508" i="1"/>
  <c r="E508" i="1"/>
  <c r="F508" i="1"/>
  <c r="G508" i="1"/>
  <c r="H508" i="1"/>
  <c r="I508" i="1"/>
  <c r="J508" i="1"/>
  <c r="B509" i="1"/>
  <c r="C509" i="1"/>
  <c r="D509" i="1"/>
  <c r="E509" i="1"/>
  <c r="F509" i="1"/>
  <c r="G509" i="1"/>
  <c r="H509" i="1"/>
  <c r="I509" i="1"/>
  <c r="J509" i="1"/>
  <c r="B510" i="1"/>
  <c r="C510" i="1"/>
  <c r="D510" i="1"/>
  <c r="E510" i="1"/>
  <c r="F510" i="1"/>
  <c r="G510" i="1"/>
  <c r="H510" i="1"/>
  <c r="I510" i="1"/>
  <c r="J510" i="1"/>
  <c r="B511" i="1"/>
  <c r="C511" i="1"/>
  <c r="D511" i="1"/>
  <c r="E511" i="1"/>
  <c r="F511" i="1"/>
  <c r="G511" i="1"/>
  <c r="H511" i="1"/>
  <c r="I511" i="1"/>
  <c r="J511" i="1"/>
  <c r="B512" i="1"/>
  <c r="C512" i="1"/>
  <c r="D512" i="1"/>
  <c r="E512" i="1"/>
  <c r="F512" i="1"/>
  <c r="G512" i="1"/>
  <c r="H512" i="1"/>
  <c r="I512" i="1"/>
  <c r="J512" i="1"/>
  <c r="B513" i="1"/>
  <c r="C513" i="1"/>
  <c r="D513" i="1"/>
  <c r="E513" i="1"/>
  <c r="F513" i="1"/>
  <c r="G513" i="1"/>
  <c r="H513" i="1"/>
  <c r="I513" i="1"/>
  <c r="J513" i="1"/>
  <c r="B514" i="1"/>
  <c r="C514" i="1"/>
  <c r="D514" i="1"/>
  <c r="E514" i="1"/>
  <c r="F514" i="1"/>
  <c r="G514" i="1"/>
  <c r="H514" i="1"/>
  <c r="I514" i="1"/>
  <c r="J514" i="1"/>
  <c r="B515" i="1"/>
  <c r="C515" i="1"/>
  <c r="D515" i="1"/>
  <c r="E515" i="1"/>
  <c r="F515" i="1"/>
  <c r="G515" i="1"/>
  <c r="H515" i="1"/>
  <c r="I515" i="1"/>
  <c r="J515" i="1"/>
  <c r="B516" i="1"/>
  <c r="C516" i="1"/>
  <c r="D516" i="1"/>
  <c r="E516" i="1"/>
  <c r="F516" i="1"/>
  <c r="G516" i="1"/>
  <c r="H516" i="1"/>
  <c r="I516" i="1"/>
  <c r="J516" i="1"/>
  <c r="B517" i="1"/>
  <c r="C517" i="1"/>
  <c r="D517" i="1"/>
  <c r="E517" i="1"/>
  <c r="F517" i="1"/>
  <c r="G517" i="1"/>
  <c r="H517" i="1"/>
  <c r="I517" i="1"/>
  <c r="J517" i="1"/>
  <c r="B518" i="1"/>
  <c r="C518" i="1"/>
  <c r="D518" i="1"/>
  <c r="E518" i="1"/>
  <c r="E1073" i="1" s="1"/>
  <c r="F518" i="1"/>
  <c r="G518" i="1"/>
  <c r="H518" i="1"/>
  <c r="I518" i="1"/>
  <c r="J518" i="1"/>
  <c r="B519" i="1"/>
  <c r="C519" i="1"/>
  <c r="D519" i="1"/>
  <c r="D1073" i="1" s="1"/>
  <c r="E519" i="1"/>
  <c r="F519" i="1"/>
  <c r="G519" i="1"/>
  <c r="H519" i="1"/>
  <c r="I519" i="1"/>
  <c r="J519" i="1"/>
  <c r="B520" i="1"/>
  <c r="C520" i="1"/>
  <c r="D520" i="1"/>
  <c r="E520" i="1"/>
  <c r="F520" i="1"/>
  <c r="G520" i="1"/>
  <c r="H520" i="1"/>
  <c r="I520" i="1"/>
  <c r="J520" i="1"/>
  <c r="B521" i="1"/>
  <c r="B1073" i="1" s="1"/>
  <c r="C521" i="1"/>
  <c r="D521" i="1"/>
  <c r="E521" i="1"/>
  <c r="F521" i="1"/>
  <c r="G521" i="1"/>
  <c r="H521" i="1"/>
  <c r="I521" i="1"/>
  <c r="J521" i="1"/>
  <c r="B522" i="1"/>
  <c r="C522" i="1"/>
  <c r="D522" i="1"/>
  <c r="E522" i="1"/>
  <c r="F522" i="1"/>
  <c r="G522" i="1"/>
  <c r="H522" i="1"/>
  <c r="I522" i="1"/>
  <c r="J522" i="1"/>
  <c r="B523" i="1"/>
  <c r="C523" i="1"/>
  <c r="D523" i="1"/>
  <c r="E523" i="1"/>
  <c r="F523" i="1"/>
  <c r="G523" i="1"/>
  <c r="H523" i="1"/>
  <c r="I523" i="1"/>
  <c r="J523" i="1"/>
  <c r="B524" i="1"/>
  <c r="C524" i="1"/>
  <c r="D524" i="1"/>
  <c r="E524" i="1"/>
  <c r="F524" i="1"/>
  <c r="G524" i="1"/>
  <c r="H524" i="1"/>
  <c r="I524" i="1"/>
  <c r="J524" i="1"/>
  <c r="B525" i="1"/>
  <c r="C525" i="1"/>
  <c r="D525" i="1"/>
  <c r="E525" i="1"/>
  <c r="F525" i="1"/>
  <c r="G525" i="1"/>
  <c r="H525" i="1"/>
  <c r="I525" i="1"/>
  <c r="J525" i="1"/>
  <c r="B526" i="1"/>
  <c r="C526" i="1"/>
  <c r="D526" i="1"/>
  <c r="E526" i="1"/>
  <c r="F526" i="1"/>
  <c r="G526" i="1"/>
  <c r="H526" i="1"/>
  <c r="I526" i="1"/>
  <c r="J526" i="1"/>
  <c r="B527" i="1"/>
  <c r="C527" i="1"/>
  <c r="D527" i="1"/>
  <c r="E527" i="1"/>
  <c r="F527" i="1"/>
  <c r="G527" i="1"/>
  <c r="H527" i="1"/>
  <c r="I527" i="1"/>
  <c r="J527" i="1"/>
  <c r="B528" i="1"/>
  <c r="C528" i="1"/>
  <c r="D528" i="1"/>
  <c r="E528" i="1"/>
  <c r="F528" i="1"/>
  <c r="G528" i="1"/>
  <c r="H528" i="1"/>
  <c r="I528" i="1"/>
  <c r="J528" i="1"/>
  <c r="B529" i="1"/>
  <c r="C529" i="1"/>
  <c r="D529" i="1"/>
  <c r="E529" i="1"/>
  <c r="F529" i="1"/>
  <c r="G529" i="1"/>
  <c r="H529" i="1"/>
  <c r="I529" i="1"/>
  <c r="J529" i="1"/>
  <c r="B530" i="1"/>
  <c r="C530" i="1"/>
  <c r="D530" i="1"/>
  <c r="E530" i="1"/>
  <c r="F530" i="1"/>
  <c r="G530" i="1"/>
  <c r="H530" i="1"/>
  <c r="I530" i="1"/>
  <c r="J530" i="1"/>
  <c r="B531" i="1"/>
  <c r="C531" i="1"/>
  <c r="D531" i="1"/>
  <c r="D1074" i="1" s="1"/>
  <c r="E531" i="1"/>
  <c r="F531" i="1"/>
  <c r="G531" i="1"/>
  <c r="H531" i="1"/>
  <c r="I531" i="1"/>
  <c r="J531" i="1"/>
  <c r="B532" i="1"/>
  <c r="C532" i="1"/>
  <c r="D532" i="1"/>
  <c r="E532" i="1"/>
  <c r="F532" i="1"/>
  <c r="G532" i="1"/>
  <c r="H532" i="1"/>
  <c r="I532" i="1"/>
  <c r="J532" i="1"/>
  <c r="B533" i="1"/>
  <c r="C533" i="1"/>
  <c r="D533" i="1"/>
  <c r="E533" i="1"/>
  <c r="F533" i="1"/>
  <c r="G533" i="1"/>
  <c r="H533" i="1"/>
  <c r="I533" i="1"/>
  <c r="J533" i="1"/>
  <c r="B534" i="1"/>
  <c r="C534" i="1"/>
  <c r="D534" i="1"/>
  <c r="E534" i="1"/>
  <c r="F534" i="1"/>
  <c r="G534" i="1"/>
  <c r="H534" i="1"/>
  <c r="I534" i="1"/>
  <c r="J534" i="1"/>
  <c r="B535" i="1"/>
  <c r="C535" i="1"/>
  <c r="D535" i="1"/>
  <c r="E535" i="1"/>
  <c r="F535" i="1"/>
  <c r="G535" i="1"/>
  <c r="H535" i="1"/>
  <c r="I535" i="1"/>
  <c r="J535" i="1"/>
  <c r="B536" i="1"/>
  <c r="C536" i="1"/>
  <c r="D536" i="1"/>
  <c r="E536" i="1"/>
  <c r="F536" i="1"/>
  <c r="G536" i="1"/>
  <c r="H536" i="1"/>
  <c r="I536" i="1"/>
  <c r="J536" i="1"/>
  <c r="B537" i="1"/>
  <c r="C537" i="1"/>
  <c r="D537" i="1"/>
  <c r="E537" i="1"/>
  <c r="F537" i="1"/>
  <c r="G537" i="1"/>
  <c r="H537" i="1"/>
  <c r="I537" i="1"/>
  <c r="J537" i="1"/>
  <c r="B538" i="1"/>
  <c r="C538" i="1"/>
  <c r="D538" i="1"/>
  <c r="E538" i="1"/>
  <c r="F538" i="1"/>
  <c r="G538" i="1"/>
  <c r="H538" i="1"/>
  <c r="I538" i="1"/>
  <c r="J538" i="1"/>
  <c r="B539" i="1"/>
  <c r="C539" i="1"/>
  <c r="D539" i="1"/>
  <c r="E539" i="1"/>
  <c r="F539" i="1"/>
  <c r="G539" i="1"/>
  <c r="H539" i="1"/>
  <c r="I539" i="1"/>
  <c r="J539" i="1"/>
  <c r="B540" i="1"/>
  <c r="C540" i="1"/>
  <c r="D540" i="1"/>
  <c r="E540" i="1"/>
  <c r="F540" i="1"/>
  <c r="G540" i="1"/>
  <c r="H540" i="1"/>
  <c r="I540" i="1"/>
  <c r="J540" i="1"/>
  <c r="B541" i="1"/>
  <c r="C541" i="1"/>
  <c r="D541" i="1"/>
  <c r="E541" i="1"/>
  <c r="F541" i="1"/>
  <c r="G541" i="1"/>
  <c r="H541" i="1"/>
  <c r="I541" i="1"/>
  <c r="J541" i="1"/>
  <c r="B542" i="1"/>
  <c r="C542" i="1"/>
  <c r="D542" i="1"/>
  <c r="E542" i="1"/>
  <c r="F542" i="1"/>
  <c r="G542" i="1"/>
  <c r="H542" i="1"/>
  <c r="I542" i="1"/>
  <c r="J542" i="1"/>
  <c r="B543" i="1"/>
  <c r="C543" i="1"/>
  <c r="D543" i="1"/>
  <c r="E543" i="1"/>
  <c r="F543" i="1"/>
  <c r="G543" i="1"/>
  <c r="H543" i="1"/>
  <c r="I543" i="1"/>
  <c r="J543" i="1"/>
  <c r="B544" i="1"/>
  <c r="C544" i="1"/>
  <c r="C1075" i="1" s="1"/>
  <c r="D544" i="1"/>
  <c r="E544" i="1"/>
  <c r="F544" i="1"/>
  <c r="G544" i="1"/>
  <c r="H544" i="1"/>
  <c r="I544" i="1"/>
  <c r="J544" i="1"/>
  <c r="B545" i="1"/>
  <c r="C545" i="1"/>
  <c r="D545" i="1"/>
  <c r="E545" i="1"/>
  <c r="F545" i="1"/>
  <c r="G545" i="1"/>
  <c r="H545" i="1"/>
  <c r="I545" i="1"/>
  <c r="J545" i="1"/>
  <c r="B546" i="1"/>
  <c r="C546" i="1"/>
  <c r="D546" i="1"/>
  <c r="E546" i="1"/>
  <c r="F546" i="1"/>
  <c r="G546" i="1"/>
  <c r="H546" i="1"/>
  <c r="I546" i="1"/>
  <c r="J546" i="1"/>
  <c r="B547" i="1"/>
  <c r="C547" i="1"/>
  <c r="D547" i="1"/>
  <c r="E547" i="1"/>
  <c r="F547" i="1"/>
  <c r="G547" i="1"/>
  <c r="H547" i="1"/>
  <c r="I547" i="1"/>
  <c r="J547" i="1"/>
  <c r="B548" i="1"/>
  <c r="C548" i="1"/>
  <c r="D548" i="1"/>
  <c r="E548" i="1"/>
  <c r="F548" i="1"/>
  <c r="G548" i="1"/>
  <c r="H548" i="1"/>
  <c r="I548" i="1"/>
  <c r="J548" i="1"/>
  <c r="B549" i="1"/>
  <c r="C549" i="1"/>
  <c r="D549" i="1"/>
  <c r="E549" i="1"/>
  <c r="F549" i="1"/>
  <c r="G549" i="1"/>
  <c r="H549" i="1"/>
  <c r="I549" i="1"/>
  <c r="J549" i="1"/>
  <c r="B550" i="1"/>
  <c r="C550" i="1"/>
  <c r="D550" i="1"/>
  <c r="E550" i="1"/>
  <c r="F550" i="1"/>
  <c r="G550" i="1"/>
  <c r="H550" i="1"/>
  <c r="I550" i="1"/>
  <c r="J550" i="1"/>
  <c r="B551" i="1"/>
  <c r="C551" i="1"/>
  <c r="D551" i="1"/>
  <c r="E551" i="1"/>
  <c r="F551" i="1"/>
  <c r="G551" i="1"/>
  <c r="H551" i="1"/>
  <c r="I551" i="1"/>
  <c r="J551" i="1"/>
  <c r="B552" i="1"/>
  <c r="C552" i="1"/>
  <c r="D552" i="1"/>
  <c r="E552" i="1"/>
  <c r="F552" i="1"/>
  <c r="G552" i="1"/>
  <c r="H552" i="1"/>
  <c r="I552" i="1"/>
  <c r="J552" i="1"/>
  <c r="B553" i="1"/>
  <c r="C553" i="1"/>
  <c r="D553" i="1"/>
  <c r="E553" i="1"/>
  <c r="F553" i="1"/>
  <c r="G553" i="1"/>
  <c r="H553" i="1"/>
  <c r="I553" i="1"/>
  <c r="J553" i="1"/>
  <c r="B554" i="1"/>
  <c r="C554" i="1"/>
  <c r="D554" i="1"/>
  <c r="E554" i="1"/>
  <c r="F554" i="1"/>
  <c r="G554" i="1"/>
  <c r="H554" i="1"/>
  <c r="I554" i="1"/>
  <c r="J554" i="1"/>
  <c r="B555" i="1"/>
  <c r="B1076" i="1" s="1"/>
  <c r="C555" i="1"/>
  <c r="D555" i="1"/>
  <c r="E555" i="1"/>
  <c r="F555" i="1"/>
  <c r="G555" i="1"/>
  <c r="H555" i="1"/>
  <c r="I555" i="1"/>
  <c r="J555" i="1"/>
  <c r="B556" i="1"/>
  <c r="C556" i="1"/>
  <c r="D556" i="1"/>
  <c r="E556" i="1"/>
  <c r="F556" i="1"/>
  <c r="G556" i="1"/>
  <c r="H556" i="1"/>
  <c r="I556" i="1"/>
  <c r="J556" i="1"/>
  <c r="B557" i="1"/>
  <c r="C557" i="1"/>
  <c r="D557" i="1"/>
  <c r="E557" i="1"/>
  <c r="F557" i="1"/>
  <c r="G557" i="1"/>
  <c r="H557" i="1"/>
  <c r="I557" i="1"/>
  <c r="J557" i="1"/>
  <c r="B558" i="1"/>
  <c r="C558" i="1"/>
  <c r="D558" i="1"/>
  <c r="E558" i="1"/>
  <c r="F558" i="1"/>
  <c r="G558" i="1"/>
  <c r="H558" i="1"/>
  <c r="I558" i="1"/>
  <c r="J558" i="1"/>
  <c r="B559" i="1"/>
  <c r="C559" i="1"/>
  <c r="D559" i="1"/>
  <c r="E559" i="1"/>
  <c r="F559" i="1"/>
  <c r="G559" i="1"/>
  <c r="H559" i="1"/>
  <c r="I559" i="1"/>
  <c r="J559" i="1"/>
  <c r="B560" i="1"/>
  <c r="C560" i="1"/>
  <c r="D560" i="1"/>
  <c r="E560" i="1"/>
  <c r="F560" i="1"/>
  <c r="G560" i="1"/>
  <c r="H560" i="1"/>
  <c r="I560" i="1"/>
  <c r="J560" i="1"/>
  <c r="B561" i="1"/>
  <c r="C561" i="1"/>
  <c r="D561" i="1"/>
  <c r="E561" i="1"/>
  <c r="F561" i="1"/>
  <c r="G561" i="1"/>
  <c r="H561" i="1"/>
  <c r="I561" i="1"/>
  <c r="J561" i="1"/>
  <c r="B562" i="1"/>
  <c r="C562" i="1"/>
  <c r="D562" i="1"/>
  <c r="E562" i="1"/>
  <c r="F562" i="1"/>
  <c r="G562" i="1"/>
  <c r="H562" i="1"/>
  <c r="I562" i="1"/>
  <c r="J562" i="1"/>
  <c r="B563" i="1"/>
  <c r="C563" i="1"/>
  <c r="D563" i="1"/>
  <c r="E563" i="1"/>
  <c r="F563" i="1"/>
  <c r="G563" i="1"/>
  <c r="H563" i="1"/>
  <c r="I563" i="1"/>
  <c r="J563" i="1"/>
  <c r="B564" i="1"/>
  <c r="C564" i="1"/>
  <c r="D564" i="1"/>
  <c r="E564" i="1"/>
  <c r="F564" i="1"/>
  <c r="G564" i="1"/>
  <c r="H564" i="1"/>
  <c r="I564" i="1"/>
  <c r="J564" i="1"/>
  <c r="B565" i="1"/>
  <c r="C565" i="1"/>
  <c r="D565" i="1"/>
  <c r="E565" i="1"/>
  <c r="F565" i="1"/>
  <c r="G565" i="1"/>
  <c r="H565" i="1"/>
  <c r="I565" i="1"/>
  <c r="J565" i="1"/>
  <c r="B566" i="1"/>
  <c r="C566" i="1"/>
  <c r="D566" i="1"/>
  <c r="E566" i="1"/>
  <c r="F566" i="1"/>
  <c r="G566" i="1"/>
  <c r="H566" i="1"/>
  <c r="I566" i="1"/>
  <c r="J566" i="1"/>
  <c r="B567" i="1"/>
  <c r="C567" i="1"/>
  <c r="D567" i="1"/>
  <c r="E567" i="1"/>
  <c r="F567" i="1"/>
  <c r="G567" i="1"/>
  <c r="H567" i="1"/>
  <c r="I567" i="1"/>
  <c r="J567" i="1"/>
  <c r="B568" i="1"/>
  <c r="C568" i="1"/>
  <c r="D568" i="1"/>
  <c r="E568" i="1"/>
  <c r="F568" i="1"/>
  <c r="G568" i="1"/>
  <c r="H568" i="1"/>
  <c r="I568" i="1"/>
  <c r="J568" i="1"/>
  <c r="B569" i="1"/>
  <c r="C569" i="1"/>
  <c r="D569" i="1"/>
  <c r="E569" i="1"/>
  <c r="F569" i="1"/>
  <c r="G569" i="1"/>
  <c r="H569" i="1"/>
  <c r="I569" i="1"/>
  <c r="J569" i="1"/>
  <c r="B570" i="1"/>
  <c r="C570" i="1"/>
  <c r="D570" i="1"/>
  <c r="E570" i="1"/>
  <c r="F570" i="1"/>
  <c r="G570" i="1"/>
  <c r="H570" i="1"/>
  <c r="I570" i="1"/>
  <c r="J570" i="1"/>
  <c r="B571" i="1"/>
  <c r="C571" i="1"/>
  <c r="D571" i="1"/>
  <c r="E571" i="1"/>
  <c r="F571" i="1"/>
  <c r="G571" i="1"/>
  <c r="H571" i="1"/>
  <c r="I571" i="1"/>
  <c r="J571" i="1"/>
  <c r="B572" i="1"/>
  <c r="C572" i="1"/>
  <c r="D572" i="1"/>
  <c r="E572" i="1"/>
  <c r="F572" i="1"/>
  <c r="G572" i="1"/>
  <c r="H572" i="1"/>
  <c r="I572" i="1"/>
  <c r="J572" i="1"/>
  <c r="B573" i="1"/>
  <c r="C573" i="1"/>
  <c r="D573" i="1"/>
  <c r="E573" i="1"/>
  <c r="F573" i="1"/>
  <c r="G573" i="1"/>
  <c r="H573" i="1"/>
  <c r="I573" i="1"/>
  <c r="J573" i="1"/>
  <c r="B574" i="1"/>
  <c r="C574" i="1"/>
  <c r="D574" i="1"/>
  <c r="E574" i="1"/>
  <c r="F574" i="1"/>
  <c r="G574" i="1"/>
  <c r="H574" i="1"/>
  <c r="I574" i="1"/>
  <c r="J574" i="1"/>
  <c r="B575" i="1"/>
  <c r="C575" i="1"/>
  <c r="D575" i="1"/>
  <c r="E575" i="1"/>
  <c r="F575" i="1"/>
  <c r="G575" i="1"/>
  <c r="H575" i="1"/>
  <c r="I575" i="1"/>
  <c r="J575" i="1"/>
  <c r="B576" i="1"/>
  <c r="C576" i="1"/>
  <c r="D576" i="1"/>
  <c r="E576" i="1"/>
  <c r="F576" i="1"/>
  <c r="G576" i="1"/>
  <c r="H576" i="1"/>
  <c r="I576" i="1"/>
  <c r="J576" i="1"/>
  <c r="B577" i="1"/>
  <c r="C577" i="1"/>
  <c r="D577" i="1"/>
  <c r="E577" i="1"/>
  <c r="F577" i="1"/>
  <c r="G577" i="1"/>
  <c r="H577" i="1"/>
  <c r="I577" i="1"/>
  <c r="J577" i="1"/>
  <c r="B578" i="1"/>
  <c r="C578" i="1"/>
  <c r="D578" i="1"/>
  <c r="E578" i="1"/>
  <c r="F578" i="1"/>
  <c r="G578" i="1"/>
  <c r="H578" i="1"/>
  <c r="I578" i="1"/>
  <c r="J578" i="1"/>
  <c r="B579" i="1"/>
  <c r="C579" i="1"/>
  <c r="D579" i="1"/>
  <c r="E579" i="1"/>
  <c r="F579" i="1"/>
  <c r="G579" i="1"/>
  <c r="H579" i="1"/>
  <c r="I579" i="1"/>
  <c r="J579" i="1"/>
  <c r="B580" i="1"/>
  <c r="C580" i="1"/>
  <c r="D580" i="1"/>
  <c r="E580" i="1"/>
  <c r="F580" i="1"/>
  <c r="G580" i="1"/>
  <c r="H580" i="1"/>
  <c r="I580" i="1"/>
  <c r="J580" i="1"/>
  <c r="B581" i="1"/>
  <c r="C581" i="1"/>
  <c r="D581" i="1"/>
  <c r="E581" i="1"/>
  <c r="F581" i="1"/>
  <c r="G581" i="1"/>
  <c r="H581" i="1"/>
  <c r="I581" i="1"/>
  <c r="J581" i="1"/>
  <c r="B582" i="1"/>
  <c r="C582" i="1"/>
  <c r="D582" i="1"/>
  <c r="E582" i="1"/>
  <c r="F582" i="1"/>
  <c r="G582" i="1"/>
  <c r="H582" i="1"/>
  <c r="I582" i="1"/>
  <c r="J582" i="1"/>
  <c r="B583" i="1"/>
  <c r="C583" i="1"/>
  <c r="D583" i="1"/>
  <c r="E583" i="1"/>
  <c r="F583" i="1"/>
  <c r="G583" i="1"/>
  <c r="H583" i="1"/>
  <c r="I583" i="1"/>
  <c r="J583" i="1"/>
  <c r="B584" i="1"/>
  <c r="C584" i="1"/>
  <c r="D584" i="1"/>
  <c r="E584" i="1"/>
  <c r="F584" i="1"/>
  <c r="G584" i="1"/>
  <c r="H584" i="1"/>
  <c r="I584" i="1"/>
  <c r="J584" i="1"/>
  <c r="B585" i="1"/>
  <c r="C585" i="1"/>
  <c r="D585" i="1"/>
  <c r="E585" i="1"/>
  <c r="F585" i="1"/>
  <c r="G585" i="1"/>
  <c r="H585" i="1"/>
  <c r="I585" i="1"/>
  <c r="J585" i="1"/>
  <c r="B586" i="1"/>
  <c r="C586" i="1"/>
  <c r="D586" i="1"/>
  <c r="E586" i="1"/>
  <c r="F586" i="1"/>
  <c r="G586" i="1"/>
  <c r="H586" i="1"/>
  <c r="I586" i="1"/>
  <c r="J586" i="1"/>
  <c r="B587" i="1"/>
  <c r="C587" i="1"/>
  <c r="D587" i="1"/>
  <c r="E587" i="1"/>
  <c r="F587" i="1"/>
  <c r="G587" i="1"/>
  <c r="H587" i="1"/>
  <c r="I587" i="1"/>
  <c r="J587" i="1"/>
  <c r="B588" i="1"/>
  <c r="C588" i="1"/>
  <c r="D588" i="1"/>
  <c r="E588" i="1"/>
  <c r="F588" i="1"/>
  <c r="G588" i="1"/>
  <c r="H588" i="1"/>
  <c r="I588" i="1"/>
  <c r="J588" i="1"/>
  <c r="B589" i="1"/>
  <c r="C589" i="1"/>
  <c r="D589" i="1"/>
  <c r="E589" i="1"/>
  <c r="F589" i="1"/>
  <c r="G589" i="1"/>
  <c r="H589" i="1"/>
  <c r="I589" i="1"/>
  <c r="J589" i="1"/>
  <c r="B590" i="1"/>
  <c r="C590" i="1"/>
  <c r="D590" i="1"/>
  <c r="E590" i="1"/>
  <c r="F590" i="1"/>
  <c r="G590" i="1"/>
  <c r="H590" i="1"/>
  <c r="I590" i="1"/>
  <c r="J590" i="1"/>
  <c r="B591" i="1"/>
  <c r="C591" i="1"/>
  <c r="D591" i="1"/>
  <c r="E591" i="1"/>
  <c r="F591" i="1"/>
  <c r="G591" i="1"/>
  <c r="H591" i="1"/>
  <c r="I591" i="1"/>
  <c r="J591" i="1"/>
  <c r="B592" i="1"/>
  <c r="C592" i="1"/>
  <c r="D592" i="1"/>
  <c r="E592" i="1"/>
  <c r="F592" i="1"/>
  <c r="G592" i="1"/>
  <c r="H592" i="1"/>
  <c r="I592" i="1"/>
  <c r="J592" i="1"/>
  <c r="B593" i="1"/>
  <c r="C593" i="1"/>
  <c r="D593" i="1"/>
  <c r="E593" i="1"/>
  <c r="F593" i="1"/>
  <c r="G593" i="1"/>
  <c r="H593" i="1"/>
  <c r="I593" i="1"/>
  <c r="J593" i="1"/>
  <c r="B594" i="1"/>
  <c r="C594" i="1"/>
  <c r="D594" i="1"/>
  <c r="E594" i="1"/>
  <c r="F594" i="1"/>
  <c r="G594" i="1"/>
  <c r="H594" i="1"/>
  <c r="I594" i="1"/>
  <c r="J594" i="1"/>
  <c r="B595" i="1"/>
  <c r="C595" i="1"/>
  <c r="D595" i="1"/>
  <c r="E595" i="1"/>
  <c r="F595" i="1"/>
  <c r="G595" i="1"/>
  <c r="H595" i="1"/>
  <c r="I595" i="1"/>
  <c r="J595" i="1"/>
  <c r="B596" i="1"/>
  <c r="C596" i="1"/>
  <c r="D596" i="1"/>
  <c r="E596" i="1"/>
  <c r="F596" i="1"/>
  <c r="G596" i="1"/>
  <c r="H596" i="1"/>
  <c r="I596" i="1"/>
  <c r="J596" i="1"/>
  <c r="B597" i="1"/>
  <c r="C597" i="1"/>
  <c r="D597" i="1"/>
  <c r="E597" i="1"/>
  <c r="F597" i="1"/>
  <c r="G597" i="1"/>
  <c r="H597" i="1"/>
  <c r="I597" i="1"/>
  <c r="J597" i="1"/>
  <c r="B598" i="1"/>
  <c r="C598" i="1"/>
  <c r="D598" i="1"/>
  <c r="E598" i="1"/>
  <c r="F598" i="1"/>
  <c r="G598" i="1"/>
  <c r="H598" i="1"/>
  <c r="I598" i="1"/>
  <c r="J598" i="1"/>
  <c r="B599" i="1"/>
  <c r="C599" i="1"/>
  <c r="D599" i="1"/>
  <c r="E599" i="1"/>
  <c r="F599" i="1"/>
  <c r="G599" i="1"/>
  <c r="H599" i="1"/>
  <c r="I599" i="1"/>
  <c r="J599" i="1"/>
  <c r="B600" i="1"/>
  <c r="C600" i="1"/>
  <c r="D600" i="1"/>
  <c r="E600" i="1"/>
  <c r="F600" i="1"/>
  <c r="G600" i="1"/>
  <c r="H600" i="1"/>
  <c r="I600" i="1"/>
  <c r="J600" i="1"/>
  <c r="B601" i="1"/>
  <c r="C601" i="1"/>
  <c r="D601" i="1"/>
  <c r="E601" i="1"/>
  <c r="F601" i="1"/>
  <c r="G601" i="1"/>
  <c r="H601" i="1"/>
  <c r="I601" i="1"/>
  <c r="J601" i="1"/>
  <c r="B602" i="1"/>
  <c r="C602" i="1"/>
  <c r="D602" i="1"/>
  <c r="E602" i="1"/>
  <c r="F602" i="1"/>
  <c r="G602" i="1"/>
  <c r="H602" i="1"/>
  <c r="I602" i="1"/>
  <c r="J602" i="1"/>
  <c r="B603" i="1"/>
  <c r="C603" i="1"/>
  <c r="D603" i="1"/>
  <c r="E603" i="1"/>
  <c r="F603" i="1"/>
  <c r="G603" i="1"/>
  <c r="H603" i="1"/>
  <c r="I603" i="1"/>
  <c r="J603" i="1"/>
  <c r="B604" i="1"/>
  <c r="C604" i="1"/>
  <c r="D604" i="1"/>
  <c r="E604" i="1"/>
  <c r="F604" i="1"/>
  <c r="G604" i="1"/>
  <c r="H604" i="1"/>
  <c r="I604" i="1"/>
  <c r="J604" i="1"/>
  <c r="B605" i="1"/>
  <c r="C605" i="1"/>
  <c r="D605" i="1"/>
  <c r="E605" i="1"/>
  <c r="F605" i="1"/>
  <c r="G605" i="1"/>
  <c r="H605" i="1"/>
  <c r="I605" i="1"/>
  <c r="J605" i="1"/>
  <c r="B606" i="1"/>
  <c r="C606" i="1"/>
  <c r="D606" i="1"/>
  <c r="E606" i="1"/>
  <c r="F606" i="1"/>
  <c r="G606" i="1"/>
  <c r="H606" i="1"/>
  <c r="I606" i="1"/>
  <c r="J606" i="1"/>
  <c r="B607" i="1"/>
  <c r="C607" i="1"/>
  <c r="D607" i="1"/>
  <c r="E607" i="1"/>
  <c r="F607" i="1"/>
  <c r="G607" i="1"/>
  <c r="H607" i="1"/>
  <c r="I607" i="1"/>
  <c r="J607" i="1"/>
  <c r="B608" i="1"/>
  <c r="C608" i="1"/>
  <c r="D608" i="1"/>
  <c r="E608" i="1"/>
  <c r="F608" i="1"/>
  <c r="G608" i="1"/>
  <c r="H608" i="1"/>
  <c r="I608" i="1"/>
  <c r="J608" i="1"/>
  <c r="B609" i="1"/>
  <c r="C609" i="1"/>
  <c r="D609" i="1"/>
  <c r="E609" i="1"/>
  <c r="F609" i="1"/>
  <c r="G609" i="1"/>
  <c r="H609" i="1"/>
  <c r="I609" i="1"/>
  <c r="J609" i="1"/>
  <c r="B610" i="1"/>
  <c r="C610" i="1"/>
  <c r="D610" i="1"/>
  <c r="E610" i="1"/>
  <c r="F610" i="1"/>
  <c r="G610" i="1"/>
  <c r="H610" i="1"/>
  <c r="I610" i="1"/>
  <c r="J610" i="1"/>
  <c r="B611" i="1"/>
  <c r="C611" i="1"/>
  <c r="D611" i="1"/>
  <c r="E611" i="1"/>
  <c r="F611" i="1"/>
  <c r="G611" i="1"/>
  <c r="H611" i="1"/>
  <c r="I611" i="1"/>
  <c r="J611" i="1"/>
  <c r="B612" i="1"/>
  <c r="C612" i="1"/>
  <c r="D612" i="1"/>
  <c r="E612" i="1"/>
  <c r="F612" i="1"/>
  <c r="G612" i="1"/>
  <c r="H612" i="1"/>
  <c r="I612" i="1"/>
  <c r="J612" i="1"/>
  <c r="B613" i="1"/>
  <c r="C613" i="1"/>
  <c r="D613" i="1"/>
  <c r="E613" i="1"/>
  <c r="F613" i="1"/>
  <c r="G613" i="1"/>
  <c r="H613" i="1"/>
  <c r="I613" i="1"/>
  <c r="J613" i="1"/>
  <c r="B614" i="1"/>
  <c r="C614" i="1"/>
  <c r="D614" i="1"/>
  <c r="E614" i="1"/>
  <c r="F614" i="1"/>
  <c r="G614" i="1"/>
  <c r="H614" i="1"/>
  <c r="I614" i="1"/>
  <c r="J614" i="1"/>
  <c r="B615" i="1"/>
  <c r="C615" i="1"/>
  <c r="D615" i="1"/>
  <c r="E615" i="1"/>
  <c r="F615" i="1"/>
  <c r="G615" i="1"/>
  <c r="H615" i="1"/>
  <c r="I615" i="1"/>
  <c r="J615" i="1"/>
  <c r="B616" i="1"/>
  <c r="C616" i="1"/>
  <c r="D616" i="1"/>
  <c r="E616" i="1"/>
  <c r="F616" i="1"/>
  <c r="G616" i="1"/>
  <c r="H616" i="1"/>
  <c r="I616" i="1"/>
  <c r="J616" i="1"/>
  <c r="B617" i="1"/>
  <c r="C617" i="1"/>
  <c r="D617" i="1"/>
  <c r="E617" i="1"/>
  <c r="F617" i="1"/>
  <c r="G617" i="1"/>
  <c r="H617" i="1"/>
  <c r="I617" i="1"/>
  <c r="J617" i="1"/>
  <c r="B618" i="1"/>
  <c r="C618" i="1"/>
  <c r="D618" i="1"/>
  <c r="E618" i="1"/>
  <c r="F618" i="1"/>
  <c r="G618" i="1"/>
  <c r="H618" i="1"/>
  <c r="I618" i="1"/>
  <c r="J618" i="1"/>
  <c r="B619" i="1"/>
  <c r="C619" i="1"/>
  <c r="D619" i="1"/>
  <c r="E619" i="1"/>
  <c r="F619" i="1"/>
  <c r="G619" i="1"/>
  <c r="H619" i="1"/>
  <c r="I619" i="1"/>
  <c r="J619" i="1"/>
  <c r="B620" i="1"/>
  <c r="C620" i="1"/>
  <c r="D620" i="1"/>
  <c r="E620" i="1"/>
  <c r="F620" i="1"/>
  <c r="G620" i="1"/>
  <c r="H620" i="1"/>
  <c r="I620" i="1"/>
  <c r="J620" i="1"/>
  <c r="B621" i="1"/>
  <c r="C621" i="1"/>
  <c r="D621" i="1"/>
  <c r="E621" i="1"/>
  <c r="F621" i="1"/>
  <c r="G621" i="1"/>
  <c r="H621" i="1"/>
  <c r="I621" i="1"/>
  <c r="J621" i="1"/>
  <c r="B622" i="1"/>
  <c r="C622" i="1"/>
  <c r="D622" i="1"/>
  <c r="E622" i="1"/>
  <c r="F622" i="1"/>
  <c r="G622" i="1"/>
  <c r="H622" i="1"/>
  <c r="I622" i="1"/>
  <c r="J622" i="1"/>
  <c r="B623" i="1"/>
  <c r="C623" i="1"/>
  <c r="D623" i="1"/>
  <c r="E623" i="1"/>
  <c r="F623" i="1"/>
  <c r="G623" i="1"/>
  <c r="H623" i="1"/>
  <c r="I623" i="1"/>
  <c r="J623" i="1"/>
  <c r="B624" i="1"/>
  <c r="C624" i="1"/>
  <c r="D624" i="1"/>
  <c r="E624" i="1"/>
  <c r="F624" i="1"/>
  <c r="G624" i="1"/>
  <c r="H624" i="1"/>
  <c r="I624" i="1"/>
  <c r="J624" i="1"/>
  <c r="B625" i="1"/>
  <c r="C625" i="1"/>
  <c r="D625" i="1"/>
  <c r="E625" i="1"/>
  <c r="F625" i="1"/>
  <c r="G625" i="1"/>
  <c r="H625" i="1"/>
  <c r="I625" i="1"/>
  <c r="J625" i="1"/>
  <c r="B626" i="1"/>
  <c r="C626" i="1"/>
  <c r="D626" i="1"/>
  <c r="E626" i="1"/>
  <c r="F626" i="1"/>
  <c r="G626" i="1"/>
  <c r="H626" i="1"/>
  <c r="I626" i="1"/>
  <c r="J626" i="1"/>
  <c r="B627" i="1"/>
  <c r="C627" i="1"/>
  <c r="D627" i="1"/>
  <c r="E627" i="1"/>
  <c r="F627" i="1"/>
  <c r="G627" i="1"/>
  <c r="H627" i="1"/>
  <c r="I627" i="1"/>
  <c r="J627" i="1"/>
  <c r="B628" i="1"/>
  <c r="C628" i="1"/>
  <c r="D628" i="1"/>
  <c r="E628" i="1"/>
  <c r="F628" i="1"/>
  <c r="G628" i="1"/>
  <c r="H628" i="1"/>
  <c r="I628" i="1"/>
  <c r="J628" i="1"/>
  <c r="B629" i="1"/>
  <c r="C629" i="1"/>
  <c r="D629" i="1"/>
  <c r="E629" i="1"/>
  <c r="F629" i="1"/>
  <c r="G629" i="1"/>
  <c r="H629" i="1"/>
  <c r="I629" i="1"/>
  <c r="J629" i="1"/>
  <c r="B630" i="1"/>
  <c r="C630" i="1"/>
  <c r="D630" i="1"/>
  <c r="E630" i="1"/>
  <c r="F630" i="1"/>
  <c r="G630" i="1"/>
  <c r="H630" i="1"/>
  <c r="I630" i="1"/>
  <c r="J630" i="1"/>
  <c r="B631" i="1"/>
  <c r="C631" i="1"/>
  <c r="D631" i="1"/>
  <c r="E631" i="1"/>
  <c r="F631" i="1"/>
  <c r="G631" i="1"/>
  <c r="H631" i="1"/>
  <c r="I631" i="1"/>
  <c r="J631" i="1"/>
  <c r="B632" i="1"/>
  <c r="C632" i="1"/>
  <c r="D632" i="1"/>
  <c r="E632" i="1"/>
  <c r="F632" i="1"/>
  <c r="G632" i="1"/>
  <c r="H632" i="1"/>
  <c r="I632" i="1"/>
  <c r="J632" i="1"/>
  <c r="B633" i="1"/>
  <c r="C633" i="1"/>
  <c r="D633" i="1"/>
  <c r="E633" i="1"/>
  <c r="F633" i="1"/>
  <c r="G633" i="1"/>
  <c r="H633" i="1"/>
  <c r="I633" i="1"/>
  <c r="J633" i="1"/>
  <c r="B634" i="1"/>
  <c r="C634" i="1"/>
  <c r="D634" i="1"/>
  <c r="E634" i="1"/>
  <c r="F634" i="1"/>
  <c r="G634" i="1"/>
  <c r="H634" i="1"/>
  <c r="I634" i="1"/>
  <c r="J634" i="1"/>
  <c r="B635" i="1"/>
  <c r="C635" i="1"/>
  <c r="D635" i="1"/>
  <c r="E635" i="1"/>
  <c r="F635" i="1"/>
  <c r="G635" i="1"/>
  <c r="H635" i="1"/>
  <c r="I635" i="1"/>
  <c r="J635" i="1"/>
  <c r="B636" i="1"/>
  <c r="C636" i="1"/>
  <c r="D636" i="1"/>
  <c r="E636" i="1"/>
  <c r="F636" i="1"/>
  <c r="G636" i="1"/>
  <c r="H636" i="1"/>
  <c r="I636" i="1"/>
  <c r="J636" i="1"/>
  <c r="B637" i="1"/>
  <c r="C637" i="1"/>
  <c r="D637" i="1"/>
  <c r="E637" i="1"/>
  <c r="F637" i="1"/>
  <c r="G637" i="1"/>
  <c r="H637" i="1"/>
  <c r="I637" i="1"/>
  <c r="J637" i="1"/>
  <c r="B638" i="1"/>
  <c r="C638" i="1"/>
  <c r="D638" i="1"/>
  <c r="E638" i="1"/>
  <c r="F638" i="1"/>
  <c r="G638" i="1"/>
  <c r="H638" i="1"/>
  <c r="I638" i="1"/>
  <c r="J638" i="1"/>
  <c r="B639" i="1"/>
  <c r="C639" i="1"/>
  <c r="D639" i="1"/>
  <c r="E639" i="1"/>
  <c r="F639" i="1"/>
  <c r="G639" i="1"/>
  <c r="H639" i="1"/>
  <c r="I639" i="1"/>
  <c r="J639" i="1"/>
  <c r="B640" i="1"/>
  <c r="C640" i="1"/>
  <c r="D640" i="1"/>
  <c r="E640" i="1"/>
  <c r="F640" i="1"/>
  <c r="G640" i="1"/>
  <c r="H640" i="1"/>
  <c r="I640" i="1"/>
  <c r="J640" i="1"/>
  <c r="B641" i="1"/>
  <c r="C641" i="1"/>
  <c r="D641" i="1"/>
  <c r="E641" i="1"/>
  <c r="F641" i="1"/>
  <c r="G641" i="1"/>
  <c r="H641" i="1"/>
  <c r="I641" i="1"/>
  <c r="J641" i="1"/>
  <c r="B642" i="1"/>
  <c r="C642" i="1"/>
  <c r="D642" i="1"/>
  <c r="E642" i="1"/>
  <c r="F642" i="1"/>
  <c r="G642" i="1"/>
  <c r="H642" i="1"/>
  <c r="I642" i="1"/>
  <c r="J642" i="1"/>
  <c r="B643" i="1"/>
  <c r="C643" i="1"/>
  <c r="D643" i="1"/>
  <c r="E643" i="1"/>
  <c r="F643" i="1"/>
  <c r="G643" i="1"/>
  <c r="H643" i="1"/>
  <c r="I643" i="1"/>
  <c r="J643" i="1"/>
  <c r="B644" i="1"/>
  <c r="C644" i="1"/>
  <c r="D644" i="1"/>
  <c r="E644" i="1"/>
  <c r="F644" i="1"/>
  <c r="G644" i="1"/>
  <c r="H644" i="1"/>
  <c r="I644" i="1"/>
  <c r="J644" i="1"/>
  <c r="B645" i="1"/>
  <c r="C645" i="1"/>
  <c r="D645" i="1"/>
  <c r="E645" i="1"/>
  <c r="F645" i="1"/>
  <c r="G645" i="1"/>
  <c r="H645" i="1"/>
  <c r="I645" i="1"/>
  <c r="J645" i="1"/>
  <c r="B646" i="1"/>
  <c r="C646" i="1"/>
  <c r="D646" i="1"/>
  <c r="E646" i="1"/>
  <c r="F646" i="1"/>
  <c r="G646" i="1"/>
  <c r="H646" i="1"/>
  <c r="I646" i="1"/>
  <c r="J646" i="1"/>
  <c r="B647" i="1"/>
  <c r="C647" i="1"/>
  <c r="D647" i="1"/>
  <c r="E647" i="1"/>
  <c r="F647" i="1"/>
  <c r="G647" i="1"/>
  <c r="H647" i="1"/>
  <c r="I647" i="1"/>
  <c r="J647" i="1"/>
  <c r="B648" i="1"/>
  <c r="C648" i="1"/>
  <c r="D648" i="1"/>
  <c r="E648" i="1"/>
  <c r="F648" i="1"/>
  <c r="G648" i="1"/>
  <c r="H648" i="1"/>
  <c r="I648" i="1"/>
  <c r="J648" i="1"/>
  <c r="B649" i="1"/>
  <c r="C649" i="1"/>
  <c r="D649" i="1"/>
  <c r="E649" i="1"/>
  <c r="F649" i="1"/>
  <c r="G649" i="1"/>
  <c r="H649" i="1"/>
  <c r="I649" i="1"/>
  <c r="J649" i="1"/>
  <c r="B650" i="1"/>
  <c r="C650" i="1"/>
  <c r="D650" i="1"/>
  <c r="E650" i="1"/>
  <c r="F650" i="1"/>
  <c r="G650" i="1"/>
  <c r="H650" i="1"/>
  <c r="I650" i="1"/>
  <c r="J650" i="1"/>
  <c r="B651" i="1"/>
  <c r="C651" i="1"/>
  <c r="D651" i="1"/>
  <c r="E651" i="1"/>
  <c r="F651" i="1"/>
  <c r="G651" i="1"/>
  <c r="H651" i="1"/>
  <c r="I651" i="1"/>
  <c r="J651" i="1"/>
  <c r="B652" i="1"/>
  <c r="C652" i="1"/>
  <c r="D652" i="1"/>
  <c r="E652" i="1"/>
  <c r="F652" i="1"/>
  <c r="G652" i="1"/>
  <c r="H652" i="1"/>
  <c r="I652" i="1"/>
  <c r="J652" i="1"/>
  <c r="B653" i="1"/>
  <c r="C653" i="1"/>
  <c r="D653" i="1"/>
  <c r="E653" i="1"/>
  <c r="F653" i="1"/>
  <c r="G653" i="1"/>
  <c r="H653" i="1"/>
  <c r="I653" i="1"/>
  <c r="J653" i="1"/>
  <c r="B654" i="1"/>
  <c r="C654" i="1"/>
  <c r="D654" i="1"/>
  <c r="E654" i="1"/>
  <c r="F654" i="1"/>
  <c r="G654" i="1"/>
  <c r="H654" i="1"/>
  <c r="I654" i="1"/>
  <c r="J654" i="1"/>
  <c r="B655" i="1"/>
  <c r="C655" i="1"/>
  <c r="D655" i="1"/>
  <c r="E655" i="1"/>
  <c r="F655" i="1"/>
  <c r="G655" i="1"/>
  <c r="H655" i="1"/>
  <c r="I655" i="1"/>
  <c r="J655" i="1"/>
  <c r="B656" i="1"/>
  <c r="C656" i="1"/>
  <c r="D656" i="1"/>
  <c r="E656" i="1"/>
  <c r="F656" i="1"/>
  <c r="G656" i="1"/>
  <c r="H656" i="1"/>
  <c r="I656" i="1"/>
  <c r="J656" i="1"/>
  <c r="B657" i="1"/>
  <c r="C657" i="1"/>
  <c r="D657" i="1"/>
  <c r="E657" i="1"/>
  <c r="F657" i="1"/>
  <c r="G657" i="1"/>
  <c r="H657" i="1"/>
  <c r="I657" i="1"/>
  <c r="J657" i="1"/>
  <c r="B658" i="1"/>
  <c r="C658" i="1"/>
  <c r="D658" i="1"/>
  <c r="E658" i="1"/>
  <c r="F658" i="1"/>
  <c r="G658" i="1"/>
  <c r="H658" i="1"/>
  <c r="I658" i="1"/>
  <c r="J658" i="1"/>
  <c r="B659" i="1"/>
  <c r="C659" i="1"/>
  <c r="D659" i="1"/>
  <c r="E659" i="1"/>
  <c r="F659" i="1"/>
  <c r="G659" i="1"/>
  <c r="H659" i="1"/>
  <c r="I659" i="1"/>
  <c r="J659" i="1"/>
  <c r="B660" i="1"/>
  <c r="C660" i="1"/>
  <c r="D660" i="1"/>
  <c r="E660" i="1"/>
  <c r="F660" i="1"/>
  <c r="G660" i="1"/>
  <c r="H660" i="1"/>
  <c r="I660" i="1"/>
  <c r="J660" i="1"/>
  <c r="B661" i="1"/>
  <c r="C661" i="1"/>
  <c r="D661" i="1"/>
  <c r="E661" i="1"/>
  <c r="F661" i="1"/>
  <c r="G661" i="1"/>
  <c r="H661" i="1"/>
  <c r="I661" i="1"/>
  <c r="J661" i="1"/>
  <c r="B662" i="1"/>
  <c r="C662" i="1"/>
  <c r="D662" i="1"/>
  <c r="E662" i="1"/>
  <c r="F662" i="1"/>
  <c r="G662" i="1"/>
  <c r="H662" i="1"/>
  <c r="I662" i="1"/>
  <c r="J662" i="1"/>
  <c r="B663" i="1"/>
  <c r="C663" i="1"/>
  <c r="D663" i="1"/>
  <c r="E663" i="1"/>
  <c r="F663" i="1"/>
  <c r="G663" i="1"/>
  <c r="H663" i="1"/>
  <c r="I663" i="1"/>
  <c r="J663" i="1"/>
  <c r="B664" i="1"/>
  <c r="C664" i="1"/>
  <c r="D664" i="1"/>
  <c r="E664" i="1"/>
  <c r="F664" i="1"/>
  <c r="G664" i="1"/>
  <c r="H664" i="1"/>
  <c r="I664" i="1"/>
  <c r="J664" i="1"/>
  <c r="B665" i="1"/>
  <c r="C665" i="1"/>
  <c r="D665" i="1"/>
  <c r="E665" i="1"/>
  <c r="F665" i="1"/>
  <c r="G665" i="1"/>
  <c r="H665" i="1"/>
  <c r="I665" i="1"/>
  <c r="J665" i="1"/>
  <c r="B666" i="1"/>
  <c r="C666" i="1"/>
  <c r="D666" i="1"/>
  <c r="E666" i="1"/>
  <c r="F666" i="1"/>
  <c r="G666" i="1"/>
  <c r="H666" i="1"/>
  <c r="I666" i="1"/>
  <c r="J666" i="1"/>
  <c r="B667" i="1"/>
  <c r="C667" i="1"/>
  <c r="D667" i="1"/>
  <c r="E667" i="1"/>
  <c r="F667" i="1"/>
  <c r="G667" i="1"/>
  <c r="H667" i="1"/>
  <c r="I667" i="1"/>
  <c r="J667" i="1"/>
  <c r="B668" i="1"/>
  <c r="C668" i="1"/>
  <c r="D668" i="1"/>
  <c r="E668" i="1"/>
  <c r="F668" i="1"/>
  <c r="G668" i="1"/>
  <c r="H668" i="1"/>
  <c r="I668" i="1"/>
  <c r="J668" i="1"/>
  <c r="B669" i="1"/>
  <c r="C669" i="1"/>
  <c r="D669" i="1"/>
  <c r="E669" i="1"/>
  <c r="F669" i="1"/>
  <c r="G669" i="1"/>
  <c r="H669" i="1"/>
  <c r="I669" i="1"/>
  <c r="J669" i="1"/>
  <c r="B670" i="1"/>
  <c r="C670" i="1"/>
  <c r="D670" i="1"/>
  <c r="E670" i="1"/>
  <c r="F670" i="1"/>
  <c r="G670" i="1"/>
  <c r="H670" i="1"/>
  <c r="I670" i="1"/>
  <c r="J670" i="1"/>
  <c r="B671" i="1"/>
  <c r="C671" i="1"/>
  <c r="D671" i="1"/>
  <c r="E671" i="1"/>
  <c r="F671" i="1"/>
  <c r="G671" i="1"/>
  <c r="H671" i="1"/>
  <c r="I671" i="1"/>
  <c r="J671" i="1"/>
  <c r="B672" i="1"/>
  <c r="C672" i="1"/>
  <c r="D672" i="1"/>
  <c r="E672" i="1"/>
  <c r="F672" i="1"/>
  <c r="G672" i="1"/>
  <c r="H672" i="1"/>
  <c r="I672" i="1"/>
  <c r="J672" i="1"/>
  <c r="B673" i="1"/>
  <c r="C673" i="1"/>
  <c r="D673" i="1"/>
  <c r="E673" i="1"/>
  <c r="F673" i="1"/>
  <c r="G673" i="1"/>
  <c r="H673" i="1"/>
  <c r="I673" i="1"/>
  <c r="J673" i="1"/>
  <c r="B674" i="1"/>
  <c r="C674" i="1"/>
  <c r="D674" i="1"/>
  <c r="E674" i="1"/>
  <c r="F674" i="1"/>
  <c r="G674" i="1"/>
  <c r="H674" i="1"/>
  <c r="I674" i="1"/>
  <c r="J674" i="1"/>
  <c r="B675" i="1"/>
  <c r="C675" i="1"/>
  <c r="D675" i="1"/>
  <c r="E675" i="1"/>
  <c r="F675" i="1"/>
  <c r="G675" i="1"/>
  <c r="H675" i="1"/>
  <c r="I675" i="1"/>
  <c r="J675" i="1"/>
  <c r="B676" i="1"/>
  <c r="C676" i="1"/>
  <c r="D676" i="1"/>
  <c r="E676" i="1"/>
  <c r="F676" i="1"/>
  <c r="G676" i="1"/>
  <c r="H676" i="1"/>
  <c r="I676" i="1"/>
  <c r="J676" i="1"/>
  <c r="B677" i="1"/>
  <c r="C677" i="1"/>
  <c r="D677" i="1"/>
  <c r="E677" i="1"/>
  <c r="F677" i="1"/>
  <c r="G677" i="1"/>
  <c r="H677" i="1"/>
  <c r="I677" i="1"/>
  <c r="J677" i="1"/>
  <c r="B678" i="1"/>
  <c r="C678" i="1"/>
  <c r="D678" i="1"/>
  <c r="E678" i="1"/>
  <c r="F678" i="1"/>
  <c r="G678" i="1"/>
  <c r="H678" i="1"/>
  <c r="I678" i="1"/>
  <c r="J678" i="1"/>
  <c r="B679" i="1"/>
  <c r="C679" i="1"/>
  <c r="D679" i="1"/>
  <c r="E679" i="1"/>
  <c r="F679" i="1"/>
  <c r="G679" i="1"/>
  <c r="H679" i="1"/>
  <c r="I679" i="1"/>
  <c r="J679" i="1"/>
  <c r="B680" i="1"/>
  <c r="C680" i="1"/>
  <c r="D680" i="1"/>
  <c r="E680" i="1"/>
  <c r="F680" i="1"/>
  <c r="G680" i="1"/>
  <c r="H680" i="1"/>
  <c r="I680" i="1"/>
  <c r="J680" i="1"/>
  <c r="B681" i="1"/>
  <c r="C681" i="1"/>
  <c r="D681" i="1"/>
  <c r="E681" i="1"/>
  <c r="F681" i="1"/>
  <c r="G681" i="1"/>
  <c r="H681" i="1"/>
  <c r="I681" i="1"/>
  <c r="J681" i="1"/>
  <c r="B682" i="1"/>
  <c r="C682" i="1"/>
  <c r="D682" i="1"/>
  <c r="E682" i="1"/>
  <c r="F682" i="1"/>
  <c r="G682" i="1"/>
  <c r="H682" i="1"/>
  <c r="I682" i="1"/>
  <c r="J682" i="1"/>
  <c r="B683" i="1"/>
  <c r="C683" i="1"/>
  <c r="D683" i="1"/>
  <c r="E683" i="1"/>
  <c r="F683" i="1"/>
  <c r="G683" i="1"/>
  <c r="H683" i="1"/>
  <c r="I683" i="1"/>
  <c r="J683" i="1"/>
  <c r="B684" i="1"/>
  <c r="C684" i="1"/>
  <c r="D684" i="1"/>
  <c r="E684" i="1"/>
  <c r="F684" i="1"/>
  <c r="G684" i="1"/>
  <c r="H684" i="1"/>
  <c r="I684" i="1"/>
  <c r="J684" i="1"/>
  <c r="B685" i="1"/>
  <c r="C685" i="1"/>
  <c r="D685" i="1"/>
  <c r="E685" i="1"/>
  <c r="F685" i="1"/>
  <c r="G685" i="1"/>
  <c r="H685" i="1"/>
  <c r="I685" i="1"/>
  <c r="J685" i="1"/>
  <c r="B686" i="1"/>
  <c r="C686" i="1"/>
  <c r="D686" i="1"/>
  <c r="E686" i="1"/>
  <c r="F686" i="1"/>
  <c r="G686" i="1"/>
  <c r="H686" i="1"/>
  <c r="I686" i="1"/>
  <c r="J686" i="1"/>
  <c r="B687" i="1"/>
  <c r="C687" i="1"/>
  <c r="D687" i="1"/>
  <c r="E687" i="1"/>
  <c r="F687" i="1"/>
  <c r="G687" i="1"/>
  <c r="H687" i="1"/>
  <c r="I687" i="1"/>
  <c r="J687" i="1"/>
  <c r="B688" i="1"/>
  <c r="C688" i="1"/>
  <c r="D688" i="1"/>
  <c r="E688" i="1"/>
  <c r="F688" i="1"/>
  <c r="G688" i="1"/>
  <c r="H688" i="1"/>
  <c r="I688" i="1"/>
  <c r="J688" i="1"/>
  <c r="B689" i="1"/>
  <c r="C689" i="1"/>
  <c r="D689" i="1"/>
  <c r="E689" i="1"/>
  <c r="F689" i="1"/>
  <c r="G689" i="1"/>
  <c r="H689" i="1"/>
  <c r="I689" i="1"/>
  <c r="J689" i="1"/>
  <c r="B690" i="1"/>
  <c r="C690" i="1"/>
  <c r="D690" i="1"/>
  <c r="E690" i="1"/>
  <c r="F690" i="1"/>
  <c r="G690" i="1"/>
  <c r="H690" i="1"/>
  <c r="I690" i="1"/>
  <c r="J690" i="1"/>
  <c r="B691" i="1"/>
  <c r="C691" i="1"/>
  <c r="D691" i="1"/>
  <c r="E691" i="1"/>
  <c r="F691" i="1"/>
  <c r="G691" i="1"/>
  <c r="H691" i="1"/>
  <c r="I691" i="1"/>
  <c r="J691" i="1"/>
  <c r="B692" i="1"/>
  <c r="C692" i="1"/>
  <c r="D692" i="1"/>
  <c r="E692" i="1"/>
  <c r="F692" i="1"/>
  <c r="G692" i="1"/>
  <c r="H692" i="1"/>
  <c r="I692" i="1"/>
  <c r="J692" i="1"/>
  <c r="B693" i="1"/>
  <c r="C693" i="1"/>
  <c r="D693" i="1"/>
  <c r="E693" i="1"/>
  <c r="F693" i="1"/>
  <c r="G693" i="1"/>
  <c r="H693" i="1"/>
  <c r="I693" i="1"/>
  <c r="J693" i="1"/>
  <c r="B694" i="1"/>
  <c r="C694" i="1"/>
  <c r="D694" i="1"/>
  <c r="E694" i="1"/>
  <c r="F694" i="1"/>
  <c r="G694" i="1"/>
  <c r="H694" i="1"/>
  <c r="I694" i="1"/>
  <c r="J694" i="1"/>
  <c r="B695" i="1"/>
  <c r="C695" i="1"/>
  <c r="D695" i="1"/>
  <c r="E695" i="1"/>
  <c r="F695" i="1"/>
  <c r="G695" i="1"/>
  <c r="H695" i="1"/>
  <c r="I695" i="1"/>
  <c r="J695" i="1"/>
  <c r="B696" i="1"/>
  <c r="C696" i="1"/>
  <c r="D696" i="1"/>
  <c r="E696" i="1"/>
  <c r="F696" i="1"/>
  <c r="G696" i="1"/>
  <c r="H696" i="1"/>
  <c r="I696" i="1"/>
  <c r="J696" i="1"/>
  <c r="B697" i="1"/>
  <c r="C697" i="1"/>
  <c r="D697" i="1"/>
  <c r="E697" i="1"/>
  <c r="F697" i="1"/>
  <c r="G697" i="1"/>
  <c r="H697" i="1"/>
  <c r="I697" i="1"/>
  <c r="J697" i="1"/>
  <c r="B698" i="1"/>
  <c r="C698" i="1"/>
  <c r="D698" i="1"/>
  <c r="E698" i="1"/>
  <c r="F698" i="1"/>
  <c r="G698" i="1"/>
  <c r="H698" i="1"/>
  <c r="I698" i="1"/>
  <c r="J698" i="1"/>
  <c r="B699" i="1"/>
  <c r="C699" i="1"/>
  <c r="D699" i="1"/>
  <c r="E699" i="1"/>
  <c r="F699" i="1"/>
  <c r="G699" i="1"/>
  <c r="H699" i="1"/>
  <c r="I699" i="1"/>
  <c r="J699" i="1"/>
  <c r="B700" i="1"/>
  <c r="C700" i="1"/>
  <c r="D700" i="1"/>
  <c r="E700" i="1"/>
  <c r="F700" i="1"/>
  <c r="G700" i="1"/>
  <c r="H700" i="1"/>
  <c r="I700" i="1"/>
  <c r="J700" i="1"/>
  <c r="B701" i="1"/>
  <c r="C701" i="1"/>
  <c r="D701" i="1"/>
  <c r="E701" i="1"/>
  <c r="F701" i="1"/>
  <c r="G701" i="1"/>
  <c r="H701" i="1"/>
  <c r="I701" i="1"/>
  <c r="J701" i="1"/>
  <c r="B702" i="1"/>
  <c r="C702" i="1"/>
  <c r="D702" i="1"/>
  <c r="E702" i="1"/>
  <c r="F702" i="1"/>
  <c r="G702" i="1"/>
  <c r="H702" i="1"/>
  <c r="I702" i="1"/>
  <c r="J702" i="1"/>
  <c r="B703" i="1"/>
  <c r="C703" i="1"/>
  <c r="D703" i="1"/>
  <c r="E703" i="1"/>
  <c r="F703" i="1"/>
  <c r="G703" i="1"/>
  <c r="H703" i="1"/>
  <c r="I703" i="1"/>
  <c r="J703" i="1"/>
  <c r="B704" i="1"/>
  <c r="C704" i="1"/>
  <c r="D704" i="1"/>
  <c r="E704" i="1"/>
  <c r="F704" i="1"/>
  <c r="G704" i="1"/>
  <c r="H704" i="1"/>
  <c r="I704" i="1"/>
  <c r="J704" i="1"/>
  <c r="B705" i="1"/>
  <c r="C705" i="1"/>
  <c r="D705" i="1"/>
  <c r="E705" i="1"/>
  <c r="F705" i="1"/>
  <c r="G705" i="1"/>
  <c r="H705" i="1"/>
  <c r="I705" i="1"/>
  <c r="J705" i="1"/>
  <c r="B706" i="1"/>
  <c r="C706" i="1"/>
  <c r="D706" i="1"/>
  <c r="E706" i="1"/>
  <c r="F706" i="1"/>
  <c r="G706" i="1"/>
  <c r="H706" i="1"/>
  <c r="I706" i="1"/>
  <c r="J706" i="1"/>
  <c r="B707" i="1"/>
  <c r="C707" i="1"/>
  <c r="D707" i="1"/>
  <c r="E707" i="1"/>
  <c r="F707" i="1"/>
  <c r="G707" i="1"/>
  <c r="H707" i="1"/>
  <c r="I707" i="1"/>
  <c r="J707" i="1"/>
  <c r="B708" i="1"/>
  <c r="C708" i="1"/>
  <c r="D708" i="1"/>
  <c r="E708" i="1"/>
  <c r="F708" i="1"/>
  <c r="G708" i="1"/>
  <c r="H708" i="1"/>
  <c r="I708" i="1"/>
  <c r="J708" i="1"/>
  <c r="B709" i="1"/>
  <c r="C709" i="1"/>
  <c r="D709" i="1"/>
  <c r="E709" i="1"/>
  <c r="F709" i="1"/>
  <c r="G709" i="1"/>
  <c r="H709" i="1"/>
  <c r="I709" i="1"/>
  <c r="J709" i="1"/>
  <c r="B710" i="1"/>
  <c r="C710" i="1"/>
  <c r="D710" i="1"/>
  <c r="E710" i="1"/>
  <c r="F710" i="1"/>
  <c r="G710" i="1"/>
  <c r="H710" i="1"/>
  <c r="I710" i="1"/>
  <c r="J710" i="1"/>
  <c r="B711" i="1"/>
  <c r="C711" i="1"/>
  <c r="D711" i="1"/>
  <c r="E711" i="1"/>
  <c r="F711" i="1"/>
  <c r="G711" i="1"/>
  <c r="H711" i="1"/>
  <c r="I711" i="1"/>
  <c r="J711" i="1"/>
  <c r="B712" i="1"/>
  <c r="C712" i="1"/>
  <c r="D712" i="1"/>
  <c r="E712" i="1"/>
  <c r="F712" i="1"/>
  <c r="G712" i="1"/>
  <c r="H712" i="1"/>
  <c r="I712" i="1"/>
  <c r="J712" i="1"/>
  <c r="B713" i="1"/>
  <c r="C713" i="1"/>
  <c r="D713" i="1"/>
  <c r="E713" i="1"/>
  <c r="F713" i="1"/>
  <c r="G713" i="1"/>
  <c r="H713" i="1"/>
  <c r="I713" i="1"/>
  <c r="J713" i="1"/>
  <c r="B714" i="1"/>
  <c r="C714" i="1"/>
  <c r="D714" i="1"/>
  <c r="E714" i="1"/>
  <c r="F714" i="1"/>
  <c r="G714" i="1"/>
  <c r="H714" i="1"/>
  <c r="I714" i="1"/>
  <c r="J714" i="1"/>
  <c r="B715" i="1"/>
  <c r="C715" i="1"/>
  <c r="D715" i="1"/>
  <c r="E715" i="1"/>
  <c r="F715" i="1"/>
  <c r="G715" i="1"/>
  <c r="H715" i="1"/>
  <c r="I715" i="1"/>
  <c r="J715" i="1"/>
  <c r="B716" i="1"/>
  <c r="C716" i="1"/>
  <c r="D716" i="1"/>
  <c r="E716" i="1"/>
  <c r="F716" i="1"/>
  <c r="G716" i="1"/>
  <c r="H716" i="1"/>
  <c r="I716" i="1"/>
  <c r="J716" i="1"/>
  <c r="B717" i="1"/>
  <c r="C717" i="1"/>
  <c r="D717" i="1"/>
  <c r="E717" i="1"/>
  <c r="F717" i="1"/>
  <c r="G717" i="1"/>
  <c r="H717" i="1"/>
  <c r="I717" i="1"/>
  <c r="J717" i="1"/>
  <c r="B718" i="1"/>
  <c r="C718" i="1"/>
  <c r="D718" i="1"/>
  <c r="E718" i="1"/>
  <c r="F718" i="1"/>
  <c r="G718" i="1"/>
  <c r="H718" i="1"/>
  <c r="I718" i="1"/>
  <c r="J718" i="1"/>
  <c r="B719" i="1"/>
  <c r="C719" i="1"/>
  <c r="D719" i="1"/>
  <c r="E719" i="1"/>
  <c r="F719" i="1"/>
  <c r="G719" i="1"/>
  <c r="H719" i="1"/>
  <c r="I719" i="1"/>
  <c r="J719" i="1"/>
  <c r="B720" i="1"/>
  <c r="C720" i="1"/>
  <c r="D720" i="1"/>
  <c r="E720" i="1"/>
  <c r="F720" i="1"/>
  <c r="G720" i="1"/>
  <c r="H720" i="1"/>
  <c r="I720" i="1"/>
  <c r="J720" i="1"/>
  <c r="B721" i="1"/>
  <c r="C721" i="1"/>
  <c r="D721" i="1"/>
  <c r="E721" i="1"/>
  <c r="F721" i="1"/>
  <c r="G721" i="1"/>
  <c r="H721" i="1"/>
  <c r="I721" i="1"/>
  <c r="J721" i="1"/>
  <c r="B722" i="1"/>
  <c r="C722" i="1"/>
  <c r="D722" i="1"/>
  <c r="E722" i="1"/>
  <c r="F722" i="1"/>
  <c r="G722" i="1"/>
  <c r="H722" i="1"/>
  <c r="I722" i="1"/>
  <c r="J722" i="1"/>
  <c r="B723" i="1"/>
  <c r="C723" i="1"/>
  <c r="D723" i="1"/>
  <c r="E723" i="1"/>
  <c r="F723" i="1"/>
  <c r="G723" i="1"/>
  <c r="H723" i="1"/>
  <c r="I723" i="1"/>
  <c r="J723" i="1"/>
  <c r="B724" i="1"/>
  <c r="C724" i="1"/>
  <c r="D724" i="1"/>
  <c r="E724" i="1"/>
  <c r="F724" i="1"/>
  <c r="G724" i="1"/>
  <c r="H724" i="1"/>
  <c r="I724" i="1"/>
  <c r="J724" i="1"/>
  <c r="B725" i="1"/>
  <c r="C725" i="1"/>
  <c r="D725" i="1"/>
  <c r="E725" i="1"/>
  <c r="F725" i="1"/>
  <c r="G725" i="1"/>
  <c r="H725" i="1"/>
  <c r="I725" i="1"/>
  <c r="J725" i="1"/>
  <c r="B726" i="1"/>
  <c r="C726" i="1"/>
  <c r="D726" i="1"/>
  <c r="E726" i="1"/>
  <c r="F726" i="1"/>
  <c r="G726" i="1"/>
  <c r="H726" i="1"/>
  <c r="I726" i="1"/>
  <c r="J726" i="1"/>
  <c r="B727" i="1"/>
  <c r="C727" i="1"/>
  <c r="D727" i="1"/>
  <c r="E727" i="1"/>
  <c r="F727" i="1"/>
  <c r="G727" i="1"/>
  <c r="H727" i="1"/>
  <c r="I727" i="1"/>
  <c r="J727" i="1"/>
  <c r="B728" i="1"/>
  <c r="C728" i="1"/>
  <c r="D728" i="1"/>
  <c r="E728" i="1"/>
  <c r="F728" i="1"/>
  <c r="G728" i="1"/>
  <c r="H728" i="1"/>
  <c r="I728" i="1"/>
  <c r="J728" i="1"/>
  <c r="B729" i="1"/>
  <c r="C729" i="1"/>
  <c r="D729" i="1"/>
  <c r="E729" i="1"/>
  <c r="F729" i="1"/>
  <c r="G729" i="1"/>
  <c r="H729" i="1"/>
  <c r="I729" i="1"/>
  <c r="J729" i="1"/>
  <c r="B730" i="1"/>
  <c r="C730" i="1"/>
  <c r="D730" i="1"/>
  <c r="E730" i="1"/>
  <c r="F730" i="1"/>
  <c r="G730" i="1"/>
  <c r="H730" i="1"/>
  <c r="I730" i="1"/>
  <c r="J730" i="1"/>
  <c r="B731" i="1"/>
  <c r="C731" i="1"/>
  <c r="D731" i="1"/>
  <c r="E731" i="1"/>
  <c r="F731" i="1"/>
  <c r="G731" i="1"/>
  <c r="H731" i="1"/>
  <c r="I731" i="1"/>
  <c r="J731" i="1"/>
  <c r="B732" i="1"/>
  <c r="C732" i="1"/>
  <c r="D732" i="1"/>
  <c r="E732" i="1"/>
  <c r="F732" i="1"/>
  <c r="G732" i="1"/>
  <c r="H732" i="1"/>
  <c r="I732" i="1"/>
  <c r="J732" i="1"/>
  <c r="B733" i="1"/>
  <c r="C733" i="1"/>
  <c r="D733" i="1"/>
  <c r="E733" i="1"/>
  <c r="F733" i="1"/>
  <c r="G733" i="1"/>
  <c r="H733" i="1"/>
  <c r="I733" i="1"/>
  <c r="J733" i="1"/>
  <c r="B734" i="1"/>
  <c r="C734" i="1"/>
  <c r="D734" i="1"/>
  <c r="E734" i="1"/>
  <c r="F734" i="1"/>
  <c r="G734" i="1"/>
  <c r="H734" i="1"/>
  <c r="I734" i="1"/>
  <c r="J734" i="1"/>
  <c r="B735" i="1"/>
  <c r="C735" i="1"/>
  <c r="D735" i="1"/>
  <c r="E735" i="1"/>
  <c r="F735" i="1"/>
  <c r="G735" i="1"/>
  <c r="H735" i="1"/>
  <c r="I735" i="1"/>
  <c r="J735" i="1"/>
  <c r="B736" i="1"/>
  <c r="C736" i="1"/>
  <c r="D736" i="1"/>
  <c r="E736" i="1"/>
  <c r="F736" i="1"/>
  <c r="G736" i="1"/>
  <c r="H736" i="1"/>
  <c r="I736" i="1"/>
  <c r="J736" i="1"/>
  <c r="B737" i="1"/>
  <c r="C737" i="1"/>
  <c r="D737" i="1"/>
  <c r="E737" i="1"/>
  <c r="F737" i="1"/>
  <c r="G737" i="1"/>
  <c r="H737" i="1"/>
  <c r="I737" i="1"/>
  <c r="J737" i="1"/>
  <c r="B738" i="1"/>
  <c r="C738" i="1"/>
  <c r="D738" i="1"/>
  <c r="E738" i="1"/>
  <c r="F738" i="1"/>
  <c r="G738" i="1"/>
  <c r="H738" i="1"/>
  <c r="I738" i="1"/>
  <c r="J738" i="1"/>
  <c r="B739" i="1"/>
  <c r="C739" i="1"/>
  <c r="D739" i="1"/>
  <c r="E739" i="1"/>
  <c r="F739" i="1"/>
  <c r="G739" i="1"/>
  <c r="H739" i="1"/>
  <c r="I739" i="1"/>
  <c r="J739" i="1"/>
  <c r="B740" i="1"/>
  <c r="C740" i="1"/>
  <c r="D740" i="1"/>
  <c r="E740" i="1"/>
  <c r="F740" i="1"/>
  <c r="G740" i="1"/>
  <c r="H740" i="1"/>
  <c r="I740" i="1"/>
  <c r="J740" i="1"/>
  <c r="B741" i="1"/>
  <c r="C741" i="1"/>
  <c r="D741" i="1"/>
  <c r="E741" i="1"/>
  <c r="F741" i="1"/>
  <c r="G741" i="1"/>
  <c r="H741" i="1"/>
  <c r="I741" i="1"/>
  <c r="J741" i="1"/>
  <c r="B742" i="1"/>
  <c r="C742" i="1"/>
  <c r="D742" i="1"/>
  <c r="E742" i="1"/>
  <c r="F742" i="1"/>
  <c r="G742" i="1"/>
  <c r="H742" i="1"/>
  <c r="I742" i="1"/>
  <c r="J742" i="1"/>
  <c r="B743" i="1"/>
  <c r="C743" i="1"/>
  <c r="D743" i="1"/>
  <c r="E743" i="1"/>
  <c r="F743" i="1"/>
  <c r="G743" i="1"/>
  <c r="H743" i="1"/>
  <c r="I743" i="1"/>
  <c r="J743" i="1"/>
  <c r="B744" i="1"/>
  <c r="C744" i="1"/>
  <c r="D744" i="1"/>
  <c r="E744" i="1"/>
  <c r="F744" i="1"/>
  <c r="G744" i="1"/>
  <c r="H744" i="1"/>
  <c r="I744" i="1"/>
  <c r="J744" i="1"/>
  <c r="B745" i="1"/>
  <c r="C745" i="1"/>
  <c r="D745" i="1"/>
  <c r="E745" i="1"/>
  <c r="F745" i="1"/>
  <c r="G745" i="1"/>
  <c r="H745" i="1"/>
  <c r="I745" i="1"/>
  <c r="J745" i="1"/>
  <c r="B746" i="1"/>
  <c r="C746" i="1"/>
  <c r="D746" i="1"/>
  <c r="E746" i="1"/>
  <c r="F746" i="1"/>
  <c r="G746" i="1"/>
  <c r="H746" i="1"/>
  <c r="I746" i="1"/>
  <c r="J746" i="1"/>
  <c r="B747" i="1"/>
  <c r="C747" i="1"/>
  <c r="D747" i="1"/>
  <c r="E747" i="1"/>
  <c r="F747" i="1"/>
  <c r="G747" i="1"/>
  <c r="H747" i="1"/>
  <c r="I747" i="1"/>
  <c r="J747" i="1"/>
  <c r="B748" i="1"/>
  <c r="C748" i="1"/>
  <c r="D748" i="1"/>
  <c r="E748" i="1"/>
  <c r="F748" i="1"/>
  <c r="G748" i="1"/>
  <c r="H748" i="1"/>
  <c r="I748" i="1"/>
  <c r="J748" i="1"/>
  <c r="B749" i="1"/>
  <c r="C749" i="1"/>
  <c r="D749" i="1"/>
  <c r="E749" i="1"/>
  <c r="F749" i="1"/>
  <c r="G749" i="1"/>
  <c r="H749" i="1"/>
  <c r="I749" i="1"/>
  <c r="J749" i="1"/>
  <c r="B750" i="1"/>
  <c r="C750" i="1"/>
  <c r="D750" i="1"/>
  <c r="E750" i="1"/>
  <c r="F750" i="1"/>
  <c r="G750" i="1"/>
  <c r="H750" i="1"/>
  <c r="I750" i="1"/>
  <c r="J750" i="1"/>
  <c r="B751" i="1"/>
  <c r="C751" i="1"/>
  <c r="D751" i="1"/>
  <c r="E751" i="1"/>
  <c r="F751" i="1"/>
  <c r="G751" i="1"/>
  <c r="H751" i="1"/>
  <c r="I751" i="1"/>
  <c r="J751" i="1"/>
  <c r="B752" i="1"/>
  <c r="C752" i="1"/>
  <c r="D752" i="1"/>
  <c r="E752" i="1"/>
  <c r="F752" i="1"/>
  <c r="G752" i="1"/>
  <c r="H752" i="1"/>
  <c r="I752" i="1"/>
  <c r="J752" i="1"/>
  <c r="B753" i="1"/>
  <c r="C753" i="1"/>
  <c r="D753" i="1"/>
  <c r="E753" i="1"/>
  <c r="F753" i="1"/>
  <c r="G753" i="1"/>
  <c r="H753" i="1"/>
  <c r="I753" i="1"/>
  <c r="J753" i="1"/>
  <c r="B754" i="1"/>
  <c r="C754" i="1"/>
  <c r="D754" i="1"/>
  <c r="E754" i="1"/>
  <c r="F754" i="1"/>
  <c r="G754" i="1"/>
  <c r="H754" i="1"/>
  <c r="I754" i="1"/>
  <c r="J754" i="1"/>
  <c r="B755" i="1"/>
  <c r="C755" i="1"/>
  <c r="D755" i="1"/>
  <c r="E755" i="1"/>
  <c r="F755" i="1"/>
  <c r="G755" i="1"/>
  <c r="H755" i="1"/>
  <c r="I755" i="1"/>
  <c r="J755" i="1"/>
  <c r="B756" i="1"/>
  <c r="C756" i="1"/>
  <c r="D756" i="1"/>
  <c r="E756" i="1"/>
  <c r="F756" i="1"/>
  <c r="G756" i="1"/>
  <c r="H756" i="1"/>
  <c r="I756" i="1"/>
  <c r="J756" i="1"/>
  <c r="B757" i="1"/>
  <c r="C757" i="1"/>
  <c r="D757" i="1"/>
  <c r="E757" i="1"/>
  <c r="F757" i="1"/>
  <c r="G757" i="1"/>
  <c r="H757" i="1"/>
  <c r="I757" i="1"/>
  <c r="J757" i="1"/>
  <c r="B758" i="1"/>
  <c r="C758" i="1"/>
  <c r="D758" i="1"/>
  <c r="E758" i="1"/>
  <c r="F758" i="1"/>
  <c r="G758" i="1"/>
  <c r="H758" i="1"/>
  <c r="I758" i="1"/>
  <c r="J758" i="1"/>
  <c r="B759" i="1"/>
  <c r="C759" i="1"/>
  <c r="D759" i="1"/>
  <c r="E759" i="1"/>
  <c r="F759" i="1"/>
  <c r="G759" i="1"/>
  <c r="H759" i="1"/>
  <c r="I759" i="1"/>
  <c r="J759" i="1"/>
  <c r="B760" i="1"/>
  <c r="C760" i="1"/>
  <c r="D760" i="1"/>
  <c r="E760" i="1"/>
  <c r="F760" i="1"/>
  <c r="G760" i="1"/>
  <c r="H760" i="1"/>
  <c r="I760" i="1"/>
  <c r="J760" i="1"/>
  <c r="B761" i="1"/>
  <c r="C761" i="1"/>
  <c r="D761" i="1"/>
  <c r="E761" i="1"/>
  <c r="F761" i="1"/>
  <c r="G761" i="1"/>
  <c r="H761" i="1"/>
  <c r="I761" i="1"/>
  <c r="J761" i="1"/>
  <c r="B762" i="1"/>
  <c r="C762" i="1"/>
  <c r="D762" i="1"/>
  <c r="E762" i="1"/>
  <c r="F762" i="1"/>
  <c r="G762" i="1"/>
  <c r="H762" i="1"/>
  <c r="I762" i="1"/>
  <c r="J762" i="1"/>
  <c r="B763" i="1"/>
  <c r="C763" i="1"/>
  <c r="D763" i="1"/>
  <c r="E763" i="1"/>
  <c r="F763" i="1"/>
  <c r="G763" i="1"/>
  <c r="H763" i="1"/>
  <c r="I763" i="1"/>
  <c r="J763" i="1"/>
  <c r="B764" i="1"/>
  <c r="C764" i="1"/>
  <c r="D764" i="1"/>
  <c r="E764" i="1"/>
  <c r="F764" i="1"/>
  <c r="G764" i="1"/>
  <c r="H764" i="1"/>
  <c r="I764" i="1"/>
  <c r="J764" i="1"/>
  <c r="B765" i="1"/>
  <c r="C765" i="1"/>
  <c r="D765" i="1"/>
  <c r="E765" i="1"/>
  <c r="F765" i="1"/>
  <c r="G765" i="1"/>
  <c r="H765" i="1"/>
  <c r="I765" i="1"/>
  <c r="J765" i="1"/>
  <c r="B766" i="1"/>
  <c r="C766" i="1"/>
  <c r="D766" i="1"/>
  <c r="E766" i="1"/>
  <c r="F766" i="1"/>
  <c r="G766" i="1"/>
  <c r="H766" i="1"/>
  <c r="I766" i="1"/>
  <c r="J766" i="1"/>
  <c r="B767" i="1"/>
  <c r="C767" i="1"/>
  <c r="D767" i="1"/>
  <c r="E767" i="1"/>
  <c r="F767" i="1"/>
  <c r="G767" i="1"/>
  <c r="H767" i="1"/>
  <c r="I767" i="1"/>
  <c r="J767" i="1"/>
  <c r="B768" i="1"/>
  <c r="C768" i="1"/>
  <c r="D768" i="1"/>
  <c r="E768" i="1"/>
  <c r="F768" i="1"/>
  <c r="G768" i="1"/>
  <c r="H768" i="1"/>
  <c r="I768" i="1"/>
  <c r="J768" i="1"/>
  <c r="B769" i="1"/>
  <c r="C769" i="1"/>
  <c r="D769" i="1"/>
  <c r="E769" i="1"/>
  <c r="F769" i="1"/>
  <c r="G769" i="1"/>
  <c r="H769" i="1"/>
  <c r="I769" i="1"/>
  <c r="J769" i="1"/>
  <c r="B770" i="1"/>
  <c r="C770" i="1"/>
  <c r="D770" i="1"/>
  <c r="E770" i="1"/>
  <c r="F770" i="1"/>
  <c r="G770" i="1"/>
  <c r="H770" i="1"/>
  <c r="I770" i="1"/>
  <c r="J770" i="1"/>
  <c r="B771" i="1"/>
  <c r="C771" i="1"/>
  <c r="D771" i="1"/>
  <c r="E771" i="1"/>
  <c r="F771" i="1"/>
  <c r="G771" i="1"/>
  <c r="H771" i="1"/>
  <c r="I771" i="1"/>
  <c r="J771" i="1"/>
  <c r="B772" i="1"/>
  <c r="C772" i="1"/>
  <c r="D772" i="1"/>
  <c r="E772" i="1"/>
  <c r="F772" i="1"/>
  <c r="G772" i="1"/>
  <c r="H772" i="1"/>
  <c r="I772" i="1"/>
  <c r="J772" i="1"/>
  <c r="B773" i="1"/>
  <c r="C773" i="1"/>
  <c r="D773" i="1"/>
  <c r="E773" i="1"/>
  <c r="F773" i="1"/>
  <c r="G773" i="1"/>
  <c r="H773" i="1"/>
  <c r="I773" i="1"/>
  <c r="J773" i="1"/>
  <c r="B774" i="1"/>
  <c r="C774" i="1"/>
  <c r="D774" i="1"/>
  <c r="E774" i="1"/>
  <c r="F774" i="1"/>
  <c r="G774" i="1"/>
  <c r="H774" i="1"/>
  <c r="I774" i="1"/>
  <c r="J774" i="1"/>
  <c r="B775" i="1"/>
  <c r="C775" i="1"/>
  <c r="D775" i="1"/>
  <c r="E775" i="1"/>
  <c r="F775" i="1"/>
  <c r="G775" i="1"/>
  <c r="H775" i="1"/>
  <c r="I775" i="1"/>
  <c r="J775" i="1"/>
  <c r="B776" i="1"/>
  <c r="C776" i="1"/>
  <c r="D776" i="1"/>
  <c r="E776" i="1"/>
  <c r="F776" i="1"/>
  <c r="G776" i="1"/>
  <c r="H776" i="1"/>
  <c r="I776" i="1"/>
  <c r="J776" i="1"/>
  <c r="B777" i="1"/>
  <c r="C777" i="1"/>
  <c r="D777" i="1"/>
  <c r="E777" i="1"/>
  <c r="F777" i="1"/>
  <c r="G777" i="1"/>
  <c r="H777" i="1"/>
  <c r="I777" i="1"/>
  <c r="J777" i="1"/>
  <c r="B778" i="1"/>
  <c r="C778" i="1"/>
  <c r="D778" i="1"/>
  <c r="E778" i="1"/>
  <c r="F778" i="1"/>
  <c r="G778" i="1"/>
  <c r="H778" i="1"/>
  <c r="I778" i="1"/>
  <c r="J778" i="1"/>
  <c r="B779" i="1"/>
  <c r="C779" i="1"/>
  <c r="D779" i="1"/>
  <c r="E779" i="1"/>
  <c r="F779" i="1"/>
  <c r="G779" i="1"/>
  <c r="H779" i="1"/>
  <c r="I779" i="1"/>
  <c r="J779" i="1"/>
  <c r="B780" i="1"/>
  <c r="C780" i="1"/>
  <c r="D780" i="1"/>
  <c r="E780" i="1"/>
  <c r="F780" i="1"/>
  <c r="G780" i="1"/>
  <c r="H780" i="1"/>
  <c r="I780" i="1"/>
  <c r="J780" i="1"/>
  <c r="B781" i="1"/>
  <c r="C781" i="1"/>
  <c r="D781" i="1"/>
  <c r="E781" i="1"/>
  <c r="F781" i="1"/>
  <c r="G781" i="1"/>
  <c r="H781" i="1"/>
  <c r="I781" i="1"/>
  <c r="J781" i="1"/>
  <c r="B782" i="1"/>
  <c r="C782" i="1"/>
  <c r="D782" i="1"/>
  <c r="E782" i="1"/>
  <c r="F782" i="1"/>
  <c r="G782" i="1"/>
  <c r="H782" i="1"/>
  <c r="I782" i="1"/>
  <c r="J782" i="1"/>
  <c r="B783" i="1"/>
  <c r="C783" i="1"/>
  <c r="D783" i="1"/>
  <c r="E783" i="1"/>
  <c r="F783" i="1"/>
  <c r="G783" i="1"/>
  <c r="H783" i="1"/>
  <c r="I783" i="1"/>
  <c r="J783" i="1"/>
  <c r="B784" i="1"/>
  <c r="C784" i="1"/>
  <c r="D784" i="1"/>
  <c r="E784" i="1"/>
  <c r="F784" i="1"/>
  <c r="G784" i="1"/>
  <c r="H784" i="1"/>
  <c r="I784" i="1"/>
  <c r="J784" i="1"/>
  <c r="B785" i="1"/>
  <c r="C785" i="1"/>
  <c r="D785" i="1"/>
  <c r="E785" i="1"/>
  <c r="F785" i="1"/>
  <c r="G785" i="1"/>
  <c r="H785" i="1"/>
  <c r="I785" i="1"/>
  <c r="J785" i="1"/>
  <c r="B786" i="1"/>
  <c r="C786" i="1"/>
  <c r="D786" i="1"/>
  <c r="E786" i="1"/>
  <c r="F786" i="1"/>
  <c r="G786" i="1"/>
  <c r="H786" i="1"/>
  <c r="I786" i="1"/>
  <c r="J786" i="1"/>
  <c r="B787" i="1"/>
  <c r="C787" i="1"/>
  <c r="D787" i="1"/>
  <c r="E787" i="1"/>
  <c r="F787" i="1"/>
  <c r="G787" i="1"/>
  <c r="H787" i="1"/>
  <c r="I787" i="1"/>
  <c r="J787" i="1"/>
  <c r="B788" i="1"/>
  <c r="C788" i="1"/>
  <c r="D788" i="1"/>
  <c r="E788" i="1"/>
  <c r="F788" i="1"/>
  <c r="G788" i="1"/>
  <c r="H788" i="1"/>
  <c r="I788" i="1"/>
  <c r="J788" i="1"/>
  <c r="B789" i="1"/>
  <c r="C789" i="1"/>
  <c r="D789" i="1"/>
  <c r="E789" i="1"/>
  <c r="F789" i="1"/>
  <c r="G789" i="1"/>
  <c r="H789" i="1"/>
  <c r="I789" i="1"/>
  <c r="J789" i="1"/>
  <c r="B790" i="1"/>
  <c r="C790" i="1"/>
  <c r="D790" i="1"/>
  <c r="E790" i="1"/>
  <c r="F790" i="1"/>
  <c r="G790" i="1"/>
  <c r="H790" i="1"/>
  <c r="I790" i="1"/>
  <c r="J790" i="1"/>
  <c r="B791" i="1"/>
  <c r="C791" i="1"/>
  <c r="D791" i="1"/>
  <c r="E791" i="1"/>
  <c r="F791" i="1"/>
  <c r="G791" i="1"/>
  <c r="H791" i="1"/>
  <c r="I791" i="1"/>
  <c r="J791" i="1"/>
  <c r="B792" i="1"/>
  <c r="C792" i="1"/>
  <c r="D792" i="1"/>
  <c r="E792" i="1"/>
  <c r="F792" i="1"/>
  <c r="G792" i="1"/>
  <c r="H792" i="1"/>
  <c r="I792" i="1"/>
  <c r="J792" i="1"/>
  <c r="B793" i="1"/>
  <c r="C793" i="1"/>
  <c r="D793" i="1"/>
  <c r="E793" i="1"/>
  <c r="F793" i="1"/>
  <c r="G793" i="1"/>
  <c r="H793" i="1"/>
  <c r="I793" i="1"/>
  <c r="J793" i="1"/>
  <c r="B794" i="1"/>
  <c r="C794" i="1"/>
  <c r="D794" i="1"/>
  <c r="E794" i="1"/>
  <c r="F794" i="1"/>
  <c r="G794" i="1"/>
  <c r="H794" i="1"/>
  <c r="I794" i="1"/>
  <c r="J794" i="1"/>
  <c r="B795" i="1"/>
  <c r="C795" i="1"/>
  <c r="D795" i="1"/>
  <c r="E795" i="1"/>
  <c r="F795" i="1"/>
  <c r="G795" i="1"/>
  <c r="H795" i="1"/>
  <c r="I795" i="1"/>
  <c r="J795" i="1"/>
  <c r="B796" i="1"/>
  <c r="C796" i="1"/>
  <c r="D796" i="1"/>
  <c r="E796" i="1"/>
  <c r="F796" i="1"/>
  <c r="G796" i="1"/>
  <c r="H796" i="1"/>
  <c r="I796" i="1"/>
  <c r="J796" i="1"/>
  <c r="B797" i="1"/>
  <c r="C797" i="1"/>
  <c r="D797" i="1"/>
  <c r="E797" i="1"/>
  <c r="F797" i="1"/>
  <c r="G797" i="1"/>
  <c r="H797" i="1"/>
  <c r="I797" i="1"/>
  <c r="J797" i="1"/>
  <c r="B798" i="1"/>
  <c r="C798" i="1"/>
  <c r="D798" i="1"/>
  <c r="E798" i="1"/>
  <c r="F798" i="1"/>
  <c r="G798" i="1"/>
  <c r="H798" i="1"/>
  <c r="I798" i="1"/>
  <c r="J798" i="1"/>
  <c r="B799" i="1"/>
  <c r="C799" i="1"/>
  <c r="D799" i="1"/>
  <c r="E799" i="1"/>
  <c r="F799" i="1"/>
  <c r="G799" i="1"/>
  <c r="H799" i="1"/>
  <c r="I799" i="1"/>
  <c r="J799" i="1"/>
  <c r="B800" i="1"/>
  <c r="C800" i="1"/>
  <c r="D800" i="1"/>
  <c r="E800" i="1"/>
  <c r="F800" i="1"/>
  <c r="G800" i="1"/>
  <c r="H800" i="1"/>
  <c r="I800" i="1"/>
  <c r="J800" i="1"/>
  <c r="B801" i="1"/>
  <c r="C801" i="1"/>
  <c r="D801" i="1"/>
  <c r="E801" i="1"/>
  <c r="F801" i="1"/>
  <c r="G801" i="1"/>
  <c r="H801" i="1"/>
  <c r="I801" i="1"/>
  <c r="J801" i="1"/>
  <c r="B802" i="1"/>
  <c r="C802" i="1"/>
  <c r="D802" i="1"/>
  <c r="E802" i="1"/>
  <c r="F802" i="1"/>
  <c r="G802" i="1"/>
  <c r="H802" i="1"/>
  <c r="I802" i="1"/>
  <c r="J802" i="1"/>
  <c r="B803" i="1"/>
  <c r="C803" i="1"/>
  <c r="D803" i="1"/>
  <c r="E803" i="1"/>
  <c r="F803" i="1"/>
  <c r="G803" i="1"/>
  <c r="H803" i="1"/>
  <c r="I803" i="1"/>
  <c r="J803" i="1"/>
  <c r="B804" i="1"/>
  <c r="C804" i="1"/>
  <c r="D804" i="1"/>
  <c r="E804" i="1"/>
  <c r="F804" i="1"/>
  <c r="G804" i="1"/>
  <c r="H804" i="1"/>
  <c r="I804" i="1"/>
  <c r="J804" i="1"/>
  <c r="B805" i="1"/>
  <c r="C805" i="1"/>
  <c r="D805" i="1"/>
  <c r="E805" i="1"/>
  <c r="F805" i="1"/>
  <c r="G805" i="1"/>
  <c r="H805" i="1"/>
  <c r="I805" i="1"/>
  <c r="J805" i="1"/>
  <c r="B806" i="1"/>
  <c r="C806" i="1"/>
  <c r="D806" i="1"/>
  <c r="E806" i="1"/>
  <c r="F806" i="1"/>
  <c r="G806" i="1"/>
  <c r="H806" i="1"/>
  <c r="I806" i="1"/>
  <c r="J806" i="1"/>
  <c r="B807" i="1"/>
  <c r="C807" i="1"/>
  <c r="D807" i="1"/>
  <c r="E807" i="1"/>
  <c r="F807" i="1"/>
  <c r="G807" i="1"/>
  <c r="H807" i="1"/>
  <c r="I807" i="1"/>
  <c r="J807" i="1"/>
  <c r="B808" i="1"/>
  <c r="C808" i="1"/>
  <c r="D808" i="1"/>
  <c r="E808" i="1"/>
  <c r="F808" i="1"/>
  <c r="G808" i="1"/>
  <c r="H808" i="1"/>
  <c r="I808" i="1"/>
  <c r="J808" i="1"/>
  <c r="B809" i="1"/>
  <c r="C809" i="1"/>
  <c r="D809" i="1"/>
  <c r="E809" i="1"/>
  <c r="F809" i="1"/>
  <c r="G809" i="1"/>
  <c r="H809" i="1"/>
  <c r="I809" i="1"/>
  <c r="J809" i="1"/>
  <c r="B810" i="1"/>
  <c r="C810" i="1"/>
  <c r="D810" i="1"/>
  <c r="E810" i="1"/>
  <c r="F810" i="1"/>
  <c r="G810" i="1"/>
  <c r="H810" i="1"/>
  <c r="I810" i="1"/>
  <c r="J810" i="1"/>
  <c r="B811" i="1"/>
  <c r="C811" i="1"/>
  <c r="D811" i="1"/>
  <c r="E811" i="1"/>
  <c r="F811" i="1"/>
  <c r="G811" i="1"/>
  <c r="H811" i="1"/>
  <c r="I811" i="1"/>
  <c r="J811" i="1"/>
  <c r="B812" i="1"/>
  <c r="C812" i="1"/>
  <c r="D812" i="1"/>
  <c r="E812" i="1"/>
  <c r="F812" i="1"/>
  <c r="G812" i="1"/>
  <c r="H812" i="1"/>
  <c r="I812" i="1"/>
  <c r="J812" i="1"/>
  <c r="B813" i="1"/>
  <c r="C813" i="1"/>
  <c r="D813" i="1"/>
  <c r="E813" i="1"/>
  <c r="F813" i="1"/>
  <c r="G813" i="1"/>
  <c r="H813" i="1"/>
  <c r="I813" i="1"/>
  <c r="J813" i="1"/>
  <c r="B814" i="1"/>
  <c r="C814" i="1"/>
  <c r="D814" i="1"/>
  <c r="E814" i="1"/>
  <c r="F814" i="1"/>
  <c r="G814" i="1"/>
  <c r="H814" i="1"/>
  <c r="I814" i="1"/>
  <c r="J814" i="1"/>
  <c r="B815" i="1"/>
  <c r="C815" i="1"/>
  <c r="D815" i="1"/>
  <c r="E815" i="1"/>
  <c r="F815" i="1"/>
  <c r="G815" i="1"/>
  <c r="H815" i="1"/>
  <c r="I815" i="1"/>
  <c r="J815" i="1"/>
  <c r="B816" i="1"/>
  <c r="C816" i="1"/>
  <c r="D816" i="1"/>
  <c r="E816" i="1"/>
  <c r="F816" i="1"/>
  <c r="G816" i="1"/>
  <c r="H816" i="1"/>
  <c r="I816" i="1"/>
  <c r="J816" i="1"/>
  <c r="B817" i="1"/>
  <c r="C817" i="1"/>
  <c r="D817" i="1"/>
  <c r="E817" i="1"/>
  <c r="F817" i="1"/>
  <c r="G817" i="1"/>
  <c r="H817" i="1"/>
  <c r="I817" i="1"/>
  <c r="J817" i="1"/>
  <c r="B818" i="1"/>
  <c r="C818" i="1"/>
  <c r="D818" i="1"/>
  <c r="E818" i="1"/>
  <c r="F818" i="1"/>
  <c r="G818" i="1"/>
  <c r="H818" i="1"/>
  <c r="I818" i="1"/>
  <c r="J818" i="1"/>
  <c r="B819" i="1"/>
  <c r="C819" i="1"/>
  <c r="D819" i="1"/>
  <c r="E819" i="1"/>
  <c r="F819" i="1"/>
  <c r="G819" i="1"/>
  <c r="H819" i="1"/>
  <c r="I819" i="1"/>
  <c r="J819" i="1"/>
  <c r="B820" i="1"/>
  <c r="C820" i="1"/>
  <c r="D820" i="1"/>
  <c r="E820" i="1"/>
  <c r="F820" i="1"/>
  <c r="G820" i="1"/>
  <c r="H820" i="1"/>
  <c r="I820" i="1"/>
  <c r="J820" i="1"/>
  <c r="B821" i="1"/>
  <c r="C821" i="1"/>
  <c r="D821" i="1"/>
  <c r="E821" i="1"/>
  <c r="F821" i="1"/>
  <c r="G821" i="1"/>
  <c r="H821" i="1"/>
  <c r="I821" i="1"/>
  <c r="J821" i="1"/>
  <c r="B822" i="1"/>
  <c r="C822" i="1"/>
  <c r="D822" i="1"/>
  <c r="E822" i="1"/>
  <c r="F822" i="1"/>
  <c r="G822" i="1"/>
  <c r="H822" i="1"/>
  <c r="I822" i="1"/>
  <c r="J822" i="1"/>
  <c r="B823" i="1"/>
  <c r="C823" i="1"/>
  <c r="D823" i="1"/>
  <c r="E823" i="1"/>
  <c r="F823" i="1"/>
  <c r="G823" i="1"/>
  <c r="H823" i="1"/>
  <c r="I823" i="1"/>
  <c r="J823" i="1"/>
  <c r="B824" i="1"/>
  <c r="C824" i="1"/>
  <c r="D824" i="1"/>
  <c r="E824" i="1"/>
  <c r="F824" i="1"/>
  <c r="G824" i="1"/>
  <c r="H824" i="1"/>
  <c r="I824" i="1"/>
  <c r="J824" i="1"/>
  <c r="B825" i="1"/>
  <c r="C825" i="1"/>
  <c r="D825" i="1"/>
  <c r="E825" i="1"/>
  <c r="F825" i="1"/>
  <c r="G825" i="1"/>
  <c r="H825" i="1"/>
  <c r="I825" i="1"/>
  <c r="J825" i="1"/>
  <c r="B826" i="1"/>
  <c r="C826" i="1"/>
  <c r="D826" i="1"/>
  <c r="E826" i="1"/>
  <c r="F826" i="1"/>
  <c r="G826" i="1"/>
  <c r="H826" i="1"/>
  <c r="I826" i="1"/>
  <c r="J826" i="1"/>
  <c r="B827" i="1"/>
  <c r="C827" i="1"/>
  <c r="D827" i="1"/>
  <c r="E827" i="1"/>
  <c r="F827" i="1"/>
  <c r="G827" i="1"/>
  <c r="H827" i="1"/>
  <c r="I827" i="1"/>
  <c r="J827" i="1"/>
  <c r="B828" i="1"/>
  <c r="C828" i="1"/>
  <c r="D828" i="1"/>
  <c r="E828" i="1"/>
  <c r="F828" i="1"/>
  <c r="G828" i="1"/>
  <c r="H828" i="1"/>
  <c r="I828" i="1"/>
  <c r="J828" i="1"/>
  <c r="B829" i="1"/>
  <c r="C829" i="1"/>
  <c r="D829" i="1"/>
  <c r="E829" i="1"/>
  <c r="F829" i="1"/>
  <c r="G829" i="1"/>
  <c r="H829" i="1"/>
  <c r="I829" i="1"/>
  <c r="J829" i="1"/>
  <c r="B830" i="1"/>
  <c r="C830" i="1"/>
  <c r="D830" i="1"/>
  <c r="E830" i="1"/>
  <c r="F830" i="1"/>
  <c r="G830" i="1"/>
  <c r="H830" i="1"/>
  <c r="I830" i="1"/>
  <c r="J830" i="1"/>
  <c r="B831" i="1"/>
  <c r="C831" i="1"/>
  <c r="D831" i="1"/>
  <c r="E831" i="1"/>
  <c r="F831" i="1"/>
  <c r="G831" i="1"/>
  <c r="H831" i="1"/>
  <c r="I831" i="1"/>
  <c r="J831" i="1"/>
  <c r="B832" i="1"/>
  <c r="C832" i="1"/>
  <c r="D832" i="1"/>
  <c r="E832" i="1"/>
  <c r="F832" i="1"/>
  <c r="G832" i="1"/>
  <c r="H832" i="1"/>
  <c r="I832" i="1"/>
  <c r="J832" i="1"/>
  <c r="B833" i="1"/>
  <c r="C833" i="1"/>
  <c r="D833" i="1"/>
  <c r="E833" i="1"/>
  <c r="F833" i="1"/>
  <c r="G833" i="1"/>
  <c r="H833" i="1"/>
  <c r="I833" i="1"/>
  <c r="J833" i="1"/>
  <c r="B834" i="1"/>
  <c r="C834" i="1"/>
  <c r="D834" i="1"/>
  <c r="E834" i="1"/>
  <c r="F834" i="1"/>
  <c r="G834" i="1"/>
  <c r="H834" i="1"/>
  <c r="I834" i="1"/>
  <c r="J834" i="1"/>
  <c r="B835" i="1"/>
  <c r="C835" i="1"/>
  <c r="D835" i="1"/>
  <c r="E835" i="1"/>
  <c r="F835" i="1"/>
  <c r="G835" i="1"/>
  <c r="H835" i="1"/>
  <c r="I835" i="1"/>
  <c r="J835" i="1"/>
  <c r="B836" i="1"/>
  <c r="C836" i="1"/>
  <c r="D836" i="1"/>
  <c r="E836" i="1"/>
  <c r="F836" i="1"/>
  <c r="G836" i="1"/>
  <c r="H836" i="1"/>
  <c r="I836" i="1"/>
  <c r="J836" i="1"/>
  <c r="B837" i="1"/>
  <c r="C837" i="1"/>
  <c r="D837" i="1"/>
  <c r="E837" i="1"/>
  <c r="F837" i="1"/>
  <c r="G837" i="1"/>
  <c r="H837" i="1"/>
  <c r="I837" i="1"/>
  <c r="J837" i="1"/>
  <c r="B838" i="1"/>
  <c r="C838" i="1"/>
  <c r="D838" i="1"/>
  <c r="E838" i="1"/>
  <c r="F838" i="1"/>
  <c r="G838" i="1"/>
  <c r="H838" i="1"/>
  <c r="I838" i="1"/>
  <c r="J838" i="1"/>
  <c r="B839" i="1"/>
  <c r="C839" i="1"/>
  <c r="D839" i="1"/>
  <c r="E839" i="1"/>
  <c r="F839" i="1"/>
  <c r="G839" i="1"/>
  <c r="H839" i="1"/>
  <c r="I839" i="1"/>
  <c r="J839" i="1"/>
  <c r="B840" i="1"/>
  <c r="C840" i="1"/>
  <c r="D840" i="1"/>
  <c r="E840" i="1"/>
  <c r="F840" i="1"/>
  <c r="G840" i="1"/>
  <c r="H840" i="1"/>
  <c r="I840" i="1"/>
  <c r="J840" i="1"/>
  <c r="B841" i="1"/>
  <c r="C841" i="1"/>
  <c r="D841" i="1"/>
  <c r="E841" i="1"/>
  <c r="F841" i="1"/>
  <c r="G841" i="1"/>
  <c r="H841" i="1"/>
  <c r="I841" i="1"/>
  <c r="J841" i="1"/>
  <c r="B842" i="1"/>
  <c r="C842" i="1"/>
  <c r="D842" i="1"/>
  <c r="E842" i="1"/>
  <c r="F842" i="1"/>
  <c r="G842" i="1"/>
  <c r="H842" i="1"/>
  <c r="I842" i="1"/>
  <c r="J842" i="1"/>
  <c r="B843" i="1"/>
  <c r="C843" i="1"/>
  <c r="D843" i="1"/>
  <c r="E843" i="1"/>
  <c r="F843" i="1"/>
  <c r="G843" i="1"/>
  <c r="H843" i="1"/>
  <c r="I843" i="1"/>
  <c r="J843" i="1"/>
  <c r="B844" i="1"/>
  <c r="C844" i="1"/>
  <c r="D844" i="1"/>
  <c r="E844" i="1"/>
  <c r="F844" i="1"/>
  <c r="G844" i="1"/>
  <c r="H844" i="1"/>
  <c r="I844" i="1"/>
  <c r="J844" i="1"/>
  <c r="B845" i="1"/>
  <c r="C845" i="1"/>
  <c r="D845" i="1"/>
  <c r="E845" i="1"/>
  <c r="F845" i="1"/>
  <c r="G845" i="1"/>
  <c r="H845" i="1"/>
  <c r="I845" i="1"/>
  <c r="J845" i="1"/>
  <c r="B846" i="1"/>
  <c r="C846" i="1"/>
  <c r="D846" i="1"/>
  <c r="E846" i="1"/>
  <c r="F846" i="1"/>
  <c r="G846" i="1"/>
  <c r="H846" i="1"/>
  <c r="I846" i="1"/>
  <c r="J846" i="1"/>
  <c r="B847" i="1"/>
  <c r="C847" i="1"/>
  <c r="D847" i="1"/>
  <c r="E847" i="1"/>
  <c r="F847" i="1"/>
  <c r="G847" i="1"/>
  <c r="H847" i="1"/>
  <c r="I847" i="1"/>
  <c r="J847" i="1"/>
  <c r="B848" i="1"/>
  <c r="C848" i="1"/>
  <c r="D848" i="1"/>
  <c r="E848" i="1"/>
  <c r="F848" i="1"/>
  <c r="G848" i="1"/>
  <c r="H848" i="1"/>
  <c r="I848" i="1"/>
  <c r="J848" i="1"/>
  <c r="B849" i="1"/>
  <c r="C849" i="1"/>
  <c r="D849" i="1"/>
  <c r="E849" i="1"/>
  <c r="F849" i="1"/>
  <c r="G849" i="1"/>
  <c r="H849" i="1"/>
  <c r="I849" i="1"/>
  <c r="J849" i="1"/>
  <c r="B850" i="1"/>
  <c r="C850" i="1"/>
  <c r="D850" i="1"/>
  <c r="E850" i="1"/>
  <c r="F850" i="1"/>
  <c r="G850" i="1"/>
  <c r="H850" i="1"/>
  <c r="I850" i="1"/>
  <c r="J850" i="1"/>
  <c r="B851" i="1"/>
  <c r="C851" i="1"/>
  <c r="D851" i="1"/>
  <c r="E851" i="1"/>
  <c r="F851" i="1"/>
  <c r="G851" i="1"/>
  <c r="H851" i="1"/>
  <c r="I851" i="1"/>
  <c r="J851" i="1"/>
  <c r="B852" i="1"/>
  <c r="C852" i="1"/>
  <c r="D852" i="1"/>
  <c r="E852" i="1"/>
  <c r="F852" i="1"/>
  <c r="G852" i="1"/>
  <c r="H852" i="1"/>
  <c r="I852" i="1"/>
  <c r="J852" i="1"/>
  <c r="B853" i="1"/>
  <c r="C853" i="1"/>
  <c r="D853" i="1"/>
  <c r="E853" i="1"/>
  <c r="F853" i="1"/>
  <c r="G853" i="1"/>
  <c r="H853" i="1"/>
  <c r="I853" i="1"/>
  <c r="J853" i="1"/>
  <c r="B854" i="1"/>
  <c r="C854" i="1"/>
  <c r="D854" i="1"/>
  <c r="E854" i="1"/>
  <c r="F854" i="1"/>
  <c r="G854" i="1"/>
  <c r="H854" i="1"/>
  <c r="I854" i="1"/>
  <c r="J854" i="1"/>
  <c r="B855" i="1"/>
  <c r="C855" i="1"/>
  <c r="D855" i="1"/>
  <c r="E855" i="1"/>
  <c r="F855" i="1"/>
  <c r="G855" i="1"/>
  <c r="H855" i="1"/>
  <c r="I855" i="1"/>
  <c r="J855" i="1"/>
  <c r="B856" i="1"/>
  <c r="C856" i="1"/>
  <c r="D856" i="1"/>
  <c r="E856" i="1"/>
  <c r="F856" i="1"/>
  <c r="G856" i="1"/>
  <c r="H856" i="1"/>
  <c r="I856" i="1"/>
  <c r="J856" i="1"/>
  <c r="B857" i="1"/>
  <c r="C857" i="1"/>
  <c r="D857" i="1"/>
  <c r="E857" i="1"/>
  <c r="F857" i="1"/>
  <c r="G857" i="1"/>
  <c r="H857" i="1"/>
  <c r="I857" i="1"/>
  <c r="J857" i="1"/>
  <c r="B858" i="1"/>
  <c r="C858" i="1"/>
  <c r="D858" i="1"/>
  <c r="E858" i="1"/>
  <c r="F858" i="1"/>
  <c r="G858" i="1"/>
  <c r="H858" i="1"/>
  <c r="I858" i="1"/>
  <c r="J858" i="1"/>
  <c r="B859" i="1"/>
  <c r="C859" i="1"/>
  <c r="D859" i="1"/>
  <c r="E859" i="1"/>
  <c r="F859" i="1"/>
  <c r="G859" i="1"/>
  <c r="H859" i="1"/>
  <c r="I859" i="1"/>
  <c r="J859" i="1"/>
  <c r="B860" i="1"/>
  <c r="C860" i="1"/>
  <c r="D860" i="1"/>
  <c r="E860" i="1"/>
  <c r="F860" i="1"/>
  <c r="G860" i="1"/>
  <c r="H860" i="1"/>
  <c r="I860" i="1"/>
  <c r="J860" i="1"/>
  <c r="B861" i="1"/>
  <c r="C861" i="1"/>
  <c r="D861" i="1"/>
  <c r="E861" i="1"/>
  <c r="F861" i="1"/>
  <c r="G861" i="1"/>
  <c r="H861" i="1"/>
  <c r="I861" i="1"/>
  <c r="J861" i="1"/>
  <c r="B862" i="1"/>
  <c r="C862" i="1"/>
  <c r="D862" i="1"/>
  <c r="E862" i="1"/>
  <c r="F862" i="1"/>
  <c r="G862" i="1"/>
  <c r="H862" i="1"/>
  <c r="I862" i="1"/>
  <c r="J862" i="1"/>
  <c r="B863" i="1"/>
  <c r="C863" i="1"/>
  <c r="D863" i="1"/>
  <c r="E863" i="1"/>
  <c r="F863" i="1"/>
  <c r="G863" i="1"/>
  <c r="H863" i="1"/>
  <c r="I863" i="1"/>
  <c r="J863" i="1"/>
  <c r="B864" i="1"/>
  <c r="C864" i="1"/>
  <c r="D864" i="1"/>
  <c r="E864" i="1"/>
  <c r="F864" i="1"/>
  <c r="G864" i="1"/>
  <c r="H864" i="1"/>
  <c r="I864" i="1"/>
  <c r="J864" i="1"/>
  <c r="B865" i="1"/>
  <c r="C865" i="1"/>
  <c r="D865" i="1"/>
  <c r="E865" i="1"/>
  <c r="F865" i="1"/>
  <c r="G865" i="1"/>
  <c r="H865" i="1"/>
  <c r="I865" i="1"/>
  <c r="J865" i="1"/>
  <c r="B866" i="1"/>
  <c r="C866" i="1"/>
  <c r="D866" i="1"/>
  <c r="E866" i="1"/>
  <c r="F866" i="1"/>
  <c r="G866" i="1"/>
  <c r="H866" i="1"/>
  <c r="I866" i="1"/>
  <c r="J866" i="1"/>
  <c r="B867" i="1"/>
  <c r="C867" i="1"/>
  <c r="D867" i="1"/>
  <c r="E867" i="1"/>
  <c r="F867" i="1"/>
  <c r="G867" i="1"/>
  <c r="H867" i="1"/>
  <c r="I867" i="1"/>
  <c r="J867" i="1"/>
  <c r="B868" i="1"/>
  <c r="C868" i="1"/>
  <c r="D868" i="1"/>
  <c r="E868" i="1"/>
  <c r="F868" i="1"/>
  <c r="G868" i="1"/>
  <c r="H868" i="1"/>
  <c r="I868" i="1"/>
  <c r="J868" i="1"/>
  <c r="B869" i="1"/>
  <c r="C869" i="1"/>
  <c r="D869" i="1"/>
  <c r="E869" i="1"/>
  <c r="F869" i="1"/>
  <c r="G869" i="1"/>
  <c r="H869" i="1"/>
  <c r="I869" i="1"/>
  <c r="J869" i="1"/>
  <c r="B870" i="1"/>
  <c r="C870" i="1"/>
  <c r="D870" i="1"/>
  <c r="E870" i="1"/>
  <c r="F870" i="1"/>
  <c r="G870" i="1"/>
  <c r="H870" i="1"/>
  <c r="I870" i="1"/>
  <c r="J870" i="1"/>
  <c r="B871" i="1"/>
  <c r="C871" i="1"/>
  <c r="D871" i="1"/>
  <c r="E871" i="1"/>
  <c r="F871" i="1"/>
  <c r="G871" i="1"/>
  <c r="H871" i="1"/>
  <c r="I871" i="1"/>
  <c r="J871" i="1"/>
  <c r="B872" i="1"/>
  <c r="C872" i="1"/>
  <c r="D872" i="1"/>
  <c r="E872" i="1"/>
  <c r="F872" i="1"/>
  <c r="G872" i="1"/>
  <c r="H872" i="1"/>
  <c r="I872" i="1"/>
  <c r="J872" i="1"/>
  <c r="B873" i="1"/>
  <c r="C873" i="1"/>
  <c r="D873" i="1"/>
  <c r="E873" i="1"/>
  <c r="F873" i="1"/>
  <c r="G873" i="1"/>
  <c r="H873" i="1"/>
  <c r="I873" i="1"/>
  <c r="J873" i="1"/>
  <c r="B874" i="1"/>
  <c r="C874" i="1"/>
  <c r="D874" i="1"/>
  <c r="E874" i="1"/>
  <c r="F874" i="1"/>
  <c r="G874" i="1"/>
  <c r="H874" i="1"/>
  <c r="I874" i="1"/>
  <c r="J874" i="1"/>
  <c r="B875" i="1"/>
  <c r="C875" i="1"/>
  <c r="D875" i="1"/>
  <c r="E875" i="1"/>
  <c r="F875" i="1"/>
  <c r="G875" i="1"/>
  <c r="H875" i="1"/>
  <c r="I875" i="1"/>
  <c r="J875" i="1"/>
  <c r="B876" i="1"/>
  <c r="C876" i="1"/>
  <c r="D876" i="1"/>
  <c r="E876" i="1"/>
  <c r="F876" i="1"/>
  <c r="G876" i="1"/>
  <c r="H876" i="1"/>
  <c r="I876" i="1"/>
  <c r="J876" i="1"/>
  <c r="B877" i="1"/>
  <c r="C877" i="1"/>
  <c r="D877" i="1"/>
  <c r="E877" i="1"/>
  <c r="F877" i="1"/>
  <c r="G877" i="1"/>
  <c r="H877" i="1"/>
  <c r="I877" i="1"/>
  <c r="J877" i="1"/>
  <c r="B878" i="1"/>
  <c r="C878" i="1"/>
  <c r="D878" i="1"/>
  <c r="E878" i="1"/>
  <c r="F878" i="1"/>
  <c r="G878" i="1"/>
  <c r="H878" i="1"/>
  <c r="I878" i="1"/>
  <c r="J878" i="1"/>
  <c r="B879" i="1"/>
  <c r="C879" i="1"/>
  <c r="D879" i="1"/>
  <c r="E879" i="1"/>
  <c r="F879" i="1"/>
  <c r="G879" i="1"/>
  <c r="H879" i="1"/>
  <c r="I879" i="1"/>
  <c r="J879" i="1"/>
  <c r="B880" i="1"/>
  <c r="C880" i="1"/>
  <c r="D880" i="1"/>
  <c r="E880" i="1"/>
  <c r="F880" i="1"/>
  <c r="G880" i="1"/>
  <c r="H880" i="1"/>
  <c r="I880" i="1"/>
  <c r="J880" i="1"/>
  <c r="B881" i="1"/>
  <c r="C881" i="1"/>
  <c r="D881" i="1"/>
  <c r="E881" i="1"/>
  <c r="F881" i="1"/>
  <c r="G881" i="1"/>
  <c r="H881" i="1"/>
  <c r="I881" i="1"/>
  <c r="J881" i="1"/>
  <c r="B882" i="1"/>
  <c r="C882" i="1"/>
  <c r="D882" i="1"/>
  <c r="E882" i="1"/>
  <c r="F882" i="1"/>
  <c r="G882" i="1"/>
  <c r="H882" i="1"/>
  <c r="I882" i="1"/>
  <c r="J882" i="1"/>
  <c r="B883" i="1"/>
  <c r="C883" i="1"/>
  <c r="D883" i="1"/>
  <c r="E883" i="1"/>
  <c r="F883" i="1"/>
  <c r="G883" i="1"/>
  <c r="H883" i="1"/>
  <c r="I883" i="1"/>
  <c r="J883" i="1"/>
  <c r="B884" i="1"/>
  <c r="C884" i="1"/>
  <c r="D884" i="1"/>
  <c r="E884" i="1"/>
  <c r="F884" i="1"/>
  <c r="G884" i="1"/>
  <c r="H884" i="1"/>
  <c r="I884" i="1"/>
  <c r="J884" i="1"/>
  <c r="B885" i="1"/>
  <c r="C885" i="1"/>
  <c r="D885" i="1"/>
  <c r="E885" i="1"/>
  <c r="F885" i="1"/>
  <c r="G885" i="1"/>
  <c r="H885" i="1"/>
  <c r="I885" i="1"/>
  <c r="J885" i="1"/>
  <c r="B886" i="1"/>
  <c r="C886" i="1"/>
  <c r="D886" i="1"/>
  <c r="E886" i="1"/>
  <c r="F886" i="1"/>
  <c r="G886" i="1"/>
  <c r="H886" i="1"/>
  <c r="I886" i="1"/>
  <c r="J886" i="1"/>
  <c r="B887" i="1"/>
  <c r="C887" i="1"/>
  <c r="D887" i="1"/>
  <c r="E887" i="1"/>
  <c r="F887" i="1"/>
  <c r="G887" i="1"/>
  <c r="H887" i="1"/>
  <c r="I887" i="1"/>
  <c r="J887" i="1"/>
  <c r="B888" i="1"/>
  <c r="C888" i="1"/>
  <c r="D888" i="1"/>
  <c r="E888" i="1"/>
  <c r="F888" i="1"/>
  <c r="G888" i="1"/>
  <c r="H888" i="1"/>
  <c r="I888" i="1"/>
  <c r="J888" i="1"/>
  <c r="B889" i="1"/>
  <c r="C889" i="1"/>
  <c r="D889" i="1"/>
  <c r="E889" i="1"/>
  <c r="F889" i="1"/>
  <c r="G889" i="1"/>
  <c r="H889" i="1"/>
  <c r="I889" i="1"/>
  <c r="J889" i="1"/>
  <c r="B890" i="1"/>
  <c r="C890" i="1"/>
  <c r="D890" i="1"/>
  <c r="E890" i="1"/>
  <c r="F890" i="1"/>
  <c r="G890" i="1"/>
  <c r="H890" i="1"/>
  <c r="I890" i="1"/>
  <c r="J890" i="1"/>
  <c r="B891" i="1"/>
  <c r="C891" i="1"/>
  <c r="D891" i="1"/>
  <c r="E891" i="1"/>
  <c r="F891" i="1"/>
  <c r="G891" i="1"/>
  <c r="H891" i="1"/>
  <c r="I891" i="1"/>
  <c r="J891" i="1"/>
  <c r="B892" i="1"/>
  <c r="C892" i="1"/>
  <c r="D892" i="1"/>
  <c r="E892" i="1"/>
  <c r="F892" i="1"/>
  <c r="G892" i="1"/>
  <c r="H892" i="1"/>
  <c r="I892" i="1"/>
  <c r="J892" i="1"/>
  <c r="B893" i="1"/>
  <c r="C893" i="1"/>
  <c r="D893" i="1"/>
  <c r="E893" i="1"/>
  <c r="F893" i="1"/>
  <c r="G893" i="1"/>
  <c r="H893" i="1"/>
  <c r="I893" i="1"/>
  <c r="J893" i="1"/>
  <c r="B894" i="1"/>
  <c r="C894" i="1"/>
  <c r="D894" i="1"/>
  <c r="E894" i="1"/>
  <c r="F894" i="1"/>
  <c r="G894" i="1"/>
  <c r="H894" i="1"/>
  <c r="I894" i="1"/>
  <c r="J894" i="1"/>
  <c r="B895" i="1"/>
  <c r="C895" i="1"/>
  <c r="D895" i="1"/>
  <c r="E895" i="1"/>
  <c r="F895" i="1"/>
  <c r="G895" i="1"/>
  <c r="H895" i="1"/>
  <c r="I895" i="1"/>
  <c r="J895" i="1"/>
  <c r="B896" i="1"/>
  <c r="C896" i="1"/>
  <c r="D896" i="1"/>
  <c r="E896" i="1"/>
  <c r="F896" i="1"/>
  <c r="G896" i="1"/>
  <c r="H896" i="1"/>
  <c r="I896" i="1"/>
  <c r="J896" i="1"/>
  <c r="B897" i="1"/>
  <c r="C897" i="1"/>
  <c r="D897" i="1"/>
  <c r="E897" i="1"/>
  <c r="F897" i="1"/>
  <c r="G897" i="1"/>
  <c r="H897" i="1"/>
  <c r="I897" i="1"/>
  <c r="J897" i="1"/>
  <c r="B898" i="1"/>
  <c r="C898" i="1"/>
  <c r="D898" i="1"/>
  <c r="E898" i="1"/>
  <c r="F898" i="1"/>
  <c r="G898" i="1"/>
  <c r="H898" i="1"/>
  <c r="I898" i="1"/>
  <c r="J898" i="1"/>
  <c r="B899" i="1"/>
  <c r="C899" i="1"/>
  <c r="D899" i="1"/>
  <c r="E899" i="1"/>
  <c r="F899" i="1"/>
  <c r="G899" i="1"/>
  <c r="H899" i="1"/>
  <c r="I899" i="1"/>
  <c r="J899" i="1"/>
  <c r="B900" i="1"/>
  <c r="C900" i="1"/>
  <c r="D900" i="1"/>
  <c r="E900" i="1"/>
  <c r="F900" i="1"/>
  <c r="G900" i="1"/>
  <c r="H900" i="1"/>
  <c r="I900" i="1"/>
  <c r="J900" i="1"/>
  <c r="B901" i="1"/>
  <c r="C901" i="1"/>
  <c r="D901" i="1"/>
  <c r="E901" i="1"/>
  <c r="F901" i="1"/>
  <c r="G901" i="1"/>
  <c r="H901" i="1"/>
  <c r="I901" i="1"/>
  <c r="J901" i="1"/>
  <c r="B902" i="1"/>
  <c r="C902" i="1"/>
  <c r="D902" i="1"/>
  <c r="E902" i="1"/>
  <c r="F902" i="1"/>
  <c r="G902" i="1"/>
  <c r="H902" i="1"/>
  <c r="I902" i="1"/>
  <c r="J902" i="1"/>
  <c r="B903" i="1"/>
  <c r="C903" i="1"/>
  <c r="D903" i="1"/>
  <c r="E903" i="1"/>
  <c r="F903" i="1"/>
  <c r="G903" i="1"/>
  <c r="H903" i="1"/>
  <c r="I903" i="1"/>
  <c r="J903" i="1"/>
  <c r="B904" i="1"/>
  <c r="C904" i="1"/>
  <c r="D904" i="1"/>
  <c r="E904" i="1"/>
  <c r="F904" i="1"/>
  <c r="G904" i="1"/>
  <c r="H904" i="1"/>
  <c r="I904" i="1"/>
  <c r="J904" i="1"/>
  <c r="B905" i="1"/>
  <c r="C905" i="1"/>
  <c r="D905" i="1"/>
  <c r="E905" i="1"/>
  <c r="F905" i="1"/>
  <c r="G905" i="1"/>
  <c r="H905" i="1"/>
  <c r="I905" i="1"/>
  <c r="J905" i="1"/>
  <c r="B906" i="1"/>
  <c r="C906" i="1"/>
  <c r="D906" i="1"/>
  <c r="E906" i="1"/>
  <c r="F906" i="1"/>
  <c r="G906" i="1"/>
  <c r="H906" i="1"/>
  <c r="I906" i="1"/>
  <c r="J906" i="1"/>
  <c r="B907" i="1"/>
  <c r="C907" i="1"/>
  <c r="D907" i="1"/>
  <c r="E907" i="1"/>
  <c r="F907" i="1"/>
  <c r="G907" i="1"/>
  <c r="H907" i="1"/>
  <c r="I907" i="1"/>
  <c r="J907" i="1"/>
  <c r="B908" i="1"/>
  <c r="C908" i="1"/>
  <c r="D908" i="1"/>
  <c r="E908" i="1"/>
  <c r="F908" i="1"/>
  <c r="G908" i="1"/>
  <c r="H908" i="1"/>
  <c r="I908" i="1"/>
  <c r="J908" i="1"/>
  <c r="B909" i="1"/>
  <c r="C909" i="1"/>
  <c r="D909" i="1"/>
  <c r="E909" i="1"/>
  <c r="F909" i="1"/>
  <c r="G909" i="1"/>
  <c r="H909" i="1"/>
  <c r="I909" i="1"/>
  <c r="J909" i="1"/>
  <c r="B910" i="1"/>
  <c r="C910" i="1"/>
  <c r="D910" i="1"/>
  <c r="E910" i="1"/>
  <c r="F910" i="1"/>
  <c r="G910" i="1"/>
  <c r="H910" i="1"/>
  <c r="I910" i="1"/>
  <c r="J910" i="1"/>
  <c r="B911" i="1"/>
  <c r="C911" i="1"/>
  <c r="D911" i="1"/>
  <c r="E911" i="1"/>
  <c r="F911" i="1"/>
  <c r="G911" i="1"/>
  <c r="H911" i="1"/>
  <c r="I911" i="1"/>
  <c r="J911" i="1"/>
  <c r="B912" i="1"/>
  <c r="C912" i="1"/>
  <c r="D912" i="1"/>
  <c r="E912" i="1"/>
  <c r="F912" i="1"/>
  <c r="G912" i="1"/>
  <c r="H912" i="1"/>
  <c r="I912" i="1"/>
  <c r="J912" i="1"/>
  <c r="B913" i="1"/>
  <c r="C913" i="1"/>
  <c r="D913" i="1"/>
  <c r="E913" i="1"/>
  <c r="F913" i="1"/>
  <c r="G913" i="1"/>
  <c r="H913" i="1"/>
  <c r="I913" i="1"/>
  <c r="J913" i="1"/>
  <c r="B914" i="1"/>
  <c r="C914" i="1"/>
  <c r="D914" i="1"/>
  <c r="E914" i="1"/>
  <c r="F914" i="1"/>
  <c r="G914" i="1"/>
  <c r="H914" i="1"/>
  <c r="I914" i="1"/>
  <c r="J914" i="1"/>
  <c r="B915" i="1"/>
  <c r="C915" i="1"/>
  <c r="D915" i="1"/>
  <c r="E915" i="1"/>
  <c r="F915" i="1"/>
  <c r="G915" i="1"/>
  <c r="H915" i="1"/>
  <c r="I915" i="1"/>
  <c r="J915" i="1"/>
  <c r="B916" i="1"/>
  <c r="C916" i="1"/>
  <c r="D916" i="1"/>
  <c r="E916" i="1"/>
  <c r="F916" i="1"/>
  <c r="G916" i="1"/>
  <c r="H916" i="1"/>
  <c r="I916" i="1"/>
  <c r="J916" i="1"/>
  <c r="B917" i="1"/>
  <c r="C917" i="1"/>
  <c r="D917" i="1"/>
  <c r="E917" i="1"/>
  <c r="F917" i="1"/>
  <c r="G917" i="1"/>
  <c r="H917" i="1"/>
  <c r="I917" i="1"/>
  <c r="J917" i="1"/>
  <c r="B918" i="1"/>
  <c r="C918" i="1"/>
  <c r="D918" i="1"/>
  <c r="E918" i="1"/>
  <c r="F918" i="1"/>
  <c r="G918" i="1"/>
  <c r="H918" i="1"/>
  <c r="I918" i="1"/>
  <c r="J918" i="1"/>
  <c r="B919" i="1"/>
  <c r="C919" i="1"/>
  <c r="D919" i="1"/>
  <c r="E919" i="1"/>
  <c r="F919" i="1"/>
  <c r="G919" i="1"/>
  <c r="H919" i="1"/>
  <c r="I919" i="1"/>
  <c r="J919" i="1"/>
  <c r="B920" i="1"/>
  <c r="C920" i="1"/>
  <c r="D920" i="1"/>
  <c r="E920" i="1"/>
  <c r="F920" i="1"/>
  <c r="G920" i="1"/>
  <c r="H920" i="1"/>
  <c r="I920" i="1"/>
  <c r="J920" i="1"/>
  <c r="B921" i="1"/>
  <c r="C921" i="1"/>
  <c r="D921" i="1"/>
  <c r="E921" i="1"/>
  <c r="F921" i="1"/>
  <c r="G921" i="1"/>
  <c r="H921" i="1"/>
  <c r="I921" i="1"/>
  <c r="J921" i="1"/>
  <c r="B922" i="1"/>
  <c r="C922" i="1"/>
  <c r="D922" i="1"/>
  <c r="E922" i="1"/>
  <c r="F922" i="1"/>
  <c r="G922" i="1"/>
  <c r="H922" i="1"/>
  <c r="I922" i="1"/>
  <c r="J922" i="1"/>
  <c r="B923" i="1"/>
  <c r="C923" i="1"/>
  <c r="D923" i="1"/>
  <c r="E923" i="1"/>
  <c r="F923" i="1"/>
  <c r="G923" i="1"/>
  <c r="H923" i="1"/>
  <c r="I923" i="1"/>
  <c r="J923" i="1"/>
  <c r="B924" i="1"/>
  <c r="C924" i="1"/>
  <c r="D924" i="1"/>
  <c r="E924" i="1"/>
  <c r="F924" i="1"/>
  <c r="G924" i="1"/>
  <c r="H924" i="1"/>
  <c r="I924" i="1"/>
  <c r="J924" i="1"/>
  <c r="B925" i="1"/>
  <c r="C925" i="1"/>
  <c r="D925" i="1"/>
  <c r="E925" i="1"/>
  <c r="F925" i="1"/>
  <c r="G925" i="1"/>
  <c r="H925" i="1"/>
  <c r="I925" i="1"/>
  <c r="J925" i="1"/>
  <c r="B926" i="1"/>
  <c r="C926" i="1"/>
  <c r="D926" i="1"/>
  <c r="E926" i="1"/>
  <c r="F926" i="1"/>
  <c r="G926" i="1"/>
  <c r="H926" i="1"/>
  <c r="I926" i="1"/>
  <c r="J926" i="1"/>
  <c r="B927" i="1"/>
  <c r="C927" i="1"/>
  <c r="D927" i="1"/>
  <c r="E927" i="1"/>
  <c r="F927" i="1"/>
  <c r="G927" i="1"/>
  <c r="H927" i="1"/>
  <c r="I927" i="1"/>
  <c r="J927" i="1"/>
  <c r="B928" i="1"/>
  <c r="C928" i="1"/>
  <c r="D928" i="1"/>
  <c r="E928" i="1"/>
  <c r="F928" i="1"/>
  <c r="G928" i="1"/>
  <c r="H928" i="1"/>
  <c r="I928" i="1"/>
  <c r="J928" i="1"/>
  <c r="B929" i="1"/>
  <c r="C929" i="1"/>
  <c r="D929" i="1"/>
  <c r="E929" i="1"/>
  <c r="F929" i="1"/>
  <c r="G929" i="1"/>
  <c r="H929" i="1"/>
  <c r="I929" i="1"/>
  <c r="J929" i="1"/>
  <c r="B930" i="1"/>
  <c r="C930" i="1"/>
  <c r="D930" i="1"/>
  <c r="E930" i="1"/>
  <c r="F930" i="1"/>
  <c r="G930" i="1"/>
  <c r="H930" i="1"/>
  <c r="I930" i="1"/>
  <c r="J930" i="1"/>
  <c r="B931" i="1"/>
  <c r="C931" i="1"/>
  <c r="D931" i="1"/>
  <c r="E931" i="1"/>
  <c r="F931" i="1"/>
  <c r="G931" i="1"/>
  <c r="H931" i="1"/>
  <c r="I931" i="1"/>
  <c r="J931" i="1"/>
  <c r="B932" i="1"/>
  <c r="C932" i="1"/>
  <c r="D932" i="1"/>
  <c r="E932" i="1"/>
  <c r="F932" i="1"/>
  <c r="G932" i="1"/>
  <c r="H932" i="1"/>
  <c r="I932" i="1"/>
  <c r="J932" i="1"/>
  <c r="B933" i="1"/>
  <c r="C933" i="1"/>
  <c r="D933" i="1"/>
  <c r="E933" i="1"/>
  <c r="F933" i="1"/>
  <c r="G933" i="1"/>
  <c r="H933" i="1"/>
  <c r="I933" i="1"/>
  <c r="J933" i="1"/>
  <c r="B934" i="1"/>
  <c r="C934" i="1"/>
  <c r="D934" i="1"/>
  <c r="E934" i="1"/>
  <c r="F934" i="1"/>
  <c r="G934" i="1"/>
  <c r="H934" i="1"/>
  <c r="I934" i="1"/>
  <c r="J934" i="1"/>
  <c r="B935" i="1"/>
  <c r="C935" i="1"/>
  <c r="D935" i="1"/>
  <c r="E935" i="1"/>
  <c r="F935" i="1"/>
  <c r="G935" i="1"/>
  <c r="H935" i="1"/>
  <c r="I935" i="1"/>
  <c r="J935" i="1"/>
  <c r="B936" i="1"/>
  <c r="C936" i="1"/>
  <c r="D936" i="1"/>
  <c r="E936" i="1"/>
  <c r="F936" i="1"/>
  <c r="G936" i="1"/>
  <c r="H936" i="1"/>
  <c r="I936" i="1"/>
  <c r="J936" i="1"/>
  <c r="B937" i="1"/>
  <c r="C937" i="1"/>
  <c r="D937" i="1"/>
  <c r="E937" i="1"/>
  <c r="F937" i="1"/>
  <c r="G937" i="1"/>
  <c r="H937" i="1"/>
  <c r="I937" i="1"/>
  <c r="J937" i="1"/>
  <c r="B938" i="1"/>
  <c r="C938" i="1"/>
  <c r="D938" i="1"/>
  <c r="E938" i="1"/>
  <c r="F938" i="1"/>
  <c r="G938" i="1"/>
  <c r="H938" i="1"/>
  <c r="I938" i="1"/>
  <c r="J938" i="1"/>
  <c r="B939" i="1"/>
  <c r="C939" i="1"/>
  <c r="D939" i="1"/>
  <c r="E939" i="1"/>
  <c r="F939" i="1"/>
  <c r="G939" i="1"/>
  <c r="H939" i="1"/>
  <c r="I939" i="1"/>
  <c r="J939" i="1"/>
  <c r="B940" i="1"/>
  <c r="C940" i="1"/>
  <c r="D940" i="1"/>
  <c r="E940" i="1"/>
  <c r="F940" i="1"/>
  <c r="G940" i="1"/>
  <c r="H940" i="1"/>
  <c r="I940" i="1"/>
  <c r="J940" i="1"/>
  <c r="B941" i="1"/>
  <c r="C941" i="1"/>
  <c r="D941" i="1"/>
  <c r="E941" i="1"/>
  <c r="F941" i="1"/>
  <c r="G941" i="1"/>
  <c r="H941" i="1"/>
  <c r="I941" i="1"/>
  <c r="J941" i="1"/>
  <c r="B942" i="1"/>
  <c r="C942" i="1"/>
  <c r="D942" i="1"/>
  <c r="E942" i="1"/>
  <c r="F942" i="1"/>
  <c r="G942" i="1"/>
  <c r="H942" i="1"/>
  <c r="I942" i="1"/>
  <c r="J942" i="1"/>
  <c r="B943" i="1"/>
  <c r="C943" i="1"/>
  <c r="D943" i="1"/>
  <c r="E943" i="1"/>
  <c r="F943" i="1"/>
  <c r="G943" i="1"/>
  <c r="H943" i="1"/>
  <c r="I943" i="1"/>
  <c r="J943" i="1"/>
  <c r="B944" i="1"/>
  <c r="C944" i="1"/>
  <c r="D944" i="1"/>
  <c r="E944" i="1"/>
  <c r="F944" i="1"/>
  <c r="G944" i="1"/>
  <c r="H944" i="1"/>
  <c r="I944" i="1"/>
  <c r="J944" i="1"/>
  <c r="B945" i="1"/>
  <c r="C945" i="1"/>
  <c r="D945" i="1"/>
  <c r="E945" i="1"/>
  <c r="F945" i="1"/>
  <c r="G945" i="1"/>
  <c r="H945" i="1"/>
  <c r="I945" i="1"/>
  <c r="J945" i="1"/>
  <c r="B946" i="1"/>
  <c r="C946" i="1"/>
  <c r="D946" i="1"/>
  <c r="E946" i="1"/>
  <c r="F946" i="1"/>
  <c r="G946" i="1"/>
  <c r="H946" i="1"/>
  <c r="I946" i="1"/>
  <c r="J946" i="1"/>
  <c r="B947" i="1"/>
  <c r="C947" i="1"/>
  <c r="D947" i="1"/>
  <c r="E947" i="1"/>
  <c r="F947" i="1"/>
  <c r="G947" i="1"/>
  <c r="H947" i="1"/>
  <c r="I947" i="1"/>
  <c r="J947" i="1"/>
  <c r="B948" i="1"/>
  <c r="C948" i="1"/>
  <c r="D948" i="1"/>
  <c r="E948" i="1"/>
  <c r="F948" i="1"/>
  <c r="G948" i="1"/>
  <c r="H948" i="1"/>
  <c r="I948" i="1"/>
  <c r="J948" i="1"/>
  <c r="B949" i="1"/>
  <c r="C949" i="1"/>
  <c r="D949" i="1"/>
  <c r="E949" i="1"/>
  <c r="F949" i="1"/>
  <c r="G949" i="1"/>
  <c r="H949" i="1"/>
  <c r="I949" i="1"/>
  <c r="J949" i="1"/>
  <c r="B950" i="1"/>
  <c r="C950" i="1"/>
  <c r="D950" i="1"/>
  <c r="E950" i="1"/>
  <c r="F950" i="1"/>
  <c r="G950" i="1"/>
  <c r="H950" i="1"/>
  <c r="I950" i="1"/>
  <c r="J950" i="1"/>
  <c r="B951" i="1"/>
  <c r="C951" i="1"/>
  <c r="D951" i="1"/>
  <c r="E951" i="1"/>
  <c r="F951" i="1"/>
  <c r="G951" i="1"/>
  <c r="H951" i="1"/>
  <c r="I951" i="1"/>
  <c r="J951" i="1"/>
  <c r="B952" i="1"/>
  <c r="C952" i="1"/>
  <c r="D952" i="1"/>
  <c r="E952" i="1"/>
  <c r="F952" i="1"/>
  <c r="G952" i="1"/>
  <c r="H952" i="1"/>
  <c r="I952" i="1"/>
  <c r="J952" i="1"/>
  <c r="B953" i="1"/>
  <c r="C953" i="1"/>
  <c r="D953" i="1"/>
  <c r="E953" i="1"/>
  <c r="F953" i="1"/>
  <c r="G953" i="1"/>
  <c r="H953" i="1"/>
  <c r="I953" i="1"/>
  <c r="J953" i="1"/>
  <c r="B954" i="1"/>
  <c r="C954" i="1"/>
  <c r="D954" i="1"/>
  <c r="E954" i="1"/>
  <c r="F954" i="1"/>
  <c r="G954" i="1"/>
  <c r="H954" i="1"/>
  <c r="I954" i="1"/>
  <c r="J954" i="1"/>
  <c r="B955" i="1"/>
  <c r="C955" i="1"/>
  <c r="D955" i="1"/>
  <c r="E955" i="1"/>
  <c r="F955" i="1"/>
  <c r="G955" i="1"/>
  <c r="H955" i="1"/>
  <c r="I955" i="1"/>
  <c r="J955" i="1"/>
  <c r="B956" i="1"/>
  <c r="C956" i="1"/>
  <c r="D956" i="1"/>
  <c r="E956" i="1"/>
  <c r="F956" i="1"/>
  <c r="G956" i="1"/>
  <c r="H956" i="1"/>
  <c r="I956" i="1"/>
  <c r="J956" i="1"/>
  <c r="B957" i="1"/>
  <c r="C957" i="1"/>
  <c r="D957" i="1"/>
  <c r="E957" i="1"/>
  <c r="F957" i="1"/>
  <c r="G957" i="1"/>
  <c r="H957" i="1"/>
  <c r="I957" i="1"/>
  <c r="J957" i="1"/>
  <c r="B958" i="1"/>
  <c r="C958" i="1"/>
  <c r="D958" i="1"/>
  <c r="E958" i="1"/>
  <c r="F958" i="1"/>
  <c r="G958" i="1"/>
  <c r="H958" i="1"/>
  <c r="I958" i="1"/>
  <c r="J958" i="1"/>
  <c r="B959" i="1"/>
  <c r="C959" i="1"/>
  <c r="D959" i="1"/>
  <c r="E959" i="1"/>
  <c r="F959" i="1"/>
  <c r="G959" i="1"/>
  <c r="H959" i="1"/>
  <c r="I959" i="1"/>
  <c r="J959" i="1"/>
  <c r="B960" i="1"/>
  <c r="C960" i="1"/>
  <c r="D960" i="1"/>
  <c r="E960" i="1"/>
  <c r="F960" i="1"/>
  <c r="G960" i="1"/>
  <c r="H960" i="1"/>
  <c r="I960" i="1"/>
  <c r="J960" i="1"/>
  <c r="B961" i="1"/>
  <c r="C961" i="1"/>
  <c r="D961" i="1"/>
  <c r="E961" i="1"/>
  <c r="F961" i="1"/>
  <c r="G961" i="1"/>
  <c r="H961" i="1"/>
  <c r="I961" i="1"/>
  <c r="J961" i="1"/>
  <c r="B962" i="1"/>
  <c r="C962" i="1"/>
  <c r="D962" i="1"/>
  <c r="E962" i="1"/>
  <c r="F962" i="1"/>
  <c r="G962" i="1"/>
  <c r="H962" i="1"/>
  <c r="I962" i="1"/>
  <c r="J962" i="1"/>
  <c r="B963" i="1"/>
  <c r="C963" i="1"/>
  <c r="D963" i="1"/>
  <c r="E963" i="1"/>
  <c r="F963" i="1"/>
  <c r="G963" i="1"/>
  <c r="H963" i="1"/>
  <c r="I963" i="1"/>
  <c r="J963" i="1"/>
  <c r="B964" i="1"/>
  <c r="C964" i="1"/>
  <c r="D964" i="1"/>
  <c r="E964" i="1"/>
  <c r="F964" i="1"/>
  <c r="G964" i="1"/>
  <c r="H964" i="1"/>
  <c r="I964" i="1"/>
  <c r="J964" i="1"/>
  <c r="B965" i="1"/>
  <c r="C965" i="1"/>
  <c r="D965" i="1"/>
  <c r="E965" i="1"/>
  <c r="F965" i="1"/>
  <c r="G965" i="1"/>
  <c r="H965" i="1"/>
  <c r="I965" i="1"/>
  <c r="J965" i="1"/>
  <c r="B966" i="1"/>
  <c r="C966" i="1"/>
  <c r="D966" i="1"/>
  <c r="E966" i="1"/>
  <c r="F966" i="1"/>
  <c r="G966" i="1"/>
  <c r="H966" i="1"/>
  <c r="I966" i="1"/>
  <c r="J966" i="1"/>
  <c r="B967" i="1"/>
  <c r="C967" i="1"/>
  <c r="D967" i="1"/>
  <c r="E967" i="1"/>
  <c r="F967" i="1"/>
  <c r="G967" i="1"/>
  <c r="H967" i="1"/>
  <c r="I967" i="1"/>
  <c r="J967" i="1"/>
  <c r="B968" i="1"/>
  <c r="C968" i="1"/>
  <c r="D968" i="1"/>
  <c r="E968" i="1"/>
  <c r="F968" i="1"/>
  <c r="G968" i="1"/>
  <c r="H968" i="1"/>
  <c r="I968" i="1"/>
  <c r="J968" i="1"/>
  <c r="B969" i="1"/>
  <c r="C969" i="1"/>
  <c r="D969" i="1"/>
  <c r="E969" i="1"/>
  <c r="F969" i="1"/>
  <c r="G969" i="1"/>
  <c r="H969" i="1"/>
  <c r="I969" i="1"/>
  <c r="J969" i="1"/>
  <c r="B970" i="1"/>
  <c r="C970" i="1"/>
  <c r="D970" i="1"/>
  <c r="E970" i="1"/>
  <c r="F970" i="1"/>
  <c r="G970" i="1"/>
  <c r="H970" i="1"/>
  <c r="I970" i="1"/>
  <c r="J970" i="1"/>
  <c r="B971" i="1"/>
  <c r="C971" i="1"/>
  <c r="D971" i="1"/>
  <c r="E971" i="1"/>
  <c r="F971" i="1"/>
  <c r="G971" i="1"/>
  <c r="H971" i="1"/>
  <c r="I971" i="1"/>
  <c r="J971" i="1"/>
  <c r="B972" i="1"/>
  <c r="C972" i="1"/>
  <c r="D972" i="1"/>
  <c r="E972" i="1"/>
  <c r="F972" i="1"/>
  <c r="G972" i="1"/>
  <c r="H972" i="1"/>
  <c r="I972" i="1"/>
  <c r="J972" i="1"/>
  <c r="B973" i="1"/>
  <c r="C973" i="1"/>
  <c r="D973" i="1"/>
  <c r="E973" i="1"/>
  <c r="F973" i="1"/>
  <c r="G973" i="1"/>
  <c r="H973" i="1"/>
  <c r="I973" i="1"/>
  <c r="J973" i="1"/>
  <c r="B974" i="1"/>
  <c r="C974" i="1"/>
  <c r="D974" i="1"/>
  <c r="E974" i="1"/>
  <c r="F974" i="1"/>
  <c r="G974" i="1"/>
  <c r="H974" i="1"/>
  <c r="I974" i="1"/>
  <c r="J974" i="1"/>
  <c r="B975" i="1"/>
  <c r="C975" i="1"/>
  <c r="D975" i="1"/>
  <c r="E975" i="1"/>
  <c r="F975" i="1"/>
  <c r="G975" i="1"/>
  <c r="H975" i="1"/>
  <c r="I975" i="1"/>
  <c r="J975" i="1"/>
  <c r="B976" i="1"/>
  <c r="C976" i="1"/>
  <c r="D976" i="1"/>
  <c r="E976" i="1"/>
  <c r="F976" i="1"/>
  <c r="G976" i="1"/>
  <c r="H976" i="1"/>
  <c r="I976" i="1"/>
  <c r="J976" i="1"/>
  <c r="B977" i="1"/>
  <c r="C977" i="1"/>
  <c r="D977" i="1"/>
  <c r="E977" i="1"/>
  <c r="F977" i="1"/>
  <c r="G977" i="1"/>
  <c r="H977" i="1"/>
  <c r="I977" i="1"/>
  <c r="J977" i="1"/>
  <c r="B978" i="1"/>
  <c r="C978" i="1"/>
  <c r="D978" i="1"/>
  <c r="E978" i="1"/>
  <c r="F978" i="1"/>
  <c r="G978" i="1"/>
  <c r="H978" i="1"/>
  <c r="I978" i="1"/>
  <c r="J978" i="1"/>
  <c r="B979" i="1"/>
  <c r="C979" i="1"/>
  <c r="D979" i="1"/>
  <c r="E979" i="1"/>
  <c r="F979" i="1"/>
  <c r="G979" i="1"/>
  <c r="H979" i="1"/>
  <c r="I979" i="1"/>
  <c r="J979" i="1"/>
  <c r="B980" i="1"/>
  <c r="C980" i="1"/>
  <c r="D980" i="1"/>
  <c r="E980" i="1"/>
  <c r="F980" i="1"/>
  <c r="G980" i="1"/>
  <c r="H980" i="1"/>
  <c r="I980" i="1"/>
  <c r="J980" i="1"/>
  <c r="B981" i="1"/>
  <c r="C981" i="1"/>
  <c r="D981" i="1"/>
  <c r="E981" i="1"/>
  <c r="F981" i="1"/>
  <c r="G981" i="1"/>
  <c r="H981" i="1"/>
  <c r="I981" i="1"/>
  <c r="J981" i="1"/>
  <c r="B982" i="1"/>
  <c r="C982" i="1"/>
  <c r="D982" i="1"/>
  <c r="E982" i="1"/>
  <c r="F982" i="1"/>
  <c r="G982" i="1"/>
  <c r="H982" i="1"/>
  <c r="I982" i="1"/>
  <c r="J982" i="1"/>
  <c r="B983" i="1"/>
  <c r="C983" i="1"/>
  <c r="D983" i="1"/>
  <c r="E983" i="1"/>
  <c r="F983" i="1"/>
  <c r="G983" i="1"/>
  <c r="H983" i="1"/>
  <c r="I983" i="1"/>
  <c r="J983" i="1"/>
  <c r="B984" i="1"/>
  <c r="C984" i="1"/>
  <c r="D984" i="1"/>
  <c r="E984" i="1"/>
  <c r="F984" i="1"/>
  <c r="G984" i="1"/>
  <c r="H984" i="1"/>
  <c r="I984" i="1"/>
  <c r="J984" i="1"/>
  <c r="B985" i="1"/>
  <c r="C985" i="1"/>
  <c r="D985" i="1"/>
  <c r="E985" i="1"/>
  <c r="F985" i="1"/>
  <c r="G985" i="1"/>
  <c r="H985" i="1"/>
  <c r="I985" i="1"/>
  <c r="J985" i="1"/>
  <c r="B986" i="1"/>
  <c r="C986" i="1"/>
  <c r="D986" i="1"/>
  <c r="E986" i="1"/>
  <c r="F986" i="1"/>
  <c r="G986" i="1"/>
  <c r="H986" i="1"/>
  <c r="I986" i="1"/>
  <c r="J986" i="1"/>
  <c r="B987" i="1"/>
  <c r="C987" i="1"/>
  <c r="D987" i="1"/>
  <c r="E987" i="1"/>
  <c r="F987" i="1"/>
  <c r="G987" i="1"/>
  <c r="H987" i="1"/>
  <c r="I987" i="1"/>
  <c r="J987" i="1"/>
  <c r="B988" i="1"/>
  <c r="C988" i="1"/>
  <c r="D988" i="1"/>
  <c r="E988" i="1"/>
  <c r="F988" i="1"/>
  <c r="G988" i="1"/>
  <c r="H988" i="1"/>
  <c r="I988" i="1"/>
  <c r="J988" i="1"/>
  <c r="B989" i="1"/>
  <c r="C989" i="1"/>
  <c r="D989" i="1"/>
  <c r="E989" i="1"/>
  <c r="F989" i="1"/>
  <c r="G989" i="1"/>
  <c r="H989" i="1"/>
  <c r="I989" i="1"/>
  <c r="J989" i="1"/>
  <c r="B990" i="1"/>
  <c r="C990" i="1"/>
  <c r="D990" i="1"/>
  <c r="E990" i="1"/>
  <c r="F990" i="1"/>
  <c r="G990" i="1"/>
  <c r="H990" i="1"/>
  <c r="I990" i="1"/>
  <c r="J990" i="1"/>
  <c r="B991" i="1"/>
  <c r="C991" i="1"/>
  <c r="D991" i="1"/>
  <c r="E991" i="1"/>
  <c r="F991" i="1"/>
  <c r="G991" i="1"/>
  <c r="H991" i="1"/>
  <c r="I991" i="1"/>
  <c r="J991" i="1"/>
  <c r="B992" i="1"/>
  <c r="C992" i="1"/>
  <c r="D992" i="1"/>
  <c r="E992" i="1"/>
  <c r="F992" i="1"/>
  <c r="G992" i="1"/>
  <c r="H992" i="1"/>
  <c r="I992" i="1"/>
  <c r="J992" i="1"/>
  <c r="B993" i="1"/>
  <c r="C993" i="1"/>
  <c r="D993" i="1"/>
  <c r="E993" i="1"/>
  <c r="F993" i="1"/>
  <c r="G993" i="1"/>
  <c r="H993" i="1"/>
  <c r="I993" i="1"/>
  <c r="J993" i="1"/>
  <c r="B994" i="1"/>
  <c r="C994" i="1"/>
  <c r="D994" i="1"/>
  <c r="E994" i="1"/>
  <c r="F994" i="1"/>
  <c r="G994" i="1"/>
  <c r="H994" i="1"/>
  <c r="I994" i="1"/>
  <c r="J994" i="1"/>
  <c r="B995" i="1"/>
  <c r="C995" i="1"/>
  <c r="D995" i="1"/>
  <c r="E995" i="1"/>
  <c r="F995" i="1"/>
  <c r="G995" i="1"/>
  <c r="H995" i="1"/>
  <c r="I995" i="1"/>
  <c r="J995" i="1"/>
  <c r="B996" i="1"/>
  <c r="C996" i="1"/>
  <c r="D996" i="1"/>
  <c r="E996" i="1"/>
  <c r="F996" i="1"/>
  <c r="G996" i="1"/>
  <c r="H996" i="1"/>
  <c r="I996" i="1"/>
  <c r="J996" i="1"/>
  <c r="B997" i="1"/>
  <c r="C997" i="1"/>
  <c r="D997" i="1"/>
  <c r="E997" i="1"/>
  <c r="F997" i="1"/>
  <c r="G997" i="1"/>
  <c r="H997" i="1"/>
  <c r="I997" i="1"/>
  <c r="J997" i="1"/>
  <c r="B998" i="1"/>
  <c r="C998" i="1"/>
  <c r="D998" i="1"/>
  <c r="E998" i="1"/>
  <c r="F998" i="1"/>
  <c r="G998" i="1"/>
  <c r="H998" i="1"/>
  <c r="I998" i="1"/>
  <c r="J998" i="1"/>
  <c r="B999" i="1"/>
  <c r="C999" i="1"/>
  <c r="D999" i="1"/>
  <c r="E999" i="1"/>
  <c r="F999" i="1"/>
  <c r="G999" i="1"/>
  <c r="H999" i="1"/>
  <c r="I999" i="1"/>
  <c r="J999" i="1"/>
  <c r="B1000" i="1"/>
  <c r="C1000" i="1"/>
  <c r="D1000" i="1"/>
  <c r="E1000" i="1"/>
  <c r="F1000" i="1"/>
  <c r="G1000" i="1"/>
  <c r="H1000" i="1"/>
  <c r="I1000" i="1"/>
  <c r="J1000" i="1"/>
  <c r="B1001" i="1"/>
  <c r="C1001" i="1"/>
  <c r="D1001" i="1"/>
  <c r="E1001" i="1"/>
  <c r="F1001" i="1"/>
  <c r="G1001" i="1"/>
  <c r="H1001" i="1"/>
  <c r="I1001" i="1"/>
  <c r="J1001" i="1"/>
  <c r="B1002" i="1"/>
  <c r="C1002" i="1"/>
  <c r="D1002" i="1"/>
  <c r="E1002" i="1"/>
  <c r="F1002" i="1"/>
  <c r="G1002" i="1"/>
  <c r="H1002" i="1"/>
  <c r="I1002" i="1"/>
  <c r="J1002" i="1"/>
  <c r="B1003" i="1"/>
  <c r="C1003" i="1"/>
  <c r="D1003" i="1"/>
  <c r="E1003" i="1"/>
  <c r="F1003" i="1"/>
  <c r="G1003" i="1"/>
  <c r="H1003" i="1"/>
  <c r="I1003" i="1"/>
  <c r="J1003" i="1"/>
  <c r="B1004" i="1"/>
  <c r="C1004" i="1"/>
  <c r="D1004" i="1"/>
  <c r="E1004" i="1"/>
  <c r="F1004" i="1"/>
  <c r="G1004" i="1"/>
  <c r="H1004" i="1"/>
  <c r="I1004" i="1"/>
  <c r="J1004" i="1"/>
  <c r="B1005" i="1"/>
  <c r="C1005" i="1"/>
  <c r="D1005" i="1"/>
  <c r="E1005" i="1"/>
  <c r="F1005" i="1"/>
  <c r="G1005" i="1"/>
  <c r="H1005" i="1"/>
  <c r="I1005" i="1"/>
  <c r="J1005" i="1"/>
  <c r="B1006" i="1"/>
  <c r="C1006" i="1"/>
  <c r="D1006" i="1"/>
  <c r="E1006" i="1"/>
  <c r="F1006" i="1"/>
  <c r="G1006" i="1"/>
  <c r="H1006" i="1"/>
  <c r="I1006" i="1"/>
  <c r="J1006" i="1"/>
  <c r="B1007" i="1"/>
  <c r="C1007" i="1"/>
  <c r="D1007" i="1"/>
  <c r="E1007" i="1"/>
  <c r="F1007" i="1"/>
  <c r="G1007" i="1"/>
  <c r="H1007" i="1"/>
  <c r="I1007" i="1"/>
  <c r="J1007" i="1"/>
  <c r="B1008" i="1"/>
  <c r="C1008" i="1"/>
  <c r="D1008" i="1"/>
  <c r="E1008" i="1"/>
  <c r="F1008" i="1"/>
  <c r="G1008" i="1"/>
  <c r="H1008" i="1"/>
  <c r="I1008" i="1"/>
  <c r="J1008" i="1"/>
  <c r="B1009" i="1"/>
  <c r="C1009" i="1"/>
  <c r="D1009" i="1"/>
  <c r="E1009" i="1"/>
  <c r="F1009" i="1"/>
  <c r="G1009" i="1"/>
  <c r="H1009" i="1"/>
  <c r="I1009" i="1"/>
  <c r="J1009" i="1"/>
  <c r="B1010" i="1"/>
  <c r="C1010" i="1"/>
  <c r="D1010" i="1"/>
  <c r="E1010" i="1"/>
  <c r="F1010" i="1"/>
  <c r="G1010" i="1"/>
  <c r="H1010" i="1"/>
  <c r="I1010" i="1"/>
  <c r="J1010" i="1"/>
  <c r="B1011" i="1"/>
  <c r="C1011" i="1"/>
  <c r="D1011" i="1"/>
  <c r="E1011" i="1"/>
  <c r="F1011" i="1"/>
  <c r="G1011" i="1"/>
  <c r="H1011" i="1"/>
  <c r="I1011" i="1"/>
  <c r="J1011" i="1"/>
  <c r="B1012" i="1"/>
  <c r="C1012" i="1"/>
  <c r="D1012" i="1"/>
  <c r="E1012" i="1"/>
  <c r="F1012" i="1"/>
  <c r="G1012" i="1"/>
  <c r="H1012" i="1"/>
  <c r="I1012" i="1"/>
  <c r="J1012" i="1"/>
  <c r="B1013" i="1"/>
  <c r="C1013" i="1"/>
  <c r="D1013" i="1"/>
  <c r="E1013" i="1"/>
  <c r="F1013" i="1"/>
  <c r="G1013" i="1"/>
  <c r="H1013" i="1"/>
  <c r="I1013" i="1"/>
  <c r="J1013" i="1"/>
  <c r="B1014" i="1"/>
  <c r="C1014" i="1"/>
  <c r="D1014" i="1"/>
  <c r="E1014" i="1"/>
  <c r="F1014" i="1"/>
  <c r="G1014" i="1"/>
  <c r="H1014" i="1"/>
  <c r="I1014" i="1"/>
  <c r="J1014" i="1"/>
  <c r="B1015" i="1"/>
  <c r="C1015" i="1"/>
  <c r="D1015" i="1"/>
  <c r="E1015" i="1"/>
  <c r="F1015" i="1"/>
  <c r="G1015" i="1"/>
  <c r="H1015" i="1"/>
  <c r="I1015" i="1"/>
  <c r="J1015" i="1"/>
  <c r="B1016" i="1"/>
  <c r="C1016" i="1"/>
  <c r="D1016" i="1"/>
  <c r="E1016" i="1"/>
  <c r="F1016" i="1"/>
  <c r="G1016" i="1"/>
  <c r="H1016" i="1"/>
  <c r="I1016" i="1"/>
  <c r="J1016" i="1"/>
  <c r="B1017" i="1"/>
  <c r="C1017" i="1"/>
  <c r="D1017" i="1"/>
  <c r="E1017" i="1"/>
  <c r="F1017" i="1"/>
  <c r="G1017" i="1"/>
  <c r="H1017" i="1"/>
  <c r="I1017" i="1"/>
  <c r="J1017" i="1"/>
  <c r="B1018" i="1"/>
  <c r="C1018" i="1"/>
  <c r="D1018" i="1"/>
  <c r="E1018" i="1"/>
  <c r="F1018" i="1"/>
  <c r="G1018" i="1"/>
  <c r="H1018" i="1"/>
  <c r="I1018" i="1"/>
  <c r="J1018" i="1"/>
  <c r="B1019" i="1"/>
  <c r="C1019" i="1"/>
  <c r="D1019" i="1"/>
  <c r="E1019" i="1"/>
  <c r="F1019" i="1"/>
  <c r="G1019" i="1"/>
  <c r="H1019" i="1"/>
  <c r="I1019" i="1"/>
  <c r="J1019" i="1"/>
  <c r="B1020" i="1"/>
  <c r="C1020" i="1"/>
  <c r="D1020" i="1"/>
  <c r="E1020" i="1"/>
  <c r="F1020" i="1"/>
  <c r="G1020" i="1"/>
  <c r="H1020" i="1"/>
  <c r="I1020" i="1"/>
  <c r="J1020" i="1"/>
  <c r="B1021" i="1"/>
  <c r="C1021" i="1"/>
  <c r="D1021" i="1"/>
  <c r="E1021" i="1"/>
  <c r="F1021" i="1"/>
  <c r="G1021" i="1"/>
  <c r="H1021" i="1"/>
  <c r="I1021" i="1"/>
  <c r="J1021" i="1"/>
  <c r="B1022" i="1"/>
  <c r="C1022" i="1"/>
  <c r="D1022" i="1"/>
  <c r="E1022" i="1"/>
  <c r="F1022" i="1"/>
  <c r="G1022" i="1"/>
  <c r="H1022" i="1"/>
  <c r="I1022" i="1"/>
  <c r="J1022" i="1"/>
  <c r="B1023" i="1"/>
  <c r="C1023" i="1"/>
  <c r="D1023" i="1"/>
  <c r="E1023" i="1"/>
  <c r="F1023" i="1"/>
  <c r="G1023" i="1"/>
  <c r="H1023" i="1"/>
  <c r="I1023" i="1"/>
  <c r="J1023" i="1"/>
  <c r="B1024" i="1"/>
  <c r="C1024" i="1"/>
  <c r="D1024" i="1"/>
  <c r="E1024" i="1"/>
  <c r="F1024" i="1"/>
  <c r="G1024" i="1"/>
  <c r="H1024" i="1"/>
  <c r="I1024" i="1"/>
  <c r="J1024" i="1"/>
  <c r="B1025" i="1"/>
  <c r="C1025" i="1"/>
  <c r="D1025" i="1"/>
  <c r="E1025" i="1"/>
  <c r="F1025" i="1"/>
  <c r="G1025" i="1"/>
  <c r="H1025" i="1"/>
  <c r="I1025" i="1"/>
  <c r="J1025" i="1"/>
  <c r="B1026" i="1"/>
  <c r="C1026" i="1"/>
  <c r="D1026" i="1"/>
  <c r="E1026" i="1"/>
  <c r="F1026" i="1"/>
  <c r="G1026" i="1"/>
  <c r="H1026" i="1"/>
  <c r="I1026" i="1"/>
  <c r="J1026" i="1"/>
  <c r="B1027" i="1"/>
  <c r="C1027" i="1"/>
  <c r="D1027" i="1"/>
  <c r="E1027" i="1"/>
  <c r="F1027" i="1"/>
  <c r="G1027" i="1"/>
  <c r="H1027" i="1"/>
  <c r="I1027" i="1"/>
  <c r="J1027" i="1"/>
  <c r="B1028" i="1"/>
  <c r="C1028" i="1"/>
  <c r="D1028" i="1"/>
  <c r="E1028" i="1"/>
  <c r="F1028" i="1"/>
  <c r="G1028" i="1"/>
  <c r="H1028" i="1"/>
  <c r="I1028" i="1"/>
  <c r="J1028" i="1"/>
  <c r="B1029" i="1"/>
  <c r="C1029" i="1"/>
  <c r="D1029" i="1"/>
  <c r="E1029" i="1"/>
  <c r="F1029" i="1"/>
  <c r="G1029" i="1"/>
  <c r="H1029" i="1"/>
  <c r="I1029" i="1"/>
  <c r="J1029" i="1"/>
  <c r="L1031" i="1"/>
  <c r="M1031" i="1"/>
  <c r="N1031" i="1"/>
  <c r="O1031" i="1"/>
  <c r="P1031" i="1"/>
  <c r="R1031" i="1"/>
  <c r="C1032" i="1"/>
  <c r="I1032" i="1"/>
  <c r="J1032" i="1"/>
  <c r="L1032" i="1"/>
  <c r="M1032" i="1"/>
  <c r="N1032" i="1"/>
  <c r="O1032" i="1"/>
  <c r="P1032" i="1"/>
  <c r="Q1032" i="1"/>
  <c r="R1032" i="1"/>
  <c r="B1033" i="1"/>
  <c r="E1033" i="1"/>
  <c r="L1033" i="1"/>
  <c r="M1033" i="1"/>
  <c r="N1033" i="1"/>
  <c r="O1033" i="1"/>
  <c r="P1033" i="1"/>
  <c r="Q1033" i="1"/>
  <c r="C1034" i="1"/>
  <c r="E1034" i="1"/>
  <c r="L1034" i="1"/>
  <c r="M1034" i="1"/>
  <c r="N1034" i="1"/>
  <c r="O1034" i="1"/>
  <c r="P1034" i="1"/>
  <c r="Q1034" i="1"/>
  <c r="C1035" i="1"/>
  <c r="G1035" i="1"/>
  <c r="L1035" i="1"/>
  <c r="M1035" i="1"/>
  <c r="N1035" i="1"/>
  <c r="O1035" i="1"/>
  <c r="P1035" i="1"/>
  <c r="Q1035" i="1"/>
  <c r="E1036" i="1"/>
  <c r="G1036" i="1"/>
  <c r="I1036" i="1"/>
  <c r="L1036" i="1"/>
  <c r="M1036" i="1"/>
  <c r="N1036" i="1"/>
  <c r="O1036" i="1"/>
  <c r="P1036" i="1"/>
  <c r="Q1036" i="1"/>
  <c r="R1036" i="1"/>
  <c r="J1037" i="1"/>
  <c r="L1037" i="1"/>
  <c r="M1037" i="1"/>
  <c r="N1037" i="1"/>
  <c r="O1037" i="1"/>
  <c r="P1037" i="1"/>
  <c r="Q1037" i="1"/>
  <c r="R1037" i="1"/>
  <c r="B1038" i="1"/>
  <c r="L1038" i="1"/>
  <c r="M1038" i="1"/>
  <c r="N1038" i="1"/>
  <c r="O1038" i="1"/>
  <c r="P1038" i="1"/>
  <c r="Q1038" i="1"/>
  <c r="D1039" i="1"/>
  <c r="L1039" i="1"/>
  <c r="M1039" i="1"/>
  <c r="N1039" i="1"/>
  <c r="O1039" i="1"/>
  <c r="P1039" i="1"/>
  <c r="Q1039" i="1"/>
  <c r="L1040" i="1"/>
  <c r="M1040" i="1"/>
  <c r="N1040" i="1"/>
  <c r="O1040" i="1"/>
  <c r="P1040" i="1"/>
  <c r="Q1040" i="1"/>
  <c r="I1041" i="1"/>
  <c r="L1041" i="1"/>
  <c r="M1041" i="1"/>
  <c r="N1041" i="1"/>
  <c r="O1041" i="1"/>
  <c r="P1041" i="1"/>
  <c r="Q1041" i="1"/>
  <c r="B1042" i="1"/>
  <c r="L1042" i="1"/>
  <c r="M1042" i="1"/>
  <c r="N1042" i="1"/>
  <c r="O1042" i="1"/>
  <c r="P1042" i="1"/>
  <c r="Q1042" i="1"/>
  <c r="D1043" i="1"/>
  <c r="L1043" i="1"/>
  <c r="M1043" i="1"/>
  <c r="N1043" i="1"/>
  <c r="O1043" i="1"/>
  <c r="P1043" i="1"/>
  <c r="Q1043" i="1"/>
  <c r="L1044" i="1"/>
  <c r="M1044" i="1"/>
  <c r="N1044" i="1"/>
  <c r="O1044" i="1"/>
  <c r="P1044" i="1"/>
  <c r="Q1044" i="1"/>
  <c r="C1045" i="1"/>
  <c r="L1045" i="1"/>
  <c r="M1045" i="1"/>
  <c r="N1045" i="1"/>
  <c r="O1045" i="1"/>
  <c r="P1045" i="1"/>
  <c r="Q1045" i="1"/>
  <c r="H1046" i="1"/>
  <c r="L1046" i="1"/>
  <c r="M1046" i="1"/>
  <c r="N1046" i="1"/>
  <c r="O1046" i="1"/>
  <c r="P1046" i="1"/>
  <c r="Q1046" i="1"/>
  <c r="I1047" i="1"/>
  <c r="L1047" i="1"/>
  <c r="M1047" i="1"/>
  <c r="N1047" i="1"/>
  <c r="O1047" i="1"/>
  <c r="P1047" i="1"/>
  <c r="Q1047" i="1"/>
  <c r="G1048" i="1"/>
  <c r="L1048" i="1"/>
  <c r="M1048" i="1"/>
  <c r="N1048" i="1"/>
  <c r="O1048" i="1"/>
  <c r="P1048" i="1"/>
  <c r="Q1048" i="1"/>
  <c r="H1049" i="1"/>
  <c r="L1049" i="1"/>
  <c r="M1049" i="1"/>
  <c r="N1049" i="1"/>
  <c r="O1049" i="1"/>
  <c r="P1049" i="1"/>
  <c r="Q1049" i="1"/>
  <c r="C1050" i="1"/>
  <c r="L1050" i="1"/>
  <c r="M1050" i="1"/>
  <c r="N1050" i="1"/>
  <c r="O1050" i="1"/>
  <c r="P1050" i="1"/>
  <c r="Q1050" i="1"/>
  <c r="D1051" i="1"/>
  <c r="L1051" i="1"/>
  <c r="M1051" i="1"/>
  <c r="N1051" i="1"/>
  <c r="O1051" i="1"/>
  <c r="P1051" i="1"/>
  <c r="Q1051" i="1"/>
  <c r="C1052" i="1"/>
  <c r="L1052" i="1"/>
  <c r="M1052" i="1"/>
  <c r="N1052" i="1"/>
  <c r="O1052" i="1"/>
  <c r="P1052" i="1"/>
  <c r="Q1052" i="1"/>
  <c r="A1053" i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F1053" i="1"/>
  <c r="L1053" i="1"/>
  <c r="M1053" i="1"/>
  <c r="N1053" i="1"/>
  <c r="O1053" i="1"/>
  <c r="P1053" i="1"/>
  <c r="Q1053" i="1"/>
  <c r="B1054" i="1"/>
  <c r="L1054" i="1"/>
  <c r="M1054" i="1"/>
  <c r="N1054" i="1"/>
  <c r="O1054" i="1"/>
  <c r="P1054" i="1"/>
  <c r="Q1054" i="1"/>
  <c r="C1055" i="1"/>
  <c r="J1055" i="1"/>
  <c r="L1055" i="1"/>
  <c r="M1055" i="1"/>
  <c r="N1055" i="1"/>
  <c r="O1055" i="1"/>
  <c r="P1055" i="1"/>
  <c r="Q1055" i="1"/>
  <c r="C1056" i="1"/>
  <c r="L1056" i="1"/>
  <c r="M1056" i="1"/>
  <c r="N1056" i="1"/>
  <c r="O1056" i="1"/>
  <c r="P1056" i="1"/>
  <c r="Q1056" i="1"/>
  <c r="C1057" i="1"/>
  <c r="L1057" i="1"/>
  <c r="M1057" i="1"/>
  <c r="N1057" i="1"/>
  <c r="O1057" i="1"/>
  <c r="P1057" i="1"/>
  <c r="Q1057" i="1"/>
  <c r="L1058" i="1"/>
  <c r="M1058" i="1"/>
  <c r="N1058" i="1"/>
  <c r="O1058" i="1"/>
  <c r="P1058" i="1"/>
  <c r="Q1058" i="1"/>
  <c r="F1059" i="1"/>
  <c r="L1059" i="1"/>
  <c r="M1059" i="1"/>
  <c r="N1059" i="1"/>
  <c r="O1059" i="1"/>
  <c r="P1059" i="1"/>
  <c r="Q1059" i="1"/>
  <c r="L1060" i="1"/>
  <c r="M1060" i="1"/>
  <c r="N1060" i="1"/>
  <c r="O1060" i="1"/>
  <c r="P1060" i="1"/>
  <c r="Q1060" i="1"/>
  <c r="F1061" i="1"/>
  <c r="L1061" i="1"/>
  <c r="M1061" i="1"/>
  <c r="N1061" i="1"/>
  <c r="O1061" i="1"/>
  <c r="P1061" i="1"/>
  <c r="Q1061" i="1"/>
  <c r="L1062" i="1"/>
  <c r="M1062" i="1"/>
  <c r="N1062" i="1"/>
  <c r="O1062" i="1"/>
  <c r="P1062" i="1"/>
  <c r="Q1062" i="1"/>
  <c r="C1063" i="1"/>
  <c r="L1063" i="1"/>
  <c r="M1063" i="1"/>
  <c r="N1063" i="1"/>
  <c r="O1063" i="1"/>
  <c r="P1063" i="1"/>
  <c r="Q1063" i="1"/>
  <c r="L1064" i="1"/>
  <c r="M1064" i="1"/>
  <c r="N1064" i="1"/>
  <c r="O1064" i="1"/>
  <c r="P1064" i="1"/>
  <c r="Q1064" i="1"/>
  <c r="C1065" i="1"/>
  <c r="L1065" i="1"/>
  <c r="M1065" i="1"/>
  <c r="N1065" i="1"/>
  <c r="O1065" i="1"/>
  <c r="P1065" i="1"/>
  <c r="Q1065" i="1"/>
  <c r="J1066" i="1"/>
  <c r="L1066" i="1"/>
  <c r="M1066" i="1"/>
  <c r="N1066" i="1"/>
  <c r="O1066" i="1"/>
  <c r="P1066" i="1"/>
  <c r="Q1066" i="1"/>
  <c r="L1067" i="1"/>
  <c r="M1067" i="1"/>
  <c r="N1067" i="1"/>
  <c r="O1067" i="1"/>
  <c r="P1067" i="1"/>
  <c r="Q1067" i="1"/>
  <c r="B1068" i="1"/>
  <c r="L1068" i="1"/>
  <c r="M1068" i="1"/>
  <c r="N1068" i="1"/>
  <c r="O1068" i="1"/>
  <c r="P1068" i="1"/>
  <c r="Q1068" i="1"/>
  <c r="L1069" i="1"/>
  <c r="M1069" i="1"/>
  <c r="N1069" i="1"/>
  <c r="O1069" i="1"/>
  <c r="P1069" i="1"/>
  <c r="Q1069" i="1"/>
  <c r="C1070" i="1"/>
  <c r="L1070" i="1"/>
  <c r="M1070" i="1"/>
  <c r="N1070" i="1"/>
  <c r="O1070" i="1"/>
  <c r="P1070" i="1"/>
  <c r="Q1070" i="1"/>
  <c r="L1071" i="1"/>
  <c r="M1071" i="1"/>
  <c r="N1071" i="1"/>
  <c r="O1071" i="1"/>
  <c r="P1071" i="1"/>
  <c r="Q1071" i="1"/>
  <c r="B1072" i="1"/>
  <c r="L1072" i="1"/>
  <c r="M1072" i="1"/>
  <c r="N1072" i="1"/>
  <c r="O1072" i="1"/>
  <c r="P1072" i="1"/>
  <c r="Q1072" i="1"/>
  <c r="A1073" i="1"/>
  <c r="A1074" i="1" s="1"/>
  <c r="L1073" i="1"/>
  <c r="M1073" i="1"/>
  <c r="N1073" i="1"/>
  <c r="O1073" i="1"/>
  <c r="P1073" i="1"/>
  <c r="Q1073" i="1"/>
  <c r="F1074" i="1"/>
  <c r="L1074" i="1"/>
  <c r="M1074" i="1"/>
  <c r="N1074" i="1"/>
  <c r="O1074" i="1"/>
  <c r="P1074" i="1"/>
  <c r="Q1074" i="1"/>
  <c r="A1075" i="1"/>
  <c r="A1076" i="1" s="1"/>
  <c r="A1077" i="1" s="1"/>
  <c r="L1077" i="1" s="1"/>
  <c r="F1075" i="1"/>
  <c r="L1075" i="1"/>
  <c r="M1075" i="1"/>
  <c r="N1075" i="1"/>
  <c r="O1075" i="1"/>
  <c r="P1075" i="1"/>
  <c r="Q1075" i="1"/>
  <c r="I1076" i="1"/>
  <c r="L1076" i="1"/>
  <c r="M1076" i="1"/>
  <c r="N1076" i="1"/>
  <c r="O1076" i="1"/>
  <c r="P1076" i="1"/>
  <c r="Q1076" i="1"/>
  <c r="A1078" i="1"/>
  <c r="B1046" i="3" l="1"/>
  <c r="D1068" i="3"/>
  <c r="C1071" i="3"/>
  <c r="C1065" i="3"/>
  <c r="C1061" i="3"/>
  <c r="C1059" i="3"/>
  <c r="C1046" i="3"/>
  <c r="C1076" i="1"/>
  <c r="J1075" i="1"/>
  <c r="C1072" i="1"/>
  <c r="J1071" i="1"/>
  <c r="C1071" i="1"/>
  <c r="B1070" i="1"/>
  <c r="F1069" i="1"/>
  <c r="F1067" i="1"/>
  <c r="C1067" i="1"/>
  <c r="C1066" i="1"/>
  <c r="J1064" i="1"/>
  <c r="J1063" i="1"/>
  <c r="C1062" i="1"/>
  <c r="J1061" i="1"/>
  <c r="B1060" i="1"/>
  <c r="J1076" i="1"/>
  <c r="E1075" i="1"/>
  <c r="I1074" i="1"/>
  <c r="C1074" i="1"/>
  <c r="J1072" i="1"/>
  <c r="E1071" i="1"/>
  <c r="I1070" i="1"/>
  <c r="J1070" i="1"/>
  <c r="E1069" i="1"/>
  <c r="I1068" i="1"/>
  <c r="J1068" i="1"/>
  <c r="C1068" i="1"/>
  <c r="E1067" i="1"/>
  <c r="I1066" i="1"/>
  <c r="B1066" i="1"/>
  <c r="E1065" i="1"/>
  <c r="F1065" i="1"/>
  <c r="I1064" i="1"/>
  <c r="B1064" i="1"/>
  <c r="E1063" i="1"/>
  <c r="F1063" i="1"/>
  <c r="I1062" i="1"/>
  <c r="J1062" i="1"/>
  <c r="E1061" i="1"/>
  <c r="I1060" i="1"/>
  <c r="C1060" i="1"/>
  <c r="E1059" i="1"/>
  <c r="I1058" i="1"/>
  <c r="B1058" i="1"/>
  <c r="C1058" i="1"/>
  <c r="E1057" i="1"/>
  <c r="F1057" i="1"/>
  <c r="I1056" i="1"/>
  <c r="E1055" i="1"/>
  <c r="I1054" i="1"/>
  <c r="J1054" i="1"/>
  <c r="E1053" i="1"/>
  <c r="I1052" i="1"/>
  <c r="D1052" i="1"/>
  <c r="I1050" i="1"/>
  <c r="E1049" i="1"/>
  <c r="I1048" i="1"/>
  <c r="E1047" i="1"/>
  <c r="F1047" i="1"/>
  <c r="I1046" i="1"/>
  <c r="D1046" i="1"/>
  <c r="E1045" i="1"/>
  <c r="I1044" i="1"/>
  <c r="E1043" i="1"/>
  <c r="I1042" i="1"/>
  <c r="E1041" i="1"/>
  <c r="I1040" i="1"/>
  <c r="E1039" i="1"/>
  <c r="H1039" i="1"/>
  <c r="I1038" i="1"/>
  <c r="J1038" i="1"/>
  <c r="E1037" i="1"/>
  <c r="D1035" i="1"/>
  <c r="F1034" i="1"/>
  <c r="H1031" i="1"/>
  <c r="F1076" i="1"/>
  <c r="B1075" i="1"/>
  <c r="D1075" i="1"/>
  <c r="J1073" i="1"/>
  <c r="C1073" i="1"/>
  <c r="F1072" i="1"/>
  <c r="B1071" i="1"/>
  <c r="F1070" i="1"/>
  <c r="B1069" i="1"/>
  <c r="F1068" i="1"/>
  <c r="B1067" i="1"/>
  <c r="F1066" i="1"/>
  <c r="B1065" i="1"/>
  <c r="F1064" i="1"/>
  <c r="B1063" i="1"/>
  <c r="F1062" i="1"/>
  <c r="B1061" i="1"/>
  <c r="F1060" i="1"/>
  <c r="B1059" i="1"/>
  <c r="F1058" i="1"/>
  <c r="B1057" i="1"/>
  <c r="F1056" i="1"/>
  <c r="B1055" i="1"/>
  <c r="F1054" i="1"/>
  <c r="B1053" i="1"/>
  <c r="C1051" i="1"/>
  <c r="H1050" i="1"/>
  <c r="H1048" i="1"/>
  <c r="D1045" i="1"/>
  <c r="B1043" i="1"/>
  <c r="H1042" i="1"/>
  <c r="C1039" i="1"/>
  <c r="G1038" i="1"/>
  <c r="K1111" i="4"/>
  <c r="E1110" i="4"/>
  <c r="G1109" i="4"/>
  <c r="G1099" i="4"/>
  <c r="G1098" i="4"/>
  <c r="G1094" i="4"/>
  <c r="G1093" i="4"/>
  <c r="G1092" i="4"/>
  <c r="G1090" i="4"/>
  <c r="G1087" i="4"/>
  <c r="G1086" i="4"/>
  <c r="G1085" i="4"/>
  <c r="C1084" i="4"/>
  <c r="G1084" i="4"/>
  <c r="G1083" i="4"/>
  <c r="G1082" i="4"/>
  <c r="K1081" i="4"/>
  <c r="G1081" i="4"/>
  <c r="E1080" i="4"/>
  <c r="G1080" i="4"/>
  <c r="G1079" i="4"/>
  <c r="G1078" i="4"/>
  <c r="G1077" i="4"/>
  <c r="G1076" i="4"/>
  <c r="G1075" i="4"/>
  <c r="G1074" i="4"/>
  <c r="I1073" i="4"/>
  <c r="K1073" i="4"/>
  <c r="G1073" i="4"/>
  <c r="G1072" i="4"/>
  <c r="G1071" i="4"/>
  <c r="G1069" i="4"/>
  <c r="G1068" i="4"/>
  <c r="G1067" i="4"/>
  <c r="G1066" i="4"/>
  <c r="C1065" i="4"/>
  <c r="G1065" i="4"/>
  <c r="K1064" i="4"/>
  <c r="G1064" i="4"/>
  <c r="G1063" i="4"/>
  <c r="G1062" i="4"/>
  <c r="G1061" i="4"/>
  <c r="G1060" i="4"/>
  <c r="G1059" i="4"/>
  <c r="G1058" i="4"/>
  <c r="G1057" i="4"/>
  <c r="G1056" i="4"/>
  <c r="G1055" i="4"/>
  <c r="G1054" i="4"/>
  <c r="G1053" i="4"/>
  <c r="E1052" i="4"/>
  <c r="G1052" i="4"/>
  <c r="G1051" i="4"/>
  <c r="G1050" i="4"/>
  <c r="G1049" i="4"/>
  <c r="G1048" i="4"/>
  <c r="E1047" i="4"/>
  <c r="G1047" i="4"/>
  <c r="G1046" i="4"/>
  <c r="G1045" i="4"/>
  <c r="I1044" i="4"/>
  <c r="E1044" i="4"/>
  <c r="G1044" i="4"/>
  <c r="C1043" i="4"/>
  <c r="G1043" i="4"/>
  <c r="G1042" i="4"/>
  <c r="G1041" i="4"/>
  <c r="G1040" i="4"/>
  <c r="E1039" i="4"/>
  <c r="G1039" i="4"/>
  <c r="G1038" i="4"/>
  <c r="K1037" i="4"/>
  <c r="G1037" i="4"/>
  <c r="G1036" i="4"/>
  <c r="G1035" i="4"/>
  <c r="G1034" i="4"/>
  <c r="G1033" i="4"/>
  <c r="K1032" i="4"/>
  <c r="G1032" i="4"/>
  <c r="K1031" i="4"/>
  <c r="G1070" i="4"/>
  <c r="G1031" i="4"/>
  <c r="G1111" i="4"/>
  <c r="G1105" i="4"/>
  <c r="C1102" i="4"/>
  <c r="G1096" i="4"/>
  <c r="I1094" i="4"/>
  <c r="B1077" i="3"/>
  <c r="C1077" i="3"/>
  <c r="D1077" i="3"/>
  <c r="A1078" i="3"/>
  <c r="E1077" i="3"/>
  <c r="G1078" i="1"/>
  <c r="P1078" i="1"/>
  <c r="H1078" i="1"/>
  <c r="Q1078" i="1"/>
  <c r="B1078" i="1"/>
  <c r="M1078" i="1"/>
  <c r="N1078" i="1"/>
  <c r="C1078" i="1"/>
  <c r="D1078" i="1"/>
  <c r="O1078" i="1"/>
  <c r="I1078" i="1"/>
  <c r="E1078" i="1"/>
  <c r="F1078" i="1"/>
  <c r="L1078" i="1"/>
  <c r="J1078" i="1"/>
  <c r="G1114" i="4"/>
  <c r="C1107" i="4"/>
  <c r="G1106" i="4"/>
  <c r="G1104" i="4"/>
  <c r="G1103" i="4"/>
  <c r="G1100" i="4"/>
  <c r="G1097" i="4"/>
  <c r="G1095" i="4"/>
  <c r="I1093" i="4"/>
  <c r="G1077" i="1"/>
  <c r="P1077" i="1"/>
  <c r="H1077" i="1"/>
  <c r="Q1077" i="1"/>
  <c r="F1077" i="1"/>
  <c r="I1077" i="1"/>
  <c r="J1077" i="1"/>
  <c r="C1077" i="1"/>
  <c r="N1077" i="1"/>
  <c r="B1077" i="1"/>
  <c r="E1077" i="1"/>
  <c r="D1077" i="1"/>
  <c r="M1077" i="1"/>
  <c r="O1077" i="1"/>
  <c r="G1115" i="4"/>
  <c r="G1113" i="4"/>
  <c r="G1112" i="4"/>
  <c r="G1110" i="4"/>
  <c r="G1108" i="4"/>
  <c r="G1107" i="4"/>
  <c r="G1102" i="4"/>
  <c r="G1101" i="4"/>
  <c r="I1090" i="4"/>
  <c r="G1089" i="4"/>
  <c r="G1088" i="4"/>
  <c r="A1079" i="1"/>
  <c r="H1115" i="4"/>
  <c r="J1115" i="4"/>
  <c r="B1115" i="4"/>
  <c r="D1115" i="4"/>
  <c r="F1115" i="4"/>
  <c r="H1114" i="4"/>
  <c r="J1114" i="4"/>
  <c r="B1114" i="4"/>
  <c r="D1114" i="4"/>
  <c r="F1114" i="4"/>
  <c r="H1113" i="4"/>
  <c r="J1113" i="4"/>
  <c r="B1113" i="4"/>
  <c r="D1113" i="4"/>
  <c r="F1113" i="4"/>
  <c r="H1112" i="4"/>
  <c r="J1112" i="4"/>
  <c r="B1112" i="4"/>
  <c r="D1112" i="4"/>
  <c r="F1112" i="4"/>
  <c r="H1111" i="4"/>
  <c r="J1111" i="4"/>
  <c r="B1111" i="4"/>
  <c r="D1111" i="4"/>
  <c r="F1111" i="4"/>
  <c r="H1110" i="4"/>
  <c r="B1110" i="4"/>
  <c r="D1110" i="4"/>
  <c r="F1110" i="4"/>
  <c r="J1109" i="4"/>
  <c r="B1109" i="4"/>
  <c r="D1109" i="4"/>
  <c r="F1109" i="4"/>
  <c r="H1108" i="4"/>
  <c r="J1108" i="4"/>
  <c r="B1108" i="4"/>
  <c r="D1108" i="4"/>
  <c r="F1108" i="4"/>
  <c r="H1107" i="4"/>
  <c r="J1107" i="4"/>
  <c r="B1107" i="4"/>
  <c r="D1107" i="4"/>
  <c r="F1107" i="4"/>
  <c r="H1106" i="4"/>
  <c r="J1106" i="4"/>
  <c r="B1106" i="4"/>
  <c r="D1106" i="4"/>
  <c r="F1106" i="4"/>
  <c r="H1105" i="4"/>
  <c r="J1105" i="4"/>
  <c r="B1105" i="4"/>
  <c r="D1105" i="4"/>
  <c r="F1105" i="4"/>
  <c r="H1104" i="4"/>
  <c r="J1104" i="4"/>
  <c r="B1104" i="4"/>
  <c r="D1104" i="4"/>
  <c r="F1104" i="4"/>
  <c r="H1103" i="4"/>
  <c r="J1103" i="4"/>
  <c r="B1103" i="4"/>
  <c r="D1103" i="4"/>
  <c r="F1103" i="4"/>
  <c r="H1102" i="4"/>
  <c r="J1102" i="4"/>
  <c r="B1102" i="4"/>
  <c r="D1102" i="4"/>
  <c r="F1102" i="4"/>
  <c r="H1101" i="4"/>
  <c r="J1101" i="4"/>
  <c r="B1101" i="4"/>
  <c r="D1101" i="4"/>
  <c r="F1101" i="4"/>
  <c r="H1100" i="4"/>
  <c r="J1100" i="4"/>
  <c r="D1100" i="4"/>
  <c r="F1100" i="4"/>
  <c r="H1099" i="4"/>
  <c r="J1099" i="4"/>
  <c r="B1099" i="4"/>
  <c r="D1099" i="4"/>
  <c r="F1099" i="4"/>
  <c r="H1098" i="4"/>
  <c r="J1098" i="4"/>
  <c r="B1098" i="4"/>
  <c r="D1098" i="4"/>
  <c r="F1098" i="4"/>
  <c r="H1097" i="4"/>
  <c r="J1097" i="4"/>
  <c r="B1097" i="4"/>
  <c r="D1097" i="4"/>
  <c r="F1097" i="4"/>
  <c r="H1096" i="4"/>
  <c r="J1096" i="4"/>
  <c r="B1096" i="4"/>
  <c r="D1096" i="4"/>
  <c r="F1096" i="4"/>
  <c r="H1095" i="4"/>
  <c r="J1095" i="4"/>
  <c r="B1095" i="4"/>
  <c r="D1095" i="4"/>
  <c r="F1095" i="4"/>
  <c r="H1094" i="4"/>
  <c r="J1094" i="4"/>
  <c r="B1094" i="4"/>
  <c r="D1094" i="4"/>
  <c r="F1094" i="4"/>
  <c r="H1093" i="4"/>
  <c r="J1093" i="4"/>
  <c r="B1093" i="4"/>
  <c r="D1093" i="4"/>
  <c r="F1093" i="4"/>
  <c r="H1092" i="4"/>
  <c r="J1092" i="4"/>
  <c r="B1092" i="4"/>
  <c r="D1092" i="4"/>
  <c r="F1092" i="4"/>
  <c r="H1091" i="4"/>
  <c r="J1091" i="4"/>
  <c r="B1091" i="4"/>
  <c r="D1091" i="4"/>
  <c r="F1091" i="4"/>
  <c r="H1090" i="4"/>
  <c r="J1090" i="4"/>
  <c r="B1090" i="4"/>
  <c r="D1090" i="4"/>
  <c r="F1090" i="4"/>
  <c r="H1089" i="4"/>
  <c r="J1089" i="4"/>
  <c r="B1089" i="4"/>
  <c r="D1089" i="4"/>
  <c r="F1089" i="4"/>
  <c r="H1088" i="4"/>
  <c r="J1088" i="4"/>
  <c r="B1088" i="4"/>
  <c r="D1088" i="4"/>
  <c r="F1088" i="4"/>
  <c r="H1087" i="4"/>
  <c r="J1087" i="4"/>
  <c r="B1087" i="4"/>
  <c r="D1087" i="4"/>
  <c r="F1087" i="4"/>
  <c r="H1086" i="4"/>
  <c r="J1086" i="4"/>
  <c r="B1086" i="4"/>
  <c r="D1086" i="4"/>
  <c r="F1086" i="4"/>
  <c r="H1085" i="4"/>
  <c r="J1085" i="4"/>
  <c r="B1085" i="4"/>
  <c r="D1085" i="4"/>
  <c r="F1085" i="4"/>
  <c r="H1084" i="4"/>
  <c r="J1084" i="4"/>
  <c r="B1084" i="4"/>
  <c r="D1084" i="4"/>
  <c r="F1084" i="4"/>
  <c r="H1083" i="4"/>
  <c r="J1083" i="4"/>
  <c r="B1083" i="4"/>
  <c r="D1083" i="4"/>
  <c r="F1083" i="4"/>
  <c r="H1082" i="4"/>
  <c r="J1082" i="4"/>
  <c r="B1082" i="4"/>
  <c r="D1082" i="4"/>
  <c r="F1082" i="4"/>
  <c r="H1081" i="4"/>
  <c r="J1081" i="4"/>
  <c r="B1081" i="4"/>
  <c r="D1081" i="4"/>
  <c r="F1081" i="4"/>
  <c r="H1080" i="4"/>
  <c r="J1080" i="4"/>
  <c r="B1080" i="4"/>
  <c r="D1080" i="4"/>
  <c r="F1080" i="4"/>
  <c r="H1079" i="4"/>
  <c r="J1079" i="4"/>
  <c r="B1079" i="4"/>
  <c r="D1079" i="4"/>
  <c r="F1079" i="4"/>
  <c r="H1078" i="4"/>
  <c r="J1078" i="4"/>
  <c r="B1078" i="4"/>
  <c r="D1078" i="4"/>
  <c r="F1078" i="4"/>
  <c r="H1077" i="4"/>
  <c r="J1077" i="4"/>
  <c r="B1077" i="4"/>
  <c r="D1077" i="4"/>
  <c r="F1077" i="4"/>
  <c r="H1076" i="4"/>
  <c r="J1076" i="4"/>
  <c r="B1076" i="4"/>
  <c r="D1076" i="4"/>
  <c r="F1076" i="4"/>
  <c r="H1075" i="4"/>
  <c r="J1075" i="4"/>
  <c r="B1075" i="4"/>
  <c r="D1075" i="4"/>
  <c r="F1075" i="4"/>
  <c r="H1074" i="4"/>
  <c r="J1074" i="4"/>
  <c r="B1074" i="4"/>
  <c r="D1074" i="4"/>
  <c r="F1074" i="4"/>
  <c r="H1073" i="4"/>
  <c r="J1073" i="4"/>
  <c r="B1073" i="4"/>
  <c r="D1073" i="4"/>
  <c r="F1073" i="4"/>
  <c r="H1072" i="4"/>
  <c r="J1072" i="4"/>
  <c r="B1072" i="4"/>
  <c r="D1072" i="4"/>
  <c r="H1071" i="4"/>
  <c r="J1071" i="4"/>
  <c r="B1071" i="4"/>
  <c r="D1071" i="4"/>
  <c r="F1071" i="4"/>
  <c r="H1069" i="4"/>
  <c r="J1069" i="4"/>
  <c r="B1069" i="4"/>
  <c r="D1069" i="4"/>
  <c r="F1069" i="4"/>
  <c r="H1068" i="4"/>
  <c r="J1068" i="4"/>
  <c r="B1068" i="4"/>
  <c r="D1068" i="4"/>
  <c r="F1068" i="4"/>
  <c r="J1067" i="4"/>
  <c r="B1067" i="4"/>
  <c r="D1067" i="4"/>
  <c r="F1067" i="4"/>
  <c r="H1066" i="4"/>
  <c r="J1066" i="4"/>
  <c r="B1066" i="4"/>
  <c r="D1066" i="4"/>
  <c r="F1066" i="4"/>
  <c r="H1065" i="4"/>
  <c r="J1065" i="4"/>
  <c r="B1065" i="4"/>
  <c r="D1065" i="4"/>
  <c r="F1065" i="4"/>
  <c r="H1064" i="4"/>
  <c r="J1064" i="4"/>
  <c r="B1064" i="4"/>
  <c r="D1064" i="4"/>
  <c r="F1064" i="4"/>
  <c r="H1063" i="4"/>
  <c r="J1063" i="4"/>
  <c r="B1063" i="4"/>
  <c r="D1063" i="4"/>
  <c r="F1063" i="4"/>
  <c r="I1114" i="4"/>
  <c r="K1113" i="4"/>
  <c r="C1112" i="4"/>
  <c r="I1109" i="4"/>
  <c r="I1113" i="4"/>
  <c r="C1113" i="4"/>
  <c r="K1112" i="4"/>
  <c r="I1110" i="4"/>
  <c r="K1109" i="4"/>
  <c r="D1076" i="1"/>
  <c r="E1076" i="1"/>
  <c r="I1075" i="1"/>
  <c r="J1074" i="1"/>
  <c r="B1074" i="1"/>
  <c r="E1074" i="1"/>
  <c r="F1073" i="1"/>
  <c r="I1073" i="1"/>
  <c r="D1072" i="1"/>
  <c r="E1072" i="1"/>
  <c r="I1071" i="1"/>
  <c r="D1070" i="1"/>
  <c r="E1070" i="1"/>
  <c r="I1069" i="1"/>
  <c r="D1068" i="1"/>
  <c r="E1068" i="1"/>
  <c r="I1067" i="1"/>
  <c r="D1066" i="1"/>
  <c r="E1066" i="1"/>
  <c r="I1065" i="1"/>
  <c r="D1064" i="1"/>
  <c r="E1064" i="1"/>
  <c r="I1063" i="1"/>
  <c r="D1062" i="1"/>
  <c r="E1062" i="1"/>
  <c r="I1061" i="1"/>
  <c r="D1060" i="1"/>
  <c r="E1060" i="1"/>
  <c r="I1059" i="1"/>
  <c r="D1058" i="1"/>
  <c r="E1058" i="1"/>
  <c r="I1057" i="1"/>
  <c r="D1056" i="1"/>
  <c r="E1056" i="1"/>
  <c r="H1055" i="1"/>
  <c r="I1055" i="1"/>
  <c r="D1054" i="1"/>
  <c r="E1054" i="1"/>
  <c r="H1053" i="1"/>
  <c r="I1053" i="1"/>
  <c r="J1052" i="1"/>
  <c r="B1052" i="1"/>
  <c r="E1052" i="1"/>
  <c r="F1051" i="1"/>
  <c r="G1051" i="1"/>
  <c r="H1051" i="1"/>
  <c r="I1051" i="1"/>
  <c r="J1050" i="1"/>
  <c r="B1050" i="1"/>
  <c r="E1050" i="1"/>
  <c r="F1049" i="1"/>
  <c r="I1049" i="1"/>
  <c r="J1048" i="1"/>
  <c r="B1048" i="1"/>
  <c r="C1048" i="1"/>
  <c r="D1048" i="1"/>
  <c r="E1048" i="1"/>
  <c r="H1047" i="1"/>
  <c r="J1046" i="1"/>
  <c r="B1046" i="1"/>
  <c r="C1046" i="1"/>
  <c r="E1046" i="1"/>
  <c r="G1045" i="1"/>
  <c r="H1045" i="1"/>
  <c r="I1045" i="1"/>
  <c r="J1044" i="1"/>
  <c r="B1044" i="1"/>
  <c r="C1044" i="1"/>
  <c r="D1044" i="1"/>
  <c r="F1043" i="1"/>
  <c r="G1043" i="1"/>
  <c r="H1043" i="1"/>
  <c r="I1043" i="1"/>
  <c r="J1042" i="1"/>
  <c r="D1042" i="1"/>
  <c r="E1042" i="1"/>
  <c r="F1041" i="1"/>
  <c r="G1041" i="1"/>
  <c r="H1041" i="1"/>
  <c r="J1040" i="1"/>
  <c r="B1040" i="1"/>
  <c r="D1040" i="1"/>
  <c r="E1040" i="1"/>
  <c r="F1039" i="1"/>
  <c r="G1039" i="1"/>
  <c r="I1039" i="1"/>
  <c r="C1038" i="1"/>
  <c r="D1038" i="1"/>
  <c r="E1038" i="1"/>
  <c r="F1037" i="1"/>
  <c r="H1037" i="1"/>
  <c r="B1037" i="1"/>
  <c r="D1037" i="1"/>
  <c r="F1036" i="1"/>
  <c r="H1036" i="1"/>
  <c r="J1036" i="1"/>
  <c r="B1036" i="1"/>
  <c r="D1036" i="1"/>
  <c r="F1035" i="1"/>
  <c r="H1035" i="1"/>
  <c r="J1035" i="1"/>
  <c r="B1035" i="1"/>
  <c r="H1034" i="1"/>
  <c r="J1034" i="1"/>
  <c r="B1034" i="1"/>
  <c r="D1034" i="1"/>
  <c r="F1033" i="1"/>
  <c r="H1033" i="1"/>
  <c r="J1033" i="1"/>
  <c r="D1033" i="1"/>
  <c r="D1032" i="1"/>
  <c r="F1032" i="1"/>
  <c r="H1032" i="1"/>
  <c r="J1031" i="1"/>
  <c r="B1031" i="1"/>
  <c r="C1031" i="1"/>
  <c r="D1031" i="1"/>
  <c r="H1062" i="4"/>
  <c r="J1062" i="4"/>
  <c r="B1062" i="4"/>
  <c r="D1062" i="4"/>
  <c r="F1062" i="4"/>
  <c r="H1061" i="4"/>
  <c r="J1061" i="4"/>
  <c r="B1061" i="4"/>
  <c r="D1061" i="4"/>
  <c r="F1061" i="4"/>
  <c r="H1060" i="4"/>
  <c r="J1060" i="4"/>
  <c r="B1060" i="4"/>
  <c r="D1060" i="4"/>
  <c r="F1060" i="4"/>
  <c r="H1059" i="4"/>
  <c r="J1059" i="4"/>
  <c r="B1059" i="4"/>
  <c r="D1059" i="4"/>
  <c r="F1059" i="4"/>
  <c r="H1058" i="4"/>
  <c r="J1058" i="4"/>
  <c r="B1058" i="4"/>
  <c r="D1058" i="4"/>
  <c r="F1058" i="4"/>
  <c r="H1057" i="4"/>
  <c r="J1057" i="4"/>
  <c r="B1057" i="4"/>
  <c r="D1057" i="4"/>
  <c r="F1057" i="4"/>
  <c r="H1056" i="4"/>
  <c r="J1056" i="4"/>
  <c r="B1056" i="4"/>
  <c r="D1056" i="4"/>
  <c r="F1056" i="4"/>
  <c r="H1055" i="4"/>
  <c r="J1055" i="4"/>
  <c r="B1055" i="4"/>
  <c r="D1055" i="4"/>
  <c r="F1055" i="4"/>
  <c r="H1054" i="4"/>
  <c r="J1054" i="4"/>
  <c r="B1054" i="4"/>
  <c r="D1054" i="4"/>
  <c r="F1054" i="4"/>
  <c r="H1053" i="4"/>
  <c r="J1053" i="4"/>
  <c r="B1053" i="4"/>
  <c r="F1053" i="4"/>
  <c r="H1052" i="4"/>
  <c r="J1052" i="4"/>
  <c r="B1052" i="4"/>
  <c r="D1052" i="4"/>
  <c r="F1052" i="4"/>
  <c r="H1051" i="4"/>
  <c r="J1051" i="4"/>
  <c r="B1051" i="4"/>
  <c r="D1051" i="4"/>
  <c r="F1051" i="4"/>
  <c r="H1050" i="4"/>
  <c r="J1050" i="4"/>
  <c r="B1050" i="4"/>
  <c r="D1050" i="4"/>
  <c r="F1050" i="4"/>
  <c r="H1049" i="4"/>
  <c r="J1049" i="4"/>
  <c r="B1049" i="4"/>
  <c r="D1049" i="4"/>
  <c r="F1049" i="4"/>
  <c r="H1048" i="4"/>
  <c r="J1048" i="4"/>
  <c r="B1048" i="4"/>
  <c r="F1048" i="4"/>
  <c r="H1047" i="4"/>
  <c r="J1047" i="4"/>
  <c r="B1047" i="4"/>
  <c r="D1047" i="4"/>
  <c r="F1047" i="4"/>
  <c r="H1046" i="4"/>
  <c r="J1046" i="4"/>
  <c r="B1046" i="4"/>
  <c r="D1046" i="4"/>
  <c r="F1046" i="4"/>
  <c r="H1045" i="4"/>
  <c r="J1045" i="4"/>
  <c r="B1045" i="4"/>
  <c r="D1045" i="4"/>
  <c r="F1045" i="4"/>
  <c r="H1044" i="4"/>
  <c r="J1044" i="4"/>
  <c r="B1044" i="4"/>
  <c r="D1044" i="4"/>
  <c r="F1044" i="4"/>
  <c r="H1043" i="4"/>
  <c r="J1043" i="4"/>
  <c r="B1043" i="4"/>
  <c r="D1043" i="4"/>
  <c r="F1043" i="4"/>
  <c r="H1042" i="4"/>
  <c r="J1042" i="4"/>
  <c r="B1042" i="4"/>
  <c r="D1042" i="4"/>
  <c r="F1042" i="4"/>
  <c r="H1041" i="4"/>
  <c r="J1041" i="4"/>
  <c r="B1041" i="4"/>
  <c r="D1041" i="4"/>
  <c r="F1041" i="4"/>
  <c r="H1040" i="4"/>
  <c r="J1040" i="4"/>
  <c r="B1040" i="4"/>
  <c r="D1040" i="4"/>
  <c r="F1040" i="4"/>
  <c r="H1039" i="4"/>
  <c r="J1039" i="4"/>
  <c r="B1039" i="4"/>
  <c r="D1039" i="4"/>
  <c r="F1039" i="4"/>
  <c r="H1038" i="4"/>
  <c r="J1038" i="4"/>
  <c r="B1038" i="4"/>
  <c r="D1038" i="4"/>
  <c r="F1038" i="4"/>
  <c r="H1037" i="4"/>
  <c r="J1037" i="4"/>
  <c r="B1037" i="4"/>
  <c r="D1037" i="4"/>
  <c r="F1037" i="4"/>
  <c r="H1036" i="4"/>
  <c r="J1036" i="4"/>
  <c r="B1036" i="4"/>
  <c r="D1036" i="4"/>
  <c r="F1036" i="4"/>
  <c r="H1035" i="4"/>
  <c r="J1035" i="4"/>
  <c r="B1035" i="4"/>
  <c r="D1035" i="4"/>
  <c r="F1035" i="4"/>
  <c r="H1034" i="4"/>
  <c r="J1034" i="4"/>
  <c r="B1034" i="4"/>
  <c r="D1034" i="4"/>
  <c r="F1034" i="4"/>
  <c r="H1033" i="4"/>
  <c r="J1033" i="4"/>
  <c r="B1033" i="4"/>
  <c r="D1033" i="4"/>
  <c r="F1033" i="4"/>
  <c r="H1032" i="4"/>
  <c r="J1032" i="4"/>
  <c r="B1032" i="4"/>
  <c r="D1032" i="4"/>
  <c r="F1032" i="4"/>
  <c r="H1070" i="4"/>
  <c r="H1031" i="4"/>
  <c r="J1031" i="4"/>
  <c r="J1070" i="4"/>
  <c r="B1031" i="4"/>
  <c r="B1070" i="4"/>
  <c r="D1070" i="4"/>
  <c r="D1031" i="4"/>
  <c r="F1070" i="4"/>
  <c r="F1031" i="4"/>
  <c r="G1075" i="1"/>
  <c r="H1075" i="1"/>
  <c r="G1073" i="1"/>
  <c r="H1073" i="1"/>
  <c r="G1071" i="1"/>
  <c r="H1071" i="1"/>
  <c r="G1069" i="1"/>
  <c r="H1069" i="1"/>
  <c r="G1067" i="1"/>
  <c r="H1067" i="1"/>
  <c r="G1065" i="1"/>
  <c r="H1065" i="1"/>
  <c r="G1063" i="1"/>
  <c r="H1063" i="1"/>
  <c r="G1061" i="1"/>
  <c r="H1061" i="1"/>
  <c r="G1059" i="1"/>
  <c r="H1059" i="1"/>
  <c r="G1057" i="1"/>
  <c r="H1057" i="1"/>
  <c r="G1055" i="1"/>
  <c r="G1053" i="1"/>
  <c r="C1109" i="4"/>
  <c r="K1108" i="4"/>
  <c r="C1108" i="4"/>
  <c r="I1106" i="4"/>
  <c r="I1105" i="4"/>
  <c r="K1105" i="4"/>
  <c r="C1105" i="4"/>
  <c r="K1104" i="4"/>
  <c r="C1104" i="4"/>
  <c r="I1102" i="4"/>
  <c r="I1101" i="4"/>
  <c r="K1101" i="4"/>
  <c r="C1101" i="4"/>
  <c r="K1100" i="4"/>
  <c r="C1100" i="4"/>
  <c r="I1098" i="4"/>
  <c r="I1097" i="4"/>
  <c r="I1096" i="4"/>
  <c r="K1096" i="4"/>
  <c r="I1095" i="4"/>
  <c r="K1095" i="4"/>
  <c r="C1095" i="4"/>
  <c r="K1094" i="4"/>
  <c r="C1094" i="4"/>
  <c r="K1093" i="4"/>
  <c r="C1093" i="4"/>
  <c r="C1092" i="4"/>
  <c r="C1089" i="4"/>
  <c r="C1088" i="4"/>
  <c r="C1087" i="4"/>
  <c r="K1085" i="4"/>
  <c r="K1084" i="4"/>
  <c r="K1083" i="4"/>
  <c r="I1082" i="4"/>
  <c r="I1081" i="4"/>
  <c r="I1080" i="4"/>
  <c r="C1077" i="4"/>
  <c r="K1076" i="4"/>
  <c r="K1075" i="4"/>
  <c r="C1073" i="4"/>
  <c r="C1072" i="4"/>
  <c r="K1071" i="4"/>
  <c r="C1069" i="4"/>
  <c r="C1068" i="4"/>
  <c r="K1067" i="4"/>
  <c r="I1066" i="4"/>
  <c r="I1065" i="4"/>
  <c r="C1064" i="4"/>
  <c r="C1063" i="4"/>
  <c r="I1062" i="4"/>
  <c r="I1061" i="4"/>
  <c r="C1059" i="4"/>
  <c r="I1057" i="4"/>
  <c r="K1057" i="4"/>
  <c r="I1056" i="4"/>
  <c r="C1055" i="4"/>
  <c r="K1052" i="4"/>
  <c r="K1049" i="4"/>
  <c r="I1048" i="4"/>
  <c r="C1045" i="4"/>
  <c r="K1043" i="4"/>
  <c r="C1040" i="4"/>
  <c r="I1038" i="4"/>
  <c r="I1033" i="4"/>
  <c r="H1074" i="1"/>
  <c r="H1072" i="1"/>
  <c r="H1070" i="1"/>
  <c r="H1068" i="1"/>
  <c r="G1066" i="1"/>
  <c r="G1064" i="1"/>
  <c r="G1062" i="1"/>
  <c r="H1062" i="1"/>
  <c r="G1060" i="1"/>
  <c r="H1060" i="1"/>
  <c r="G1058" i="1"/>
  <c r="H1058" i="1"/>
  <c r="G1056" i="1"/>
  <c r="H1056" i="1"/>
  <c r="G1054" i="1"/>
  <c r="H1054" i="1"/>
  <c r="G1052" i="1"/>
  <c r="H1052" i="1"/>
  <c r="F1050" i="1"/>
  <c r="G1050" i="1"/>
  <c r="D1049" i="1"/>
  <c r="J1047" i="1"/>
  <c r="B1047" i="1"/>
  <c r="C1047" i="1"/>
  <c r="D1047" i="1"/>
  <c r="J1045" i="1"/>
  <c r="B1045" i="1"/>
  <c r="G1044" i="1"/>
  <c r="H1044" i="1"/>
  <c r="C1043" i="1"/>
  <c r="F1042" i="1"/>
  <c r="G1042" i="1"/>
  <c r="B1041" i="1"/>
  <c r="D1041" i="1"/>
  <c r="H1040" i="1"/>
  <c r="B1039" i="1"/>
  <c r="H1038" i="1"/>
  <c r="C1037" i="1"/>
  <c r="G1037" i="1"/>
  <c r="C1036" i="1"/>
  <c r="I1035" i="1"/>
  <c r="R1035" i="1"/>
  <c r="E1035" i="1"/>
  <c r="I1034" i="1"/>
  <c r="R1034" i="1"/>
  <c r="G1034" i="1"/>
  <c r="I1033" i="1"/>
  <c r="R1033" i="1"/>
  <c r="C1033" i="1"/>
  <c r="G1033" i="1"/>
  <c r="B1032" i="1"/>
  <c r="H1076" i="1"/>
  <c r="G1072" i="1"/>
  <c r="G1070" i="1"/>
  <c r="G1068" i="1"/>
  <c r="H1066" i="1"/>
  <c r="H1064" i="1"/>
  <c r="G1076" i="1"/>
  <c r="G1074" i="1"/>
  <c r="C1041" i="1"/>
  <c r="F1031" i="1"/>
  <c r="K1114" i="4"/>
  <c r="K1106" i="4"/>
  <c r="E1105" i="4"/>
  <c r="E1096" i="4"/>
  <c r="I1088" i="4"/>
  <c r="E1088" i="4"/>
  <c r="B1053" i="2"/>
  <c r="A1054" i="2"/>
  <c r="I1115" i="4"/>
  <c r="K1115" i="4"/>
  <c r="C1115" i="4"/>
  <c r="E1115" i="4"/>
  <c r="C1114" i="4"/>
  <c r="E1114" i="4"/>
  <c r="E1113" i="4"/>
  <c r="I1112" i="4"/>
  <c r="E1112" i="4"/>
  <c r="I1111" i="4"/>
  <c r="C1111" i="4"/>
  <c r="E1111" i="4"/>
  <c r="K1110" i="4"/>
  <c r="C1110" i="4"/>
  <c r="E1109" i="4"/>
  <c r="I1108" i="4"/>
  <c r="E1108" i="4"/>
  <c r="I1107" i="4"/>
  <c r="K1107" i="4"/>
  <c r="E1107" i="4"/>
  <c r="C1106" i="4"/>
  <c r="E1106" i="4"/>
  <c r="I1104" i="4"/>
  <c r="E1104" i="4"/>
  <c r="I1103" i="4"/>
  <c r="K1103" i="4"/>
  <c r="C1103" i="4"/>
  <c r="E1103" i="4"/>
  <c r="K1102" i="4"/>
  <c r="E1102" i="4"/>
  <c r="E1101" i="4"/>
  <c r="I1100" i="4"/>
  <c r="E1100" i="4"/>
  <c r="I1099" i="4"/>
  <c r="K1099" i="4"/>
  <c r="C1099" i="4"/>
  <c r="E1099" i="4"/>
  <c r="K1098" i="4"/>
  <c r="C1098" i="4"/>
  <c r="E1098" i="4"/>
  <c r="K1097" i="4"/>
  <c r="C1097" i="4"/>
  <c r="E1097" i="4"/>
  <c r="C1096" i="4"/>
  <c r="E1095" i="4"/>
  <c r="E1094" i="4"/>
  <c r="E1093" i="4"/>
  <c r="I1092" i="4"/>
  <c r="K1092" i="4"/>
  <c r="E1092" i="4"/>
  <c r="I1091" i="4"/>
  <c r="K1091" i="4"/>
  <c r="C1091" i="4"/>
  <c r="E1091" i="4"/>
  <c r="E1090" i="4"/>
  <c r="I1089" i="4"/>
  <c r="K1089" i="4"/>
  <c r="E1089" i="4"/>
  <c r="K1088" i="4"/>
  <c r="K1087" i="4"/>
  <c r="E1087" i="4"/>
  <c r="I1086" i="4"/>
  <c r="E1086" i="4"/>
  <c r="I1085" i="4"/>
  <c r="C1085" i="4"/>
  <c r="E1085" i="4"/>
  <c r="I1084" i="4"/>
  <c r="E1084" i="4"/>
  <c r="C1083" i="4"/>
  <c r="E1083" i="4"/>
  <c r="E1082" i="4"/>
  <c r="C1081" i="4"/>
  <c r="E1081" i="4"/>
  <c r="K1080" i="4"/>
  <c r="C1080" i="4"/>
  <c r="K1079" i="4"/>
  <c r="C1079" i="4"/>
  <c r="E1079" i="4"/>
  <c r="I1078" i="4"/>
  <c r="E1078" i="4"/>
  <c r="I1077" i="4"/>
  <c r="K1077" i="4"/>
  <c r="E1077" i="4"/>
  <c r="I1076" i="4"/>
  <c r="C1076" i="4"/>
  <c r="E1076" i="4"/>
  <c r="C1075" i="4"/>
  <c r="E1075" i="4"/>
  <c r="I1074" i="4"/>
  <c r="E1074" i="4"/>
  <c r="E1073" i="4"/>
  <c r="I1072" i="4"/>
  <c r="K1072" i="4"/>
  <c r="E1072" i="4"/>
  <c r="C1071" i="4"/>
  <c r="E1071" i="4"/>
  <c r="I1069" i="4"/>
  <c r="K1069" i="4"/>
  <c r="E1069" i="4"/>
  <c r="I1068" i="4"/>
  <c r="K1068" i="4"/>
  <c r="E1068" i="4"/>
  <c r="C1067" i="4"/>
  <c r="E1067" i="4"/>
  <c r="C1060" i="4"/>
  <c r="B1076" i="3"/>
  <c r="B1075" i="3"/>
  <c r="B1073" i="3"/>
  <c r="B1070" i="3"/>
  <c r="B1069" i="3"/>
  <c r="B1068" i="3"/>
  <c r="B1067" i="3"/>
  <c r="B1066" i="3"/>
  <c r="B1065" i="3"/>
  <c r="B1064" i="3"/>
  <c r="B1061" i="3"/>
  <c r="B1059" i="3"/>
  <c r="B1058" i="3"/>
  <c r="B1057" i="3"/>
  <c r="B1055" i="3"/>
  <c r="B1054" i="3"/>
  <c r="B1053" i="3"/>
  <c r="B1052" i="3"/>
  <c r="B1051" i="3"/>
  <c r="B1050" i="3"/>
  <c r="B1049" i="3"/>
  <c r="B1048" i="3"/>
  <c r="B1047" i="3"/>
  <c r="B1045" i="3"/>
  <c r="B1043" i="3"/>
  <c r="B1042" i="3"/>
  <c r="B1041" i="3"/>
  <c r="B1039" i="3"/>
  <c r="B1038" i="3"/>
  <c r="B1037" i="3"/>
  <c r="B1035" i="3"/>
  <c r="B1034" i="3"/>
  <c r="B1033" i="3"/>
  <c r="B1032" i="3"/>
  <c r="B1031" i="3"/>
  <c r="D1076" i="3"/>
  <c r="D1075" i="3"/>
  <c r="D1074" i="3"/>
  <c r="D1073" i="3"/>
  <c r="D1072" i="3"/>
  <c r="D1071" i="3"/>
  <c r="D1070" i="3"/>
  <c r="D1067" i="3"/>
  <c r="D1066" i="3"/>
  <c r="D1064" i="3"/>
  <c r="D1062" i="3"/>
  <c r="D1061" i="3"/>
  <c r="D1060" i="3"/>
  <c r="D1059" i="3"/>
  <c r="D1058" i="3"/>
  <c r="D1056" i="3"/>
  <c r="D1055" i="3"/>
  <c r="D1054" i="3"/>
  <c r="D1053" i="3"/>
  <c r="D1052" i="3"/>
  <c r="D1051" i="3"/>
  <c r="D1049" i="3"/>
  <c r="D1048" i="3"/>
  <c r="D1046" i="3"/>
  <c r="D1045" i="3"/>
  <c r="D1044" i="3"/>
  <c r="E1066" i="4"/>
  <c r="K1065" i="4"/>
  <c r="E1065" i="4"/>
  <c r="I1064" i="4"/>
  <c r="E1064" i="4"/>
  <c r="K1063" i="4"/>
  <c r="E1063" i="4"/>
  <c r="E1062" i="4"/>
  <c r="K1061" i="4"/>
  <c r="C1061" i="4"/>
  <c r="E1061" i="4"/>
  <c r="I1060" i="4"/>
  <c r="K1060" i="4"/>
  <c r="E1060" i="4"/>
  <c r="K1059" i="4"/>
  <c r="E1059" i="4"/>
  <c r="I1058" i="4"/>
  <c r="E1058" i="4"/>
  <c r="C1057" i="4"/>
  <c r="E1057" i="4"/>
  <c r="K1056" i="4"/>
  <c r="C1056" i="4"/>
  <c r="E1056" i="4"/>
  <c r="K1055" i="4"/>
  <c r="E1055" i="4"/>
  <c r="I1054" i="4"/>
  <c r="E1054" i="4"/>
  <c r="I1053" i="4"/>
  <c r="K1053" i="4"/>
  <c r="C1053" i="4"/>
  <c r="E1053" i="4"/>
  <c r="I1052" i="4"/>
  <c r="C1052" i="4"/>
  <c r="K1051" i="4"/>
  <c r="C1051" i="4"/>
  <c r="E1051" i="4"/>
  <c r="I1050" i="4"/>
  <c r="E1050" i="4"/>
  <c r="I1049" i="4"/>
  <c r="C1049" i="4"/>
  <c r="E1049" i="4"/>
  <c r="K1048" i="4"/>
  <c r="C1048" i="4"/>
  <c r="E1048" i="4"/>
  <c r="K1047" i="4"/>
  <c r="C1047" i="4"/>
  <c r="I1046" i="4"/>
  <c r="E1046" i="4"/>
  <c r="I1045" i="4"/>
  <c r="K1045" i="4"/>
  <c r="E1045" i="4"/>
  <c r="K1044" i="4"/>
  <c r="C1044" i="4"/>
  <c r="E1043" i="4"/>
  <c r="I1042" i="4"/>
  <c r="E1042" i="4"/>
  <c r="I1041" i="4"/>
  <c r="K1041" i="4"/>
  <c r="C1041" i="4"/>
  <c r="E1041" i="4"/>
  <c r="I1040" i="4"/>
  <c r="K1040" i="4"/>
  <c r="E1040" i="4"/>
  <c r="K1039" i="4"/>
  <c r="C1039" i="4"/>
  <c r="E1038" i="4"/>
  <c r="I1037" i="4"/>
  <c r="C1037" i="4"/>
  <c r="E1037" i="4"/>
  <c r="I1036" i="4"/>
  <c r="K1036" i="4"/>
  <c r="C1036" i="4"/>
  <c r="E1036" i="4"/>
  <c r="K1035" i="4"/>
  <c r="C1035" i="4"/>
  <c r="E1035" i="4"/>
  <c r="I1034" i="4"/>
  <c r="E1034" i="4"/>
  <c r="K1033" i="4"/>
  <c r="C1033" i="4"/>
  <c r="E1033" i="4"/>
  <c r="I1032" i="4"/>
  <c r="C1032" i="4"/>
  <c r="E1032" i="4"/>
  <c r="I1070" i="4"/>
  <c r="E1031" i="4"/>
  <c r="E1070" i="4"/>
  <c r="D1041" i="3"/>
  <c r="D1039" i="3"/>
  <c r="D1036" i="3"/>
  <c r="D1034" i="3"/>
  <c r="D1031" i="3"/>
  <c r="C1075" i="3"/>
  <c r="C1074" i="3"/>
  <c r="C1073" i="3"/>
  <c r="C1072" i="3"/>
  <c r="C1068" i="3"/>
  <c r="C1066" i="3"/>
  <c r="C1064" i="3"/>
  <c r="C1063" i="3"/>
  <c r="C1062" i="3"/>
  <c r="C1057" i="3"/>
  <c r="C1056" i="3"/>
  <c r="C1055" i="3"/>
  <c r="C1053" i="3"/>
  <c r="C1052" i="3"/>
  <c r="C1051" i="3"/>
  <c r="C1049" i="3"/>
  <c r="C1047" i="3"/>
  <c r="C1045" i="3"/>
  <c r="C1044" i="3"/>
  <c r="C1043" i="3"/>
  <c r="C1042" i="3"/>
  <c r="C1041" i="3"/>
  <c r="C1040" i="3"/>
  <c r="C1039" i="3"/>
  <c r="C1037" i="3"/>
  <c r="C1036" i="3"/>
  <c r="C1035" i="3"/>
  <c r="C1034" i="3"/>
  <c r="C1033" i="3"/>
  <c r="C1032" i="3"/>
  <c r="C1031" i="3"/>
  <c r="E1070" i="3"/>
  <c r="E1062" i="3"/>
  <c r="E1054" i="3"/>
  <c r="K1090" i="4"/>
  <c r="C1090" i="4"/>
  <c r="I1087" i="4"/>
  <c r="K1086" i="4"/>
  <c r="C1086" i="4"/>
  <c r="I1083" i="4"/>
  <c r="K1082" i="4"/>
  <c r="C1082" i="4"/>
  <c r="I1079" i="4"/>
  <c r="K1078" i="4"/>
  <c r="C1078" i="4"/>
  <c r="I1075" i="4"/>
  <c r="K1074" i="4"/>
  <c r="C1074" i="4"/>
  <c r="I1071" i="4"/>
  <c r="I1067" i="4"/>
  <c r="K1066" i="4"/>
  <c r="C1066" i="4"/>
  <c r="I1063" i="4"/>
  <c r="K1062" i="4"/>
  <c r="C1062" i="4"/>
  <c r="I1059" i="4"/>
  <c r="K1058" i="4"/>
  <c r="C1058" i="4"/>
  <c r="I1055" i="4"/>
  <c r="K1054" i="4"/>
  <c r="C1054" i="4"/>
  <c r="I1051" i="4"/>
  <c r="K1050" i="4"/>
  <c r="C1050" i="4"/>
  <c r="I1047" i="4"/>
  <c r="K1046" i="4"/>
  <c r="C1046" i="4"/>
  <c r="I1043" i="4"/>
  <c r="K1042" i="4"/>
  <c r="C1042" i="4"/>
  <c r="I1039" i="4"/>
  <c r="K1038" i="4"/>
  <c r="C1038" i="4"/>
  <c r="I1035" i="4"/>
  <c r="K1034" i="4"/>
  <c r="C1034" i="4"/>
  <c r="I1031" i="4"/>
  <c r="K1070" i="4"/>
  <c r="C1070" i="4"/>
  <c r="C1031" i="4"/>
  <c r="G1079" i="1" l="1"/>
  <c r="P1079" i="1"/>
  <c r="H1079" i="1"/>
  <c r="Q1079" i="1"/>
  <c r="F1079" i="1"/>
  <c r="I1079" i="1"/>
  <c r="J1079" i="1"/>
  <c r="C1079" i="1"/>
  <c r="N1079" i="1"/>
  <c r="L1079" i="1"/>
  <c r="M1079" i="1"/>
  <c r="O1079" i="1"/>
  <c r="A1080" i="1"/>
  <c r="B1079" i="1"/>
  <c r="D1079" i="1"/>
  <c r="E1079" i="1"/>
  <c r="E1078" i="3"/>
  <c r="A1079" i="3"/>
  <c r="D1078" i="3"/>
  <c r="B1078" i="3"/>
  <c r="C1078" i="3"/>
  <c r="B1054" i="2"/>
  <c r="A1055" i="2"/>
  <c r="B1079" i="3" l="1"/>
  <c r="C1079" i="3"/>
  <c r="E1079" i="3"/>
  <c r="D1079" i="3"/>
  <c r="A1080" i="3"/>
  <c r="B1055" i="2"/>
  <c r="A1056" i="2"/>
  <c r="G1080" i="1"/>
  <c r="P1080" i="1"/>
  <c r="H1080" i="1"/>
  <c r="Q1080" i="1"/>
  <c r="B1080" i="1"/>
  <c r="M1080" i="1"/>
  <c r="C1080" i="1"/>
  <c r="N1080" i="1"/>
  <c r="D1080" i="1"/>
  <c r="O1080" i="1"/>
  <c r="I1080" i="1"/>
  <c r="A1081" i="1"/>
  <c r="F1080" i="1"/>
  <c r="J1080" i="1"/>
  <c r="E1080" i="1"/>
  <c r="L1080" i="1"/>
  <c r="C1080" i="3" l="1"/>
  <c r="E1080" i="3"/>
  <c r="A1081" i="3"/>
  <c r="B1080" i="3"/>
  <c r="D1080" i="3"/>
  <c r="G1081" i="1"/>
  <c r="P1081" i="1"/>
  <c r="H1081" i="1"/>
  <c r="Q1081" i="1"/>
  <c r="F1081" i="1"/>
  <c r="I1081" i="1"/>
  <c r="J1081" i="1"/>
  <c r="C1081" i="1"/>
  <c r="N1081" i="1"/>
  <c r="B1081" i="1"/>
  <c r="E1081" i="1"/>
  <c r="D1081" i="1"/>
  <c r="M1081" i="1"/>
  <c r="O1081" i="1"/>
  <c r="L1081" i="1"/>
  <c r="A1082" i="1"/>
  <c r="B1056" i="2"/>
  <c r="A1057" i="2"/>
  <c r="B1057" i="2" l="1"/>
  <c r="A1058" i="2"/>
  <c r="G1082" i="1"/>
  <c r="P1082" i="1"/>
  <c r="H1082" i="1"/>
  <c r="Q1082" i="1"/>
  <c r="B1082" i="1"/>
  <c r="M1082" i="1"/>
  <c r="N1082" i="1"/>
  <c r="C1082" i="1"/>
  <c r="D1082" i="1"/>
  <c r="O1082" i="1"/>
  <c r="I1082" i="1"/>
  <c r="E1082" i="1"/>
  <c r="F1082" i="1"/>
  <c r="J1082" i="1"/>
  <c r="L1082" i="1"/>
  <c r="A1083" i="1"/>
  <c r="A1082" i="3"/>
  <c r="B1081" i="3"/>
  <c r="D1081" i="3"/>
  <c r="C1081" i="3"/>
  <c r="E1081" i="3"/>
  <c r="D1082" i="3" l="1"/>
  <c r="E1082" i="3"/>
  <c r="A1083" i="3"/>
  <c r="B1082" i="3"/>
  <c r="C1082" i="3"/>
  <c r="G1083" i="1"/>
  <c r="P1083" i="1"/>
  <c r="H1083" i="1"/>
  <c r="Q1083" i="1"/>
  <c r="F1083" i="1"/>
  <c r="I1083" i="1"/>
  <c r="J1083" i="1"/>
  <c r="C1083" i="1"/>
  <c r="N1083" i="1"/>
  <c r="L1083" i="1"/>
  <c r="M1083" i="1"/>
  <c r="O1083" i="1"/>
  <c r="A1084" i="1"/>
  <c r="B1083" i="1"/>
  <c r="D1083" i="1"/>
  <c r="E1083" i="1"/>
  <c r="B1058" i="2"/>
  <c r="A1059" i="2"/>
  <c r="D1083" i="3" l="1"/>
  <c r="C1083" i="3"/>
  <c r="B1083" i="3"/>
  <c r="E1083" i="3"/>
  <c r="A1084" i="3"/>
  <c r="G1084" i="1"/>
  <c r="P1084" i="1"/>
  <c r="H1084" i="1"/>
  <c r="Q1084" i="1"/>
  <c r="B1084" i="1"/>
  <c r="M1084" i="1"/>
  <c r="C1084" i="1"/>
  <c r="N1084" i="1"/>
  <c r="D1084" i="1"/>
  <c r="O1084" i="1"/>
  <c r="I1084" i="1"/>
  <c r="A1085" i="1"/>
  <c r="F1084" i="1"/>
  <c r="J1084" i="1"/>
  <c r="E1084" i="1"/>
  <c r="L1084" i="1"/>
  <c r="A1060" i="2"/>
  <c r="B1059" i="2"/>
  <c r="B1060" i="2" l="1"/>
  <c r="A1061" i="2"/>
  <c r="C1084" i="3"/>
  <c r="D1084" i="3"/>
  <c r="E1084" i="3"/>
  <c r="A1085" i="3"/>
  <c r="B1084" i="3"/>
  <c r="G1085" i="1"/>
  <c r="P1085" i="1"/>
  <c r="H1085" i="1"/>
  <c r="Q1085" i="1"/>
  <c r="F1085" i="1"/>
  <c r="I1085" i="1"/>
  <c r="J1085" i="1"/>
  <c r="C1085" i="1"/>
  <c r="N1085" i="1"/>
  <c r="B1085" i="1"/>
  <c r="E1085" i="1"/>
  <c r="D1085" i="1"/>
  <c r="M1085" i="1"/>
  <c r="O1085" i="1"/>
  <c r="A1086" i="1"/>
  <c r="L1085" i="1"/>
  <c r="B1061" i="2" l="1"/>
  <c r="A1062" i="2"/>
  <c r="G1086" i="1"/>
  <c r="P1086" i="1"/>
  <c r="H1086" i="1"/>
  <c r="Q1086" i="1"/>
  <c r="B1086" i="1"/>
  <c r="M1086" i="1"/>
  <c r="N1086" i="1"/>
  <c r="C1086" i="1"/>
  <c r="D1086" i="1"/>
  <c r="O1086" i="1"/>
  <c r="I1086" i="1"/>
  <c r="E1086" i="1"/>
  <c r="F1086" i="1"/>
  <c r="J1086" i="1"/>
  <c r="L1086" i="1"/>
  <c r="A1087" i="1"/>
  <c r="B1085" i="3"/>
  <c r="C1085" i="3"/>
  <c r="A1086" i="3"/>
  <c r="E1085" i="3"/>
  <c r="D1085" i="3"/>
  <c r="G1087" i="1" l="1"/>
  <c r="P1087" i="1"/>
  <c r="H1087" i="1"/>
  <c r="Q1087" i="1"/>
  <c r="F1087" i="1"/>
  <c r="I1087" i="1"/>
  <c r="J1087" i="1"/>
  <c r="C1087" i="1"/>
  <c r="N1087" i="1"/>
  <c r="L1087" i="1"/>
  <c r="M1087" i="1"/>
  <c r="A1088" i="1"/>
  <c r="O1087" i="1"/>
  <c r="B1087" i="1"/>
  <c r="D1087" i="1"/>
  <c r="E1087" i="1"/>
  <c r="B1062" i="2"/>
  <c r="A1063" i="2"/>
  <c r="E1086" i="3"/>
  <c r="B1086" i="3"/>
  <c r="C1086" i="3"/>
  <c r="D1086" i="3"/>
  <c r="A1087" i="3"/>
  <c r="A1088" i="3" l="1"/>
  <c r="B1087" i="3"/>
  <c r="C1087" i="3"/>
  <c r="D1087" i="3"/>
  <c r="E1087" i="3"/>
  <c r="G1088" i="1"/>
  <c r="P1088" i="1"/>
  <c r="H1088" i="1"/>
  <c r="Q1088" i="1"/>
  <c r="B1088" i="1"/>
  <c r="M1088" i="1"/>
  <c r="N1088" i="1"/>
  <c r="C1088" i="1"/>
  <c r="D1088" i="1"/>
  <c r="O1088" i="1"/>
  <c r="I1088" i="1"/>
  <c r="A1089" i="1"/>
  <c r="F1088" i="1"/>
  <c r="J1088" i="1"/>
  <c r="L1088" i="1"/>
  <c r="E1088" i="1"/>
  <c r="A1064" i="2"/>
  <c r="B1063" i="2"/>
  <c r="B1064" i="2" l="1"/>
  <c r="A1065" i="2"/>
  <c r="G1089" i="1"/>
  <c r="P1089" i="1"/>
  <c r="H1089" i="1"/>
  <c r="Q1089" i="1"/>
  <c r="F1089" i="1"/>
  <c r="I1089" i="1"/>
  <c r="J1089" i="1"/>
  <c r="C1089" i="1"/>
  <c r="N1089" i="1"/>
  <c r="B1089" i="1"/>
  <c r="D1089" i="1"/>
  <c r="E1089" i="1"/>
  <c r="M1089" i="1"/>
  <c r="O1089" i="1"/>
  <c r="L1089" i="1"/>
  <c r="A1090" i="1"/>
  <c r="C1088" i="3"/>
  <c r="B1088" i="3"/>
  <c r="D1088" i="3"/>
  <c r="A1089" i="3"/>
  <c r="E1088" i="3"/>
  <c r="A1090" i="3" l="1"/>
  <c r="E1089" i="3"/>
  <c r="C1089" i="3"/>
  <c r="D1089" i="3"/>
  <c r="B1089" i="3"/>
  <c r="G1090" i="1"/>
  <c r="P1090" i="1"/>
  <c r="H1090" i="1"/>
  <c r="Q1090" i="1"/>
  <c r="B1090" i="1"/>
  <c r="M1090" i="1"/>
  <c r="N1090" i="1"/>
  <c r="C1090" i="1"/>
  <c r="D1090" i="1"/>
  <c r="O1090" i="1"/>
  <c r="I1090" i="1"/>
  <c r="E1090" i="1"/>
  <c r="F1090" i="1"/>
  <c r="L1090" i="1"/>
  <c r="J1090" i="1"/>
  <c r="A1091" i="1"/>
  <c r="B1065" i="2"/>
  <c r="A1066" i="2"/>
  <c r="B1066" i="2" l="1"/>
  <c r="A1067" i="2"/>
  <c r="G1091" i="1"/>
  <c r="P1091" i="1"/>
  <c r="H1091" i="1"/>
  <c r="Q1091" i="1"/>
  <c r="F1091" i="1"/>
  <c r="I1091" i="1"/>
  <c r="J1091" i="1"/>
  <c r="C1091" i="1"/>
  <c r="N1091" i="1"/>
  <c r="L1091" i="1"/>
  <c r="M1091" i="1"/>
  <c r="O1091" i="1"/>
  <c r="A1092" i="1"/>
  <c r="B1091" i="1"/>
  <c r="D1091" i="1"/>
  <c r="E1091" i="1"/>
  <c r="B1090" i="3"/>
  <c r="C1090" i="3"/>
  <c r="E1090" i="3"/>
  <c r="D1090" i="3"/>
  <c r="A1091" i="3"/>
  <c r="B1067" i="2" l="1"/>
  <c r="A1068" i="2"/>
  <c r="D1091" i="3"/>
  <c r="E1091" i="3"/>
  <c r="A1092" i="3"/>
  <c r="B1091" i="3"/>
  <c r="C1091" i="3"/>
  <c r="G1092" i="1"/>
  <c r="P1092" i="1"/>
  <c r="H1092" i="1"/>
  <c r="Q1092" i="1"/>
  <c r="B1092" i="1"/>
  <c r="M1092" i="1"/>
  <c r="N1092" i="1"/>
  <c r="C1092" i="1"/>
  <c r="D1092" i="1"/>
  <c r="O1092" i="1"/>
  <c r="I1092" i="1"/>
  <c r="A1093" i="1"/>
  <c r="F1092" i="1"/>
  <c r="J1092" i="1"/>
  <c r="E1092" i="1"/>
  <c r="L1092" i="1"/>
  <c r="B1068" i="2" l="1"/>
  <c r="A1069" i="2"/>
  <c r="B1092" i="3"/>
  <c r="D1092" i="3"/>
  <c r="C1092" i="3"/>
  <c r="E1092" i="3"/>
  <c r="A1093" i="3"/>
  <c r="G1093" i="1"/>
  <c r="P1093" i="1"/>
  <c r="H1093" i="1"/>
  <c r="Q1093" i="1"/>
  <c r="F1093" i="1"/>
  <c r="I1093" i="1"/>
  <c r="J1093" i="1"/>
  <c r="C1093" i="1"/>
  <c r="N1093" i="1"/>
  <c r="B1093" i="1"/>
  <c r="D1093" i="1"/>
  <c r="E1093" i="1"/>
  <c r="M1093" i="1"/>
  <c r="O1093" i="1"/>
  <c r="L1093" i="1"/>
  <c r="A1094" i="1"/>
  <c r="G1094" i="1" l="1"/>
  <c r="P1094" i="1"/>
  <c r="H1094" i="1"/>
  <c r="Q1094" i="1"/>
  <c r="B1094" i="1"/>
  <c r="M1094" i="1"/>
  <c r="C1094" i="1"/>
  <c r="N1094" i="1"/>
  <c r="D1094" i="1"/>
  <c r="O1094" i="1"/>
  <c r="I1094" i="1"/>
  <c r="E1094" i="1"/>
  <c r="F1094" i="1"/>
  <c r="L1094" i="1"/>
  <c r="J1094" i="1"/>
  <c r="A1095" i="1"/>
  <c r="B1093" i="3"/>
  <c r="D1093" i="3"/>
  <c r="E1093" i="3"/>
  <c r="A1094" i="3"/>
  <c r="C1093" i="3"/>
  <c r="B1069" i="2"/>
  <c r="A1070" i="2"/>
  <c r="B1070" i="2" l="1"/>
  <c r="A1071" i="2"/>
  <c r="E1094" i="3"/>
  <c r="C1094" i="3"/>
  <c r="B1094" i="3"/>
  <c r="D1094" i="3"/>
  <c r="A1095" i="3"/>
  <c r="G1095" i="1"/>
  <c r="P1095" i="1"/>
  <c r="H1095" i="1"/>
  <c r="Q1095" i="1"/>
  <c r="F1095" i="1"/>
  <c r="I1095" i="1"/>
  <c r="J1095" i="1"/>
  <c r="C1095" i="1"/>
  <c r="N1095" i="1"/>
  <c r="L1095" i="1"/>
  <c r="M1095" i="1"/>
  <c r="O1095" i="1"/>
  <c r="A1096" i="1"/>
  <c r="B1095" i="1"/>
  <c r="D1095" i="1"/>
  <c r="E1095" i="1"/>
  <c r="C1095" i="3" l="1"/>
  <c r="D1095" i="3"/>
  <c r="E1095" i="3"/>
  <c r="A1096" i="3"/>
  <c r="B1095" i="3"/>
  <c r="G1096" i="1"/>
  <c r="P1096" i="1"/>
  <c r="H1096" i="1"/>
  <c r="Q1096" i="1"/>
  <c r="B1096" i="1"/>
  <c r="M1096" i="1"/>
  <c r="N1096" i="1"/>
  <c r="C1096" i="1"/>
  <c r="D1096" i="1"/>
  <c r="O1096" i="1"/>
  <c r="I1096" i="1"/>
  <c r="A1097" i="1"/>
  <c r="F1096" i="1"/>
  <c r="J1096" i="1"/>
  <c r="E1096" i="1"/>
  <c r="L1096" i="1"/>
  <c r="B1071" i="2"/>
  <c r="A1072" i="2"/>
  <c r="C1096" i="3" l="1"/>
  <c r="B1096" i="3"/>
  <c r="E1096" i="3"/>
  <c r="A1097" i="3"/>
  <c r="D1096" i="3"/>
  <c r="G1097" i="1"/>
  <c r="P1097" i="1"/>
  <c r="H1097" i="1"/>
  <c r="Q1097" i="1"/>
  <c r="F1097" i="1"/>
  <c r="I1097" i="1"/>
  <c r="J1097" i="1"/>
  <c r="C1097" i="1"/>
  <c r="N1097" i="1"/>
  <c r="B1097" i="1"/>
  <c r="E1097" i="1"/>
  <c r="D1097" i="1"/>
  <c r="M1097" i="1"/>
  <c r="O1097" i="1"/>
  <c r="L1097" i="1"/>
  <c r="A1098" i="1"/>
  <c r="B1072" i="2"/>
  <c r="A1073" i="2"/>
  <c r="B1073" i="2" l="1"/>
  <c r="A1074" i="2"/>
  <c r="A1098" i="3"/>
  <c r="B1097" i="3"/>
  <c r="C1097" i="3"/>
  <c r="D1097" i="3"/>
  <c r="E1097" i="3"/>
  <c r="G1098" i="1"/>
  <c r="P1098" i="1"/>
  <c r="H1098" i="1"/>
  <c r="Q1098" i="1"/>
  <c r="B1098" i="1"/>
  <c r="M1098" i="1"/>
  <c r="C1098" i="1"/>
  <c r="N1098" i="1"/>
  <c r="D1098" i="1"/>
  <c r="O1098" i="1"/>
  <c r="I1098" i="1"/>
  <c r="E1098" i="1"/>
  <c r="F1098" i="1"/>
  <c r="J1098" i="1"/>
  <c r="L1098" i="1"/>
  <c r="A1099" i="1"/>
  <c r="G1099" i="1" l="1"/>
  <c r="P1099" i="1"/>
  <c r="H1099" i="1"/>
  <c r="Q1099" i="1"/>
  <c r="F1099" i="1"/>
  <c r="I1099" i="1"/>
  <c r="J1099" i="1"/>
  <c r="C1099" i="1"/>
  <c r="N1099" i="1"/>
  <c r="L1099" i="1"/>
  <c r="M1099" i="1"/>
  <c r="A1100" i="1"/>
  <c r="O1099" i="1"/>
  <c r="B1099" i="1"/>
  <c r="D1099" i="1"/>
  <c r="E1099" i="1"/>
  <c r="A1099" i="3"/>
  <c r="B1098" i="3"/>
  <c r="C1098" i="3"/>
  <c r="D1098" i="3"/>
  <c r="E1098" i="3"/>
  <c r="B1074" i="2"/>
  <c r="A1075" i="2"/>
  <c r="A1076" i="2" l="1"/>
  <c r="B1075" i="2"/>
  <c r="G1100" i="1"/>
  <c r="P1100" i="1"/>
  <c r="H1100" i="1"/>
  <c r="Q1100" i="1"/>
  <c r="B1100" i="1"/>
  <c r="M1100" i="1"/>
  <c r="C1100" i="1"/>
  <c r="N1100" i="1"/>
  <c r="D1100" i="1"/>
  <c r="O1100" i="1"/>
  <c r="I1100" i="1"/>
  <c r="A1101" i="1"/>
  <c r="F1100" i="1"/>
  <c r="J1100" i="1"/>
  <c r="E1100" i="1"/>
  <c r="L1100" i="1"/>
  <c r="D1099" i="3"/>
  <c r="B1099" i="3"/>
  <c r="C1099" i="3"/>
  <c r="A1100" i="3"/>
  <c r="E1099" i="3"/>
  <c r="B1076" i="2" l="1"/>
  <c r="A1077" i="2"/>
  <c r="E1100" i="3"/>
  <c r="A1101" i="3"/>
  <c r="D1100" i="3"/>
  <c r="C1100" i="3"/>
  <c r="B1100" i="3"/>
  <c r="G1101" i="1"/>
  <c r="P1101" i="1"/>
  <c r="H1101" i="1"/>
  <c r="Q1101" i="1"/>
  <c r="F1101" i="1"/>
  <c r="I1101" i="1"/>
  <c r="J1101" i="1"/>
  <c r="C1101" i="1"/>
  <c r="N1101" i="1"/>
  <c r="B1101" i="1"/>
  <c r="D1101" i="1"/>
  <c r="E1101" i="1"/>
  <c r="M1101" i="1"/>
  <c r="O1101" i="1"/>
  <c r="L1101" i="1"/>
  <c r="A1102" i="1"/>
  <c r="B1101" i="3" l="1"/>
  <c r="C1101" i="3"/>
  <c r="E1101" i="3"/>
  <c r="D1101" i="3"/>
  <c r="A1102" i="3"/>
  <c r="H1077" i="2"/>
  <c r="B1077" i="2"/>
  <c r="J1077" i="2"/>
  <c r="D1077" i="2"/>
  <c r="F1077" i="2"/>
  <c r="G1077" i="2"/>
  <c r="I1077" i="2"/>
  <c r="C1077" i="2"/>
  <c r="E1077" i="2"/>
  <c r="A1078" i="2"/>
  <c r="G1102" i="1"/>
  <c r="P1102" i="1"/>
  <c r="H1102" i="1"/>
  <c r="Q1102" i="1"/>
  <c r="B1102" i="1"/>
  <c r="M1102" i="1"/>
  <c r="N1102" i="1"/>
  <c r="C1102" i="1"/>
  <c r="D1102" i="1"/>
  <c r="O1102" i="1"/>
  <c r="I1102" i="1"/>
  <c r="E1102" i="1"/>
  <c r="F1102" i="1"/>
  <c r="L1102" i="1"/>
  <c r="J1102" i="1"/>
  <c r="A1103" i="1"/>
  <c r="E1102" i="3" l="1"/>
  <c r="D1102" i="3"/>
  <c r="A1103" i="3"/>
  <c r="B1102" i="3"/>
  <c r="C1102" i="3"/>
  <c r="G1103" i="1"/>
  <c r="P1103" i="1"/>
  <c r="H1103" i="1"/>
  <c r="Q1103" i="1"/>
  <c r="F1103" i="1"/>
  <c r="I1103" i="1"/>
  <c r="J1103" i="1"/>
  <c r="C1103" i="1"/>
  <c r="N1103" i="1"/>
  <c r="L1103" i="1"/>
  <c r="M1103" i="1"/>
  <c r="O1103" i="1"/>
  <c r="A1104" i="1"/>
  <c r="B1103" i="1"/>
  <c r="D1103" i="1"/>
  <c r="E1103" i="1"/>
  <c r="F1078" i="2"/>
  <c r="H1078" i="2"/>
  <c r="B1078" i="2"/>
  <c r="J1078" i="2"/>
  <c r="I1078" i="2"/>
  <c r="A1079" i="2"/>
  <c r="D1078" i="2"/>
  <c r="E1078" i="2"/>
  <c r="G1078" i="2"/>
  <c r="C1078" i="2"/>
  <c r="G1104" i="1" l="1"/>
  <c r="P1104" i="1"/>
  <c r="H1104" i="1"/>
  <c r="Q1104" i="1"/>
  <c r="B1104" i="1"/>
  <c r="M1104" i="1"/>
  <c r="C1104" i="1"/>
  <c r="N1104" i="1"/>
  <c r="D1104" i="1"/>
  <c r="O1104" i="1"/>
  <c r="I1104" i="1"/>
  <c r="A1105" i="1"/>
  <c r="F1104" i="1"/>
  <c r="J1104" i="1"/>
  <c r="L1104" i="1"/>
  <c r="E1104" i="1"/>
  <c r="D1079" i="2"/>
  <c r="F1079" i="2"/>
  <c r="H1079" i="2"/>
  <c r="A1080" i="2"/>
  <c r="B1079" i="2"/>
  <c r="G1079" i="2"/>
  <c r="E1079" i="2"/>
  <c r="I1079" i="2"/>
  <c r="J1079" i="2"/>
  <c r="C1079" i="2"/>
  <c r="B1103" i="3"/>
  <c r="D1103" i="3"/>
  <c r="C1103" i="3"/>
  <c r="A1104" i="3"/>
  <c r="E1103" i="3"/>
  <c r="B1080" i="2" l="1"/>
  <c r="J1080" i="2"/>
  <c r="D1080" i="2"/>
  <c r="F1080" i="2"/>
  <c r="C1080" i="2"/>
  <c r="E1080" i="2"/>
  <c r="I1080" i="2"/>
  <c r="A1081" i="2"/>
  <c r="H1080" i="2"/>
  <c r="G1080" i="2"/>
  <c r="G1105" i="1"/>
  <c r="P1105" i="1"/>
  <c r="H1105" i="1"/>
  <c r="Q1105" i="1"/>
  <c r="F1105" i="1"/>
  <c r="I1105" i="1"/>
  <c r="J1105" i="1"/>
  <c r="C1105" i="1"/>
  <c r="N1105" i="1"/>
  <c r="B1105" i="1"/>
  <c r="E1105" i="1"/>
  <c r="D1105" i="1"/>
  <c r="M1105" i="1"/>
  <c r="O1105" i="1"/>
  <c r="L1105" i="1"/>
  <c r="A1106" i="1"/>
  <c r="C1104" i="3"/>
  <c r="D1104" i="3"/>
  <c r="E1104" i="3"/>
  <c r="A1105" i="3"/>
  <c r="B1104" i="3"/>
  <c r="H1081" i="2" l="1"/>
  <c r="B1081" i="2"/>
  <c r="J1081" i="2"/>
  <c r="D1081" i="2"/>
  <c r="E1081" i="2"/>
  <c r="F1081" i="2"/>
  <c r="G1081" i="2"/>
  <c r="A1082" i="2"/>
  <c r="C1081" i="2"/>
  <c r="I1081" i="2"/>
  <c r="A1106" i="3"/>
  <c r="C1105" i="3"/>
  <c r="B1105" i="3"/>
  <c r="D1105" i="3"/>
  <c r="E1105" i="3"/>
  <c r="G1106" i="1"/>
  <c r="P1106" i="1"/>
  <c r="H1106" i="1"/>
  <c r="Q1106" i="1"/>
  <c r="B1106" i="1"/>
  <c r="M1106" i="1"/>
  <c r="N1106" i="1"/>
  <c r="C1106" i="1"/>
  <c r="D1106" i="1"/>
  <c r="O1106" i="1"/>
  <c r="I1106" i="1"/>
  <c r="E1106" i="1"/>
  <c r="F1106" i="1"/>
  <c r="J1106" i="1"/>
  <c r="L1106" i="1"/>
  <c r="A1107" i="1"/>
  <c r="F1082" i="2" l="1"/>
  <c r="H1082" i="2"/>
  <c r="B1082" i="2"/>
  <c r="J1082" i="2"/>
  <c r="G1082" i="2"/>
  <c r="I1082" i="2"/>
  <c r="A1083" i="2"/>
  <c r="C1082" i="2"/>
  <c r="D1082" i="2"/>
  <c r="E1082" i="2"/>
  <c r="G1107" i="1"/>
  <c r="P1107" i="1"/>
  <c r="H1107" i="1"/>
  <c r="Q1107" i="1"/>
  <c r="F1107" i="1"/>
  <c r="I1107" i="1"/>
  <c r="J1107" i="1"/>
  <c r="C1107" i="1"/>
  <c r="N1107" i="1"/>
  <c r="L1107" i="1"/>
  <c r="M1107" i="1"/>
  <c r="A1108" i="1"/>
  <c r="O1107" i="1"/>
  <c r="B1107" i="1"/>
  <c r="D1107" i="1"/>
  <c r="E1107" i="1"/>
  <c r="C1106" i="3"/>
  <c r="D1106" i="3"/>
  <c r="E1106" i="3"/>
  <c r="A1107" i="3"/>
  <c r="B1106" i="3"/>
  <c r="D1083" i="2" l="1"/>
  <c r="F1083" i="2"/>
  <c r="H1083" i="2"/>
  <c r="J1083" i="2"/>
  <c r="A1084" i="2"/>
  <c r="E1083" i="2"/>
  <c r="G1083" i="2"/>
  <c r="I1083" i="2"/>
  <c r="B1083" i="2"/>
  <c r="C1083" i="2"/>
  <c r="D1107" i="3"/>
  <c r="B1107" i="3"/>
  <c r="A1108" i="3"/>
  <c r="C1107" i="3"/>
  <c r="E1107" i="3"/>
  <c r="G1108" i="1"/>
  <c r="P1108" i="1"/>
  <c r="H1108" i="1"/>
  <c r="Q1108" i="1"/>
  <c r="B1108" i="1"/>
  <c r="M1108" i="1"/>
  <c r="C1108" i="1"/>
  <c r="N1108" i="1"/>
  <c r="D1108" i="1"/>
  <c r="O1108" i="1"/>
  <c r="I1108" i="1"/>
  <c r="A1109" i="1"/>
  <c r="F1108" i="1"/>
  <c r="E1108" i="1"/>
  <c r="J1108" i="1"/>
  <c r="L1108" i="1"/>
  <c r="B1084" i="2" l="1"/>
  <c r="D1084" i="2"/>
  <c r="F1084" i="2"/>
  <c r="A1085" i="2"/>
  <c r="C1084" i="2"/>
  <c r="H1084" i="2"/>
  <c r="G1084" i="2"/>
  <c r="I1084" i="2"/>
  <c r="J1084" i="2"/>
  <c r="E1084" i="2"/>
  <c r="B1108" i="3"/>
  <c r="C1108" i="3"/>
  <c r="D1108" i="3"/>
  <c r="A1109" i="3"/>
  <c r="E1108" i="3"/>
  <c r="G1109" i="1"/>
  <c r="P1109" i="1"/>
  <c r="H1109" i="1"/>
  <c r="Q1109" i="1"/>
  <c r="F1109" i="1"/>
  <c r="I1109" i="1"/>
  <c r="J1109" i="1"/>
  <c r="C1109" i="1"/>
  <c r="N1109" i="1"/>
  <c r="B1109" i="1"/>
  <c r="D1109" i="1"/>
  <c r="E1109" i="1"/>
  <c r="M1109" i="1"/>
  <c r="O1109" i="1"/>
  <c r="L1109" i="1"/>
  <c r="A1110" i="1"/>
  <c r="G1110" i="1" l="1"/>
  <c r="P1110" i="1"/>
  <c r="H1110" i="1"/>
  <c r="Q1110" i="1"/>
  <c r="B1110" i="1"/>
  <c r="M1110" i="1"/>
  <c r="N1110" i="1"/>
  <c r="C1110" i="1"/>
  <c r="D1110" i="1"/>
  <c r="O1110" i="1"/>
  <c r="I1110" i="1"/>
  <c r="E1110" i="1"/>
  <c r="F1110" i="1"/>
  <c r="L1110" i="1"/>
  <c r="J1110" i="1"/>
  <c r="A1111" i="1"/>
  <c r="B1109" i="3"/>
  <c r="A1110" i="3"/>
  <c r="C1109" i="3"/>
  <c r="D1109" i="3"/>
  <c r="E1109" i="3"/>
  <c r="B1085" i="2"/>
  <c r="J1085" i="2"/>
  <c r="D1085" i="2"/>
  <c r="C1085" i="2"/>
  <c r="E1085" i="2"/>
  <c r="H1085" i="2"/>
  <c r="I1085" i="2"/>
  <c r="G1085" i="2"/>
  <c r="A1086" i="2"/>
  <c r="F1085" i="2"/>
  <c r="G1111" i="1" l="1"/>
  <c r="P1111" i="1"/>
  <c r="H1111" i="1"/>
  <c r="Q1111" i="1"/>
  <c r="F1111" i="1"/>
  <c r="I1111" i="1"/>
  <c r="J1111" i="1"/>
  <c r="C1111" i="1"/>
  <c r="N1111" i="1"/>
  <c r="L1111" i="1"/>
  <c r="M1111" i="1"/>
  <c r="O1111" i="1"/>
  <c r="A1112" i="1"/>
  <c r="B1111" i="1"/>
  <c r="E1111" i="1"/>
  <c r="D1111" i="1"/>
  <c r="H1086" i="2"/>
  <c r="B1086" i="2"/>
  <c r="J1086" i="2"/>
  <c r="C1086" i="2"/>
  <c r="D1086" i="2"/>
  <c r="E1086" i="2"/>
  <c r="I1086" i="2"/>
  <c r="G1086" i="2"/>
  <c r="A1087" i="2"/>
  <c r="F1086" i="2"/>
  <c r="E1110" i="3"/>
  <c r="B1110" i="3"/>
  <c r="C1110" i="3"/>
  <c r="A1111" i="3"/>
  <c r="D1110" i="3"/>
  <c r="E1111" i="3" l="1"/>
  <c r="A1112" i="3"/>
  <c r="C1111" i="3"/>
  <c r="D1111" i="3"/>
  <c r="B1111" i="3"/>
  <c r="F1087" i="2"/>
  <c r="H1087" i="2"/>
  <c r="C1087" i="2"/>
  <c r="D1087" i="2"/>
  <c r="E1087" i="2"/>
  <c r="J1087" i="2"/>
  <c r="B1087" i="2"/>
  <c r="A1088" i="2"/>
  <c r="G1087" i="2"/>
  <c r="I1087" i="2"/>
  <c r="G1112" i="1"/>
  <c r="P1112" i="1"/>
  <c r="H1112" i="1"/>
  <c r="Q1112" i="1"/>
  <c r="B1112" i="1"/>
  <c r="M1112" i="1"/>
  <c r="C1112" i="1"/>
  <c r="N1112" i="1"/>
  <c r="D1112" i="1"/>
  <c r="O1112" i="1"/>
  <c r="I1112" i="1"/>
  <c r="A1113" i="1"/>
  <c r="F1112" i="1"/>
  <c r="L1112" i="1"/>
  <c r="E1112" i="1"/>
  <c r="J1112" i="1"/>
  <c r="D1088" i="2" l="1"/>
  <c r="F1088" i="2"/>
  <c r="C1088" i="2"/>
  <c r="E1088" i="2"/>
  <c r="G1088" i="2"/>
  <c r="J1088" i="2"/>
  <c r="I1088" i="2"/>
  <c r="A1089" i="2"/>
  <c r="B1088" i="2"/>
  <c r="H1088" i="2"/>
  <c r="G1113" i="1"/>
  <c r="P1113" i="1"/>
  <c r="H1113" i="1"/>
  <c r="Q1113" i="1"/>
  <c r="F1113" i="1"/>
  <c r="I1113" i="1"/>
  <c r="J1113" i="1"/>
  <c r="C1113" i="1"/>
  <c r="N1113" i="1"/>
  <c r="B1113" i="1"/>
  <c r="E1113" i="1"/>
  <c r="D1113" i="1"/>
  <c r="M1113" i="1"/>
  <c r="L1113" i="1"/>
  <c r="O1113" i="1"/>
  <c r="A1114" i="1"/>
  <c r="C1112" i="3"/>
  <c r="B1112" i="3"/>
  <c r="E1112" i="3"/>
  <c r="D1112" i="3"/>
  <c r="A1113" i="3"/>
  <c r="G1114" i="1" l="1"/>
  <c r="P1114" i="1"/>
  <c r="H1114" i="1"/>
  <c r="Q1114" i="1"/>
  <c r="B1114" i="1"/>
  <c r="M1114" i="1"/>
  <c r="N1114" i="1"/>
  <c r="C1114" i="1"/>
  <c r="D1114" i="1"/>
  <c r="O1114" i="1"/>
  <c r="I1114" i="1"/>
  <c r="E1114" i="1"/>
  <c r="F1114" i="1"/>
  <c r="J1114" i="1"/>
  <c r="L1114" i="1"/>
  <c r="A1115" i="1"/>
  <c r="B1089" i="2"/>
  <c r="J1089" i="2"/>
  <c r="D1089" i="2"/>
  <c r="E1089" i="2"/>
  <c r="F1089" i="2"/>
  <c r="G1089" i="2"/>
  <c r="A1090" i="2"/>
  <c r="C1089" i="2"/>
  <c r="I1089" i="2"/>
  <c r="H1089" i="2"/>
  <c r="A1114" i="3"/>
  <c r="D1113" i="3"/>
  <c r="E1113" i="3"/>
  <c r="B1113" i="3"/>
  <c r="C1113" i="3"/>
  <c r="G1115" i="1" l="1"/>
  <c r="P1115" i="1"/>
  <c r="H1115" i="1"/>
  <c r="Q1115" i="1"/>
  <c r="F1115" i="1"/>
  <c r="I1115" i="1"/>
  <c r="J1115" i="1"/>
  <c r="C1115" i="1"/>
  <c r="N1115" i="1"/>
  <c r="L1115" i="1"/>
  <c r="M1115" i="1"/>
  <c r="O1115" i="1"/>
  <c r="B1115" i="1"/>
  <c r="D1115" i="1"/>
  <c r="E1115" i="1"/>
  <c r="H1090" i="2"/>
  <c r="B1090" i="2"/>
  <c r="J1090" i="2"/>
  <c r="E1090" i="2"/>
  <c r="F1090" i="2"/>
  <c r="G1090" i="2"/>
  <c r="A1091" i="2"/>
  <c r="C1090" i="2"/>
  <c r="D1090" i="2"/>
  <c r="I1090" i="2"/>
  <c r="B1114" i="3"/>
  <c r="D1114" i="3"/>
  <c r="C1114" i="3"/>
  <c r="A1115" i="3"/>
  <c r="E1114" i="3"/>
  <c r="F1091" i="2" l="1"/>
  <c r="H1091" i="2"/>
  <c r="E1091" i="2"/>
  <c r="G1091" i="2"/>
  <c r="I1091" i="2"/>
  <c r="B1091" i="2"/>
  <c r="C1091" i="2"/>
  <c r="D1091" i="2"/>
  <c r="J1091" i="2"/>
  <c r="A1092" i="2"/>
  <c r="D1115" i="3"/>
  <c r="C1115" i="3"/>
  <c r="E1115" i="3"/>
  <c r="B1115" i="3"/>
  <c r="D1092" i="2" l="1"/>
  <c r="F1092" i="2"/>
  <c r="G1092" i="2"/>
  <c r="H1092" i="2"/>
  <c r="I1092" i="2"/>
  <c r="B1092" i="2"/>
  <c r="A1093" i="2"/>
  <c r="C1092" i="2"/>
  <c r="E1092" i="2"/>
  <c r="J1092" i="2"/>
  <c r="B1093" i="2" l="1"/>
  <c r="J1093" i="2"/>
  <c r="D1093" i="2"/>
  <c r="G1093" i="2"/>
  <c r="H1093" i="2"/>
  <c r="I1093" i="2"/>
  <c r="C1093" i="2"/>
  <c r="E1093" i="2"/>
  <c r="F1093" i="2"/>
  <c r="A1094" i="2"/>
  <c r="H1094" i="2" l="1"/>
  <c r="B1094" i="2"/>
  <c r="J1094" i="2"/>
  <c r="G1094" i="2"/>
  <c r="I1094" i="2"/>
  <c r="A1095" i="2"/>
  <c r="D1094" i="2"/>
  <c r="E1094" i="2"/>
  <c r="C1094" i="2"/>
  <c r="F1094" i="2"/>
  <c r="F1095" i="2" l="1"/>
  <c r="H1095" i="2"/>
  <c r="I1095" i="2"/>
  <c r="J1095" i="2"/>
  <c r="A1096" i="2"/>
  <c r="D1095" i="2"/>
  <c r="C1095" i="2"/>
  <c r="E1095" i="2"/>
  <c r="G1095" i="2"/>
  <c r="B1095" i="2"/>
  <c r="D1096" i="2" l="1"/>
  <c r="F1096" i="2"/>
  <c r="I1096" i="2"/>
  <c r="J1096" i="2"/>
  <c r="A1097" i="2"/>
  <c r="E1096" i="2"/>
  <c r="G1096" i="2"/>
  <c r="H1096" i="2"/>
  <c r="B1096" i="2"/>
  <c r="C1096" i="2"/>
  <c r="B1097" i="2" l="1"/>
  <c r="J1097" i="2"/>
  <c r="D1097" i="2"/>
  <c r="I1097" i="2"/>
  <c r="A1098" i="2"/>
  <c r="F1097" i="2"/>
  <c r="E1097" i="2"/>
  <c r="G1097" i="2"/>
  <c r="H1097" i="2"/>
  <c r="C1097" i="2"/>
  <c r="H1098" i="2" l="1"/>
  <c r="B1098" i="2"/>
  <c r="J1098" i="2"/>
  <c r="A1099" i="2"/>
  <c r="C1098" i="2"/>
  <c r="F1098" i="2"/>
  <c r="G1098" i="2"/>
  <c r="E1098" i="2"/>
  <c r="I1098" i="2"/>
  <c r="D1098" i="2"/>
  <c r="F1099" i="2" l="1"/>
  <c r="H1099" i="2"/>
  <c r="A1100" i="2"/>
  <c r="B1099" i="2"/>
  <c r="C1099" i="2"/>
  <c r="G1099" i="2"/>
  <c r="E1099" i="2"/>
  <c r="I1099" i="2"/>
  <c r="J1099" i="2"/>
  <c r="D1099" i="2"/>
  <c r="D1100" i="2" l="1"/>
  <c r="F1100" i="2"/>
  <c r="A1101" i="2"/>
  <c r="B1100" i="2"/>
  <c r="C1100" i="2"/>
  <c r="H1100" i="2"/>
  <c r="I1100" i="2"/>
  <c r="J1100" i="2"/>
  <c r="E1100" i="2"/>
  <c r="G1100" i="2"/>
  <c r="B1101" i="2" l="1"/>
  <c r="J1101" i="2"/>
  <c r="D1101" i="2"/>
  <c r="C1101" i="2"/>
  <c r="E1101" i="2"/>
  <c r="H1101" i="2"/>
  <c r="G1101" i="2"/>
  <c r="I1101" i="2"/>
  <c r="A1102" i="2"/>
  <c r="F1101" i="2"/>
  <c r="H1102" i="2" l="1"/>
  <c r="B1102" i="2"/>
  <c r="J1102" i="2"/>
  <c r="C1102" i="2"/>
  <c r="D1102" i="2"/>
  <c r="E1102" i="2"/>
  <c r="I1102" i="2"/>
  <c r="A1103" i="2"/>
  <c r="G1102" i="2"/>
  <c r="F1102" i="2"/>
  <c r="F1103" i="2" l="1"/>
  <c r="H1103" i="2"/>
  <c r="C1103" i="2"/>
  <c r="D1103" i="2"/>
  <c r="E1103" i="2"/>
  <c r="J1103" i="2"/>
  <c r="I1103" i="2"/>
  <c r="A1104" i="2"/>
  <c r="B1103" i="2"/>
  <c r="G1103" i="2"/>
  <c r="D1104" i="2" l="1"/>
  <c r="F1104" i="2"/>
  <c r="C1104" i="2"/>
  <c r="E1104" i="2"/>
  <c r="G1104" i="2"/>
  <c r="J1104" i="2"/>
  <c r="B1104" i="2"/>
  <c r="A1105" i="2"/>
  <c r="H1104" i="2"/>
  <c r="I1104" i="2"/>
  <c r="B1105" i="2" l="1"/>
  <c r="J1105" i="2"/>
  <c r="D1105" i="2"/>
  <c r="E1105" i="2"/>
  <c r="F1105" i="2"/>
  <c r="G1105" i="2"/>
  <c r="A1106" i="2"/>
  <c r="I1105" i="2"/>
  <c r="C1105" i="2"/>
  <c r="H1105" i="2"/>
  <c r="H1106" i="2" l="1"/>
  <c r="B1106" i="2"/>
  <c r="J1106" i="2"/>
  <c r="E1106" i="2"/>
  <c r="F1106" i="2"/>
  <c r="G1106" i="2"/>
  <c r="C1106" i="2"/>
  <c r="D1106" i="2"/>
  <c r="A1107" i="2"/>
  <c r="I1106" i="2"/>
  <c r="F1107" i="2" l="1"/>
  <c r="H1107" i="2"/>
  <c r="E1107" i="2"/>
  <c r="G1107" i="2"/>
  <c r="I1107" i="2"/>
  <c r="B1107" i="2"/>
  <c r="A1108" i="2"/>
  <c r="C1107" i="2"/>
  <c r="D1107" i="2"/>
  <c r="J1107" i="2"/>
  <c r="D1108" i="2" l="1"/>
  <c r="F1108" i="2"/>
  <c r="G1108" i="2"/>
  <c r="H1108" i="2"/>
  <c r="I1108" i="2"/>
  <c r="B1108" i="2"/>
  <c r="C1108" i="2"/>
  <c r="E1108" i="2"/>
  <c r="J1108" i="2"/>
  <c r="A1109" i="2"/>
  <c r="B1109" i="2" l="1"/>
  <c r="J1109" i="2"/>
  <c r="D1109" i="2"/>
  <c r="G1109" i="2"/>
  <c r="H1109" i="2"/>
  <c r="I1109" i="2"/>
  <c r="C1109" i="2"/>
  <c r="E1109" i="2"/>
  <c r="F1109" i="2"/>
  <c r="A1110" i="2"/>
  <c r="H1110" i="2" l="1"/>
  <c r="B1110" i="2"/>
  <c r="J1110" i="2"/>
  <c r="G1110" i="2"/>
  <c r="I1110" i="2"/>
  <c r="A1111" i="2"/>
  <c r="D1110" i="2"/>
  <c r="C1110" i="2"/>
  <c r="E1110" i="2"/>
  <c r="F1110" i="2"/>
  <c r="F1111" i="2" l="1"/>
  <c r="H1111" i="2"/>
  <c r="I1111" i="2"/>
  <c r="J1111" i="2"/>
  <c r="A1112" i="2"/>
  <c r="D1111" i="2"/>
  <c r="E1111" i="2"/>
  <c r="C1111" i="2"/>
  <c r="G1111" i="2"/>
  <c r="B1111" i="2"/>
  <c r="D1112" i="2" l="1"/>
  <c r="F1112" i="2"/>
  <c r="I1112" i="2"/>
  <c r="J1112" i="2"/>
  <c r="A1113" i="2"/>
  <c r="E1112" i="2"/>
  <c r="C1112" i="2"/>
  <c r="G1112" i="2"/>
  <c r="H1112" i="2"/>
  <c r="B1112" i="2"/>
  <c r="B1113" i="2" l="1"/>
  <c r="J1113" i="2"/>
  <c r="D1113" i="2"/>
  <c r="I1113" i="2"/>
  <c r="A1114" i="2"/>
  <c r="F1113" i="2"/>
  <c r="G1113" i="2"/>
  <c r="H1113" i="2"/>
  <c r="C1113" i="2"/>
  <c r="E1113" i="2"/>
  <c r="H1114" i="2" l="1"/>
  <c r="B1114" i="2"/>
  <c r="J1114" i="2"/>
  <c r="A1115" i="2"/>
  <c r="C1114" i="2"/>
  <c r="F1114" i="2"/>
  <c r="E1114" i="2"/>
  <c r="G1114" i="2"/>
  <c r="I1114" i="2"/>
  <c r="D1114" i="2"/>
  <c r="F1115" i="2" l="1"/>
  <c r="H1115" i="2"/>
  <c r="B1115" i="2"/>
  <c r="C1115" i="2"/>
  <c r="G1115" i="2"/>
  <c r="I1115" i="2"/>
  <c r="E1115" i="2"/>
  <c r="J1115" i="2"/>
  <c r="D1115" i="2"/>
</calcChain>
</file>

<file path=xl/sharedStrings.xml><?xml version="1.0" encoding="utf-8"?>
<sst xmlns="http://schemas.openxmlformats.org/spreadsheetml/2006/main" count="136" uniqueCount="69">
  <si>
    <t>MM$</t>
  </si>
  <si>
    <t>$/MMBTU</t>
  </si>
  <si>
    <t>MONTH</t>
  </si>
  <si>
    <t>UPS REPLACEMENT SUNK DEMAND CHARGE</t>
  </si>
  <si>
    <t>BAY GAS STORAGE DEMAND CHARGE</t>
  </si>
  <si>
    <t>SABAL TRAIL &amp; FSC</t>
  </si>
  <si>
    <t>GULF SOUTH</t>
  </si>
  <si>
    <t>TRANSCO 4A</t>
  </si>
  <si>
    <t>SESH</t>
  </si>
  <si>
    <t>GULFSTREAM</t>
  </si>
  <si>
    <t>FGT</t>
  </si>
  <si>
    <t>UPS REPLACEMENT DISPATCH PRICE</t>
  </si>
  <si>
    <t>HENRY HUB</t>
  </si>
  <si>
    <r>
      <t xml:space="preserve">FSC FIRM     FROM                          </t>
    </r>
    <r>
      <rPr>
        <b/>
        <sz val="12"/>
        <color theme="5" tint="-0.249977111117893"/>
        <rFont val="Arial"/>
        <family val="2"/>
      </rPr>
      <t>SABAL TRAIL</t>
    </r>
  </si>
  <si>
    <t>GULFSTREAM NON-FIRM</t>
  </si>
  <si>
    <t>WEIGHTED AVERAGE GULFSTREAM FIRM</t>
  </si>
  <si>
    <t>FGT NON-FIRM</t>
  </si>
  <si>
    <t>WEIGHTED AVERAGE FGT FIRM</t>
  </si>
  <si>
    <t>WEIGHTED AVERAGE Z3 FGT FIRM</t>
  </si>
  <si>
    <t>ZONE 2 FGT FIRM</t>
  </si>
  <si>
    <t>ZONE 1 FGT FIRM</t>
  </si>
  <si>
    <t>FIRM TRANSPORT AND STORAGE CONTRACTS THROUGH FGT PHASE VIII</t>
  </si>
  <si>
    <t>SUNK DEMAND CHARGE FOR ALL CURRENT</t>
  </si>
  <si>
    <t>HIGH</t>
  </si>
  <si>
    <t>LOW</t>
  </si>
  <si>
    <t>November 07, 2016 - MANNY ACOSTA</t>
  </si>
  <si>
    <t>LONG-TERM FORECAST METHODOLOGY - GAS PRICE</t>
  </si>
  <si>
    <t>MMCF/DAY</t>
  </si>
  <si>
    <t>DAYS</t>
  </si>
  <si>
    <t>GULFSTREAM NON-FIRM &amp; NON-FIRM BACKHAUL</t>
  </si>
  <si>
    <t>TOTAL GULFSTREAM FIRM</t>
  </si>
  <si>
    <t>SABAL TRAIL PIPELINE</t>
  </si>
  <si>
    <t>TOTAL FGT FIRM</t>
  </si>
  <si>
    <t>ZONE 3 FGT FIRM</t>
  </si>
  <si>
    <t>FGT FIRM BY ZONE</t>
  </si>
  <si>
    <t>LONG-TERM FORECAST METHODOLOGY - CAPACITY</t>
  </si>
  <si>
    <t>$/BBL.</t>
  </si>
  <si>
    <t>WTI</t>
  </si>
  <si>
    <t>ALL PLANTS DISTILLATE</t>
  </si>
  <si>
    <t>MANATEE / TURKEY POINT RESIDUAL</t>
  </si>
  <si>
    <t>MARTIN RESIDUAL</t>
  </si>
  <si>
    <t>DISTILLATE</t>
  </si>
  <si>
    <t>RESIDUAL</t>
  </si>
  <si>
    <t>LONG-TERM FORECAST METHODOLOGY - OIL PRICE</t>
  </si>
  <si>
    <t>DISPATCH PRICE WITH SO2 &amp; NOx</t>
  </si>
  <si>
    <t>DISPATCH PRICE WITHOUT SO2 &amp; NOx</t>
  </si>
  <si>
    <t>WEIGHTED AVERAGE WITHOUT SO2 &amp; NOx</t>
  </si>
  <si>
    <t>CEDAR BAY</t>
  </si>
  <si>
    <t>ICL</t>
  </si>
  <si>
    <t>ST. JOHNS RIVER POWER PARK</t>
  </si>
  <si>
    <t>PLANT SCHERER UNIT 4</t>
  </si>
  <si>
    <t xml:space="preserve"> </t>
  </si>
  <si>
    <t>WITHOUT NOx</t>
  </si>
  <si>
    <t>WITH NOx</t>
  </si>
  <si>
    <t>Selection</t>
  </si>
  <si>
    <t>Natural Gas</t>
  </si>
  <si>
    <t>WITHOUT SO2 &amp; NOx</t>
  </si>
  <si>
    <t>WITH SO2 &amp; NOx</t>
  </si>
  <si>
    <t>Oil SO2</t>
  </si>
  <si>
    <t>HIGH PRICES</t>
  </si>
  <si>
    <t>MEDIUM PRICES</t>
  </si>
  <si>
    <t>LOW PRICES</t>
  </si>
  <si>
    <t>Coal</t>
  </si>
  <si>
    <t>Heavy &amp; Light Oil</t>
  </si>
  <si>
    <t>SJRPP 000890</t>
  </si>
  <si>
    <t>SJRPP 000891</t>
  </si>
  <si>
    <t>SJRPP 000892</t>
  </si>
  <si>
    <t>SJRPP 000893</t>
  </si>
  <si>
    <t>SJRPP 000894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</si>
</sst>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0_)"/>
    <numFmt numFmtId="166" formatCode="&quot;$&quot;#,##0.00"/>
    <numFmt numFmtId="167" formatCode="&quot;$&quot;#,##0.0"/>
    <numFmt numFmtId="168" formatCode="&quot;$&quot;#,##0.0_);[Red]\(&quot;$&quot;#,##0.0\)"/>
    <numFmt numFmtId="169" formatCode="[$-409]mmm\-yy;@"/>
    <numFmt numFmtId="170" formatCode="0.0000"/>
    <numFmt numFmtId="171" formatCode="0.0"/>
    <numFmt numFmtId="172" formatCode="_(* #,##0_);_(* \(#,##0\);_(* &quot;-&quot;??_);_(@_)"/>
  </numFmts>
  <fonts count="20">
    <font>
      <sz val="12"/>
      <name val="Helv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Helv"/>
    </font>
    <font>
      <sz val="12"/>
      <color indexed="12"/>
      <name val="Arial"/>
      <family val="2"/>
    </font>
    <font>
      <b/>
      <sz val="12"/>
      <name val="Arial"/>
      <family val="2"/>
    </font>
    <font>
      <b/>
      <sz val="12"/>
      <color theme="5" tint="-0.249977111117893"/>
      <name val="Arial"/>
      <family val="2"/>
    </font>
    <font>
      <b/>
      <sz val="12"/>
      <color rgb="FF00B0F0"/>
      <name val="Arial"/>
      <family val="2"/>
    </font>
    <font>
      <b/>
      <u/>
      <sz val="16"/>
      <name val="Arial"/>
      <family val="2"/>
    </font>
    <font>
      <sz val="9"/>
      <name val="Geneva"/>
    </font>
    <font>
      <b/>
      <sz val="10"/>
      <color rgb="FF00B0F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17"/>
      <name val="Arial"/>
      <family val="2"/>
    </font>
    <font>
      <b/>
      <u val="singleAccounting"/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2"/>
      <color indexed="12"/>
      <name val="Helv"/>
    </font>
    <font>
      <b/>
      <sz val="12"/>
      <name val="Helv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164" fontId="0" fillId="0" borderId="0">
      <alignment horizontal="left" wrapText="1"/>
    </xf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4" fillId="0" borderId="0"/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>
      <alignment wrapText="1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2" fillId="0" borderId="0">
      <alignment wrapText="1"/>
    </xf>
    <xf numFmtId="0" fontId="1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wrapText="1"/>
    </xf>
    <xf numFmtId="0" fontId="2" fillId="0" borderId="0">
      <alignment wrapText="1"/>
    </xf>
    <xf numFmtId="0" fontId="2" fillId="0" borderId="0">
      <alignment wrapText="1"/>
    </xf>
    <xf numFmtId="0" fontId="2" fillId="0" borderId="0">
      <alignment wrapText="1"/>
    </xf>
    <xf numFmtId="0" fontId="1" fillId="0" borderId="0"/>
    <xf numFmtId="0" fontId="1" fillId="0" borderId="0"/>
  </cellStyleXfs>
  <cellXfs count="94">
    <xf numFmtId="164" fontId="0" fillId="0" borderId="0" xfId="0">
      <alignment horizontal="left" wrapText="1"/>
    </xf>
    <xf numFmtId="0" fontId="3" fillId="0" borderId="0" xfId="3" applyFont="1"/>
    <xf numFmtId="0" fontId="3" fillId="0" borderId="0" xfId="3" applyFont="1" applyAlignment="1">
      <alignment horizontal="center"/>
    </xf>
    <xf numFmtId="165" fontId="3" fillId="0" borderId="0" xfId="0" applyNumberFormat="1" applyFont="1" applyAlignment="1">
      <alignment horizontal="center"/>
    </xf>
    <xf numFmtId="166" fontId="3" fillId="0" borderId="0" xfId="3" applyNumberFormat="1" applyFont="1" applyAlignment="1">
      <alignment horizontal="center"/>
    </xf>
    <xf numFmtId="167" fontId="3" fillId="0" borderId="0" xfId="3" applyNumberFormat="1" applyFont="1" applyAlignment="1">
      <alignment horizontal="center"/>
    </xf>
    <xf numFmtId="167" fontId="3" fillId="0" borderId="0" xfId="3" applyNumberFormat="1" applyFont="1"/>
    <xf numFmtId="166" fontId="3" fillId="0" borderId="0" xfId="3" applyNumberFormat="1" applyFont="1"/>
    <xf numFmtId="166" fontId="3" fillId="2" borderId="0" xfId="3" applyNumberFormat="1" applyFont="1" applyFill="1" applyAlignment="1">
      <alignment horizontal="center"/>
    </xf>
    <xf numFmtId="168" fontId="3" fillId="0" borderId="0" xfId="3" applyNumberFormat="1" applyFont="1" applyAlignment="1">
      <alignment horizontal="center"/>
    </xf>
    <xf numFmtId="165" fontId="3" fillId="0" borderId="0" xfId="0" applyNumberFormat="1" applyFont="1" applyAlignment="1"/>
    <xf numFmtId="167" fontId="5" fillId="0" borderId="0" xfId="3" applyNumberFormat="1" applyFont="1" applyAlignment="1">
      <alignment horizontal="center"/>
    </xf>
    <xf numFmtId="166" fontId="6" fillId="2" borderId="0" xfId="3" applyNumberFormat="1" applyFont="1" applyFill="1" applyAlignment="1">
      <alignment horizontal="center"/>
    </xf>
    <xf numFmtId="17" fontId="3" fillId="0" borderId="0" xfId="0" applyNumberFormat="1" applyFont="1" applyAlignment="1">
      <alignment horizontal="center"/>
    </xf>
    <xf numFmtId="169" fontId="3" fillId="0" borderId="0" xfId="0" applyNumberFormat="1" applyFont="1" applyAlignment="1">
      <alignment horizontal="center"/>
    </xf>
    <xf numFmtId="0" fontId="3" fillId="0" borderId="0" xfId="3" applyFont="1" applyAlignment="1">
      <alignment horizontal="center" wrapText="1"/>
    </xf>
    <xf numFmtId="0" fontId="6" fillId="3" borderId="0" xfId="3" applyFont="1" applyFill="1" applyAlignment="1">
      <alignment horizontal="center" wrapText="1"/>
    </xf>
    <xf numFmtId="0" fontId="6" fillId="0" borderId="0" xfId="3" applyFont="1" applyAlignment="1">
      <alignment horizontal="center" wrapText="1"/>
    </xf>
    <xf numFmtId="0" fontId="6" fillId="2" borderId="0" xfId="3" applyFont="1" applyFill="1" applyAlignment="1">
      <alignment horizontal="center" wrapText="1"/>
    </xf>
    <xf numFmtId="0" fontId="6" fillId="3" borderId="0" xfId="3" quotePrefix="1" applyFont="1" applyFill="1" applyAlignment="1">
      <alignment horizontal="center" wrapText="1"/>
    </xf>
    <xf numFmtId="0" fontId="6" fillId="0" borderId="0" xfId="3" quotePrefix="1" applyFont="1" applyAlignment="1">
      <alignment horizontal="center" wrapText="1"/>
    </xf>
    <xf numFmtId="0" fontId="6" fillId="0" borderId="0" xfId="3" applyFont="1" applyAlignment="1">
      <alignment horizontal="center"/>
    </xf>
    <xf numFmtId="0" fontId="6" fillId="0" borderId="0" xfId="3" applyFont="1" applyAlignment="1"/>
    <xf numFmtId="10" fontId="8" fillId="4" borderId="0" xfId="3" applyNumberFormat="1" applyFont="1" applyFill="1" applyAlignment="1">
      <alignment horizontal="center"/>
    </xf>
    <xf numFmtId="0" fontId="6" fillId="4" borderId="0" xfId="3" applyFont="1" applyFill="1" applyAlignment="1">
      <alignment horizontal="center"/>
    </xf>
    <xf numFmtId="170" fontId="3" fillId="0" borderId="0" xfId="3" applyNumberFormat="1" applyFont="1"/>
    <xf numFmtId="1" fontId="3" fillId="0" borderId="0" xfId="3" applyNumberFormat="1" applyFont="1"/>
    <xf numFmtId="15" fontId="6" fillId="0" borderId="0" xfId="3" applyNumberFormat="1" applyFont="1" applyAlignment="1">
      <alignment horizontal="left"/>
    </xf>
    <xf numFmtId="165" fontId="9" fillId="0" borderId="0" xfId="0" quotePrefix="1" applyNumberFormat="1" applyFont="1" applyAlignment="1">
      <alignment horizontal="left"/>
    </xf>
    <xf numFmtId="0" fontId="2" fillId="0" borderId="0" xfId="3" applyFont="1"/>
    <xf numFmtId="0" fontId="2" fillId="0" borderId="0" xfId="3" applyFont="1" applyAlignment="1">
      <alignment horizontal="center"/>
    </xf>
    <xf numFmtId="0" fontId="2" fillId="0" borderId="0" xfId="3"/>
    <xf numFmtId="1" fontId="3" fillId="0" borderId="0" xfId="3" applyNumberFormat="1" applyFont="1" applyAlignment="1">
      <alignment horizontal="center"/>
    </xf>
    <xf numFmtId="1" fontId="2" fillId="0" borderId="0" xfId="3" applyNumberFormat="1" applyFont="1" applyAlignment="1">
      <alignment horizontal="center"/>
    </xf>
    <xf numFmtId="1" fontId="3" fillId="5" borderId="0" xfId="3" applyNumberFormat="1" applyFont="1" applyFill="1" applyAlignment="1">
      <alignment horizontal="center"/>
    </xf>
    <xf numFmtId="3" fontId="3" fillId="0" borderId="0" xfId="3" applyNumberFormat="1" applyFont="1" applyAlignment="1">
      <alignment horizontal="center"/>
    </xf>
    <xf numFmtId="3" fontId="3" fillId="5" borderId="0" xfId="3" applyNumberFormat="1" applyFont="1" applyFill="1" applyAlignment="1">
      <alignment horizontal="center"/>
    </xf>
    <xf numFmtId="171" fontId="6" fillId="6" borderId="0" xfId="3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1" fontId="3" fillId="0" borderId="0" xfId="0" applyNumberFormat="1" applyFont="1" applyAlignment="1"/>
    <xf numFmtId="1" fontId="6" fillId="0" borderId="0" xfId="3" applyNumberFormat="1" applyFont="1" applyFill="1" applyAlignment="1">
      <alignment horizontal="center"/>
    </xf>
    <xf numFmtId="1" fontId="3" fillId="0" borderId="0" xfId="0" applyNumberFormat="1" applyFont="1" applyAlignment="1">
      <alignment horizontal="center"/>
    </xf>
    <xf numFmtId="172" fontId="3" fillId="0" borderId="0" xfId="0" applyNumberFormat="1" applyFont="1" applyAlignment="1"/>
    <xf numFmtId="0" fontId="6" fillId="0" borderId="0" xfId="3" applyFont="1" applyFill="1" applyAlignment="1">
      <alignment horizontal="center" wrapText="1"/>
    </xf>
    <xf numFmtId="0" fontId="6" fillId="6" borderId="0" xfId="3" applyFont="1" applyFill="1" applyAlignment="1">
      <alignment horizontal="center" wrapText="1"/>
    </xf>
    <xf numFmtId="0" fontId="6" fillId="2" borderId="0" xfId="3" quotePrefix="1" applyFont="1" applyFill="1" applyAlignment="1">
      <alignment horizontal="center" wrapText="1"/>
    </xf>
    <xf numFmtId="0" fontId="6" fillId="0" borderId="0" xfId="3" quotePrefix="1" applyFont="1" applyFill="1" applyAlignment="1">
      <alignment horizontal="center"/>
    </xf>
    <xf numFmtId="0" fontId="6" fillId="0" borderId="0" xfId="3" applyFont="1" applyFill="1" applyAlignment="1">
      <alignment horizontal="center"/>
    </xf>
    <xf numFmtId="0" fontId="6" fillId="0" borderId="0" xfId="3" applyFont="1" applyFill="1" applyAlignment="1"/>
    <xf numFmtId="0" fontId="6" fillId="7" borderId="0" xfId="3" applyFont="1" applyFill="1" applyAlignment="1">
      <alignment horizontal="center"/>
    </xf>
    <xf numFmtId="0" fontId="6" fillId="0" borderId="0" xfId="3" applyFont="1"/>
    <xf numFmtId="0" fontId="2" fillId="0" borderId="0" xfId="3" applyFont="1" applyAlignment="1">
      <alignment horizontal="center" wrapText="1"/>
    </xf>
    <xf numFmtId="0" fontId="6" fillId="0" borderId="0" xfId="3" quotePrefix="1" applyFont="1" applyFill="1" applyAlignment="1">
      <alignment horizontal="center" wrapText="1"/>
    </xf>
    <xf numFmtId="0" fontId="6" fillId="5" borderId="0" xfId="3" applyFont="1" applyFill="1" applyAlignment="1"/>
    <xf numFmtId="15" fontId="6" fillId="0" borderId="0" xfId="3" applyNumberFormat="1" applyFont="1" applyFill="1" applyAlignment="1">
      <alignment horizontal="left"/>
    </xf>
    <xf numFmtId="9" fontId="11" fillId="10" borderId="0" xfId="2" applyFont="1" applyFill="1" applyAlignment="1">
      <alignment horizontal="center"/>
    </xf>
    <xf numFmtId="0" fontId="12" fillId="10" borderId="0" xfId="3" applyFont="1" applyFill="1" applyAlignment="1">
      <alignment horizontal="center"/>
    </xf>
    <xf numFmtId="0" fontId="2" fillId="0" borderId="0" xfId="3" applyFont="1" applyFill="1"/>
    <xf numFmtId="0" fontId="13" fillId="0" borderId="0" xfId="3" applyFont="1" applyFill="1"/>
    <xf numFmtId="0" fontId="14" fillId="0" borderId="0" xfId="3" quotePrefix="1" applyFont="1" applyFill="1" applyAlignment="1">
      <alignment horizontal="left"/>
    </xf>
    <xf numFmtId="166" fontId="3" fillId="0" borderId="0" xfId="0" applyNumberFormat="1" applyFont="1" applyAlignment="1">
      <alignment horizontal="center"/>
    </xf>
    <xf numFmtId="166" fontId="3" fillId="0" borderId="0" xfId="1" applyNumberFormat="1" applyFont="1" applyAlignment="1">
      <alignment horizontal="center"/>
    </xf>
    <xf numFmtId="44" fontId="15" fillId="0" borderId="0" xfId="1" applyFont="1" applyAlignment="1">
      <alignment horizontal="center"/>
    </xf>
    <xf numFmtId="44" fontId="6" fillId="0" borderId="0" xfId="1" applyFont="1" applyAlignment="1">
      <alignment horizontal="center"/>
    </xf>
    <xf numFmtId="165" fontId="6" fillId="0" borderId="0" xfId="0" applyNumberFormat="1" applyFont="1" applyFill="1" applyAlignment="1">
      <alignment horizontal="center"/>
    </xf>
    <xf numFmtId="165" fontId="6" fillId="11" borderId="0" xfId="0" quotePrefix="1" applyNumberFormat="1" applyFont="1" applyFill="1" applyAlignment="1">
      <alignment horizontal="center" vertical="center" wrapText="1"/>
    </xf>
    <xf numFmtId="165" fontId="6" fillId="2" borderId="0" xfId="0" quotePrefix="1" applyNumberFormat="1" applyFont="1" applyFill="1" applyAlignment="1">
      <alignment horizontal="center" vertical="center" wrapText="1"/>
    </xf>
    <xf numFmtId="165" fontId="6" fillId="7" borderId="0" xfId="0" quotePrefix="1" applyNumberFormat="1" applyFont="1" applyFill="1" applyAlignment="1">
      <alignment horizontal="center" vertical="center" wrapText="1"/>
    </xf>
    <xf numFmtId="0" fontId="16" fillId="0" borderId="0" xfId="3" applyFont="1"/>
    <xf numFmtId="10" fontId="8" fillId="4" borderId="0" xfId="3" quotePrefix="1" applyNumberFormat="1" applyFont="1" applyFill="1" applyAlignment="1">
      <alignment horizontal="center"/>
    </xf>
    <xf numFmtId="15" fontId="6" fillId="4" borderId="0" xfId="3" applyNumberFormat="1" applyFont="1" applyFill="1" applyAlignment="1">
      <alignment horizontal="left"/>
    </xf>
    <xf numFmtId="15" fontId="6" fillId="0" borderId="0" xfId="3" quotePrefix="1" applyNumberFormat="1" applyFont="1" applyAlignment="1">
      <alignment horizontal="left"/>
    </xf>
    <xf numFmtId="0" fontId="17" fillId="0" borderId="0" xfId="3" applyFont="1"/>
    <xf numFmtId="165" fontId="0" fillId="0" borderId="0" xfId="0" applyNumberFormat="1" applyAlignment="1"/>
    <xf numFmtId="43" fontId="0" fillId="0" borderId="0" xfId="30" applyFont="1" applyAlignment="1"/>
    <xf numFmtId="165" fontId="0" fillId="0" borderId="0" xfId="0" quotePrefix="1" applyNumberFormat="1" applyAlignment="1"/>
    <xf numFmtId="165" fontId="18" fillId="0" borderId="1" xfId="0" quotePrefix="1" applyNumberFormat="1" applyFont="1" applyBorder="1" applyAlignment="1">
      <alignment horizontal="left"/>
    </xf>
    <xf numFmtId="165" fontId="18" fillId="0" borderId="3" xfId="0" quotePrefix="1" applyNumberFormat="1" applyFont="1" applyBorder="1" applyAlignment="1">
      <alignment horizontal="left"/>
    </xf>
    <xf numFmtId="165" fontId="19" fillId="0" borderId="4" xfId="0" applyNumberFormat="1" applyFont="1" applyBorder="1" applyAlignment="1"/>
    <xf numFmtId="165" fontId="18" fillId="0" borderId="1" xfId="0" applyNumberFormat="1" applyFont="1" applyBorder="1" applyAlignment="1"/>
    <xf numFmtId="165" fontId="18" fillId="0" borderId="3" xfId="0" applyNumberFormat="1" applyFont="1" applyBorder="1" applyAlignment="1"/>
    <xf numFmtId="0" fontId="6" fillId="3" borderId="0" xfId="3" quotePrefix="1" applyFont="1" applyFill="1" applyAlignment="1">
      <alignment horizontal="center"/>
    </xf>
    <xf numFmtId="0" fontId="6" fillId="8" borderId="0" xfId="3" quotePrefix="1" applyFont="1" applyFill="1" applyAlignment="1">
      <alignment horizontal="center"/>
    </xf>
    <xf numFmtId="0" fontId="6" fillId="9" borderId="0" xfId="3" applyFont="1" applyFill="1" applyAlignment="1">
      <alignment horizontal="center"/>
    </xf>
    <xf numFmtId="165" fontId="6" fillId="8" borderId="0" xfId="0" quotePrefix="1" applyNumberFormat="1" applyFont="1" applyFill="1" applyAlignment="1">
      <alignment horizontal="center"/>
    </xf>
    <xf numFmtId="0" fontId="6" fillId="0" borderId="0" xfId="3" applyFont="1" applyAlignment="1">
      <alignment horizontal="center"/>
    </xf>
    <xf numFmtId="0" fontId="6" fillId="6" borderId="0" xfId="3" quotePrefix="1" applyFont="1" applyFill="1" applyAlignment="1">
      <alignment horizontal="center"/>
    </xf>
    <xf numFmtId="0" fontId="6" fillId="6" borderId="0" xfId="3" applyFont="1" applyFill="1" applyAlignment="1">
      <alignment horizontal="center"/>
    </xf>
    <xf numFmtId="0" fontId="6" fillId="8" borderId="0" xfId="3" applyFont="1" applyFill="1" applyAlignment="1">
      <alignment horizontal="center"/>
    </xf>
    <xf numFmtId="165" fontId="18" fillId="0" borderId="2" xfId="0" applyNumberFormat="1" applyFont="1" applyBorder="1" applyAlignment="1">
      <alignment horizontal="center" vertical="center"/>
    </xf>
    <xf numFmtId="165" fontId="18" fillId="0" borderId="1" xfId="0" applyNumberFormat="1" applyFont="1" applyBorder="1" applyAlignment="1">
      <alignment horizontal="center" vertical="center"/>
    </xf>
    <xf numFmtId="165" fontId="18" fillId="0" borderId="3" xfId="0" applyNumberFormat="1" applyFont="1" applyBorder="1" applyAlignment="1">
      <alignment horizontal="center" vertical="center"/>
    </xf>
    <xf numFmtId="0" fontId="12" fillId="0" borderId="0" xfId="3" applyFont="1"/>
    <xf numFmtId="165" fontId="12" fillId="0" borderId="0" xfId="0" applyNumberFormat="1" applyFont="1" applyAlignment="1"/>
  </cellXfs>
  <cellStyles count="64">
    <cellStyle name="_x0013_" xfId="4"/>
    <cellStyle name="_CC Oil" xfId="5"/>
    <cellStyle name="_DSO Oil" xfId="6"/>
    <cellStyle name="_FLCC Oil" xfId="7"/>
    <cellStyle name="_FLPEGT Oil" xfId="8"/>
    <cellStyle name="_FMCT Oil" xfId="9"/>
    <cellStyle name="_GTDW_DataTemplate" xfId="10"/>
    <cellStyle name="_Gulfstream Gas" xfId="11"/>
    <cellStyle name="_MR .7 Oil" xfId="12"/>
    <cellStyle name="_MR 1 Oil" xfId="13"/>
    <cellStyle name="_MRCT Oil" xfId="14"/>
    <cellStyle name="_MT Gulfstream Gas" xfId="15"/>
    <cellStyle name="_MT Oil" xfId="16"/>
    <cellStyle name="_OLCT Oil" xfId="17"/>
    <cellStyle name="_PE Oil" xfId="18"/>
    <cellStyle name="_PN Oil" xfId="19"/>
    <cellStyle name="_RV Oil" xfId="20"/>
    <cellStyle name="_SHCT Oil" xfId="21"/>
    <cellStyle name="_SN Oil" xfId="22"/>
    <cellStyle name="_TP Oil" xfId="23"/>
    <cellStyle name="Comma 2" xfId="24"/>
    <cellStyle name="Comma 3" xfId="25"/>
    <cellStyle name="Comma 3 2" xfId="26"/>
    <cellStyle name="Comma 3 2 2" xfId="27"/>
    <cellStyle name="Comma 3 3" xfId="28"/>
    <cellStyle name="Comma 4" xfId="29"/>
    <cellStyle name="Comma 4 2" xfId="30"/>
    <cellStyle name="Comma 5" xfId="31"/>
    <cellStyle name="Currency" xfId="1" builtinId="4"/>
    <cellStyle name="Normal" xfId="0" builtinId="0"/>
    <cellStyle name="Normal 10" xfId="32"/>
    <cellStyle name="Normal 10 2" xfId="33"/>
    <cellStyle name="Normal 2" xfId="34"/>
    <cellStyle name="Normal 2 2" xfId="35"/>
    <cellStyle name="Normal 2 2 2" xfId="36"/>
    <cellStyle name="Normal 2 2 2 2" xfId="37"/>
    <cellStyle name="Normal 2 2 3" xfId="38"/>
    <cellStyle name="Normal 2 3" xfId="39"/>
    <cellStyle name="Normal 2 3 2" xfId="40"/>
    <cellStyle name="Normal 2 3 2 2" xfId="41"/>
    <cellStyle name="Normal 2 3 3" xfId="42"/>
    <cellStyle name="Normal 2 4" xfId="43"/>
    <cellStyle name="Normal 2 4 2" xfId="44"/>
    <cellStyle name="Normal 2 4 2 2" xfId="45"/>
    <cellStyle name="Normal 2 4 3" xfId="46"/>
    <cellStyle name="Normal 2 5" xfId="47"/>
    <cellStyle name="Normal 2 6" xfId="48"/>
    <cellStyle name="Normal 2 6 2" xfId="49"/>
    <cellStyle name="Normal 2 7" xfId="50"/>
    <cellStyle name="Normal 2 8" xfId="51"/>
    <cellStyle name="Normal 3" xfId="52"/>
    <cellStyle name="Normal 4" xfId="53"/>
    <cellStyle name="Normal 5" xfId="54"/>
    <cellStyle name="Normal 5 2" xfId="55"/>
    <cellStyle name="Normal 5 2 2" xfId="56"/>
    <cellStyle name="Normal 5 3" xfId="57"/>
    <cellStyle name="Normal 6" xfId="58"/>
    <cellStyle name="Normal 6 2" xfId="59"/>
    <cellStyle name="Normal 7" xfId="60"/>
    <cellStyle name="Normal 7 2" xfId="61"/>
    <cellStyle name="Normal 8" xfId="62"/>
    <cellStyle name="Normal 9" xfId="63"/>
    <cellStyle name="Normal_060415 RAP Fuel Price Forecast Template - Case 1 (Historical Spread)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3" dropStyle="combo" dx="18" fmlaLink="CONTROL!$C$12" fmlaRange="CONTROL!$B$12:$B$14" sel="2" val="0"/>
</file>

<file path=xl/ctrlProps/ctrlProp2.xml><?xml version="1.0" encoding="utf-8"?>
<formControlPr xmlns="http://schemas.microsoft.com/office/spreadsheetml/2009/9/main" objectType="Drop" dropLines="2" dropStyle="combo" dx="18" fmlaLink="CONTROL!$C$29" fmlaRange="CONTROL!$B$29:$B$30" sel="2" val="0"/>
</file>

<file path=xl/ctrlProps/ctrlProp3.xml><?xml version="1.0" encoding="utf-8"?>
<formControlPr xmlns="http://schemas.microsoft.com/office/spreadsheetml/2009/9/main" objectType="Drop" dropLines="3" dropStyle="combo" dx="18" fmlaLink="CONTROL!$C$6" fmlaRange="CONTROL!$B$6:$B$8" sel="2" val="0"/>
</file>

<file path=xl/ctrlProps/ctrlProp4.xml><?xml version="1.0" encoding="utf-8"?>
<formControlPr xmlns="http://schemas.microsoft.com/office/spreadsheetml/2009/9/main" objectType="Drop" dropLines="2" dropStyle="combo" dx="18" fmlaLink="CONTROL!$C$25" fmlaRange="CONTROL!$B$25:$B$26" sel="2" val="0"/>
</file>

<file path=xl/ctrlProps/ctrlProp5.xml><?xml version="1.0" encoding="utf-8"?>
<formControlPr xmlns="http://schemas.microsoft.com/office/spreadsheetml/2009/9/main" objectType="Drop" dropLines="3" dropStyle="combo" dx="18" fmlaLink="CONTROL!$C$19" fmlaRange="CONTROL!$B$19:$B$2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144780</xdr:rowOff>
        </xdr:from>
        <xdr:to>
          <xdr:col>4</xdr:col>
          <xdr:colOff>533400</xdr:colOff>
          <xdr:row>6</xdr:row>
          <xdr:rowOff>60960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4</xdr:row>
          <xdr:rowOff>144780</xdr:rowOff>
        </xdr:from>
        <xdr:to>
          <xdr:col>6</xdr:col>
          <xdr:colOff>259080</xdr:colOff>
          <xdr:row>6</xdr:row>
          <xdr:rowOff>45720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2</xdr:row>
          <xdr:rowOff>182880</xdr:rowOff>
        </xdr:from>
        <xdr:to>
          <xdr:col>2</xdr:col>
          <xdr:colOff>670560</xdr:colOff>
          <xdr:row>4</xdr:row>
          <xdr:rowOff>99060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</xdr:row>
          <xdr:rowOff>182880</xdr:rowOff>
        </xdr:from>
        <xdr:to>
          <xdr:col>4</xdr:col>
          <xdr:colOff>373380</xdr:colOff>
          <xdr:row>4</xdr:row>
          <xdr:rowOff>83820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4</xdr:row>
          <xdr:rowOff>45720</xdr:rowOff>
        </xdr:from>
        <xdr:to>
          <xdr:col>6</xdr:col>
          <xdr:colOff>381000</xdr:colOff>
          <xdr:row>5</xdr:row>
          <xdr:rowOff>144780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Home.RemoteAccess.hab0ptk\0600911%20-%20SJRPP%20Solid%20Fuel%20Historic%20Prices%20-%20Commodity%20&amp;%20Ra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Home.RemoteAccess.exu0ocl\040609%20FUEL%20COST%20RECOVERY%20-%20IRP%20SHORT%20&amp;%20LONG-TERM%20FOSSIL%20FUEL%20PRICE%20FORECAS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xc0a5h\AppData\Local\Microsoft\Windows\Temporary%20Internet%20Files\Content.Outlook\GMEOWOMZ\161107%202016%20-%202100%20LONG-TERM%20FORECAST%20FPL%20METHODOLOGY%20-%20To%20Delet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Index%20Analysi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wer%20REG\GenTrader%20Data\Weekly%20Long%20Run\040914\Inputs\GTDW_Data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 - $ Per Ton - Q"/>
      <sheetName val="Chart 2 - $ Per MMBtu - Q"/>
      <sheetName val="Chart 3 - $ Per Ton - A"/>
      <sheetName val="Chart 4 - $ Per MMBtu - A"/>
      <sheetName val="History Delivered"/>
      <sheetName val="History Mine Mouth"/>
      <sheetName val="HIS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L OIL BACKUP 2"/>
      <sheetName val="GRAPH DATA"/>
      <sheetName val="CURRENT FPL VS. FCR FORECAST"/>
      <sheetName val="CURRENT VS. PREVIOUS FPL FORE."/>
      <sheetName val="CURRENT FPL VS. PIRA FORECAST"/>
      <sheetName val="FPL FORECAST VS. FORWARD CURVE"/>
      <sheetName val="FPL MOST LIKELY OIL BACKUP 1"/>
      <sheetName val="COMPARISON OF DISPATCH PRICES"/>
      <sheetName val="FOSSIL FUEL GRAPH"/>
      <sheetName val="MOST LIKELY OIL FORECAST UPDATE"/>
      <sheetName val="MOST LIKELY OIL PRICE FORECAST"/>
      <sheetName val="LOW PRICE OIL FORECAST"/>
      <sheetName val="HIGH PRICE OIL FORECAST"/>
      <sheetName val="WEEKLY GAS FORECAST UPDATE"/>
      <sheetName val="MOST LIKELY GAS PRICE &amp; AVAIL"/>
      <sheetName val="MOST LIKELY COAL &amp; PET COKE"/>
      <sheetName val="FPL MOST LIKELY GAS BACKUP 2"/>
      <sheetName val="FPL MOST LIKELY GAS BACKUP 1"/>
      <sheetName val="FPL LOW PRICE GAS BACKUP 1"/>
      <sheetName val="FPL HIGH PRICE GAS BACKUP 1"/>
      <sheetName val="LOW PRICE GAS &amp; AVAILABILITY"/>
      <sheetName val="HIGH PRICE GAS &amp; AVAILABIL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W Curves"/>
      <sheetName val="Pub Index"/>
      <sheetName val="_Setup_"/>
      <sheetName val="FPL LONG TERM GAS &amp; OIL INDEX"/>
      <sheetName val="OIL &amp; GAS SEASONALITY"/>
      <sheetName val="DEMAND CHARGE CONTROL SHEET"/>
      <sheetName val="CAPACITY"/>
      <sheetName val="GAS AVAILABILITY WORKSHEET"/>
      <sheetName val="NATURAL GAS PRICES WORKSHEET"/>
      <sheetName val="FGT NON-FIRM"/>
      <sheetName val="Commodity Price"/>
      <sheetName val="DEMAND CHARGE"/>
      <sheetName val="GAS BASIS"/>
      <sheetName val="TRANSPORT"/>
      <sheetName val="GULFSTREAM FIRM "/>
      <sheetName val="GULFSTREAM NON-FIRM"/>
      <sheetName val="UPS REPLACEMENT"/>
      <sheetName val="Upload"/>
      <sheetName val="DISTILLATE &amp; RESIDUAL FUEL OIL"/>
      <sheetName val="FGT PRIMARY FIRM ZONE 1"/>
      <sheetName val="FGT PRIMARY FIRM ZONE 2"/>
      <sheetName val="FGT PRIMARY FIRM ZONE 3"/>
      <sheetName val="INCREMENTAL Z3"/>
      <sheetName val="GULF SOUTH"/>
      <sheetName val="TRANSCO 4A"/>
      <sheetName val="SESH"/>
      <sheetName val="SABAL TRAIL - FSC"/>
      <sheetName val="DISPATCH SUMMARY SHEET"/>
      <sheetName val="COAL &amp; PET COKE FORECAST"/>
      <sheetName val="COAL - Monthly"/>
      <sheetName val="COAL SO2 &amp; NOX Calculations"/>
      <sheetName val="COAL - Monthly OLD"/>
      <sheetName val="Chang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-Data"/>
      <sheetName val="Misc-Data"/>
      <sheetName val="IndexAnalysis"/>
      <sheetName val="Nat Gas Strips "/>
      <sheetName val="Module2"/>
      <sheetName val="FeedLiveData"/>
    </sheetNames>
    <sheetDataSet>
      <sheetData sheetId="0" refreshError="1">
        <row r="2">
          <cell r="A2" t="str">
            <v>INDEX PRICE LOG</v>
          </cell>
        </row>
        <row r="3">
          <cell r="C3">
            <v>11</v>
          </cell>
          <cell r="D3">
            <v>12</v>
          </cell>
          <cell r="E3">
            <v>1</v>
          </cell>
          <cell r="F3">
            <v>2</v>
          </cell>
          <cell r="G3">
            <v>3</v>
          </cell>
          <cell r="H3">
            <v>4</v>
          </cell>
          <cell r="I3">
            <v>5</v>
          </cell>
          <cell r="J3">
            <v>6</v>
          </cell>
          <cell r="K3">
            <v>7</v>
          </cell>
          <cell r="L3">
            <v>8</v>
          </cell>
          <cell r="M3">
            <v>9</v>
          </cell>
          <cell r="N3">
            <v>10</v>
          </cell>
          <cell r="O3">
            <v>11</v>
          </cell>
          <cell r="P3">
            <v>12</v>
          </cell>
          <cell r="Q3">
            <v>1</v>
          </cell>
          <cell r="R3">
            <v>2</v>
          </cell>
          <cell r="S3">
            <v>3</v>
          </cell>
          <cell r="T3">
            <v>4</v>
          </cell>
          <cell r="U3">
            <v>5</v>
          </cell>
          <cell r="V3">
            <v>6</v>
          </cell>
          <cell r="W3">
            <v>7</v>
          </cell>
          <cell r="X3">
            <v>8</v>
          </cell>
          <cell r="Y3">
            <v>9</v>
          </cell>
          <cell r="Z3">
            <v>10</v>
          </cell>
          <cell r="AA3">
            <v>11</v>
          </cell>
          <cell r="AB3">
            <v>12</v>
          </cell>
          <cell r="AC3">
            <v>1</v>
          </cell>
          <cell r="AD3">
            <v>2</v>
          </cell>
          <cell r="AE3">
            <v>3</v>
          </cell>
          <cell r="AF3">
            <v>4</v>
          </cell>
          <cell r="AG3">
            <v>5</v>
          </cell>
          <cell r="AH3">
            <v>6</v>
          </cell>
          <cell r="AI3">
            <v>7</v>
          </cell>
          <cell r="AJ3">
            <v>8</v>
          </cell>
          <cell r="AK3">
            <v>9</v>
          </cell>
          <cell r="AL3">
            <v>10</v>
          </cell>
          <cell r="AM3">
            <v>11</v>
          </cell>
          <cell r="AN3">
            <v>12</v>
          </cell>
          <cell r="AO3">
            <v>1</v>
          </cell>
          <cell r="AP3">
            <v>2</v>
          </cell>
          <cell r="AQ3">
            <v>3</v>
          </cell>
          <cell r="AR3">
            <v>4</v>
          </cell>
          <cell r="AS3">
            <v>5</v>
          </cell>
          <cell r="AT3">
            <v>6</v>
          </cell>
          <cell r="AU3">
            <v>7</v>
          </cell>
          <cell r="AV3">
            <v>8</v>
          </cell>
          <cell r="AW3">
            <v>9</v>
          </cell>
          <cell r="AX3">
            <v>10</v>
          </cell>
          <cell r="AY3">
            <v>11</v>
          </cell>
          <cell r="AZ3">
            <v>12</v>
          </cell>
          <cell r="BA3">
            <v>1</v>
          </cell>
          <cell r="BB3">
            <v>2</v>
          </cell>
          <cell r="BC3">
            <v>3</v>
          </cell>
          <cell r="BD3">
            <v>4</v>
          </cell>
          <cell r="BE3">
            <v>5</v>
          </cell>
          <cell r="BF3">
            <v>6</v>
          </cell>
          <cell r="BG3">
            <v>7</v>
          </cell>
          <cell r="BH3">
            <v>8</v>
          </cell>
          <cell r="BI3">
            <v>9</v>
          </cell>
          <cell r="BJ3">
            <v>10</v>
          </cell>
          <cell r="BK3">
            <v>11</v>
          </cell>
          <cell r="BL3">
            <v>12</v>
          </cell>
          <cell r="BM3">
            <v>1</v>
          </cell>
          <cell r="BN3">
            <v>2</v>
          </cell>
          <cell r="BO3">
            <v>3</v>
          </cell>
          <cell r="BP3">
            <v>4</v>
          </cell>
          <cell r="BQ3">
            <v>5</v>
          </cell>
          <cell r="BR3">
            <v>6</v>
          </cell>
          <cell r="BS3">
            <v>7</v>
          </cell>
          <cell r="BT3">
            <v>8</v>
          </cell>
          <cell r="BU3">
            <v>9</v>
          </cell>
          <cell r="BV3">
            <v>10</v>
          </cell>
          <cell r="BW3">
            <v>11</v>
          </cell>
          <cell r="BX3">
            <v>12</v>
          </cell>
          <cell r="BY3">
            <v>1</v>
          </cell>
          <cell r="BZ3">
            <v>2</v>
          </cell>
          <cell r="CA3">
            <v>3</v>
          </cell>
          <cell r="CB3">
            <v>4</v>
          </cell>
          <cell r="CC3">
            <v>5</v>
          </cell>
          <cell r="CD3">
            <v>6</v>
          </cell>
          <cell r="CE3">
            <v>7</v>
          </cell>
          <cell r="CF3">
            <v>8</v>
          </cell>
          <cell r="CG3">
            <v>9</v>
          </cell>
        </row>
        <row r="4">
          <cell r="C4">
            <v>33909</v>
          </cell>
          <cell r="D4">
            <v>33939</v>
          </cell>
          <cell r="E4">
            <v>33970</v>
          </cell>
          <cell r="F4">
            <v>34001</v>
          </cell>
          <cell r="G4">
            <v>34029</v>
          </cell>
          <cell r="H4">
            <v>34060</v>
          </cell>
          <cell r="I4">
            <v>34090</v>
          </cell>
          <cell r="J4">
            <v>34121</v>
          </cell>
          <cell r="K4">
            <v>34151</v>
          </cell>
          <cell r="L4">
            <v>34182</v>
          </cell>
          <cell r="M4">
            <v>34213</v>
          </cell>
          <cell r="N4">
            <v>34243</v>
          </cell>
          <cell r="O4">
            <v>34274</v>
          </cell>
          <cell r="P4">
            <v>34304</v>
          </cell>
          <cell r="Q4">
            <v>34335</v>
          </cell>
          <cell r="R4">
            <v>34366</v>
          </cell>
          <cell r="S4">
            <v>34394</v>
          </cell>
          <cell r="T4">
            <v>34425</v>
          </cell>
          <cell r="U4">
            <v>34455</v>
          </cell>
          <cell r="V4">
            <v>34486</v>
          </cell>
          <cell r="W4">
            <v>34516</v>
          </cell>
          <cell r="X4">
            <v>34547</v>
          </cell>
          <cell r="Y4">
            <v>34578</v>
          </cell>
          <cell r="Z4">
            <v>34608</v>
          </cell>
          <cell r="AA4">
            <v>34639</v>
          </cell>
          <cell r="AB4">
            <v>34669</v>
          </cell>
          <cell r="AC4">
            <v>34700</v>
          </cell>
          <cell r="AD4">
            <v>34731</v>
          </cell>
          <cell r="AE4">
            <v>34759</v>
          </cell>
          <cell r="AF4">
            <v>34790</v>
          </cell>
          <cell r="AG4">
            <v>34820</v>
          </cell>
          <cell r="AH4">
            <v>34851</v>
          </cell>
          <cell r="AI4">
            <v>34881</v>
          </cell>
          <cell r="AJ4">
            <v>34912</v>
          </cell>
          <cell r="AK4">
            <v>34943</v>
          </cell>
          <cell r="AL4">
            <v>34973</v>
          </cell>
          <cell r="AM4">
            <v>35004</v>
          </cell>
          <cell r="AN4">
            <v>35034</v>
          </cell>
          <cell r="AO4">
            <v>35065</v>
          </cell>
          <cell r="AP4">
            <v>35096</v>
          </cell>
          <cell r="AQ4">
            <v>35125</v>
          </cell>
          <cell r="AR4">
            <v>35156</v>
          </cell>
          <cell r="AS4">
            <v>35186</v>
          </cell>
          <cell r="AT4">
            <v>35217</v>
          </cell>
          <cell r="AU4">
            <v>35247</v>
          </cell>
          <cell r="AV4">
            <v>35278</v>
          </cell>
          <cell r="AW4">
            <v>35309</v>
          </cell>
          <cell r="AX4">
            <v>35339</v>
          </cell>
          <cell r="AY4">
            <v>35370</v>
          </cell>
          <cell r="AZ4">
            <v>35400</v>
          </cell>
          <cell r="BA4">
            <v>35431</v>
          </cell>
          <cell r="BB4">
            <v>35462</v>
          </cell>
          <cell r="BC4">
            <v>35490</v>
          </cell>
          <cell r="BD4">
            <v>35521</v>
          </cell>
          <cell r="BE4">
            <v>35551</v>
          </cell>
          <cell r="BF4">
            <v>35582</v>
          </cell>
          <cell r="BG4">
            <v>35612</v>
          </cell>
          <cell r="BH4">
            <v>35643</v>
          </cell>
          <cell r="BI4">
            <v>35674</v>
          </cell>
          <cell r="BJ4">
            <v>35704</v>
          </cell>
          <cell r="BK4">
            <v>35735</v>
          </cell>
          <cell r="BL4">
            <v>35765</v>
          </cell>
          <cell r="BM4">
            <v>35796</v>
          </cell>
          <cell r="BN4">
            <v>35827</v>
          </cell>
          <cell r="BO4">
            <v>35855</v>
          </cell>
          <cell r="BP4">
            <v>35886</v>
          </cell>
          <cell r="BQ4">
            <v>35916</v>
          </cell>
          <cell r="BR4">
            <v>35947</v>
          </cell>
          <cell r="BS4">
            <v>35977</v>
          </cell>
          <cell r="BT4">
            <v>36008</v>
          </cell>
          <cell r="BU4">
            <v>36039</v>
          </cell>
          <cell r="BV4">
            <v>36069</v>
          </cell>
          <cell r="BW4">
            <v>36100</v>
          </cell>
          <cell r="BX4">
            <v>36130</v>
          </cell>
          <cell r="BY4">
            <v>36161</v>
          </cell>
          <cell r="BZ4">
            <v>36192</v>
          </cell>
          <cell r="CA4">
            <v>36220</v>
          </cell>
          <cell r="CB4">
            <v>36251</v>
          </cell>
          <cell r="CC4">
            <v>36281</v>
          </cell>
          <cell r="CD4">
            <v>36312</v>
          </cell>
          <cell r="CE4">
            <v>36342</v>
          </cell>
          <cell r="CF4">
            <v>36373</v>
          </cell>
          <cell r="CG4">
            <v>36404</v>
          </cell>
        </row>
        <row r="5">
          <cell r="A5" t="str">
            <v>3D</v>
          </cell>
          <cell r="B5">
            <v>2</v>
          </cell>
          <cell r="C5">
            <v>2.46</v>
          </cell>
          <cell r="D5">
            <v>2.3719999999999999</v>
          </cell>
          <cell r="E5">
            <v>2.0419999999999998</v>
          </cell>
          <cell r="F5">
            <v>1.647</v>
          </cell>
          <cell r="G5">
            <v>1.859</v>
          </cell>
          <cell r="H5">
            <v>2.1280000000000001</v>
          </cell>
          <cell r="I5">
            <v>2.706</v>
          </cell>
          <cell r="J5">
            <v>2.2519999999999998</v>
          </cell>
          <cell r="K5">
            <v>2.06633333333333</v>
          </cell>
          <cell r="L5">
            <v>2.1040000000000001</v>
          </cell>
          <cell r="M5">
            <v>2.4263333333333299</v>
          </cell>
          <cell r="N5">
            <v>2.1539999999999999</v>
          </cell>
          <cell r="O5">
            <v>2.1323333333333334</v>
          </cell>
          <cell r="P5">
            <v>2.3386666666666667</v>
          </cell>
          <cell r="Q5">
            <v>2.0653333333333332</v>
          </cell>
          <cell r="R5">
            <v>2.3416666666666668</v>
          </cell>
          <cell r="S5">
            <v>2.3826666666666667</v>
          </cell>
          <cell r="T5">
            <v>2.0550000000000002</v>
          </cell>
          <cell r="U5">
            <v>2.1156666666666668</v>
          </cell>
          <cell r="V5">
            <v>1.9039999999999999</v>
          </cell>
          <cell r="W5">
            <v>2.0226666666666668</v>
          </cell>
          <cell r="X5">
            <v>1.8333333333333333</v>
          </cell>
          <cell r="Y5">
            <v>1.5403333333333333</v>
          </cell>
          <cell r="Z5">
            <v>1.4453333333333334</v>
          </cell>
          <cell r="AA5">
            <v>1.61</v>
          </cell>
          <cell r="AB5">
            <v>1.6546666666666667</v>
          </cell>
          <cell r="AC5">
            <v>1.6013333333333333</v>
          </cell>
          <cell r="AD5">
            <v>1.41</v>
          </cell>
          <cell r="AE5">
            <v>1.4153333333333333</v>
          </cell>
          <cell r="AF5">
            <v>1.56</v>
          </cell>
          <cell r="AG5">
            <v>1.6943333333333332</v>
          </cell>
          <cell r="AH5">
            <v>1.7423333333333333</v>
          </cell>
          <cell r="AI5">
            <v>1.554</v>
          </cell>
          <cell r="AJ5">
            <v>1.429</v>
          </cell>
          <cell r="AK5">
            <v>1.57</v>
          </cell>
          <cell r="AL5">
            <v>1.6180000000000001</v>
          </cell>
          <cell r="AM5">
            <v>1.7629999999999999</v>
          </cell>
          <cell r="AN5">
            <v>2.141</v>
          </cell>
          <cell r="AO5">
            <v>3.129</v>
          </cell>
          <cell r="AP5">
            <v>2.4260000000000002</v>
          </cell>
          <cell r="AQ5">
            <v>2.6053000000000002</v>
          </cell>
          <cell r="AR5">
            <v>2.794</v>
          </cell>
          <cell r="AS5">
            <v>2.2839999999999998</v>
          </cell>
          <cell r="AT5">
            <v>2.3422999999999998</v>
          </cell>
          <cell r="AU5">
            <v>2.6343000000000001</v>
          </cell>
          <cell r="AV5">
            <v>2.3570000000000002</v>
          </cell>
          <cell r="AW5">
            <v>1.9079999999999999</v>
          </cell>
          <cell r="AX5">
            <v>1.887</v>
          </cell>
          <cell r="AY5">
            <v>2.5710000000000002</v>
          </cell>
          <cell r="AZ5">
            <v>3.6110000000000002</v>
          </cell>
          <cell r="BA5">
            <v>4.2539999999999996</v>
          </cell>
          <cell r="BB5">
            <v>2.8679999999999999</v>
          </cell>
          <cell r="BC5">
            <v>1.879</v>
          </cell>
          <cell r="BD5">
            <v>1.8460000000000001</v>
          </cell>
          <cell r="BE5">
            <v>2.0979999999999999</v>
          </cell>
          <cell r="BF5">
            <v>2.331</v>
          </cell>
          <cell r="BG5">
            <v>2.2189999999999999</v>
          </cell>
          <cell r="BH5">
            <v>2.1629999999999998</v>
          </cell>
          <cell r="BI5">
            <v>2.5059999999999998</v>
          </cell>
          <cell r="BJ5">
            <v>3.2210000000000001</v>
          </cell>
          <cell r="BK5">
            <v>3.5059999999999998</v>
          </cell>
          <cell r="BL5">
            <v>2.6819999999999999</v>
          </cell>
          <cell r="BM5">
            <v>2.2690000000000001</v>
          </cell>
          <cell r="BN5">
            <v>2.036</v>
          </cell>
          <cell r="BO5">
            <v>2.2270000000000003</v>
          </cell>
          <cell r="BP5">
            <v>2.3340000000000001</v>
          </cell>
          <cell r="BQ5">
            <v>2.2900000000000005</v>
          </cell>
          <cell r="BR5">
            <v>2.0686666666666667</v>
          </cell>
          <cell r="BS5">
            <v>2.3525999999999998</v>
          </cell>
          <cell r="BT5">
            <v>1.9530000000000001</v>
          </cell>
          <cell r="BU5">
            <v>1.754</v>
          </cell>
          <cell r="BV5">
            <v>2.13</v>
          </cell>
          <cell r="BW5">
            <v>2.1259999999999999</v>
          </cell>
          <cell r="BX5">
            <v>2.1360000000000001</v>
          </cell>
          <cell r="BY5">
            <v>1.8109999999999999</v>
          </cell>
          <cell r="BZ5">
            <v>1.746</v>
          </cell>
          <cell r="CA5">
            <v>1.6933333333333334</v>
          </cell>
          <cell r="CB5">
            <v>1.8470000000000002</v>
          </cell>
          <cell r="CC5">
            <v>2.3260000000000001</v>
          </cell>
          <cell r="CD5">
            <v>2.2010000000000001</v>
          </cell>
          <cell r="CE5">
            <v>2.2719999999999998</v>
          </cell>
          <cell r="CF5">
            <v>2.5720000000000001</v>
          </cell>
          <cell r="CG5">
            <v>2.9630000000000001</v>
          </cell>
        </row>
        <row r="6">
          <cell r="A6" t="str">
            <v>FD</v>
          </cell>
          <cell r="B6">
            <v>3</v>
          </cell>
          <cell r="C6">
            <v>2.4990000000000001</v>
          </cell>
          <cell r="D6">
            <v>2.3319999999999999</v>
          </cell>
          <cell r="E6">
            <v>2.0030000000000001</v>
          </cell>
          <cell r="F6">
            <v>1.6339999999999999</v>
          </cell>
          <cell r="G6">
            <v>1.9059999999999999</v>
          </cell>
          <cell r="H6">
            <v>2.2240000000000002</v>
          </cell>
          <cell r="I6">
            <v>2.758</v>
          </cell>
          <cell r="J6">
            <v>2.1190000000000002</v>
          </cell>
          <cell r="K6">
            <v>1.9179999999999999</v>
          </cell>
          <cell r="L6">
            <v>2.121</v>
          </cell>
          <cell r="M6">
            <v>2.4009999999999998</v>
          </cell>
          <cell r="N6">
            <v>2.0659999999999998</v>
          </cell>
          <cell r="O6">
            <v>2.1549999999999998</v>
          </cell>
          <cell r="P6">
            <v>2.3849999999999998</v>
          </cell>
          <cell r="Q6">
            <v>2.0219999999999998</v>
          </cell>
          <cell r="R6">
            <v>2.4700000000000002</v>
          </cell>
          <cell r="S6">
            <v>2.4180000000000001</v>
          </cell>
          <cell r="T6">
            <v>1.9810000000000001</v>
          </cell>
          <cell r="U6">
            <v>2.0760000000000001</v>
          </cell>
          <cell r="V6">
            <v>1.851</v>
          </cell>
          <cell r="W6">
            <v>1.966</v>
          </cell>
          <cell r="X6">
            <v>1.7889999999999999</v>
          </cell>
          <cell r="Y6">
            <v>1.484</v>
          </cell>
          <cell r="Z6">
            <v>1.4059999999999999</v>
          </cell>
          <cell r="AA6">
            <v>1.6830000000000001</v>
          </cell>
          <cell r="AB6">
            <v>1.661</v>
          </cell>
          <cell r="AC6">
            <v>1.639</v>
          </cell>
          <cell r="AD6">
            <v>1.4159999999999999</v>
          </cell>
          <cell r="AE6">
            <v>1.4279999999999999</v>
          </cell>
          <cell r="AF6">
            <v>1.5660000000000001</v>
          </cell>
          <cell r="AG6">
            <v>1.6719999999999999</v>
          </cell>
          <cell r="AH6">
            <v>1.7569999999999999</v>
          </cell>
          <cell r="AI6">
            <v>1.532</v>
          </cell>
          <cell r="AJ6">
            <v>1.385</v>
          </cell>
          <cell r="AK6">
            <v>1.575</v>
          </cell>
          <cell r="AL6">
            <v>1.6439999999999999</v>
          </cell>
          <cell r="AM6">
            <v>1.772</v>
          </cell>
          <cell r="AN6">
            <v>2.2410000000000001</v>
          </cell>
          <cell r="AO6">
            <v>3.448</v>
          </cell>
          <cell r="AP6">
            <v>2.34</v>
          </cell>
          <cell r="AQ6">
            <v>2.746</v>
          </cell>
          <cell r="AR6">
            <v>2.7789999999999999</v>
          </cell>
          <cell r="AS6">
            <v>2.2410000000000001</v>
          </cell>
          <cell r="AT6">
            <v>2.3610000000000002</v>
          </cell>
          <cell r="AU6">
            <v>2.6459999999999999</v>
          </cell>
          <cell r="AV6">
            <v>2.3220000000000001</v>
          </cell>
          <cell r="AW6">
            <v>1.853</v>
          </cell>
          <cell r="AX6">
            <v>1.8280000000000001</v>
          </cell>
          <cell r="AY6">
            <v>2.6520000000000001</v>
          </cell>
          <cell r="AZ6">
            <v>3.9009999999999998</v>
          </cell>
          <cell r="BA6">
            <v>3.9980000000000002</v>
          </cell>
          <cell r="BB6">
            <v>2.9860000000000002</v>
          </cell>
          <cell r="BC6">
            <v>1.78</v>
          </cell>
          <cell r="BD6">
            <v>1.8069999999999999</v>
          </cell>
          <cell r="BE6">
            <v>2.1219999999999999</v>
          </cell>
          <cell r="BF6">
            <v>2.3460000000000001</v>
          </cell>
          <cell r="BG6">
            <v>2.145</v>
          </cell>
          <cell r="BH6">
            <v>2.161</v>
          </cell>
          <cell r="BI6">
            <v>2.5150000000000001</v>
          </cell>
          <cell r="BJ6">
            <v>3.3460000000000001</v>
          </cell>
          <cell r="BK6">
            <v>3.266</v>
          </cell>
          <cell r="BL6">
            <v>2.577</v>
          </cell>
          <cell r="BM6">
            <v>2.3090000000000002</v>
          </cell>
          <cell r="BN6">
            <v>2.0009999999999999</v>
          </cell>
          <cell r="BO6">
            <v>2.286</v>
          </cell>
          <cell r="BP6">
            <v>2.2999999999999998</v>
          </cell>
          <cell r="BQ6">
            <v>2.262</v>
          </cell>
          <cell r="BR6">
            <v>2.0169999999999999</v>
          </cell>
          <cell r="BS6">
            <v>2.3580000000000001</v>
          </cell>
          <cell r="BT6">
            <v>1.9419999999999999</v>
          </cell>
          <cell r="BU6">
            <v>1.6719999999999999</v>
          </cell>
          <cell r="BV6">
            <v>2.0310000000000001</v>
          </cell>
          <cell r="BW6">
            <v>1.972</v>
          </cell>
          <cell r="BX6">
            <v>2.149</v>
          </cell>
          <cell r="BY6">
            <v>1.7649999999999999</v>
          </cell>
          <cell r="BZ6">
            <v>1.81</v>
          </cell>
          <cell r="CA6">
            <v>1.6659999999999999</v>
          </cell>
          <cell r="CB6">
            <v>1.8520000000000001</v>
          </cell>
          <cell r="CC6">
            <v>2.3479999999999999</v>
          </cell>
          <cell r="CD6">
            <v>2.226</v>
          </cell>
          <cell r="CE6">
            <v>2.262</v>
          </cell>
          <cell r="CF6">
            <v>2.601</v>
          </cell>
          <cell r="CG6">
            <v>2.9119999999999999</v>
          </cell>
        </row>
        <row r="7">
          <cell r="A7" t="str">
            <v>AECO-NT</v>
          </cell>
          <cell r="B7">
            <v>4</v>
          </cell>
          <cell r="C7">
            <v>1.1599999999999999</v>
          </cell>
          <cell r="D7">
            <v>1.48</v>
          </cell>
          <cell r="E7">
            <v>2.44</v>
          </cell>
          <cell r="F7">
            <v>1.46</v>
          </cell>
          <cell r="G7">
            <v>1.84</v>
          </cell>
          <cell r="H7">
            <v>1.77</v>
          </cell>
          <cell r="I7">
            <v>2.58</v>
          </cell>
          <cell r="J7">
            <v>1.35</v>
          </cell>
          <cell r="K7">
            <v>1.46</v>
          </cell>
          <cell r="L7">
            <v>1.23</v>
          </cell>
          <cell r="M7">
            <v>1.5</v>
          </cell>
          <cell r="N7">
            <v>1.39</v>
          </cell>
          <cell r="O7">
            <v>1.7927</v>
          </cell>
          <cell r="P7">
            <v>2.3016999999999999</v>
          </cell>
          <cell r="Q7">
            <v>1.9076</v>
          </cell>
          <cell r="R7">
            <v>1.6994</v>
          </cell>
          <cell r="S7">
            <v>1.9172</v>
          </cell>
          <cell r="T7">
            <v>1.5564</v>
          </cell>
          <cell r="U7">
            <v>1.5331999999999999</v>
          </cell>
          <cell r="V7">
            <v>1.4004000000000001</v>
          </cell>
          <cell r="W7">
            <v>1.4108000000000001</v>
          </cell>
          <cell r="X7">
            <v>1.3223100000000001</v>
          </cell>
          <cell r="Y7">
            <v>1.2150000000000001</v>
          </cell>
          <cell r="Z7">
            <v>1.1120000000000001</v>
          </cell>
          <cell r="AA7">
            <v>1.3184</v>
          </cell>
          <cell r="AB7">
            <v>1.3363</v>
          </cell>
          <cell r="AC7">
            <v>0.96619999999999995</v>
          </cell>
          <cell r="AD7">
            <v>0.72240000000000004</v>
          </cell>
          <cell r="AE7">
            <v>0.68799999999999994</v>
          </cell>
          <cell r="AF7">
            <v>0.76910000000000001</v>
          </cell>
          <cell r="AG7">
            <v>0.92100000000000004</v>
          </cell>
          <cell r="AH7">
            <v>0.94450000000000001</v>
          </cell>
          <cell r="AI7">
            <v>0.8347</v>
          </cell>
          <cell r="AJ7">
            <v>0.75749999999999995</v>
          </cell>
          <cell r="AK7">
            <v>0.81489999999999996</v>
          </cell>
          <cell r="AL7">
            <v>0.85150000000000003</v>
          </cell>
          <cell r="AM7">
            <v>0.94089999999999996</v>
          </cell>
          <cell r="AN7">
            <v>0.95679999999999998</v>
          </cell>
          <cell r="AO7">
            <v>1.0471999999999999</v>
          </cell>
          <cell r="AP7">
            <v>1.1489</v>
          </cell>
          <cell r="AQ7">
            <v>1.1039000000000001</v>
          </cell>
          <cell r="AR7">
            <v>1.0159</v>
          </cell>
          <cell r="AS7">
            <v>0.91900000000000004</v>
          </cell>
          <cell r="AT7">
            <v>0.82889999999999997</v>
          </cell>
          <cell r="AU7">
            <v>0.84</v>
          </cell>
          <cell r="AV7">
            <v>0.89829999999999999</v>
          </cell>
          <cell r="AW7">
            <v>0.87909999999999999</v>
          </cell>
          <cell r="AX7">
            <v>0.90549999999999997</v>
          </cell>
          <cell r="AY7">
            <v>1.1100000000000001</v>
          </cell>
          <cell r="AZ7">
            <v>1.58</v>
          </cell>
          <cell r="BA7">
            <v>1.68</v>
          </cell>
          <cell r="BC7">
            <v>1.78</v>
          </cell>
        </row>
        <row r="8">
          <cell r="A8" t="str">
            <v>ANR-LA</v>
          </cell>
          <cell r="B8">
            <v>5</v>
          </cell>
          <cell r="C8">
            <v>2.31</v>
          </cell>
          <cell r="D8">
            <v>2.2799999999999998</v>
          </cell>
          <cell r="E8">
            <v>1.9</v>
          </cell>
          <cell r="F8">
            <v>1.62</v>
          </cell>
          <cell r="G8">
            <v>1.85</v>
          </cell>
          <cell r="H8">
            <v>2.13</v>
          </cell>
          <cell r="I8">
            <v>2.7</v>
          </cell>
          <cell r="J8">
            <v>2.08</v>
          </cell>
          <cell r="K8">
            <v>1.95</v>
          </cell>
          <cell r="L8">
            <v>2.0299999999999998</v>
          </cell>
          <cell r="M8">
            <v>2.37</v>
          </cell>
          <cell r="N8">
            <v>2.06</v>
          </cell>
          <cell r="O8">
            <v>2.09</v>
          </cell>
          <cell r="P8">
            <v>2.31</v>
          </cell>
          <cell r="Q8">
            <v>2.04</v>
          </cell>
          <cell r="R8">
            <v>2.33</v>
          </cell>
          <cell r="S8">
            <v>2.3199999999999998</v>
          </cell>
          <cell r="T8">
            <v>1.93</v>
          </cell>
          <cell r="U8">
            <v>2.0099999999999998</v>
          </cell>
          <cell r="V8">
            <v>1.74</v>
          </cell>
          <cell r="W8">
            <v>1.85</v>
          </cell>
          <cell r="X8">
            <v>1.7</v>
          </cell>
          <cell r="Y8">
            <v>1.4</v>
          </cell>
          <cell r="Z8">
            <v>1.35</v>
          </cell>
          <cell r="AA8">
            <v>1.61</v>
          </cell>
          <cell r="AB8">
            <v>1.6</v>
          </cell>
          <cell r="AC8">
            <v>1.54</v>
          </cell>
          <cell r="AD8">
            <v>1.35</v>
          </cell>
          <cell r="AE8">
            <v>1.37</v>
          </cell>
          <cell r="AF8">
            <v>1.48</v>
          </cell>
          <cell r="AG8">
            <v>1.61</v>
          </cell>
          <cell r="AH8">
            <v>1.66</v>
          </cell>
          <cell r="AI8">
            <v>1.45</v>
          </cell>
          <cell r="AJ8">
            <v>1.3</v>
          </cell>
          <cell r="AK8">
            <v>1.51</v>
          </cell>
          <cell r="AL8">
            <v>1.6</v>
          </cell>
          <cell r="AM8">
            <v>1.76</v>
          </cell>
          <cell r="AN8">
            <v>2.1800000000000002</v>
          </cell>
          <cell r="AO8">
            <v>3.25</v>
          </cell>
          <cell r="AP8">
            <v>2.2999999999999998</v>
          </cell>
          <cell r="AQ8">
            <v>2.73</v>
          </cell>
          <cell r="AR8">
            <v>2.66</v>
          </cell>
          <cell r="AS8">
            <v>2.12</v>
          </cell>
          <cell r="AT8">
            <v>2.25</v>
          </cell>
          <cell r="AU8">
            <v>2.5499999999999998</v>
          </cell>
          <cell r="AV8">
            <v>2.2200000000000002</v>
          </cell>
          <cell r="AW8">
            <v>1.74</v>
          </cell>
          <cell r="AX8">
            <v>1.75</v>
          </cell>
          <cell r="AY8">
            <v>2.63</v>
          </cell>
          <cell r="AZ8">
            <v>3.74</v>
          </cell>
          <cell r="BA8">
            <v>3.85</v>
          </cell>
          <cell r="BB8">
            <v>2.81</v>
          </cell>
          <cell r="BC8">
            <v>1.78</v>
          </cell>
          <cell r="BD8">
            <v>1.75</v>
          </cell>
          <cell r="BE8">
            <v>2.06</v>
          </cell>
          <cell r="BF8">
            <v>2.2400000000000002</v>
          </cell>
          <cell r="BG8">
            <v>2.08</v>
          </cell>
          <cell r="BH8">
            <v>2.12</v>
          </cell>
          <cell r="BI8">
            <v>2.4900000000000002</v>
          </cell>
          <cell r="BJ8">
            <v>3.06</v>
          </cell>
          <cell r="BK8">
            <v>3.18</v>
          </cell>
          <cell r="BL8">
            <v>2.4300000000000002</v>
          </cell>
          <cell r="BM8">
            <v>2.17</v>
          </cell>
          <cell r="BN8">
            <v>1.91</v>
          </cell>
          <cell r="BO8">
            <v>2.1800000000000002</v>
          </cell>
          <cell r="BP8">
            <v>2.2200000000000002</v>
          </cell>
          <cell r="BQ8">
            <v>2.19</v>
          </cell>
          <cell r="BR8">
            <v>1.95</v>
          </cell>
          <cell r="BS8">
            <v>2.27</v>
          </cell>
          <cell r="BT8">
            <v>1.83</v>
          </cell>
          <cell r="BU8">
            <v>1.51</v>
          </cell>
          <cell r="BV8">
            <v>1.94</v>
          </cell>
          <cell r="BW8">
            <v>1.91</v>
          </cell>
          <cell r="BX8">
            <v>2.06</v>
          </cell>
          <cell r="BY8">
            <v>1.71</v>
          </cell>
          <cell r="BZ8">
            <v>1.75</v>
          </cell>
          <cell r="CA8">
            <v>1.58</v>
          </cell>
          <cell r="CB8">
            <v>1.83</v>
          </cell>
          <cell r="CC8">
            <v>2.2999999999999998</v>
          </cell>
          <cell r="CD8">
            <v>2.16</v>
          </cell>
          <cell r="CE8">
            <v>2.2000000000000002</v>
          </cell>
          <cell r="CF8">
            <v>2.5499999999999998</v>
          </cell>
          <cell r="CG8">
            <v>2.83</v>
          </cell>
        </row>
        <row r="9">
          <cell r="A9" t="str">
            <v>ANR-OK</v>
          </cell>
          <cell r="B9">
            <v>6</v>
          </cell>
          <cell r="C9">
            <v>2.15</v>
          </cell>
          <cell r="D9">
            <v>2.0499999999999998</v>
          </cell>
          <cell r="E9">
            <v>1.9</v>
          </cell>
          <cell r="F9">
            <v>1.6</v>
          </cell>
          <cell r="G9">
            <v>1.82</v>
          </cell>
          <cell r="H9">
            <v>2.08</v>
          </cell>
          <cell r="I9">
            <v>2.62</v>
          </cell>
          <cell r="J9">
            <v>1.95</v>
          </cell>
          <cell r="K9">
            <v>1.79</v>
          </cell>
          <cell r="L9">
            <v>1.91</v>
          </cell>
          <cell r="M9">
            <v>2.2000000000000002</v>
          </cell>
          <cell r="N9">
            <v>1.9</v>
          </cell>
          <cell r="O9">
            <v>1.9</v>
          </cell>
          <cell r="P9">
            <v>2.23</v>
          </cell>
          <cell r="Q9">
            <v>1.96</v>
          </cell>
          <cell r="R9">
            <v>2.12</v>
          </cell>
          <cell r="S9">
            <v>2.14</v>
          </cell>
          <cell r="T9">
            <v>1.81</v>
          </cell>
          <cell r="U9">
            <v>1.84</v>
          </cell>
          <cell r="V9">
            <v>1.59</v>
          </cell>
          <cell r="W9">
            <v>1.67</v>
          </cell>
          <cell r="X9">
            <v>1.57</v>
          </cell>
          <cell r="Y9">
            <v>1.4</v>
          </cell>
          <cell r="Z9">
            <v>1.3</v>
          </cell>
          <cell r="AA9">
            <v>1.51</v>
          </cell>
          <cell r="AB9">
            <v>1.6</v>
          </cell>
          <cell r="AC9">
            <v>1.51</v>
          </cell>
          <cell r="AD9">
            <v>1.27</v>
          </cell>
          <cell r="AE9">
            <v>1.26</v>
          </cell>
          <cell r="AF9">
            <v>1.34</v>
          </cell>
          <cell r="AG9">
            <v>1.45</v>
          </cell>
          <cell r="AH9">
            <v>1.46</v>
          </cell>
          <cell r="AI9">
            <v>1.25</v>
          </cell>
          <cell r="AJ9">
            <v>1.19</v>
          </cell>
          <cell r="AK9">
            <v>1.41</v>
          </cell>
          <cell r="AL9">
            <v>1.5</v>
          </cell>
          <cell r="AM9">
            <v>1.61</v>
          </cell>
          <cell r="AN9">
            <v>1.88</v>
          </cell>
          <cell r="AO9">
            <v>2.02</v>
          </cell>
          <cell r="AP9">
            <v>1.79</v>
          </cell>
          <cell r="AQ9">
            <v>1.9</v>
          </cell>
          <cell r="AR9">
            <v>2.14</v>
          </cell>
          <cell r="AS9">
            <v>2.0099999999999998</v>
          </cell>
          <cell r="AT9">
            <v>2.0499999999999998</v>
          </cell>
          <cell r="AU9">
            <v>2.1800000000000002</v>
          </cell>
          <cell r="AV9">
            <v>2.14</v>
          </cell>
          <cell r="AW9">
            <v>1.67</v>
          </cell>
          <cell r="AX9">
            <v>1.69</v>
          </cell>
          <cell r="AY9">
            <v>2.5</v>
          </cell>
          <cell r="AZ9">
            <v>3.6</v>
          </cell>
          <cell r="BA9">
            <v>4.2</v>
          </cell>
          <cell r="BB9">
            <v>2.77</v>
          </cell>
          <cell r="BC9">
            <v>1.63</v>
          </cell>
          <cell r="BD9">
            <v>1.71</v>
          </cell>
          <cell r="BE9">
            <v>1.96</v>
          </cell>
          <cell r="BF9">
            <v>2.13</v>
          </cell>
          <cell r="BG9">
            <v>2.0099999999999998</v>
          </cell>
          <cell r="BH9">
            <v>2.06</v>
          </cell>
          <cell r="BI9">
            <v>2.42</v>
          </cell>
          <cell r="BJ9">
            <v>3</v>
          </cell>
          <cell r="BK9">
            <v>3.16</v>
          </cell>
          <cell r="BL9">
            <v>2.35</v>
          </cell>
          <cell r="BM9">
            <v>2.16</v>
          </cell>
          <cell r="BN9">
            <v>1.92</v>
          </cell>
          <cell r="BO9">
            <v>2.15</v>
          </cell>
          <cell r="BP9">
            <v>2.19</v>
          </cell>
          <cell r="BQ9">
            <v>2.1800000000000002</v>
          </cell>
          <cell r="BR9">
            <v>1.95</v>
          </cell>
          <cell r="BS9">
            <v>2.27</v>
          </cell>
          <cell r="BT9">
            <v>1.84</v>
          </cell>
          <cell r="BU9">
            <v>1.56</v>
          </cell>
          <cell r="BV9">
            <v>1.92</v>
          </cell>
          <cell r="BW9">
            <v>1.96</v>
          </cell>
          <cell r="BX9">
            <v>2.06</v>
          </cell>
          <cell r="BY9">
            <v>1.78</v>
          </cell>
          <cell r="BZ9">
            <v>1.76</v>
          </cell>
          <cell r="CA9">
            <v>1.57</v>
          </cell>
          <cell r="CB9">
            <v>1.75</v>
          </cell>
          <cell r="CC9">
            <v>2.23</v>
          </cell>
          <cell r="CD9">
            <v>2.12</v>
          </cell>
          <cell r="CE9">
            <v>2.1800000000000002</v>
          </cell>
          <cell r="CF9">
            <v>2.5099999999999998</v>
          </cell>
          <cell r="CG9">
            <v>2.77</v>
          </cell>
        </row>
        <row r="10">
          <cell r="A10" t="str">
            <v>CG-APP</v>
          </cell>
          <cell r="B10">
            <v>7</v>
          </cell>
          <cell r="C10">
            <v>2.62</v>
          </cell>
          <cell r="D10">
            <v>2.7</v>
          </cell>
          <cell r="E10">
            <v>2.4300000000000002</v>
          </cell>
          <cell r="F10">
            <v>1.95</v>
          </cell>
          <cell r="G10">
            <v>2.17</v>
          </cell>
          <cell r="H10">
            <v>2.34</v>
          </cell>
          <cell r="I10">
            <v>2.93</v>
          </cell>
          <cell r="J10">
            <v>2.2999999999999998</v>
          </cell>
          <cell r="K10">
            <v>2.1</v>
          </cell>
          <cell r="L10">
            <v>2.2000000000000002</v>
          </cell>
          <cell r="M10">
            <v>2.52</v>
          </cell>
          <cell r="N10">
            <v>2.2000000000000002</v>
          </cell>
          <cell r="O10">
            <v>2.31</v>
          </cell>
          <cell r="P10">
            <v>2.63</v>
          </cell>
          <cell r="Q10">
            <v>2.2999999999999998</v>
          </cell>
          <cell r="R10">
            <v>2.68</v>
          </cell>
          <cell r="S10">
            <v>2.78</v>
          </cell>
          <cell r="T10">
            <v>2.2400000000000002</v>
          </cell>
          <cell r="U10">
            <v>2.2799999999999998</v>
          </cell>
          <cell r="V10">
            <v>1.98</v>
          </cell>
          <cell r="W10">
            <v>2.06</v>
          </cell>
          <cell r="X10">
            <v>1.88</v>
          </cell>
          <cell r="Y10">
            <v>1.56</v>
          </cell>
          <cell r="Z10">
            <v>1.51</v>
          </cell>
          <cell r="AA10">
            <v>1.84</v>
          </cell>
          <cell r="AB10">
            <v>1.93</v>
          </cell>
          <cell r="AC10">
            <v>1.88</v>
          </cell>
          <cell r="AD10">
            <v>1.64</v>
          </cell>
          <cell r="AE10">
            <v>1.6</v>
          </cell>
          <cell r="AF10">
            <v>1.67</v>
          </cell>
          <cell r="AG10">
            <v>1.81</v>
          </cell>
          <cell r="AH10">
            <v>1.84</v>
          </cell>
          <cell r="AI10">
            <v>1.6</v>
          </cell>
          <cell r="AJ10">
            <v>1.46</v>
          </cell>
          <cell r="AK10">
            <v>1.67</v>
          </cell>
          <cell r="AL10">
            <v>1.76</v>
          </cell>
          <cell r="AM10">
            <v>1.95</v>
          </cell>
          <cell r="AN10">
            <v>2.5</v>
          </cell>
          <cell r="AO10">
            <v>3.7</v>
          </cell>
          <cell r="AP10">
            <v>3.67</v>
          </cell>
          <cell r="AQ10">
            <v>4.5599999999999996</v>
          </cell>
          <cell r="AR10">
            <v>3.06</v>
          </cell>
          <cell r="AS10">
            <v>2.4300000000000002</v>
          </cell>
          <cell r="AT10">
            <v>2.5299999999999998</v>
          </cell>
          <cell r="AU10">
            <v>2.86</v>
          </cell>
          <cell r="AV10">
            <v>2.5</v>
          </cell>
          <cell r="AW10">
            <v>1.93</v>
          </cell>
          <cell r="AX10">
            <v>1.99</v>
          </cell>
          <cell r="AY10">
            <v>2.94</v>
          </cell>
          <cell r="AZ10">
            <v>4.2300000000000004</v>
          </cell>
          <cell r="BA10">
            <v>4.3</v>
          </cell>
          <cell r="BB10">
            <v>3.06</v>
          </cell>
          <cell r="BC10">
            <v>1.87</v>
          </cell>
          <cell r="BD10">
            <v>2</v>
          </cell>
          <cell r="BE10">
            <v>2.31</v>
          </cell>
          <cell r="BF10">
            <v>2.46</v>
          </cell>
          <cell r="BG10">
            <v>2.29</v>
          </cell>
          <cell r="BH10">
            <v>2.31</v>
          </cell>
          <cell r="BI10">
            <v>2.69</v>
          </cell>
          <cell r="BJ10">
            <v>3.29</v>
          </cell>
          <cell r="BK10">
            <v>3.52</v>
          </cell>
          <cell r="BL10">
            <v>2.66</v>
          </cell>
          <cell r="BM10">
            <v>2.38</v>
          </cell>
          <cell r="BN10">
            <v>2.12</v>
          </cell>
          <cell r="BO10">
            <v>2.37</v>
          </cell>
          <cell r="BP10">
            <v>2.4500000000000002</v>
          </cell>
          <cell r="BQ10">
            <v>2.42</v>
          </cell>
          <cell r="BR10">
            <v>2.16</v>
          </cell>
          <cell r="BS10">
            <v>2.4700000000000002</v>
          </cell>
          <cell r="BT10">
            <v>2.0499999999999998</v>
          </cell>
          <cell r="BU10">
            <v>1.77</v>
          </cell>
          <cell r="BV10">
            <v>2.2000000000000002</v>
          </cell>
          <cell r="BW10">
            <v>2.2400000000000002</v>
          </cell>
          <cell r="BX10">
            <v>2.25</v>
          </cell>
          <cell r="BY10">
            <v>1.92</v>
          </cell>
          <cell r="BZ10">
            <v>1.92</v>
          </cell>
          <cell r="CA10">
            <v>1.73</v>
          </cell>
          <cell r="CB10">
            <v>2.0499999999999998</v>
          </cell>
          <cell r="CC10">
            <v>2.5</v>
          </cell>
          <cell r="CD10">
            <v>2.35</v>
          </cell>
          <cell r="CE10">
            <v>2.39</v>
          </cell>
          <cell r="CF10">
            <v>2.78</v>
          </cell>
          <cell r="CG10">
            <v>3.03</v>
          </cell>
        </row>
        <row r="11">
          <cell r="A11" t="str">
            <v>CGLF-LA</v>
          </cell>
          <cell r="B11">
            <v>8</v>
          </cell>
          <cell r="C11">
            <v>2.36</v>
          </cell>
          <cell r="D11">
            <v>2.2999999999999998</v>
          </cell>
          <cell r="E11">
            <v>1.93</v>
          </cell>
          <cell r="F11">
            <v>1.62</v>
          </cell>
          <cell r="G11">
            <v>1.88</v>
          </cell>
          <cell r="H11">
            <v>2.2000000000000002</v>
          </cell>
          <cell r="I11">
            <v>2.7</v>
          </cell>
          <cell r="J11">
            <v>2.1</v>
          </cell>
          <cell r="K11">
            <v>1.95</v>
          </cell>
          <cell r="L11">
            <v>2.0699999999999998</v>
          </cell>
          <cell r="M11">
            <v>2.37</v>
          </cell>
          <cell r="N11">
            <v>2.0499999999999998</v>
          </cell>
          <cell r="O11">
            <v>2.12</v>
          </cell>
          <cell r="P11">
            <v>2.38</v>
          </cell>
          <cell r="Q11">
            <v>2.0499999999999998</v>
          </cell>
          <cell r="R11">
            <v>2.36</v>
          </cell>
          <cell r="S11">
            <v>2.35</v>
          </cell>
          <cell r="T11">
            <v>1.99</v>
          </cell>
          <cell r="U11">
            <v>2.0499999999999998</v>
          </cell>
          <cell r="V11">
            <v>1.81</v>
          </cell>
          <cell r="W11">
            <v>1.94</v>
          </cell>
          <cell r="X11">
            <v>1.77</v>
          </cell>
          <cell r="Y11">
            <v>1.45</v>
          </cell>
          <cell r="Z11">
            <v>1.39</v>
          </cell>
          <cell r="AA11">
            <v>1.67</v>
          </cell>
          <cell r="AB11">
            <v>1.65</v>
          </cell>
          <cell r="AC11">
            <v>1.59</v>
          </cell>
          <cell r="AD11">
            <v>1.38</v>
          </cell>
          <cell r="AE11">
            <v>1.42</v>
          </cell>
          <cell r="AF11">
            <v>1.53</v>
          </cell>
          <cell r="AG11">
            <v>1.64</v>
          </cell>
          <cell r="AH11">
            <v>1.69</v>
          </cell>
          <cell r="AI11">
            <v>1.46</v>
          </cell>
          <cell r="AJ11">
            <v>1.34</v>
          </cell>
          <cell r="AK11">
            <v>1.54</v>
          </cell>
          <cell r="AL11">
            <v>1.62</v>
          </cell>
          <cell r="AM11">
            <v>1.75</v>
          </cell>
          <cell r="AN11">
            <v>2.2400000000000002</v>
          </cell>
          <cell r="AO11">
            <v>3.35</v>
          </cell>
          <cell r="AP11">
            <v>2.34</v>
          </cell>
          <cell r="AQ11">
            <v>2.85</v>
          </cell>
          <cell r="AR11">
            <v>2.62</v>
          </cell>
          <cell r="AS11">
            <v>2.2000000000000002</v>
          </cell>
          <cell r="AT11">
            <v>2.33</v>
          </cell>
          <cell r="AU11">
            <v>2.62</v>
          </cell>
          <cell r="AV11">
            <v>2.27</v>
          </cell>
          <cell r="AW11">
            <v>1.77</v>
          </cell>
          <cell r="AX11">
            <v>1.81</v>
          </cell>
          <cell r="AY11">
            <v>2.65</v>
          </cell>
          <cell r="AZ11">
            <v>3.82</v>
          </cell>
          <cell r="BA11">
            <v>3.94</v>
          </cell>
          <cell r="BB11">
            <v>2.89</v>
          </cell>
          <cell r="BC11">
            <v>1.74</v>
          </cell>
          <cell r="BD11">
            <v>1.8</v>
          </cell>
          <cell r="BE11">
            <v>2.1</v>
          </cell>
          <cell r="BF11">
            <v>2.27</v>
          </cell>
          <cell r="BG11">
            <v>2.13</v>
          </cell>
          <cell r="BH11">
            <v>2.15</v>
          </cell>
          <cell r="BI11">
            <v>2.5099999999999998</v>
          </cell>
          <cell r="BJ11">
            <v>3.09</v>
          </cell>
          <cell r="BK11">
            <v>3.26</v>
          </cell>
          <cell r="BL11">
            <v>2.5</v>
          </cell>
          <cell r="BM11">
            <v>2.2400000000000002</v>
          </cell>
          <cell r="BN11">
            <v>1.99</v>
          </cell>
          <cell r="BO11">
            <v>2.2200000000000002</v>
          </cell>
          <cell r="BP11">
            <v>2.29</v>
          </cell>
          <cell r="BQ11">
            <v>2.25</v>
          </cell>
          <cell r="BR11">
            <v>2</v>
          </cell>
          <cell r="BS11">
            <v>2.33</v>
          </cell>
          <cell r="BT11">
            <v>1.9</v>
          </cell>
          <cell r="BU11">
            <v>1.58</v>
          </cell>
          <cell r="BV11">
            <v>2.02</v>
          </cell>
          <cell r="BW11">
            <v>1.96</v>
          </cell>
          <cell r="BX11">
            <v>2.08</v>
          </cell>
          <cell r="BY11">
            <v>1.75</v>
          </cell>
          <cell r="BZ11">
            <v>1.77</v>
          </cell>
          <cell r="CA11">
            <v>1.6</v>
          </cell>
          <cell r="CB11">
            <v>1.86</v>
          </cell>
          <cell r="CC11">
            <v>2.33</v>
          </cell>
          <cell r="CD11">
            <v>2.2000000000000002</v>
          </cell>
          <cell r="CE11">
            <v>2.2400000000000002</v>
          </cell>
          <cell r="CF11">
            <v>2.58</v>
          </cell>
          <cell r="CG11">
            <v>2.86</v>
          </cell>
        </row>
        <row r="12">
          <cell r="A12" t="str">
            <v>CGLF-OFS</v>
          </cell>
          <cell r="B12">
            <v>9</v>
          </cell>
          <cell r="C12">
            <v>2.23</v>
          </cell>
          <cell r="E12">
            <v>1.83</v>
          </cell>
          <cell r="F12">
            <v>1.54</v>
          </cell>
          <cell r="G12">
            <v>1.79</v>
          </cell>
          <cell r="H12">
            <v>2.1</v>
          </cell>
          <cell r="I12">
            <v>2.6</v>
          </cell>
          <cell r="J12">
            <v>2.0299999999999998</v>
          </cell>
          <cell r="K12">
            <v>1.86</v>
          </cell>
          <cell r="L12">
            <v>1.98</v>
          </cell>
          <cell r="M12">
            <v>2.2799999999999998</v>
          </cell>
          <cell r="N12">
            <v>1.97</v>
          </cell>
          <cell r="O12">
            <v>2.0299999999999998</v>
          </cell>
          <cell r="P12">
            <v>2.2999999999999998</v>
          </cell>
          <cell r="Q12">
            <v>2.02</v>
          </cell>
          <cell r="S12">
            <v>2.2799999999999998</v>
          </cell>
          <cell r="T12">
            <v>1.91</v>
          </cell>
          <cell r="V12">
            <v>1.73</v>
          </cell>
          <cell r="W12">
            <v>1.87</v>
          </cell>
          <cell r="X12">
            <v>1.71</v>
          </cell>
          <cell r="Z12">
            <v>1.29</v>
          </cell>
          <cell r="AB12">
            <v>1.56</v>
          </cell>
          <cell r="AC12">
            <v>1.49</v>
          </cell>
          <cell r="AD12">
            <v>1.3</v>
          </cell>
          <cell r="AE12">
            <v>1.35</v>
          </cell>
          <cell r="AF12">
            <v>1.44</v>
          </cell>
          <cell r="AG12">
            <v>1.58</v>
          </cell>
          <cell r="AH12">
            <v>1.6</v>
          </cell>
          <cell r="BB12">
            <v>2.79</v>
          </cell>
          <cell r="BC12">
            <v>1.66</v>
          </cell>
          <cell r="BD12">
            <v>1.81</v>
          </cell>
          <cell r="BE12">
            <v>2.0299999999999998</v>
          </cell>
          <cell r="BF12">
            <v>2.17</v>
          </cell>
          <cell r="BG12">
            <v>2.1800000000000002</v>
          </cell>
          <cell r="BH12">
            <v>2.19</v>
          </cell>
        </row>
        <row r="13">
          <cell r="A13" t="str">
            <v>CHIC</v>
          </cell>
          <cell r="B13">
            <v>10</v>
          </cell>
          <cell r="C13">
            <v>2.46</v>
          </cell>
          <cell r="D13">
            <v>2.4</v>
          </cell>
          <cell r="E13">
            <v>2.2200000000000002</v>
          </cell>
          <cell r="F13">
            <v>1.83</v>
          </cell>
          <cell r="G13">
            <v>2.11</v>
          </cell>
          <cell r="H13">
            <v>2.41</v>
          </cell>
          <cell r="I13">
            <v>2.92</v>
          </cell>
          <cell r="J13">
            <v>2.15</v>
          </cell>
          <cell r="K13">
            <v>2.14</v>
          </cell>
          <cell r="L13">
            <v>2.2799999999999998</v>
          </cell>
          <cell r="M13">
            <v>2.5299999999999998</v>
          </cell>
          <cell r="N13">
            <v>2.31</v>
          </cell>
          <cell r="O13">
            <v>2.29</v>
          </cell>
          <cell r="P13">
            <v>2.5299999999999998</v>
          </cell>
          <cell r="Q13">
            <v>2.21</v>
          </cell>
          <cell r="R13">
            <v>2.5499999999999998</v>
          </cell>
          <cell r="S13">
            <v>2.61</v>
          </cell>
          <cell r="T13">
            <v>2.17</v>
          </cell>
          <cell r="U13">
            <v>2.1800000000000002</v>
          </cell>
          <cell r="V13">
            <v>1.92</v>
          </cell>
          <cell r="W13">
            <v>2.0299999999999998</v>
          </cell>
          <cell r="X13">
            <v>1.87</v>
          </cell>
          <cell r="Y13">
            <v>1.59</v>
          </cell>
          <cell r="Z13">
            <v>1.51</v>
          </cell>
          <cell r="AA13">
            <v>1.81</v>
          </cell>
          <cell r="AB13">
            <v>1.81</v>
          </cell>
          <cell r="AC13">
            <v>1.73</v>
          </cell>
          <cell r="AD13">
            <v>1.5</v>
          </cell>
          <cell r="AE13">
            <v>1.47</v>
          </cell>
          <cell r="AF13">
            <v>1.56</v>
          </cell>
          <cell r="AG13">
            <v>1.7</v>
          </cell>
          <cell r="AH13">
            <v>1.75</v>
          </cell>
          <cell r="AI13">
            <v>1.55</v>
          </cell>
          <cell r="AJ13">
            <v>1.41</v>
          </cell>
          <cell r="AK13">
            <v>1.61</v>
          </cell>
          <cell r="AL13">
            <v>1.72</v>
          </cell>
          <cell r="AM13">
            <v>1.91</v>
          </cell>
          <cell r="AN13">
            <v>2.41</v>
          </cell>
          <cell r="AO13">
            <v>3.31</v>
          </cell>
          <cell r="AP13">
            <v>2.64</v>
          </cell>
          <cell r="AQ13">
            <v>3.2</v>
          </cell>
          <cell r="AR13">
            <v>2.81</v>
          </cell>
          <cell r="AS13">
            <v>2.2999999999999998</v>
          </cell>
          <cell r="AT13">
            <v>2.4</v>
          </cell>
          <cell r="AU13">
            <v>2.64</v>
          </cell>
          <cell r="AV13">
            <v>2.36</v>
          </cell>
          <cell r="AW13">
            <v>1.94</v>
          </cell>
          <cell r="AX13">
            <v>1.98</v>
          </cell>
          <cell r="AY13">
            <v>2.95</v>
          </cell>
          <cell r="AZ13">
            <v>4.25</v>
          </cell>
          <cell r="BA13">
            <v>4.53</v>
          </cell>
          <cell r="BB13">
            <v>3.36</v>
          </cell>
          <cell r="BC13">
            <v>1.91</v>
          </cell>
          <cell r="BD13">
            <v>1.95</v>
          </cell>
          <cell r="BE13">
            <v>2.19</v>
          </cell>
          <cell r="BF13">
            <v>2.38</v>
          </cell>
          <cell r="BG13">
            <v>2.2400000000000002</v>
          </cell>
          <cell r="BH13">
            <v>2.23</v>
          </cell>
          <cell r="BI13">
            <v>2.63</v>
          </cell>
          <cell r="BJ13">
            <v>3.34</v>
          </cell>
          <cell r="BK13">
            <v>3.55</v>
          </cell>
          <cell r="BL13">
            <v>3.55</v>
          </cell>
          <cell r="BM13">
            <v>2.37</v>
          </cell>
          <cell r="BN13">
            <v>2.09</v>
          </cell>
          <cell r="BO13">
            <v>2.2999999999999998</v>
          </cell>
          <cell r="BP13">
            <v>2.38</v>
          </cell>
          <cell r="BQ13">
            <v>2.36</v>
          </cell>
          <cell r="BR13">
            <v>2.13</v>
          </cell>
          <cell r="BS13">
            <v>2.42</v>
          </cell>
          <cell r="CG13">
            <v>2.96</v>
          </cell>
        </row>
        <row r="14">
          <cell r="A14" t="str">
            <v>CIG-ROCK</v>
          </cell>
          <cell r="B14">
            <v>11</v>
          </cell>
          <cell r="C14">
            <v>1.83</v>
          </cell>
          <cell r="D14">
            <v>1.88</v>
          </cell>
          <cell r="E14">
            <v>2.15</v>
          </cell>
          <cell r="F14">
            <v>1.6</v>
          </cell>
          <cell r="G14">
            <v>1.73</v>
          </cell>
          <cell r="H14">
            <v>1.8</v>
          </cell>
          <cell r="I14">
            <v>2.2000000000000002</v>
          </cell>
          <cell r="J14">
            <v>1.56</v>
          </cell>
          <cell r="K14">
            <v>1.5</v>
          </cell>
          <cell r="L14">
            <v>1.65</v>
          </cell>
          <cell r="M14">
            <v>1.88</v>
          </cell>
          <cell r="N14">
            <v>1.71</v>
          </cell>
          <cell r="O14">
            <v>1.7</v>
          </cell>
          <cell r="P14">
            <v>2.23</v>
          </cell>
          <cell r="Q14">
            <v>1.88</v>
          </cell>
          <cell r="R14">
            <v>1.76</v>
          </cell>
          <cell r="S14">
            <v>1.86</v>
          </cell>
          <cell r="T14">
            <v>1.52</v>
          </cell>
          <cell r="U14">
            <v>1.55</v>
          </cell>
          <cell r="V14">
            <v>1.32</v>
          </cell>
          <cell r="W14">
            <v>1.39</v>
          </cell>
          <cell r="X14">
            <v>1.39</v>
          </cell>
          <cell r="Y14">
            <v>1.33</v>
          </cell>
          <cell r="Z14">
            <v>1.1599999999999999</v>
          </cell>
          <cell r="AA14">
            <v>1.44</v>
          </cell>
          <cell r="AB14">
            <v>1.57</v>
          </cell>
          <cell r="AC14">
            <v>1.35</v>
          </cell>
          <cell r="AD14">
            <v>1.06</v>
          </cell>
          <cell r="AE14">
            <v>1.05</v>
          </cell>
          <cell r="AF14">
            <v>1.05</v>
          </cell>
          <cell r="AG14">
            <v>1.07</v>
          </cell>
          <cell r="AH14">
            <v>1.1399999999999999</v>
          </cell>
          <cell r="AI14">
            <v>0.98</v>
          </cell>
          <cell r="AJ14">
            <v>0.84</v>
          </cell>
          <cell r="AK14">
            <v>0.95</v>
          </cell>
          <cell r="AL14">
            <v>1.04</v>
          </cell>
          <cell r="AM14">
            <v>1.25</v>
          </cell>
          <cell r="AN14">
            <v>1.31</v>
          </cell>
          <cell r="AO14">
            <v>1.26</v>
          </cell>
          <cell r="AP14">
            <v>1.1599999999999999</v>
          </cell>
          <cell r="AQ14">
            <v>1.1599999999999999</v>
          </cell>
          <cell r="AR14">
            <v>1.06</v>
          </cell>
          <cell r="AS14">
            <v>1.06</v>
          </cell>
          <cell r="AT14">
            <v>1.06</v>
          </cell>
          <cell r="AU14">
            <v>1.18</v>
          </cell>
          <cell r="AV14">
            <v>1.21</v>
          </cell>
          <cell r="AW14">
            <v>1.19</v>
          </cell>
          <cell r="AX14">
            <v>1.25</v>
          </cell>
          <cell r="AY14">
            <v>2.25</v>
          </cell>
          <cell r="AZ14">
            <v>3.5</v>
          </cell>
          <cell r="BA14">
            <v>4.18</v>
          </cell>
          <cell r="BB14">
            <v>2.5299999999999998</v>
          </cell>
          <cell r="BC14">
            <v>1.39</v>
          </cell>
          <cell r="BD14">
            <v>1.45</v>
          </cell>
          <cell r="BE14">
            <v>1.63</v>
          </cell>
          <cell r="BF14">
            <v>1.43</v>
          </cell>
          <cell r="BG14">
            <v>1.44</v>
          </cell>
          <cell r="BH14">
            <v>1.38</v>
          </cell>
          <cell r="BI14">
            <v>1.47</v>
          </cell>
          <cell r="BJ14">
            <v>2.1</v>
          </cell>
          <cell r="BK14">
            <v>2.99</v>
          </cell>
          <cell r="BL14">
            <v>1.94</v>
          </cell>
          <cell r="BM14">
            <v>2.04</v>
          </cell>
          <cell r="BN14">
            <v>1.7</v>
          </cell>
          <cell r="BO14">
            <v>1.88</v>
          </cell>
          <cell r="BP14">
            <v>1.9</v>
          </cell>
          <cell r="BQ14">
            <v>1.96</v>
          </cell>
          <cell r="BR14">
            <v>1.64</v>
          </cell>
          <cell r="BS14">
            <v>1.61</v>
          </cell>
          <cell r="BT14">
            <v>1.73</v>
          </cell>
          <cell r="BU14">
            <v>1.55</v>
          </cell>
          <cell r="BV14">
            <v>1.65</v>
          </cell>
          <cell r="BW14">
            <v>1.97</v>
          </cell>
          <cell r="BX14">
            <v>1.96</v>
          </cell>
          <cell r="BY14">
            <v>1.75</v>
          </cell>
          <cell r="BZ14">
            <v>1.61</v>
          </cell>
          <cell r="CA14">
            <v>1.49</v>
          </cell>
          <cell r="CB14">
            <v>1.53</v>
          </cell>
          <cell r="CC14">
            <v>1.98</v>
          </cell>
          <cell r="CD14">
            <v>1.93</v>
          </cell>
          <cell r="CE14">
            <v>1.97</v>
          </cell>
          <cell r="CF14">
            <v>2.16</v>
          </cell>
          <cell r="CG14">
            <v>2.52</v>
          </cell>
        </row>
        <row r="15">
          <cell r="A15" t="str">
            <v>CNG</v>
          </cell>
          <cell r="B15">
            <v>12</v>
          </cell>
          <cell r="H15">
            <v>2.54</v>
          </cell>
          <cell r="I15">
            <v>3</v>
          </cell>
          <cell r="J15">
            <v>2.25</v>
          </cell>
          <cell r="K15">
            <v>2.13</v>
          </cell>
          <cell r="L15">
            <v>2.23</v>
          </cell>
          <cell r="M15">
            <v>2.5299999999999998</v>
          </cell>
          <cell r="N15">
            <v>2.23</v>
          </cell>
          <cell r="O15">
            <v>2.36</v>
          </cell>
          <cell r="P15">
            <v>2.68</v>
          </cell>
          <cell r="Q15">
            <v>2.33</v>
          </cell>
          <cell r="R15">
            <v>2.75</v>
          </cell>
          <cell r="S15">
            <v>2.78</v>
          </cell>
          <cell r="T15">
            <v>2.23</v>
          </cell>
          <cell r="U15">
            <v>2.29</v>
          </cell>
          <cell r="V15">
            <v>1.99</v>
          </cell>
          <cell r="W15">
            <v>2.1</v>
          </cell>
          <cell r="X15">
            <v>1.9</v>
          </cell>
          <cell r="Y15">
            <v>1.55</v>
          </cell>
          <cell r="Z15">
            <v>1.5</v>
          </cell>
          <cell r="AA15">
            <v>1.83</v>
          </cell>
          <cell r="AB15">
            <v>1.93</v>
          </cell>
          <cell r="AC15">
            <v>1.87</v>
          </cell>
          <cell r="AD15">
            <v>1.65</v>
          </cell>
          <cell r="AE15">
            <v>1.62</v>
          </cell>
          <cell r="AF15">
            <v>1.68</v>
          </cell>
          <cell r="AG15">
            <v>1.83</v>
          </cell>
          <cell r="AH15">
            <v>1.86</v>
          </cell>
          <cell r="AI15">
            <v>1.62</v>
          </cell>
          <cell r="AJ15">
            <v>1.49</v>
          </cell>
          <cell r="AK15">
            <v>1.68</v>
          </cell>
          <cell r="AL15">
            <v>1.77</v>
          </cell>
          <cell r="AM15">
            <v>1.97</v>
          </cell>
          <cell r="AN15">
            <v>2.5299999999999998</v>
          </cell>
          <cell r="AO15">
            <v>3.8</v>
          </cell>
          <cell r="AP15">
            <v>3.67</v>
          </cell>
          <cell r="AQ15">
            <v>4.95</v>
          </cell>
          <cell r="AR15">
            <v>3.21</v>
          </cell>
          <cell r="AS15">
            <v>2.4300000000000002</v>
          </cell>
          <cell r="AT15">
            <v>2.54</v>
          </cell>
          <cell r="AU15">
            <v>2.86</v>
          </cell>
          <cell r="AV15">
            <v>2.5</v>
          </cell>
          <cell r="AW15">
            <v>1.94</v>
          </cell>
          <cell r="AX15">
            <v>1.99</v>
          </cell>
          <cell r="AY15">
            <v>3.05</v>
          </cell>
          <cell r="AZ15">
            <v>4.5</v>
          </cell>
          <cell r="BA15">
            <v>4.5</v>
          </cell>
          <cell r="BB15">
            <v>3.2</v>
          </cell>
          <cell r="BC15">
            <v>1.93</v>
          </cell>
          <cell r="BD15">
            <v>2.02</v>
          </cell>
          <cell r="BE15">
            <v>2.33</v>
          </cell>
          <cell r="BF15">
            <v>2.46</v>
          </cell>
          <cell r="BG15">
            <v>2.31</v>
          </cell>
          <cell r="BH15">
            <v>2.33</v>
          </cell>
          <cell r="BI15">
            <v>2.71</v>
          </cell>
          <cell r="BJ15">
            <v>3.32</v>
          </cell>
          <cell r="BK15">
            <v>3.59</v>
          </cell>
          <cell r="BL15">
            <v>2.7</v>
          </cell>
          <cell r="BM15">
            <v>2.44</v>
          </cell>
          <cell r="BN15">
            <v>2.15</v>
          </cell>
          <cell r="BO15">
            <v>2.4</v>
          </cell>
          <cell r="BP15">
            <v>2.5</v>
          </cell>
          <cell r="BQ15">
            <v>2.46</v>
          </cell>
          <cell r="BR15">
            <v>2.19</v>
          </cell>
          <cell r="BS15">
            <v>2.4700000000000002</v>
          </cell>
          <cell r="BT15">
            <v>2.06</v>
          </cell>
          <cell r="BU15">
            <v>1.79</v>
          </cell>
          <cell r="BV15">
            <v>2.2200000000000002</v>
          </cell>
          <cell r="BW15">
            <v>2.25</v>
          </cell>
          <cell r="BX15">
            <v>2.23</v>
          </cell>
          <cell r="BY15">
            <v>1.95</v>
          </cell>
          <cell r="BZ15">
            <v>1.95</v>
          </cell>
          <cell r="CA15">
            <v>1.78</v>
          </cell>
          <cell r="CB15">
            <v>2.09</v>
          </cell>
          <cell r="CC15">
            <v>2.5099999999999998</v>
          </cell>
          <cell r="CD15">
            <v>2.35</v>
          </cell>
          <cell r="CE15">
            <v>2.42</v>
          </cell>
          <cell r="CF15">
            <v>2.8</v>
          </cell>
          <cell r="CG15">
            <v>3.07</v>
          </cell>
        </row>
        <row r="16">
          <cell r="A16" t="str">
            <v>EPNG-PERM</v>
          </cell>
          <cell r="B16">
            <v>13</v>
          </cell>
          <cell r="C16">
            <v>2.12</v>
          </cell>
          <cell r="D16">
            <v>2.04</v>
          </cell>
          <cell r="E16">
            <v>2.04</v>
          </cell>
          <cell r="F16">
            <v>1.57</v>
          </cell>
          <cell r="G16">
            <v>1.83</v>
          </cell>
          <cell r="H16">
            <v>1.89</v>
          </cell>
          <cell r="I16">
            <v>2.2000000000000002</v>
          </cell>
          <cell r="J16">
            <v>1.65</v>
          </cell>
          <cell r="K16">
            <v>1.78</v>
          </cell>
          <cell r="L16">
            <v>1.88</v>
          </cell>
          <cell r="M16">
            <v>2.0299999999999998</v>
          </cell>
          <cell r="N16">
            <v>1.77</v>
          </cell>
          <cell r="O16">
            <v>1.77</v>
          </cell>
          <cell r="P16">
            <v>2.25</v>
          </cell>
          <cell r="Q16">
            <v>1.93</v>
          </cell>
          <cell r="R16">
            <v>1.88</v>
          </cell>
          <cell r="S16">
            <v>2</v>
          </cell>
          <cell r="T16">
            <v>1.75</v>
          </cell>
          <cell r="U16">
            <v>1.75</v>
          </cell>
          <cell r="V16">
            <v>1.5</v>
          </cell>
          <cell r="W16">
            <v>1.65</v>
          </cell>
          <cell r="X16">
            <v>1.57</v>
          </cell>
          <cell r="Y16">
            <v>1.44</v>
          </cell>
          <cell r="Z16">
            <v>1.22</v>
          </cell>
          <cell r="AA16">
            <v>1.47</v>
          </cell>
          <cell r="AB16">
            <v>1.64</v>
          </cell>
          <cell r="AC16">
            <v>1.46</v>
          </cell>
          <cell r="AD16">
            <v>1.17</v>
          </cell>
          <cell r="AE16">
            <v>1.17</v>
          </cell>
          <cell r="AF16">
            <v>1.25</v>
          </cell>
          <cell r="AG16">
            <v>1.35</v>
          </cell>
          <cell r="AH16">
            <v>1.38</v>
          </cell>
          <cell r="AI16">
            <v>1.19</v>
          </cell>
          <cell r="AJ16">
            <v>1.18</v>
          </cell>
          <cell r="AK16">
            <v>1.36</v>
          </cell>
          <cell r="AL16">
            <v>1.41</v>
          </cell>
          <cell r="AM16">
            <v>1.54</v>
          </cell>
          <cell r="AN16">
            <v>1.74</v>
          </cell>
          <cell r="AO16">
            <v>1.92</v>
          </cell>
          <cell r="AP16">
            <v>1.68</v>
          </cell>
          <cell r="AQ16">
            <v>1.75</v>
          </cell>
          <cell r="AR16">
            <v>2.0099999999999998</v>
          </cell>
          <cell r="AS16">
            <v>1.95</v>
          </cell>
          <cell r="AT16">
            <v>2.0099999999999998</v>
          </cell>
          <cell r="AU16">
            <v>2.09</v>
          </cell>
          <cell r="AV16">
            <v>2.0699999999999998</v>
          </cell>
          <cell r="AW16">
            <v>1.59</v>
          </cell>
          <cell r="AX16">
            <v>1.64</v>
          </cell>
          <cell r="AY16">
            <v>2.48</v>
          </cell>
          <cell r="AZ16">
            <v>3.59</v>
          </cell>
          <cell r="BA16">
            <v>4.0999999999999996</v>
          </cell>
          <cell r="BB16">
            <v>2.5499999999999998</v>
          </cell>
          <cell r="BC16">
            <v>1.54</v>
          </cell>
          <cell r="BD16">
            <v>1.63</v>
          </cell>
          <cell r="BE16">
            <v>1.91</v>
          </cell>
          <cell r="BF16">
            <v>2.0699999999999998</v>
          </cell>
          <cell r="BG16">
            <v>2</v>
          </cell>
          <cell r="BH16">
            <v>2.0499999999999998</v>
          </cell>
          <cell r="BI16">
            <v>2.36</v>
          </cell>
          <cell r="BJ16">
            <v>2.9</v>
          </cell>
          <cell r="BK16">
            <v>3.18</v>
          </cell>
          <cell r="BL16">
            <v>2.21</v>
          </cell>
          <cell r="BM16">
            <v>2.08</v>
          </cell>
          <cell r="BN16">
            <v>1.84</v>
          </cell>
          <cell r="BO16">
            <v>2.04</v>
          </cell>
          <cell r="BP16">
            <v>2.12</v>
          </cell>
          <cell r="BQ16">
            <v>2.1</v>
          </cell>
          <cell r="BR16">
            <v>1.86</v>
          </cell>
          <cell r="BS16">
            <v>2.1800000000000002</v>
          </cell>
          <cell r="BT16">
            <v>1.9</v>
          </cell>
          <cell r="BU16">
            <v>1.59</v>
          </cell>
          <cell r="BV16">
            <v>1.82</v>
          </cell>
          <cell r="BW16">
            <v>1.92</v>
          </cell>
          <cell r="BX16">
            <v>1.99</v>
          </cell>
          <cell r="BY16">
            <v>1.73</v>
          </cell>
          <cell r="BZ16">
            <v>1.66</v>
          </cell>
          <cell r="CA16">
            <v>1.54</v>
          </cell>
          <cell r="CB16">
            <v>1.66</v>
          </cell>
          <cell r="CC16">
            <v>2.16</v>
          </cell>
          <cell r="CD16">
            <v>2.08</v>
          </cell>
          <cell r="CE16">
            <v>2.17</v>
          </cell>
          <cell r="CF16">
            <v>2.46</v>
          </cell>
          <cell r="CG16">
            <v>2.78</v>
          </cell>
        </row>
        <row r="17">
          <cell r="A17" t="str">
            <v>EPNG-SJ</v>
          </cell>
          <cell r="B17">
            <v>14</v>
          </cell>
          <cell r="C17">
            <v>2.11</v>
          </cell>
          <cell r="D17">
            <v>2.04</v>
          </cell>
          <cell r="E17">
            <v>2.1</v>
          </cell>
          <cell r="F17">
            <v>1.58</v>
          </cell>
          <cell r="G17">
            <v>1.84</v>
          </cell>
          <cell r="H17">
            <v>1.89</v>
          </cell>
          <cell r="I17">
            <v>2.2000000000000002</v>
          </cell>
          <cell r="J17">
            <v>1.65</v>
          </cell>
          <cell r="K17">
            <v>1.76</v>
          </cell>
          <cell r="L17">
            <v>1.84</v>
          </cell>
          <cell r="M17">
            <v>2.0099999999999998</v>
          </cell>
          <cell r="N17">
            <v>1.76</v>
          </cell>
          <cell r="O17">
            <v>1.76</v>
          </cell>
          <cell r="P17">
            <v>2.2400000000000002</v>
          </cell>
          <cell r="Q17">
            <v>1.94</v>
          </cell>
          <cell r="R17">
            <v>1.82</v>
          </cell>
          <cell r="S17">
            <v>1.98</v>
          </cell>
          <cell r="T17">
            <v>1.73</v>
          </cell>
          <cell r="U17">
            <v>1.74</v>
          </cell>
          <cell r="V17">
            <v>1.48</v>
          </cell>
          <cell r="W17">
            <v>1.58</v>
          </cell>
          <cell r="X17">
            <v>1.54</v>
          </cell>
          <cell r="Y17">
            <v>1.43</v>
          </cell>
          <cell r="Z17">
            <v>1.2</v>
          </cell>
          <cell r="AA17">
            <v>1.46</v>
          </cell>
          <cell r="AB17">
            <v>1.63</v>
          </cell>
          <cell r="AC17">
            <v>1.45</v>
          </cell>
          <cell r="AD17">
            <v>1.0900000000000001</v>
          </cell>
          <cell r="AE17">
            <v>1.08</v>
          </cell>
          <cell r="AF17">
            <v>1.0900000000000001</v>
          </cell>
          <cell r="AG17">
            <v>1.17</v>
          </cell>
          <cell r="AH17">
            <v>1.17</v>
          </cell>
          <cell r="AI17">
            <v>1.05</v>
          </cell>
          <cell r="AJ17">
            <v>1.02</v>
          </cell>
          <cell r="AK17">
            <v>1.19</v>
          </cell>
          <cell r="AL17">
            <v>1.24</v>
          </cell>
          <cell r="AM17">
            <v>1.25</v>
          </cell>
          <cell r="AN17">
            <v>1.34</v>
          </cell>
          <cell r="AO17">
            <v>1.39</v>
          </cell>
          <cell r="AP17">
            <v>1.26</v>
          </cell>
          <cell r="AQ17">
            <v>1.18</v>
          </cell>
          <cell r="AR17">
            <v>1.1200000000000001</v>
          </cell>
          <cell r="AS17">
            <v>1.1200000000000001</v>
          </cell>
          <cell r="AT17">
            <v>1.18</v>
          </cell>
          <cell r="AU17">
            <v>1.47</v>
          </cell>
          <cell r="AV17">
            <v>2</v>
          </cell>
          <cell r="AW17">
            <v>1.55</v>
          </cell>
          <cell r="AX17">
            <v>1.59</v>
          </cell>
          <cell r="AY17">
            <v>2.4500000000000002</v>
          </cell>
          <cell r="AZ17">
            <v>3.55</v>
          </cell>
          <cell r="BA17">
            <v>4.05</v>
          </cell>
          <cell r="BB17">
            <v>2.48</v>
          </cell>
          <cell r="BC17">
            <v>1.46</v>
          </cell>
          <cell r="BD17">
            <v>1.59</v>
          </cell>
          <cell r="BE17">
            <v>1.87</v>
          </cell>
          <cell r="BF17">
            <v>2.02</v>
          </cell>
          <cell r="BG17">
            <v>1.97</v>
          </cell>
          <cell r="BH17">
            <v>2</v>
          </cell>
          <cell r="BI17">
            <v>2.2799999999999998</v>
          </cell>
          <cell r="BJ17">
            <v>2.83</v>
          </cell>
          <cell r="BK17">
            <v>3.11</v>
          </cell>
          <cell r="BL17">
            <v>2.16</v>
          </cell>
          <cell r="BM17">
            <v>2.06</v>
          </cell>
          <cell r="BN17">
            <v>1.76</v>
          </cell>
          <cell r="BO17">
            <v>2.0099999999999998</v>
          </cell>
          <cell r="BP17">
            <v>2.06</v>
          </cell>
          <cell r="BQ17">
            <v>2</v>
          </cell>
          <cell r="BR17">
            <v>1.75</v>
          </cell>
          <cell r="BS17">
            <v>1.86</v>
          </cell>
          <cell r="BT17">
            <v>1.81</v>
          </cell>
          <cell r="BU17">
            <v>1.55</v>
          </cell>
          <cell r="BV17">
            <v>1.67</v>
          </cell>
          <cell r="BW17">
            <v>1.88</v>
          </cell>
          <cell r="BX17">
            <v>1.96</v>
          </cell>
          <cell r="BY17">
            <v>1.72</v>
          </cell>
          <cell r="BZ17">
            <v>1.63</v>
          </cell>
          <cell r="CA17">
            <v>1.51</v>
          </cell>
          <cell r="CB17">
            <v>1.59</v>
          </cell>
          <cell r="CC17">
            <v>2.0299999999999998</v>
          </cell>
          <cell r="CD17">
            <v>1.96</v>
          </cell>
          <cell r="CE17">
            <v>2.0499999999999998</v>
          </cell>
          <cell r="CF17">
            <v>2.2599999999999998</v>
          </cell>
          <cell r="CG17">
            <v>2.63</v>
          </cell>
        </row>
        <row r="18">
          <cell r="A18" t="str">
            <v>FGT-Z1</v>
          </cell>
          <cell r="B18">
            <v>15</v>
          </cell>
          <cell r="C18">
            <v>2.36</v>
          </cell>
          <cell r="D18">
            <v>2.2000000000000002</v>
          </cell>
          <cell r="E18">
            <v>1.9</v>
          </cell>
          <cell r="F18">
            <v>1.59</v>
          </cell>
          <cell r="G18">
            <v>1.85</v>
          </cell>
          <cell r="H18">
            <v>2.15</v>
          </cell>
          <cell r="I18">
            <v>2.68</v>
          </cell>
          <cell r="J18">
            <v>2.13</v>
          </cell>
          <cell r="K18">
            <v>1.89</v>
          </cell>
          <cell r="L18">
            <v>2.0299999999999998</v>
          </cell>
          <cell r="M18">
            <v>2.34</v>
          </cell>
          <cell r="N18">
            <v>2</v>
          </cell>
          <cell r="O18">
            <v>2.0499999999999998</v>
          </cell>
          <cell r="P18">
            <v>2.2999999999999998</v>
          </cell>
          <cell r="Q18">
            <v>2.0299999999999998</v>
          </cell>
          <cell r="R18">
            <v>2.25</v>
          </cell>
          <cell r="S18">
            <v>2.2000000000000002</v>
          </cell>
          <cell r="T18">
            <v>1.88</v>
          </cell>
          <cell r="U18">
            <v>1.98</v>
          </cell>
          <cell r="V18">
            <v>1.74</v>
          </cell>
          <cell r="W18">
            <v>1.88</v>
          </cell>
          <cell r="X18">
            <v>1.71</v>
          </cell>
          <cell r="Y18">
            <v>1.54</v>
          </cell>
          <cell r="Z18">
            <v>1.36</v>
          </cell>
          <cell r="AA18">
            <v>1.57</v>
          </cell>
          <cell r="AB18">
            <v>1.61</v>
          </cell>
          <cell r="AC18">
            <v>1.54</v>
          </cell>
          <cell r="AD18">
            <v>1.34</v>
          </cell>
          <cell r="AE18">
            <v>1.36</v>
          </cell>
          <cell r="AF18">
            <v>1.49</v>
          </cell>
          <cell r="AG18">
            <v>1.6</v>
          </cell>
          <cell r="AH18">
            <v>1.65</v>
          </cell>
          <cell r="AI18">
            <v>1.44</v>
          </cell>
          <cell r="AJ18">
            <v>1.31</v>
          </cell>
          <cell r="AK18">
            <v>1.48</v>
          </cell>
          <cell r="AL18">
            <v>1.56</v>
          </cell>
          <cell r="AM18">
            <v>1.7</v>
          </cell>
          <cell r="AN18">
            <v>2.1</v>
          </cell>
          <cell r="AO18">
            <v>2.1800000000000002</v>
          </cell>
          <cell r="AP18">
            <v>1.87</v>
          </cell>
          <cell r="AQ18">
            <v>2.0299999999999998</v>
          </cell>
          <cell r="AR18">
            <v>2.2599999999999998</v>
          </cell>
          <cell r="AS18">
            <v>2.15</v>
          </cell>
          <cell r="AT18">
            <v>2.25</v>
          </cell>
          <cell r="AU18">
            <v>2.5299999999999998</v>
          </cell>
          <cell r="AV18">
            <v>2.25</v>
          </cell>
          <cell r="AW18">
            <v>1.75</v>
          </cell>
          <cell r="AX18">
            <v>1.75</v>
          </cell>
          <cell r="AY18">
            <v>2.54</v>
          </cell>
          <cell r="AZ18">
            <v>3.72</v>
          </cell>
          <cell r="BA18">
            <v>3.98</v>
          </cell>
          <cell r="BB18">
            <v>2.8</v>
          </cell>
          <cell r="BC18">
            <v>1.69</v>
          </cell>
          <cell r="BD18">
            <v>1.74</v>
          </cell>
          <cell r="BE18">
            <v>2.06</v>
          </cell>
          <cell r="BF18">
            <v>2.21</v>
          </cell>
          <cell r="BG18">
            <v>2.12</v>
          </cell>
          <cell r="BH18">
            <v>2.14</v>
          </cell>
          <cell r="BI18">
            <v>2.5099999999999998</v>
          </cell>
          <cell r="BJ18">
            <v>3.1</v>
          </cell>
          <cell r="BK18">
            <v>3.2</v>
          </cell>
          <cell r="BL18">
            <v>2.4500000000000002</v>
          </cell>
          <cell r="BM18">
            <v>2.21</v>
          </cell>
          <cell r="BN18">
            <v>1.94</v>
          </cell>
          <cell r="BO18">
            <v>2.19</v>
          </cell>
          <cell r="BP18">
            <v>2.25</v>
          </cell>
          <cell r="BQ18">
            <v>2.2000000000000002</v>
          </cell>
          <cell r="BR18">
            <v>1.98</v>
          </cell>
          <cell r="BS18">
            <v>2.31</v>
          </cell>
          <cell r="BT18">
            <v>1.86</v>
          </cell>
          <cell r="BU18">
            <v>1.57</v>
          </cell>
          <cell r="BV18">
            <v>1.98</v>
          </cell>
          <cell r="BW18">
            <v>1.92</v>
          </cell>
          <cell r="BX18">
            <v>2.0699999999999998</v>
          </cell>
          <cell r="BY18">
            <v>1.73</v>
          </cell>
          <cell r="BZ18">
            <v>1.74</v>
          </cell>
          <cell r="CA18">
            <v>1.59</v>
          </cell>
          <cell r="CB18">
            <v>1.84</v>
          </cell>
          <cell r="CC18">
            <v>2.2999999999999998</v>
          </cell>
          <cell r="CD18">
            <v>2.2000000000000002</v>
          </cell>
          <cell r="CE18">
            <v>2.2400000000000002</v>
          </cell>
          <cell r="CF18">
            <v>2.57</v>
          </cell>
          <cell r="CG18">
            <v>2.86</v>
          </cell>
        </row>
        <row r="19">
          <cell r="A19" t="str">
            <v>FGT-Z2</v>
          </cell>
          <cell r="B19">
            <v>16</v>
          </cell>
          <cell r="C19">
            <v>2.4</v>
          </cell>
          <cell r="D19">
            <v>2.25</v>
          </cell>
          <cell r="E19">
            <v>2.02</v>
          </cell>
          <cell r="F19">
            <v>1.64</v>
          </cell>
          <cell r="G19">
            <v>1.88</v>
          </cell>
          <cell r="H19">
            <v>2.2200000000000002</v>
          </cell>
          <cell r="I19">
            <v>2.73</v>
          </cell>
          <cell r="J19">
            <v>2.15</v>
          </cell>
          <cell r="K19">
            <v>1.95</v>
          </cell>
          <cell r="L19">
            <v>2.0699999999999998</v>
          </cell>
          <cell r="M19">
            <v>2.37</v>
          </cell>
          <cell r="N19">
            <v>2.0499999999999998</v>
          </cell>
          <cell r="O19">
            <v>2.11</v>
          </cell>
          <cell r="P19">
            <v>2.35</v>
          </cell>
          <cell r="Q19">
            <v>2.08</v>
          </cell>
          <cell r="R19">
            <v>2.34</v>
          </cell>
          <cell r="S19">
            <v>2.33</v>
          </cell>
          <cell r="T19">
            <v>1.93</v>
          </cell>
          <cell r="U19">
            <v>2.0499999999999998</v>
          </cell>
          <cell r="V19">
            <v>1.83</v>
          </cell>
          <cell r="W19">
            <v>1.94</v>
          </cell>
          <cell r="X19">
            <v>1.78</v>
          </cell>
          <cell r="Y19">
            <v>1.47</v>
          </cell>
          <cell r="Z19">
            <v>1.41</v>
          </cell>
          <cell r="AA19">
            <v>1.68</v>
          </cell>
          <cell r="AB19">
            <v>1.67</v>
          </cell>
          <cell r="AC19">
            <v>1.58</v>
          </cell>
          <cell r="AD19">
            <v>1.4</v>
          </cell>
          <cell r="AE19">
            <v>1.43</v>
          </cell>
          <cell r="AF19">
            <v>1.54</v>
          </cell>
          <cell r="AG19">
            <v>1.66</v>
          </cell>
          <cell r="AH19">
            <v>1.71</v>
          </cell>
          <cell r="AI19">
            <v>1.5</v>
          </cell>
          <cell r="AJ19">
            <v>1.37</v>
          </cell>
          <cell r="AK19">
            <v>1.54</v>
          </cell>
          <cell r="AL19">
            <v>1.62</v>
          </cell>
          <cell r="AM19">
            <v>1.76</v>
          </cell>
          <cell r="AN19">
            <v>2.23</v>
          </cell>
          <cell r="AO19">
            <v>3.4</v>
          </cell>
          <cell r="AP19">
            <v>2.35</v>
          </cell>
          <cell r="AQ19">
            <v>2.85</v>
          </cell>
          <cell r="AR19">
            <v>2.69</v>
          </cell>
          <cell r="AS19">
            <v>2.21</v>
          </cell>
          <cell r="AT19">
            <v>2.34</v>
          </cell>
          <cell r="AU19">
            <v>2.62</v>
          </cell>
          <cell r="AV19">
            <v>2.3199999999999998</v>
          </cell>
          <cell r="AW19">
            <v>1.81</v>
          </cell>
          <cell r="AX19">
            <v>1.82</v>
          </cell>
          <cell r="AY19">
            <v>2.56</v>
          </cell>
          <cell r="AZ19">
            <v>3.85</v>
          </cell>
          <cell r="BA19">
            <v>4.0999999999999996</v>
          </cell>
          <cell r="BB19">
            <v>2.92</v>
          </cell>
          <cell r="BC19">
            <v>1.84</v>
          </cell>
          <cell r="BD19">
            <v>1.81</v>
          </cell>
          <cell r="BE19">
            <v>2.13</v>
          </cell>
          <cell r="BF19">
            <v>2.2999999999999998</v>
          </cell>
          <cell r="BG19">
            <v>2.17</v>
          </cell>
          <cell r="BH19">
            <v>2.1800000000000002</v>
          </cell>
          <cell r="BI19">
            <v>2.54</v>
          </cell>
          <cell r="BJ19">
            <v>3.13</v>
          </cell>
          <cell r="BK19">
            <v>3.26</v>
          </cell>
          <cell r="BL19">
            <v>2.5499999999999998</v>
          </cell>
          <cell r="BM19">
            <v>2.2799999999999998</v>
          </cell>
          <cell r="BN19">
            <v>2.02</v>
          </cell>
          <cell r="BO19">
            <v>2.25</v>
          </cell>
          <cell r="BP19">
            <v>2.29</v>
          </cell>
          <cell r="BQ19">
            <v>2.25</v>
          </cell>
          <cell r="BR19">
            <v>2.0299999999999998</v>
          </cell>
          <cell r="BS19">
            <v>2.36</v>
          </cell>
          <cell r="BT19">
            <v>1.92</v>
          </cell>
          <cell r="BU19">
            <v>1.61</v>
          </cell>
          <cell r="BV19">
            <v>2.0299999999999998</v>
          </cell>
          <cell r="BW19">
            <v>1.99</v>
          </cell>
          <cell r="BX19">
            <v>2.12</v>
          </cell>
          <cell r="BY19">
            <v>1.78</v>
          </cell>
          <cell r="BZ19">
            <v>1.77</v>
          </cell>
          <cell r="CA19">
            <v>1.63</v>
          </cell>
          <cell r="CB19">
            <v>1.88</v>
          </cell>
          <cell r="CC19">
            <v>2.35</v>
          </cell>
          <cell r="CD19">
            <v>2.23</v>
          </cell>
          <cell r="CE19">
            <v>2.27</v>
          </cell>
          <cell r="CF19">
            <v>2.61</v>
          </cell>
          <cell r="CG19">
            <v>2.9</v>
          </cell>
        </row>
        <row r="20">
          <cell r="A20" t="str">
            <v>FGT-Z3</v>
          </cell>
          <cell r="B20">
            <v>17</v>
          </cell>
          <cell r="C20">
            <v>2.4700000000000002</v>
          </cell>
          <cell r="D20">
            <v>2.36</v>
          </cell>
          <cell r="E20">
            <v>2.0699999999999998</v>
          </cell>
          <cell r="F20">
            <v>1.65</v>
          </cell>
          <cell r="G20">
            <v>1.94</v>
          </cell>
          <cell r="H20">
            <v>2.2200000000000002</v>
          </cell>
          <cell r="I20">
            <v>2.8</v>
          </cell>
          <cell r="J20">
            <v>2.1800000000000002</v>
          </cell>
          <cell r="K20">
            <v>1.98</v>
          </cell>
          <cell r="L20">
            <v>2.11</v>
          </cell>
          <cell r="M20">
            <v>2.38</v>
          </cell>
          <cell r="N20">
            <v>2.1</v>
          </cell>
          <cell r="O20">
            <v>2.15</v>
          </cell>
          <cell r="P20">
            <v>2.41</v>
          </cell>
          <cell r="Q20">
            <v>2.13</v>
          </cell>
          <cell r="R20">
            <v>2.39</v>
          </cell>
          <cell r="S20">
            <v>2.39</v>
          </cell>
          <cell r="T20">
            <v>1.96</v>
          </cell>
          <cell r="U20">
            <v>2.1</v>
          </cell>
          <cell r="V20">
            <v>1.89</v>
          </cell>
          <cell r="W20">
            <v>1.98</v>
          </cell>
          <cell r="X20">
            <v>1.84</v>
          </cell>
          <cell r="Y20">
            <v>1.52</v>
          </cell>
          <cell r="Z20">
            <v>1.45</v>
          </cell>
          <cell r="AA20">
            <v>1.72</v>
          </cell>
          <cell r="AB20">
            <v>1.71</v>
          </cell>
          <cell r="AC20">
            <v>1.62</v>
          </cell>
          <cell r="AD20">
            <v>1.47</v>
          </cell>
          <cell r="AE20">
            <v>1.46</v>
          </cell>
          <cell r="AF20">
            <v>1.56</v>
          </cell>
          <cell r="AG20">
            <v>1.67</v>
          </cell>
          <cell r="AH20">
            <v>1.72</v>
          </cell>
          <cell r="AI20">
            <v>1.49</v>
          </cell>
          <cell r="AJ20">
            <v>1.37</v>
          </cell>
          <cell r="AK20">
            <v>1.55</v>
          </cell>
          <cell r="AL20">
            <v>1.62</v>
          </cell>
          <cell r="AM20">
            <v>1.76</v>
          </cell>
          <cell r="AN20">
            <v>2.2400000000000002</v>
          </cell>
          <cell r="AO20">
            <v>3.37</v>
          </cell>
          <cell r="AP20">
            <v>2.35</v>
          </cell>
          <cell r="AQ20">
            <v>2.82</v>
          </cell>
          <cell r="AR20">
            <v>2.69</v>
          </cell>
          <cell r="AS20">
            <v>2.2000000000000002</v>
          </cell>
          <cell r="AT20">
            <v>2.33</v>
          </cell>
          <cell r="AU20">
            <v>2.61</v>
          </cell>
          <cell r="AV20">
            <v>2.2999999999999998</v>
          </cell>
          <cell r="AW20">
            <v>1.79</v>
          </cell>
          <cell r="AX20">
            <v>1.8</v>
          </cell>
          <cell r="AY20">
            <v>2.6</v>
          </cell>
          <cell r="AZ20">
            <v>3.81</v>
          </cell>
          <cell r="BA20">
            <v>3.95</v>
          </cell>
          <cell r="BB20">
            <v>2.87</v>
          </cell>
          <cell r="BC20">
            <v>1.79</v>
          </cell>
          <cell r="BD20">
            <v>1.76</v>
          </cell>
          <cell r="BE20">
            <v>2.1</v>
          </cell>
          <cell r="BF20">
            <v>2.25</v>
          </cell>
          <cell r="BG20">
            <v>2.12</v>
          </cell>
          <cell r="BH20">
            <v>2.13</v>
          </cell>
          <cell r="BI20">
            <v>2.4700000000000002</v>
          </cell>
          <cell r="BJ20">
            <v>3.05</v>
          </cell>
          <cell r="BK20">
            <v>3.2</v>
          </cell>
          <cell r="BL20">
            <v>2.4900000000000002</v>
          </cell>
          <cell r="BM20">
            <v>2.23</v>
          </cell>
          <cell r="BN20">
            <v>1.96</v>
          </cell>
          <cell r="BO20">
            <v>2.19</v>
          </cell>
          <cell r="BP20">
            <v>2.27</v>
          </cell>
          <cell r="BQ20">
            <v>2.2200000000000002</v>
          </cell>
          <cell r="BR20">
            <v>1.98</v>
          </cell>
          <cell r="BS20">
            <v>2.29</v>
          </cell>
          <cell r="BT20">
            <v>1.86</v>
          </cell>
          <cell r="BU20">
            <v>1.57</v>
          </cell>
          <cell r="BV20">
            <v>1.97</v>
          </cell>
          <cell r="BW20">
            <v>1.91</v>
          </cell>
          <cell r="BX20">
            <v>2.0699999999999998</v>
          </cell>
          <cell r="BY20">
            <v>1.73</v>
          </cell>
          <cell r="BZ20">
            <v>1.74</v>
          </cell>
          <cell r="CA20">
            <v>1.6</v>
          </cell>
          <cell r="CB20">
            <v>1.85</v>
          </cell>
          <cell r="CC20">
            <v>2.2999999999999998</v>
          </cell>
          <cell r="CD20">
            <v>2.21</v>
          </cell>
          <cell r="CE20">
            <v>2.2400000000000002</v>
          </cell>
          <cell r="CF20">
            <v>2.57</v>
          </cell>
          <cell r="CG20">
            <v>2.86</v>
          </cell>
        </row>
        <row r="21">
          <cell r="A21" t="str">
            <v>HSC</v>
          </cell>
          <cell r="B21">
            <v>18</v>
          </cell>
          <cell r="C21">
            <v>2.2400000000000002</v>
          </cell>
          <cell r="D21">
            <v>2.1800000000000002</v>
          </cell>
          <cell r="E21">
            <v>1.98</v>
          </cell>
          <cell r="F21">
            <v>1.64</v>
          </cell>
          <cell r="G21">
            <v>1.93</v>
          </cell>
          <cell r="H21">
            <v>2.23</v>
          </cell>
          <cell r="I21">
            <v>2.6</v>
          </cell>
          <cell r="J21">
            <v>1.93</v>
          </cell>
          <cell r="K21">
            <v>1.97</v>
          </cell>
          <cell r="L21">
            <v>2.19</v>
          </cell>
          <cell r="M21">
            <v>2.36</v>
          </cell>
          <cell r="N21">
            <v>2.02</v>
          </cell>
          <cell r="O21">
            <v>2.12</v>
          </cell>
          <cell r="P21">
            <v>2.4</v>
          </cell>
          <cell r="Q21">
            <v>2.04</v>
          </cell>
          <cell r="R21">
            <v>2.19</v>
          </cell>
          <cell r="S21">
            <v>2.2599999999999998</v>
          </cell>
          <cell r="T21">
            <v>1.98</v>
          </cell>
          <cell r="U21">
            <v>2.0499999999999998</v>
          </cell>
          <cell r="V21">
            <v>1.77</v>
          </cell>
          <cell r="W21">
            <v>1.98</v>
          </cell>
          <cell r="X21">
            <v>1.78</v>
          </cell>
          <cell r="Y21">
            <v>1.5</v>
          </cell>
          <cell r="Z21">
            <v>1.39</v>
          </cell>
          <cell r="AA21">
            <v>1.66</v>
          </cell>
          <cell r="AB21">
            <v>1.67</v>
          </cell>
          <cell r="AC21">
            <v>1.56</v>
          </cell>
          <cell r="AD21">
            <v>1.36</v>
          </cell>
          <cell r="AE21">
            <v>1.39</v>
          </cell>
          <cell r="AF21">
            <v>1.52</v>
          </cell>
          <cell r="AG21">
            <v>1.63</v>
          </cell>
          <cell r="AH21">
            <v>1.67</v>
          </cell>
          <cell r="AI21">
            <v>1.48</v>
          </cell>
          <cell r="AJ21">
            <v>1.37</v>
          </cell>
          <cell r="AK21">
            <v>1.54</v>
          </cell>
          <cell r="AL21">
            <v>1.6</v>
          </cell>
          <cell r="AM21">
            <v>1.73</v>
          </cell>
          <cell r="AN21">
            <v>2.08</v>
          </cell>
          <cell r="AO21">
            <v>2.17</v>
          </cell>
          <cell r="AP21">
            <v>1.86</v>
          </cell>
          <cell r="AQ21">
            <v>1.99</v>
          </cell>
          <cell r="AR21">
            <v>2.29</v>
          </cell>
          <cell r="AS21">
            <v>2.19</v>
          </cell>
          <cell r="AT21">
            <v>2.31</v>
          </cell>
          <cell r="AU21">
            <v>2.58</v>
          </cell>
          <cell r="AV21">
            <v>2.2999999999999998</v>
          </cell>
          <cell r="AW21">
            <v>1.85</v>
          </cell>
          <cell r="AX21">
            <v>1.83</v>
          </cell>
          <cell r="AY21">
            <v>2.61</v>
          </cell>
          <cell r="AZ21">
            <v>3.7</v>
          </cell>
          <cell r="BA21">
            <v>3.9</v>
          </cell>
          <cell r="BB21">
            <v>2.82</v>
          </cell>
          <cell r="BC21">
            <v>1.74</v>
          </cell>
          <cell r="BD21">
            <v>1.81</v>
          </cell>
          <cell r="BE21">
            <v>2.09</v>
          </cell>
          <cell r="BF21">
            <v>2.29</v>
          </cell>
          <cell r="BG21">
            <v>2.16</v>
          </cell>
          <cell r="BH21">
            <v>2.1800000000000002</v>
          </cell>
          <cell r="BI21">
            <v>2.5</v>
          </cell>
          <cell r="BJ21">
            <v>3.11</v>
          </cell>
          <cell r="BK21">
            <v>3.27</v>
          </cell>
          <cell r="BL21">
            <v>2.4500000000000002</v>
          </cell>
          <cell r="BM21">
            <v>2.2200000000000002</v>
          </cell>
          <cell r="BN21">
            <v>2.0099999999999998</v>
          </cell>
          <cell r="BO21">
            <v>2.23</v>
          </cell>
          <cell r="BP21">
            <v>2.29</v>
          </cell>
          <cell r="BQ21">
            <v>2.27</v>
          </cell>
          <cell r="BR21">
            <v>2.0499999999999998</v>
          </cell>
          <cell r="BS21">
            <v>2.38</v>
          </cell>
          <cell r="BT21">
            <v>1.96</v>
          </cell>
          <cell r="BU21">
            <v>1.66</v>
          </cell>
          <cell r="BV21">
            <v>2.04</v>
          </cell>
          <cell r="BW21">
            <v>1.99</v>
          </cell>
          <cell r="BX21">
            <v>2.08</v>
          </cell>
          <cell r="BY21">
            <v>1.78</v>
          </cell>
          <cell r="BZ21">
            <v>1.78</v>
          </cell>
          <cell r="CA21">
            <v>1.65</v>
          </cell>
          <cell r="CB21">
            <v>1.86</v>
          </cell>
          <cell r="CC21">
            <v>2.35</v>
          </cell>
          <cell r="CD21">
            <v>2.2400000000000002</v>
          </cell>
          <cell r="CE21">
            <v>2.2799999999999998</v>
          </cell>
          <cell r="CF21">
            <v>2.62</v>
          </cell>
          <cell r="CG21">
            <v>2.91</v>
          </cell>
        </row>
        <row r="22">
          <cell r="A22" t="str">
            <v>HUB</v>
          </cell>
          <cell r="B22">
            <v>19</v>
          </cell>
          <cell r="C22">
            <v>2.2999999999999998</v>
          </cell>
          <cell r="D22">
            <v>2.2999999999999998</v>
          </cell>
          <cell r="E22">
            <v>1.95</v>
          </cell>
          <cell r="F22">
            <v>1.62</v>
          </cell>
          <cell r="G22">
            <v>1.89</v>
          </cell>
          <cell r="H22">
            <v>2.23</v>
          </cell>
          <cell r="I22">
            <v>2.69</v>
          </cell>
          <cell r="J22">
            <v>1.98</v>
          </cell>
          <cell r="K22">
            <v>1.92</v>
          </cell>
          <cell r="L22">
            <v>2.11</v>
          </cell>
          <cell r="M22">
            <v>2.37</v>
          </cell>
          <cell r="N22">
            <v>2.0099999999999998</v>
          </cell>
          <cell r="O22">
            <v>2.12</v>
          </cell>
          <cell r="P22">
            <v>2.4</v>
          </cell>
          <cell r="Q22">
            <v>2.02</v>
          </cell>
          <cell r="R22">
            <v>2.39</v>
          </cell>
          <cell r="S22">
            <v>2.38</v>
          </cell>
          <cell r="T22">
            <v>1.98</v>
          </cell>
          <cell r="U22">
            <v>2.06</v>
          </cell>
          <cell r="V22">
            <v>1.82</v>
          </cell>
          <cell r="W22">
            <v>1.97</v>
          </cell>
          <cell r="X22">
            <v>1.8</v>
          </cell>
          <cell r="Y22">
            <v>1.48</v>
          </cell>
          <cell r="Z22">
            <v>1.41</v>
          </cell>
          <cell r="AA22">
            <v>1.69</v>
          </cell>
          <cell r="AB22">
            <v>1.69</v>
          </cell>
          <cell r="AC22">
            <v>1.62</v>
          </cell>
          <cell r="AD22">
            <v>1.42</v>
          </cell>
          <cell r="AE22">
            <v>1.44</v>
          </cell>
          <cell r="AF22">
            <v>1.57</v>
          </cell>
          <cell r="AG22">
            <v>1.68</v>
          </cell>
          <cell r="AH22">
            <v>1.75</v>
          </cell>
          <cell r="AI22">
            <v>1.51</v>
          </cell>
          <cell r="AJ22">
            <v>1.38</v>
          </cell>
          <cell r="AK22">
            <v>1.58</v>
          </cell>
          <cell r="AL22">
            <v>1.65</v>
          </cell>
          <cell r="AM22">
            <v>1.78</v>
          </cell>
          <cell r="AN22">
            <v>2.2599999999999998</v>
          </cell>
          <cell r="AO22">
            <v>3.42</v>
          </cell>
          <cell r="AP22">
            <v>2.4</v>
          </cell>
          <cell r="AQ22">
            <v>2.94</v>
          </cell>
          <cell r="AR22">
            <v>2.7</v>
          </cell>
          <cell r="AS22">
            <v>2.21</v>
          </cell>
          <cell r="AT22">
            <v>2.38</v>
          </cell>
          <cell r="AU22">
            <v>2.66</v>
          </cell>
          <cell r="AV22">
            <v>2.2999999999999998</v>
          </cell>
          <cell r="AW22">
            <v>1.83</v>
          </cell>
          <cell r="AX22">
            <v>1.85</v>
          </cell>
          <cell r="AY22">
            <v>2.72</v>
          </cell>
          <cell r="AZ22">
            <v>3.9</v>
          </cell>
          <cell r="BA22">
            <v>4.09</v>
          </cell>
          <cell r="BB22">
            <v>2.96</v>
          </cell>
          <cell r="BC22">
            <v>1.78</v>
          </cell>
          <cell r="BD22">
            <v>1.85</v>
          </cell>
          <cell r="BE22">
            <v>2.15</v>
          </cell>
          <cell r="BF22">
            <v>2.31</v>
          </cell>
          <cell r="BG22">
            <v>2.16</v>
          </cell>
          <cell r="BH22">
            <v>2.19</v>
          </cell>
          <cell r="BI22">
            <v>2.57</v>
          </cell>
          <cell r="BJ22">
            <v>3.16</v>
          </cell>
          <cell r="BK22">
            <v>3.3</v>
          </cell>
          <cell r="BL22">
            <v>2.5499999999999998</v>
          </cell>
          <cell r="BM22">
            <v>2.27</v>
          </cell>
          <cell r="BN22">
            <v>2.04</v>
          </cell>
          <cell r="BO22">
            <v>2.2599999999999998</v>
          </cell>
          <cell r="BP22">
            <v>2.3199999999999998</v>
          </cell>
          <cell r="BQ22">
            <v>2.27</v>
          </cell>
          <cell r="BR22">
            <v>2.0299999999999998</v>
          </cell>
          <cell r="BS22">
            <v>2.37</v>
          </cell>
          <cell r="BT22">
            <v>1.93</v>
          </cell>
          <cell r="BU22">
            <v>1.63</v>
          </cell>
          <cell r="BV22">
            <v>2.0699999999999998</v>
          </cell>
          <cell r="BW22">
            <v>2</v>
          </cell>
          <cell r="BX22">
            <v>2.12</v>
          </cell>
          <cell r="BY22">
            <v>1.8</v>
          </cell>
          <cell r="BZ22">
            <v>1.81</v>
          </cell>
          <cell r="CA22">
            <v>1.64</v>
          </cell>
          <cell r="CB22">
            <v>1.88</v>
          </cell>
          <cell r="CC22">
            <v>2.35</v>
          </cell>
          <cell r="CD22">
            <v>2.23</v>
          </cell>
          <cell r="CE22">
            <v>2.2799999999999998</v>
          </cell>
          <cell r="CF22">
            <v>2.62</v>
          </cell>
          <cell r="CG22">
            <v>2.9</v>
          </cell>
        </row>
        <row r="23">
          <cell r="A23" t="str">
            <v>KERN</v>
          </cell>
          <cell r="B23">
            <v>20</v>
          </cell>
          <cell r="C23">
            <v>1.85</v>
          </cell>
          <cell r="D23">
            <v>1.9</v>
          </cell>
          <cell r="E23">
            <v>2.3199999999999998</v>
          </cell>
          <cell r="F23">
            <v>1.6</v>
          </cell>
          <cell r="G23">
            <v>1.78</v>
          </cell>
          <cell r="H23">
            <v>1.82</v>
          </cell>
          <cell r="I23">
            <v>2.2999999999999998</v>
          </cell>
          <cell r="J23">
            <v>1.68</v>
          </cell>
          <cell r="K23">
            <v>1.64</v>
          </cell>
          <cell r="L23">
            <v>1.69</v>
          </cell>
          <cell r="M23">
            <v>1.96</v>
          </cell>
          <cell r="N23">
            <v>1.78</v>
          </cell>
          <cell r="O23">
            <v>1.8</v>
          </cell>
          <cell r="P23">
            <v>2.33</v>
          </cell>
          <cell r="Q23">
            <v>1.97</v>
          </cell>
          <cell r="R23">
            <v>1.78</v>
          </cell>
          <cell r="S23">
            <v>1.94</v>
          </cell>
          <cell r="T23">
            <v>1.63</v>
          </cell>
          <cell r="U23">
            <v>1.64</v>
          </cell>
          <cell r="V23">
            <v>1.38</v>
          </cell>
          <cell r="W23">
            <v>1.5</v>
          </cell>
          <cell r="X23">
            <v>1.46</v>
          </cell>
          <cell r="Y23">
            <v>1.36</v>
          </cell>
          <cell r="Z23">
            <v>1.18</v>
          </cell>
          <cell r="AA23">
            <v>1.5</v>
          </cell>
          <cell r="AB23">
            <v>1.63</v>
          </cell>
          <cell r="AC23">
            <v>1.39</v>
          </cell>
          <cell r="AD23">
            <v>1.07</v>
          </cell>
          <cell r="AE23">
            <v>1.07</v>
          </cell>
          <cell r="AF23">
            <v>1.06</v>
          </cell>
          <cell r="AG23">
            <v>1.07</v>
          </cell>
          <cell r="AH23">
            <v>1.1499999999999999</v>
          </cell>
          <cell r="AI23">
            <v>1</v>
          </cell>
          <cell r="AJ23">
            <v>0.84</v>
          </cell>
          <cell r="AK23">
            <v>0.95</v>
          </cell>
          <cell r="AL23">
            <v>1.04</v>
          </cell>
          <cell r="AM23">
            <v>1.25</v>
          </cell>
          <cell r="AN23">
            <v>1.31</v>
          </cell>
          <cell r="AO23">
            <v>1.27</v>
          </cell>
          <cell r="AP23">
            <v>1.17</v>
          </cell>
          <cell r="AQ23">
            <v>1.17</v>
          </cell>
          <cell r="AR23">
            <v>1.06</v>
          </cell>
          <cell r="AS23">
            <v>1.06</v>
          </cell>
          <cell r="AT23">
            <v>1.07</v>
          </cell>
          <cell r="AU23">
            <v>1.19</v>
          </cell>
          <cell r="AV23">
            <v>1.23</v>
          </cell>
          <cell r="AW23">
            <v>1.2</v>
          </cell>
          <cell r="AX23">
            <v>1.26</v>
          </cell>
          <cell r="AY23">
            <v>2.23</v>
          </cell>
          <cell r="AZ23">
            <v>3.48</v>
          </cell>
          <cell r="BA23">
            <v>4.2300000000000004</v>
          </cell>
          <cell r="BB23">
            <v>2.5</v>
          </cell>
          <cell r="BC23">
            <v>1.39</v>
          </cell>
          <cell r="BD23">
            <v>1.44</v>
          </cell>
          <cell r="BE23">
            <v>1.64</v>
          </cell>
          <cell r="BF23">
            <v>1.47</v>
          </cell>
          <cell r="BG23">
            <v>1.43</v>
          </cell>
          <cell r="BH23">
            <v>1.37</v>
          </cell>
          <cell r="BI23">
            <v>1.48</v>
          </cell>
          <cell r="BJ23">
            <v>2.09</v>
          </cell>
          <cell r="BK23">
            <v>3</v>
          </cell>
          <cell r="BL23">
            <v>1.93</v>
          </cell>
          <cell r="BM23">
            <v>2.04</v>
          </cell>
          <cell r="BN23">
            <v>1.69</v>
          </cell>
          <cell r="BO23">
            <v>1.88</v>
          </cell>
          <cell r="BP23">
            <v>1.9</v>
          </cell>
          <cell r="BQ23">
            <v>1.97</v>
          </cell>
          <cell r="BR23">
            <v>1.65</v>
          </cell>
          <cell r="BS23">
            <v>1.62</v>
          </cell>
          <cell r="BT23">
            <v>1.73</v>
          </cell>
          <cell r="BU23">
            <v>1.59</v>
          </cell>
          <cell r="BV23">
            <v>1.64</v>
          </cell>
          <cell r="BW23">
            <v>2.0099999999999998</v>
          </cell>
          <cell r="BX23">
            <v>2</v>
          </cell>
          <cell r="BY23">
            <v>1.8</v>
          </cell>
          <cell r="BZ23">
            <v>1.64</v>
          </cell>
          <cell r="CA23">
            <v>1.51</v>
          </cell>
          <cell r="CB23">
            <v>1.54</v>
          </cell>
          <cell r="CC23">
            <v>1.99</v>
          </cell>
          <cell r="CD23">
            <v>1.94</v>
          </cell>
          <cell r="CE23">
            <v>2</v>
          </cell>
          <cell r="CF23">
            <v>2.1800000000000002</v>
          </cell>
          <cell r="CG23">
            <v>2.56</v>
          </cell>
        </row>
        <row r="24">
          <cell r="A24" t="str">
            <v>KRS (SOCAL)-NGI</v>
          </cell>
          <cell r="B24">
            <v>21</v>
          </cell>
          <cell r="AD24">
            <v>1.23</v>
          </cell>
          <cell r="AE24">
            <v>1.21</v>
          </cell>
          <cell r="AF24">
            <v>1.23</v>
          </cell>
          <cell r="AG24">
            <v>1.32</v>
          </cell>
          <cell r="AH24">
            <v>1.32</v>
          </cell>
          <cell r="AI24">
            <v>1.24</v>
          </cell>
          <cell r="AJ24">
            <v>1.23</v>
          </cell>
          <cell r="AK24">
            <v>1.44</v>
          </cell>
          <cell r="AL24">
            <v>1.46</v>
          </cell>
          <cell r="AM24">
            <v>1.56</v>
          </cell>
          <cell r="AN24">
            <v>1.62</v>
          </cell>
          <cell r="AO24">
            <v>1.49</v>
          </cell>
          <cell r="AP24">
            <v>1.42</v>
          </cell>
          <cell r="AQ24">
            <v>1.39</v>
          </cell>
          <cell r="AR24">
            <v>1.28</v>
          </cell>
          <cell r="AS24">
            <v>1.28</v>
          </cell>
          <cell r="AT24">
            <v>1.37</v>
          </cell>
          <cell r="AU24">
            <v>1.68</v>
          </cell>
          <cell r="AV24">
            <v>2.15</v>
          </cell>
          <cell r="AW24">
            <v>1.71</v>
          </cell>
          <cell r="AX24">
            <v>1.72</v>
          </cell>
          <cell r="AY24">
            <v>2.61</v>
          </cell>
          <cell r="AZ24">
            <v>3.68</v>
          </cell>
          <cell r="BA24">
            <v>4.25</v>
          </cell>
          <cell r="BB24">
            <v>2.64</v>
          </cell>
          <cell r="BC24">
            <v>1.6</v>
          </cell>
          <cell r="BD24">
            <v>1.72</v>
          </cell>
          <cell r="BE24">
            <v>2.0299999999999998</v>
          </cell>
          <cell r="BF24">
            <v>2.1800000000000002</v>
          </cell>
          <cell r="BG24">
            <v>2.17</v>
          </cell>
          <cell r="BH24">
            <v>2.19</v>
          </cell>
          <cell r="BI24">
            <v>2.4900000000000002</v>
          </cell>
          <cell r="BJ24">
            <v>3.04</v>
          </cell>
          <cell r="BK24">
            <v>3.27</v>
          </cell>
          <cell r="BL24">
            <v>2.3199999999999998</v>
          </cell>
          <cell r="BM24">
            <v>2.2799999999999998</v>
          </cell>
          <cell r="BN24">
            <v>2.1</v>
          </cell>
        </row>
        <row r="25">
          <cell r="A25" t="str">
            <v>KOCH-LA</v>
          </cell>
          <cell r="B25">
            <v>22</v>
          </cell>
          <cell r="C25">
            <v>2.2200000000000002</v>
          </cell>
          <cell r="D25">
            <v>2.15</v>
          </cell>
          <cell r="E25">
            <v>1.85</v>
          </cell>
          <cell r="F25">
            <v>1.54</v>
          </cell>
          <cell r="G25">
            <v>1.85</v>
          </cell>
          <cell r="H25">
            <v>2.1</v>
          </cell>
          <cell r="I25">
            <v>2.56</v>
          </cell>
          <cell r="J25">
            <v>1.92</v>
          </cell>
          <cell r="K25">
            <v>1.85</v>
          </cell>
          <cell r="L25">
            <v>2.04</v>
          </cell>
          <cell r="M25">
            <v>2.27</v>
          </cell>
          <cell r="N25">
            <v>1.9</v>
          </cell>
          <cell r="O25">
            <v>1.98</v>
          </cell>
          <cell r="P25">
            <v>2.2999999999999998</v>
          </cell>
          <cell r="Q25">
            <v>1.92</v>
          </cell>
          <cell r="R25">
            <v>2.14</v>
          </cell>
          <cell r="S25">
            <v>2.19</v>
          </cell>
          <cell r="T25">
            <v>1.89</v>
          </cell>
          <cell r="U25">
            <v>1.94</v>
          </cell>
          <cell r="V25">
            <v>1.7</v>
          </cell>
          <cell r="W25">
            <v>1.85</v>
          </cell>
          <cell r="X25">
            <v>1.68</v>
          </cell>
          <cell r="Y25">
            <v>1.39</v>
          </cell>
          <cell r="Z25">
            <v>1.31</v>
          </cell>
          <cell r="AA25">
            <v>1.57</v>
          </cell>
          <cell r="AB25">
            <v>1.58</v>
          </cell>
          <cell r="AC25">
            <v>1.52</v>
          </cell>
          <cell r="AD25">
            <v>1.36</v>
          </cell>
          <cell r="AE25">
            <v>1.35</v>
          </cell>
          <cell r="AF25">
            <v>1.46</v>
          </cell>
          <cell r="AG25">
            <v>1.57</v>
          </cell>
          <cell r="AH25">
            <v>1.62</v>
          </cell>
          <cell r="AI25">
            <v>1.43</v>
          </cell>
          <cell r="AJ25">
            <v>1.28</v>
          </cell>
          <cell r="AK25">
            <v>1.48</v>
          </cell>
          <cell r="AL25">
            <v>1.56</v>
          </cell>
          <cell r="AM25">
            <v>1.69</v>
          </cell>
          <cell r="AN25">
            <v>2.12</v>
          </cell>
          <cell r="AO25">
            <v>2.52</v>
          </cell>
          <cell r="AP25">
            <v>2.11</v>
          </cell>
          <cell r="AQ25">
            <v>2.57</v>
          </cell>
          <cell r="AR25">
            <v>2.4500000000000002</v>
          </cell>
          <cell r="AS25">
            <v>2.1</v>
          </cell>
          <cell r="AT25">
            <v>2.2200000000000002</v>
          </cell>
          <cell r="AU25">
            <v>2.52</v>
          </cell>
          <cell r="AV25">
            <v>2.23</v>
          </cell>
          <cell r="AW25">
            <v>1.7</v>
          </cell>
          <cell r="AX25">
            <v>1.74</v>
          </cell>
          <cell r="AY25">
            <v>2.6</v>
          </cell>
          <cell r="AZ25">
            <v>3.82</v>
          </cell>
          <cell r="BA25">
            <v>3.85</v>
          </cell>
          <cell r="BB25">
            <v>2.85</v>
          </cell>
          <cell r="BC25">
            <v>1.72</v>
          </cell>
          <cell r="BD25">
            <v>1.77</v>
          </cell>
          <cell r="BE25">
            <v>2.0099999999999998</v>
          </cell>
          <cell r="BF25">
            <v>2.2599999999999998</v>
          </cell>
          <cell r="BG25">
            <v>2.09</v>
          </cell>
          <cell r="BH25">
            <v>2.12</v>
          </cell>
          <cell r="BI25">
            <v>2.4700000000000002</v>
          </cell>
          <cell r="BJ25">
            <v>3.03</v>
          </cell>
          <cell r="BK25">
            <v>3.2</v>
          </cell>
          <cell r="BL25">
            <v>2.4700000000000002</v>
          </cell>
          <cell r="BM25">
            <v>2.17</v>
          </cell>
          <cell r="BN25">
            <v>1.92</v>
          </cell>
          <cell r="BO25">
            <v>2.15</v>
          </cell>
          <cell r="BP25">
            <v>2.2200000000000002</v>
          </cell>
          <cell r="BQ25">
            <v>2.17</v>
          </cell>
          <cell r="BR25">
            <v>1.94</v>
          </cell>
          <cell r="BS25">
            <v>2.2599999999999998</v>
          </cell>
          <cell r="BT25">
            <v>1.85</v>
          </cell>
          <cell r="BU25">
            <v>1.54</v>
          </cell>
          <cell r="BV25">
            <v>1.95</v>
          </cell>
          <cell r="BW25">
            <v>1.89</v>
          </cell>
          <cell r="BX25">
            <v>2.0099999999999998</v>
          </cell>
          <cell r="BY25">
            <v>1.65</v>
          </cell>
          <cell r="BZ25">
            <v>1.7</v>
          </cell>
          <cell r="CA25">
            <v>1.52</v>
          </cell>
          <cell r="CB25">
            <v>1.76</v>
          </cell>
          <cell r="CC25">
            <v>2.2400000000000002</v>
          </cell>
          <cell r="CD25">
            <v>2.11</v>
          </cell>
          <cell r="CE25">
            <v>2.16</v>
          </cell>
          <cell r="CF25">
            <v>2.4900000000000002</v>
          </cell>
          <cell r="CG25">
            <v>2.78</v>
          </cell>
        </row>
        <row r="26">
          <cell r="A26" t="str">
            <v>KOCH-TX</v>
          </cell>
          <cell r="B26">
            <v>23</v>
          </cell>
          <cell r="C26">
            <v>2.17</v>
          </cell>
          <cell r="D26">
            <v>2.1</v>
          </cell>
          <cell r="E26">
            <v>1.82</v>
          </cell>
          <cell r="F26">
            <v>1.53</v>
          </cell>
          <cell r="G26">
            <v>1.78</v>
          </cell>
          <cell r="H26">
            <v>2.1</v>
          </cell>
          <cell r="I26">
            <v>2.56</v>
          </cell>
          <cell r="J26">
            <v>1.89</v>
          </cell>
          <cell r="K26">
            <v>1.85</v>
          </cell>
          <cell r="L26">
            <v>2</v>
          </cell>
          <cell r="M26">
            <v>2.25</v>
          </cell>
          <cell r="N26">
            <v>1.88</v>
          </cell>
          <cell r="O26">
            <v>1.95</v>
          </cell>
          <cell r="P26">
            <v>2.2599999999999998</v>
          </cell>
          <cell r="Q26">
            <v>1.87</v>
          </cell>
          <cell r="R26">
            <v>2.1</v>
          </cell>
          <cell r="S26">
            <v>2.09</v>
          </cell>
          <cell r="T26">
            <v>1.83</v>
          </cell>
          <cell r="U26">
            <v>1.9</v>
          </cell>
          <cell r="V26">
            <v>1.65</v>
          </cell>
          <cell r="W26">
            <v>1.8</v>
          </cell>
          <cell r="X26">
            <v>1.64</v>
          </cell>
          <cell r="Y26">
            <v>1.37</v>
          </cell>
          <cell r="Z26">
            <v>1.3</v>
          </cell>
          <cell r="AA26">
            <v>1.53</v>
          </cell>
          <cell r="AB26">
            <v>1.54</v>
          </cell>
          <cell r="AC26">
            <v>1.46</v>
          </cell>
          <cell r="AD26">
            <v>1.27</v>
          </cell>
          <cell r="AE26">
            <v>1.3</v>
          </cell>
          <cell r="AF26">
            <v>1.44</v>
          </cell>
          <cell r="AG26">
            <v>1.52</v>
          </cell>
          <cell r="AH26">
            <v>1.58</v>
          </cell>
          <cell r="AI26">
            <v>1.37</v>
          </cell>
          <cell r="AJ26">
            <v>1.26</v>
          </cell>
          <cell r="AK26">
            <v>1.44</v>
          </cell>
          <cell r="AL26">
            <v>1.53</v>
          </cell>
          <cell r="AM26">
            <v>1.65</v>
          </cell>
          <cell r="AN26">
            <v>2.06</v>
          </cell>
          <cell r="AO26">
            <v>2.06</v>
          </cell>
          <cell r="AP26">
            <v>1.78</v>
          </cell>
          <cell r="AQ26">
            <v>1.92</v>
          </cell>
          <cell r="AR26">
            <v>2.2400000000000002</v>
          </cell>
          <cell r="AS26">
            <v>2.0499999999999998</v>
          </cell>
          <cell r="AT26">
            <v>2.21</v>
          </cell>
          <cell r="AU26">
            <v>2.48</v>
          </cell>
          <cell r="AV26">
            <v>2.19</v>
          </cell>
          <cell r="AW26">
            <v>1.69</v>
          </cell>
          <cell r="AX26">
            <v>1.72</v>
          </cell>
          <cell r="AY26">
            <v>2.58</v>
          </cell>
          <cell r="AZ26">
            <v>3.59</v>
          </cell>
          <cell r="BA26">
            <v>3.6</v>
          </cell>
          <cell r="BB26">
            <v>2.64</v>
          </cell>
          <cell r="BC26">
            <v>1.63</v>
          </cell>
          <cell r="BD26">
            <v>1.68</v>
          </cell>
          <cell r="BE26">
            <v>2.0099999999999998</v>
          </cell>
          <cell r="BF26">
            <v>2.17</v>
          </cell>
          <cell r="BG26">
            <v>2.02</v>
          </cell>
          <cell r="BH26">
            <v>2.04</v>
          </cell>
          <cell r="BI26">
            <v>2.4</v>
          </cell>
          <cell r="BJ26">
            <v>2.88</v>
          </cell>
          <cell r="BK26">
            <v>3.04</v>
          </cell>
          <cell r="BL26">
            <v>2.25</v>
          </cell>
          <cell r="BM26">
            <v>2.04</v>
          </cell>
          <cell r="BN26">
            <v>1.82</v>
          </cell>
          <cell r="BO26">
            <v>2.0699999999999998</v>
          </cell>
          <cell r="BP26">
            <v>2.15</v>
          </cell>
          <cell r="BQ26">
            <v>2.09</v>
          </cell>
          <cell r="BR26">
            <v>1.89</v>
          </cell>
          <cell r="BS26">
            <v>2.2000000000000002</v>
          </cell>
          <cell r="BT26">
            <v>1.79</v>
          </cell>
          <cell r="BU26">
            <v>1.47</v>
          </cell>
          <cell r="BV26">
            <v>1.87</v>
          </cell>
          <cell r="BW26">
            <v>1.84</v>
          </cell>
          <cell r="BX26">
            <v>1.96</v>
          </cell>
          <cell r="BY26">
            <v>1.61</v>
          </cell>
          <cell r="BZ26">
            <v>1.63</v>
          </cell>
          <cell r="CA26">
            <v>1.47</v>
          </cell>
          <cell r="CB26">
            <v>1.7</v>
          </cell>
          <cell r="CC26">
            <v>2.1800000000000002</v>
          </cell>
          <cell r="CD26">
            <v>2.06</v>
          </cell>
          <cell r="CE26">
            <v>2.1</v>
          </cell>
          <cell r="CF26">
            <v>2.4500000000000002</v>
          </cell>
          <cell r="CG26">
            <v>2.73</v>
          </cell>
        </row>
        <row r="27">
          <cell r="A27" t="str">
            <v>MALIN-400</v>
          </cell>
          <cell r="B27">
            <v>24</v>
          </cell>
          <cell r="AA27">
            <v>1.63</v>
          </cell>
          <cell r="AB27">
            <v>1.76</v>
          </cell>
          <cell r="AC27">
            <v>1.37</v>
          </cell>
          <cell r="AD27">
            <v>1.1000000000000001</v>
          </cell>
          <cell r="AE27">
            <v>1.0900000000000001</v>
          </cell>
          <cell r="AF27">
            <v>1.1100000000000001</v>
          </cell>
          <cell r="AG27">
            <v>1.2</v>
          </cell>
          <cell r="AH27">
            <v>1.21</v>
          </cell>
          <cell r="AI27">
            <v>1.05</v>
          </cell>
          <cell r="AJ27">
            <v>1.02</v>
          </cell>
          <cell r="AK27">
            <v>1.17</v>
          </cell>
          <cell r="AL27">
            <v>1.23</v>
          </cell>
          <cell r="AM27">
            <v>1.32</v>
          </cell>
          <cell r="AN27">
            <v>1.39</v>
          </cell>
          <cell r="AO27">
            <v>1.38</v>
          </cell>
          <cell r="AP27">
            <v>1.39</v>
          </cell>
          <cell r="AQ27">
            <v>1.32</v>
          </cell>
          <cell r="AR27">
            <v>1.23</v>
          </cell>
          <cell r="AS27">
            <v>1.1499999999999999</v>
          </cell>
          <cell r="AT27">
            <v>1.07</v>
          </cell>
          <cell r="AU27">
            <v>1.19</v>
          </cell>
          <cell r="AV27">
            <v>1.58</v>
          </cell>
          <cell r="AW27">
            <v>1.29</v>
          </cell>
          <cell r="AX27">
            <v>1.34</v>
          </cell>
          <cell r="AY27">
            <v>2.33</v>
          </cell>
          <cell r="AZ27">
            <v>3.62</v>
          </cell>
          <cell r="BA27">
            <v>4.1100000000000003</v>
          </cell>
          <cell r="BB27">
            <v>2.5</v>
          </cell>
          <cell r="BC27">
            <v>1.33</v>
          </cell>
          <cell r="BD27">
            <v>1.46</v>
          </cell>
          <cell r="BE27">
            <v>1.73</v>
          </cell>
          <cell r="BF27">
            <v>1.72</v>
          </cell>
          <cell r="BG27">
            <v>1.59</v>
          </cell>
          <cell r="BH27">
            <v>1.54</v>
          </cell>
          <cell r="BI27">
            <v>1.72</v>
          </cell>
          <cell r="BJ27">
            <v>2.2799999999999998</v>
          </cell>
          <cell r="BK27">
            <v>3.05</v>
          </cell>
          <cell r="BL27">
            <v>1.92</v>
          </cell>
          <cell r="BM27">
            <v>2.1</v>
          </cell>
          <cell r="BN27">
            <v>1.76</v>
          </cell>
          <cell r="BO27">
            <v>1.88</v>
          </cell>
          <cell r="BZ27">
            <v>1.74</v>
          </cell>
          <cell r="CA27">
            <v>1.62</v>
          </cell>
          <cell r="CB27">
            <v>1.64</v>
          </cell>
        </row>
        <row r="28">
          <cell r="A28" t="str">
            <v>MALIN-401</v>
          </cell>
          <cell r="B28">
            <v>25</v>
          </cell>
          <cell r="AC28">
            <v>1.1399999999999999</v>
          </cell>
          <cell r="AD28">
            <v>0.89</v>
          </cell>
          <cell r="AE28">
            <v>0.92</v>
          </cell>
          <cell r="AF28">
            <v>0.95</v>
          </cell>
          <cell r="AG28">
            <v>1.04</v>
          </cell>
          <cell r="AH28">
            <v>1.1000000000000001</v>
          </cell>
          <cell r="AI28">
            <v>0.91</v>
          </cell>
          <cell r="AJ28">
            <v>0.91</v>
          </cell>
          <cell r="AK28">
            <v>1.05</v>
          </cell>
          <cell r="AL28">
            <v>1.1100000000000001</v>
          </cell>
          <cell r="AM28">
            <v>1.17</v>
          </cell>
          <cell r="AN28">
            <v>1.27</v>
          </cell>
          <cell r="AO28">
            <v>1.23</v>
          </cell>
          <cell r="AP28">
            <v>1.24</v>
          </cell>
          <cell r="AQ28">
            <v>1.18</v>
          </cell>
          <cell r="AR28">
            <v>1.1000000000000001</v>
          </cell>
          <cell r="AS28">
            <v>1.03</v>
          </cell>
          <cell r="AT28">
            <v>1</v>
          </cell>
          <cell r="AU28">
            <v>1.19</v>
          </cell>
          <cell r="AV28">
            <v>1.56</v>
          </cell>
          <cell r="AW28">
            <v>1.25</v>
          </cell>
          <cell r="AX28">
            <v>1.29</v>
          </cell>
          <cell r="AY28">
            <v>2.2400000000000002</v>
          </cell>
          <cell r="AZ28">
            <v>3.52</v>
          </cell>
          <cell r="BA28">
            <v>4.0599999999999996</v>
          </cell>
          <cell r="BB28">
            <v>2.44</v>
          </cell>
          <cell r="BC28">
            <v>1.28</v>
          </cell>
          <cell r="BD28">
            <v>1.39</v>
          </cell>
          <cell r="BE28">
            <v>1.67</v>
          </cell>
          <cell r="BF28">
            <v>1.68</v>
          </cell>
          <cell r="BG28">
            <v>1.49</v>
          </cell>
          <cell r="BH28">
            <v>1.5</v>
          </cell>
          <cell r="BI28">
            <v>1.69</v>
          </cell>
          <cell r="BJ28">
            <v>2.25</v>
          </cell>
          <cell r="BK28">
            <v>2.88</v>
          </cell>
          <cell r="BL28">
            <v>1.8</v>
          </cell>
          <cell r="BM28">
            <v>1.96</v>
          </cell>
          <cell r="BN28">
            <v>1.7</v>
          </cell>
          <cell r="BO28">
            <v>2.3199999999999998</v>
          </cell>
        </row>
        <row r="29">
          <cell r="A29" t="str">
            <v>MICH</v>
          </cell>
          <cell r="B29">
            <v>26</v>
          </cell>
          <cell r="D29">
            <v>2.5</v>
          </cell>
          <cell r="E29">
            <v>2.29</v>
          </cell>
          <cell r="F29">
            <v>1.98</v>
          </cell>
          <cell r="G29">
            <v>2.12</v>
          </cell>
          <cell r="H29">
            <v>2.4900000000000002</v>
          </cell>
          <cell r="I29">
            <v>3.03</v>
          </cell>
          <cell r="J29">
            <v>2.36</v>
          </cell>
          <cell r="K29">
            <v>2.2200000000000002</v>
          </cell>
          <cell r="L29">
            <v>2.29</v>
          </cell>
          <cell r="M29">
            <v>2.61</v>
          </cell>
          <cell r="N29">
            <v>2.2000000000000002</v>
          </cell>
          <cell r="O29">
            <v>2.23</v>
          </cell>
          <cell r="P29">
            <v>2.54</v>
          </cell>
          <cell r="Q29">
            <v>2.25</v>
          </cell>
          <cell r="R29">
            <v>2.64</v>
          </cell>
          <cell r="S29">
            <v>2.77</v>
          </cell>
          <cell r="T29">
            <v>2.23</v>
          </cell>
          <cell r="U29">
            <v>2.23</v>
          </cell>
          <cell r="V29">
            <v>1.97</v>
          </cell>
          <cell r="W29">
            <v>2.0699999999999998</v>
          </cell>
          <cell r="X29">
            <v>1.91</v>
          </cell>
          <cell r="Y29">
            <v>1.61</v>
          </cell>
          <cell r="Z29">
            <v>1.49</v>
          </cell>
          <cell r="AA29">
            <v>1.85</v>
          </cell>
          <cell r="AB29">
            <v>1.86</v>
          </cell>
          <cell r="AC29">
            <v>1.75</v>
          </cell>
          <cell r="AD29">
            <v>1.52</v>
          </cell>
          <cell r="AE29">
            <v>1.5</v>
          </cell>
          <cell r="AF29">
            <v>1.64</v>
          </cell>
          <cell r="AG29">
            <v>1.76</v>
          </cell>
          <cell r="AH29">
            <v>1.82</v>
          </cell>
          <cell r="AI29">
            <v>1.59</v>
          </cell>
          <cell r="AJ29">
            <v>1.46</v>
          </cell>
          <cell r="AK29">
            <v>1.68</v>
          </cell>
          <cell r="AL29">
            <v>1.75</v>
          </cell>
          <cell r="AM29">
            <v>1.92</v>
          </cell>
          <cell r="AN29">
            <v>2.35</v>
          </cell>
          <cell r="AO29">
            <v>3.43</v>
          </cell>
          <cell r="AP29">
            <v>3.06</v>
          </cell>
          <cell r="AQ29">
            <v>4.8</v>
          </cell>
          <cell r="AR29">
            <v>3.01</v>
          </cell>
          <cell r="AS29">
            <v>2.38</v>
          </cell>
          <cell r="AT29">
            <v>2.6</v>
          </cell>
          <cell r="AU29">
            <v>2.9</v>
          </cell>
          <cell r="AV29">
            <v>2.5</v>
          </cell>
          <cell r="AW29">
            <v>2.0299999999999998</v>
          </cell>
          <cell r="AX29">
            <v>2.16</v>
          </cell>
          <cell r="AY29">
            <v>3.05</v>
          </cell>
          <cell r="AZ29">
            <v>4.08</v>
          </cell>
          <cell r="BA29">
            <v>4.38</v>
          </cell>
          <cell r="BB29">
            <v>3.36</v>
          </cell>
          <cell r="BC29">
            <v>1.94</v>
          </cell>
          <cell r="BD29">
            <v>2.12</v>
          </cell>
          <cell r="BE29">
            <v>2.2999999999999998</v>
          </cell>
          <cell r="BF29">
            <v>2.5299999999999998</v>
          </cell>
          <cell r="BG29">
            <v>2.3199999999999998</v>
          </cell>
          <cell r="BH29">
            <v>2.31</v>
          </cell>
          <cell r="BI29">
            <v>2.71</v>
          </cell>
          <cell r="BJ29">
            <v>3.37</v>
          </cell>
          <cell r="BK29">
            <v>3.54</v>
          </cell>
          <cell r="BL29">
            <v>3.54</v>
          </cell>
          <cell r="BM29">
            <v>2.38</v>
          </cell>
          <cell r="BN29">
            <v>2.1800000000000002</v>
          </cell>
          <cell r="BO29">
            <v>2.37</v>
          </cell>
          <cell r="BP29">
            <v>2.4700000000000002</v>
          </cell>
          <cell r="BQ29">
            <v>2.41</v>
          </cell>
          <cell r="BR29">
            <v>2.17</v>
          </cell>
          <cell r="BS29">
            <v>2.4300000000000002</v>
          </cell>
          <cell r="CE29">
            <v>2.34</v>
          </cell>
          <cell r="CF29">
            <v>2.7</v>
          </cell>
          <cell r="CG29">
            <v>2.98</v>
          </cell>
        </row>
        <row r="30">
          <cell r="A30" t="str">
            <v>MRC</v>
          </cell>
          <cell r="B30">
            <v>27</v>
          </cell>
          <cell r="C30">
            <v>2.36</v>
          </cell>
          <cell r="D30">
            <v>2.31</v>
          </cell>
          <cell r="E30">
            <v>2.04</v>
          </cell>
          <cell r="F30">
            <v>1.66</v>
          </cell>
          <cell r="G30">
            <v>1.99</v>
          </cell>
          <cell r="H30">
            <v>2.2799999999999998</v>
          </cell>
          <cell r="I30">
            <v>2.7</v>
          </cell>
          <cell r="J30">
            <v>2</v>
          </cell>
          <cell r="K30">
            <v>2.0299999999999998</v>
          </cell>
          <cell r="L30">
            <v>2.1800000000000002</v>
          </cell>
          <cell r="M30">
            <v>2.42</v>
          </cell>
          <cell r="N30">
            <v>2.08</v>
          </cell>
          <cell r="O30">
            <v>2.16</v>
          </cell>
          <cell r="P30">
            <v>2.4700000000000002</v>
          </cell>
          <cell r="Q30">
            <v>2.08</v>
          </cell>
          <cell r="R30">
            <v>2.4</v>
          </cell>
          <cell r="S30">
            <v>2.4300000000000002</v>
          </cell>
          <cell r="T30">
            <v>2.04</v>
          </cell>
          <cell r="U30">
            <v>2.1</v>
          </cell>
          <cell r="V30">
            <v>1.86</v>
          </cell>
          <cell r="W30">
            <v>1.99</v>
          </cell>
          <cell r="X30">
            <v>1.82</v>
          </cell>
          <cell r="Y30">
            <v>1.52</v>
          </cell>
          <cell r="Z30">
            <v>1.45</v>
          </cell>
          <cell r="AA30">
            <v>1.71</v>
          </cell>
          <cell r="AB30">
            <v>1.7</v>
          </cell>
          <cell r="AC30">
            <v>1.65</v>
          </cell>
          <cell r="AD30">
            <v>1.44</v>
          </cell>
          <cell r="AE30">
            <v>1.51</v>
          </cell>
          <cell r="AF30">
            <v>1.61</v>
          </cell>
          <cell r="AG30">
            <v>1.69</v>
          </cell>
          <cell r="AH30">
            <v>1.75</v>
          </cell>
          <cell r="AI30">
            <v>1.55</v>
          </cell>
          <cell r="AJ30">
            <v>1.41</v>
          </cell>
          <cell r="AK30">
            <v>1.59</v>
          </cell>
          <cell r="AL30">
            <v>1.67</v>
          </cell>
          <cell r="AM30">
            <v>1.82</v>
          </cell>
          <cell r="AN30">
            <v>2.31</v>
          </cell>
          <cell r="AO30">
            <v>3.47</v>
          </cell>
          <cell r="AP30">
            <v>2.4300000000000002</v>
          </cell>
          <cell r="AQ30">
            <v>2.86</v>
          </cell>
          <cell r="AR30">
            <v>2.74</v>
          </cell>
          <cell r="AS30">
            <v>2.25</v>
          </cell>
          <cell r="AT30">
            <v>2.42</v>
          </cell>
          <cell r="AU30">
            <v>2.69</v>
          </cell>
          <cell r="AV30">
            <v>2.37</v>
          </cell>
          <cell r="AW30">
            <v>1.87</v>
          </cell>
          <cell r="AX30">
            <v>1.9</v>
          </cell>
          <cell r="AY30">
            <v>2.75</v>
          </cell>
          <cell r="AZ30">
            <v>3.94</v>
          </cell>
          <cell r="BA30">
            <v>4.1500000000000004</v>
          </cell>
          <cell r="BB30">
            <v>2.99</v>
          </cell>
          <cell r="BC30">
            <v>1.76</v>
          </cell>
          <cell r="BD30">
            <v>1.87</v>
          </cell>
          <cell r="BE30">
            <v>2.16</v>
          </cell>
          <cell r="BF30">
            <v>2.36</v>
          </cell>
          <cell r="BG30">
            <v>2.21</v>
          </cell>
          <cell r="BH30">
            <v>2.23</v>
          </cell>
          <cell r="BI30">
            <v>2.58</v>
          </cell>
          <cell r="BJ30">
            <v>3.15</v>
          </cell>
          <cell r="BK30">
            <v>3.32</v>
          </cell>
          <cell r="BL30">
            <v>2.58</v>
          </cell>
          <cell r="BM30">
            <v>2.3199999999999998</v>
          </cell>
          <cell r="BN30">
            <v>2.06</v>
          </cell>
        </row>
        <row r="31">
          <cell r="A31" t="str">
            <v>NGPL-LA</v>
          </cell>
          <cell r="B31">
            <v>28</v>
          </cell>
          <cell r="C31">
            <v>2.2999999999999998</v>
          </cell>
          <cell r="D31">
            <v>2.2000000000000002</v>
          </cell>
          <cell r="E31">
            <v>1.92</v>
          </cell>
          <cell r="F31">
            <v>1.62</v>
          </cell>
          <cell r="G31">
            <v>1.86</v>
          </cell>
          <cell r="H31">
            <v>2.16</v>
          </cell>
          <cell r="I31">
            <v>2.67</v>
          </cell>
          <cell r="J31">
            <v>1.98</v>
          </cell>
          <cell r="K31">
            <v>1.9</v>
          </cell>
          <cell r="L31">
            <v>2.04</v>
          </cell>
          <cell r="M31">
            <v>2.33</v>
          </cell>
          <cell r="N31">
            <v>1.97</v>
          </cell>
          <cell r="O31">
            <v>2.08</v>
          </cell>
          <cell r="P31">
            <v>2.33</v>
          </cell>
          <cell r="Q31">
            <v>1.98</v>
          </cell>
          <cell r="R31">
            <v>2.2799999999999998</v>
          </cell>
          <cell r="S31">
            <v>2.25</v>
          </cell>
          <cell r="T31">
            <v>1.92</v>
          </cell>
          <cell r="U31">
            <v>2</v>
          </cell>
          <cell r="V31">
            <v>1.74</v>
          </cell>
          <cell r="W31">
            <v>1.86</v>
          </cell>
          <cell r="X31">
            <v>1.72</v>
          </cell>
          <cell r="Y31">
            <v>1.43</v>
          </cell>
          <cell r="Z31">
            <v>1.36</v>
          </cell>
          <cell r="AA31">
            <v>1.61</v>
          </cell>
          <cell r="AB31">
            <v>1.61</v>
          </cell>
          <cell r="AC31">
            <v>1.55</v>
          </cell>
          <cell r="AD31">
            <v>1.35</v>
          </cell>
          <cell r="AE31">
            <v>1.37</v>
          </cell>
          <cell r="AF31">
            <v>1.49</v>
          </cell>
          <cell r="AG31">
            <v>1.61</v>
          </cell>
          <cell r="AH31">
            <v>1.65</v>
          </cell>
          <cell r="AI31">
            <v>1.44</v>
          </cell>
          <cell r="AJ31">
            <v>1.31</v>
          </cell>
          <cell r="AK31">
            <v>1.51</v>
          </cell>
          <cell r="AL31">
            <v>1.59</v>
          </cell>
          <cell r="AM31">
            <v>1.72</v>
          </cell>
          <cell r="AN31">
            <v>2.15</v>
          </cell>
          <cell r="AO31">
            <v>2.13</v>
          </cell>
          <cell r="AP31">
            <v>1.9</v>
          </cell>
          <cell r="AQ31">
            <v>2.15</v>
          </cell>
          <cell r="AR31">
            <v>2.4</v>
          </cell>
          <cell r="AS31">
            <v>2.12</v>
          </cell>
          <cell r="AT31">
            <v>2.25</v>
          </cell>
          <cell r="AU31">
            <v>2.57</v>
          </cell>
          <cell r="AV31">
            <v>2.2200000000000002</v>
          </cell>
          <cell r="AW31">
            <v>1.74</v>
          </cell>
          <cell r="AX31">
            <v>1.78</v>
          </cell>
          <cell r="AY31">
            <v>2.61</v>
          </cell>
          <cell r="AZ31">
            <v>3.72</v>
          </cell>
          <cell r="BA31">
            <v>4</v>
          </cell>
          <cell r="BB31">
            <v>2.82</v>
          </cell>
          <cell r="BC31">
            <v>1.69</v>
          </cell>
          <cell r="BD31">
            <v>1.74</v>
          </cell>
          <cell r="BE31">
            <v>2.04</v>
          </cell>
          <cell r="BF31">
            <v>2.23</v>
          </cell>
          <cell r="BG31">
            <v>2.09</v>
          </cell>
          <cell r="BH31">
            <v>2.11</v>
          </cell>
          <cell r="BI31">
            <v>2.4700000000000002</v>
          </cell>
          <cell r="BJ31">
            <v>3.05</v>
          </cell>
          <cell r="BK31">
            <v>3.17</v>
          </cell>
          <cell r="BL31">
            <v>2.37</v>
          </cell>
          <cell r="BM31">
            <v>2.15</v>
          </cell>
          <cell r="BN31">
            <v>1.92</v>
          </cell>
          <cell r="BO31">
            <v>2.1800000000000002</v>
          </cell>
          <cell r="BP31">
            <v>2.23</v>
          </cell>
          <cell r="BQ31">
            <v>2.2000000000000002</v>
          </cell>
          <cell r="BR31">
            <v>1.97</v>
          </cell>
          <cell r="BS31">
            <v>2.31</v>
          </cell>
          <cell r="BT31">
            <v>1.86</v>
          </cell>
          <cell r="BU31">
            <v>1.56</v>
          </cell>
          <cell r="BV31">
            <v>1.96</v>
          </cell>
          <cell r="BW31">
            <v>1.95</v>
          </cell>
          <cell r="BX31">
            <v>2.08</v>
          </cell>
          <cell r="BY31">
            <v>1.72</v>
          </cell>
          <cell r="BZ31">
            <v>1.75</v>
          </cell>
          <cell r="CA31">
            <v>1.58</v>
          </cell>
          <cell r="CB31">
            <v>1.83</v>
          </cell>
          <cell r="CC31">
            <v>2.2999999999999998</v>
          </cell>
          <cell r="CD31">
            <v>2.1800000000000002</v>
          </cell>
          <cell r="CE31">
            <v>2.21</v>
          </cell>
          <cell r="CF31">
            <v>2.57</v>
          </cell>
          <cell r="CG31">
            <v>2.84</v>
          </cell>
        </row>
        <row r="32">
          <cell r="A32" t="str">
            <v>NGPL-MC</v>
          </cell>
          <cell r="B32">
            <v>29</v>
          </cell>
          <cell r="AQ32">
            <v>1.9</v>
          </cell>
          <cell r="AR32">
            <v>2.14</v>
          </cell>
          <cell r="AS32">
            <v>2.0099999999999998</v>
          </cell>
          <cell r="AT32">
            <v>2.0499999999999998</v>
          </cell>
          <cell r="AU32">
            <v>2.1800000000000002</v>
          </cell>
          <cell r="AV32">
            <v>2.14</v>
          </cell>
          <cell r="AW32">
            <v>1.67</v>
          </cell>
          <cell r="AX32">
            <v>1.69</v>
          </cell>
          <cell r="AY32">
            <v>2.4900000000000002</v>
          </cell>
          <cell r="AZ32">
            <v>3.62</v>
          </cell>
          <cell r="BA32">
            <v>3.95</v>
          </cell>
          <cell r="BB32">
            <v>2.76</v>
          </cell>
          <cell r="BC32">
            <v>1.62</v>
          </cell>
          <cell r="BD32">
            <v>1.71</v>
          </cell>
          <cell r="BE32">
            <v>1.95</v>
          </cell>
          <cell r="BF32">
            <v>2.13</v>
          </cell>
          <cell r="BG32">
            <v>2.0099999999999998</v>
          </cell>
          <cell r="BH32">
            <v>2.06</v>
          </cell>
          <cell r="BI32">
            <v>2.41</v>
          </cell>
          <cell r="BJ32">
            <v>3</v>
          </cell>
          <cell r="BK32">
            <v>3.12</v>
          </cell>
          <cell r="BL32">
            <v>2.3199999999999998</v>
          </cell>
          <cell r="BM32">
            <v>2.14</v>
          </cell>
          <cell r="BN32">
            <v>1.92</v>
          </cell>
          <cell r="BO32">
            <v>2.15</v>
          </cell>
          <cell r="BP32">
            <v>2.19</v>
          </cell>
          <cell r="BQ32">
            <v>2.17</v>
          </cell>
          <cell r="BR32">
            <v>1.94</v>
          </cell>
          <cell r="BS32">
            <v>2.27</v>
          </cell>
          <cell r="BT32">
            <v>1.84</v>
          </cell>
          <cell r="BU32">
            <v>1.56</v>
          </cell>
          <cell r="BV32">
            <v>1.9</v>
          </cell>
          <cell r="BW32">
            <v>1.95</v>
          </cell>
          <cell r="BX32">
            <v>2.0499999999999998</v>
          </cell>
          <cell r="BY32">
            <v>1.74</v>
          </cell>
          <cell r="BZ32">
            <v>1.73</v>
          </cell>
          <cell r="CA32">
            <v>1.55</v>
          </cell>
          <cell r="CB32">
            <v>1.74</v>
          </cell>
          <cell r="CC32">
            <v>2.21</v>
          </cell>
          <cell r="CD32">
            <v>2.11</v>
          </cell>
          <cell r="CE32">
            <v>2.16</v>
          </cell>
          <cell r="CF32">
            <v>2.5</v>
          </cell>
          <cell r="CG32">
            <v>2.76</v>
          </cell>
        </row>
        <row r="33">
          <cell r="A33" t="str">
            <v>NGPL-OK</v>
          </cell>
          <cell r="B33">
            <v>30</v>
          </cell>
          <cell r="C33">
            <v>2.0499999999999998</v>
          </cell>
          <cell r="D33">
            <v>2.02</v>
          </cell>
          <cell r="E33">
            <v>1.91</v>
          </cell>
          <cell r="F33">
            <v>1.6</v>
          </cell>
          <cell r="G33">
            <v>1.84</v>
          </cell>
          <cell r="H33">
            <v>2.08</v>
          </cell>
          <cell r="I33">
            <v>2.58</v>
          </cell>
          <cell r="J33">
            <v>1.8</v>
          </cell>
          <cell r="K33">
            <v>1.8</v>
          </cell>
          <cell r="L33">
            <v>1.93</v>
          </cell>
          <cell r="M33">
            <v>2.17</v>
          </cell>
          <cell r="N33">
            <v>1.85</v>
          </cell>
          <cell r="O33">
            <v>1.88</v>
          </cell>
          <cell r="P33">
            <v>2.2200000000000002</v>
          </cell>
          <cell r="Q33">
            <v>1.93</v>
          </cell>
          <cell r="R33">
            <v>2.09</v>
          </cell>
          <cell r="S33">
            <v>2.14</v>
          </cell>
          <cell r="T33">
            <v>1.8</v>
          </cell>
          <cell r="U33">
            <v>1.84</v>
          </cell>
          <cell r="V33">
            <v>1.56</v>
          </cell>
          <cell r="W33">
            <v>1.68</v>
          </cell>
          <cell r="X33">
            <v>1.59</v>
          </cell>
          <cell r="Y33">
            <v>1.4</v>
          </cell>
          <cell r="Z33">
            <v>1.3</v>
          </cell>
          <cell r="AA33">
            <v>1.52</v>
          </cell>
          <cell r="AB33">
            <v>1.6</v>
          </cell>
          <cell r="AC33">
            <v>1.5</v>
          </cell>
          <cell r="AD33">
            <v>1.26</v>
          </cell>
          <cell r="AE33">
            <v>1.27</v>
          </cell>
          <cell r="AF33">
            <v>1.34</v>
          </cell>
          <cell r="AG33">
            <v>1.44</v>
          </cell>
          <cell r="AH33">
            <v>1.45</v>
          </cell>
          <cell r="AI33">
            <v>1.24</v>
          </cell>
          <cell r="AJ33">
            <v>1.2</v>
          </cell>
          <cell r="AK33">
            <v>1.41</v>
          </cell>
          <cell r="AL33">
            <v>1.5</v>
          </cell>
          <cell r="AM33">
            <v>1.7</v>
          </cell>
          <cell r="AN33">
            <v>1.88</v>
          </cell>
          <cell r="AO33">
            <v>2</v>
          </cell>
          <cell r="AP33">
            <v>1.79</v>
          </cell>
          <cell r="BB33">
            <v>2.83</v>
          </cell>
          <cell r="BC33">
            <v>1.65</v>
          </cell>
          <cell r="BD33">
            <v>1.74</v>
          </cell>
          <cell r="BE33">
            <v>1.96</v>
          </cell>
          <cell r="BF33">
            <v>2.13</v>
          </cell>
          <cell r="BG33">
            <v>2.02</v>
          </cell>
          <cell r="BH33">
            <v>2.08</v>
          </cell>
          <cell r="BI33">
            <v>2.4300000000000002</v>
          </cell>
        </row>
        <row r="34">
          <cell r="A34" t="str">
            <v>NGPL-TOK</v>
          </cell>
          <cell r="B34">
            <v>31</v>
          </cell>
          <cell r="AQ34">
            <v>1.97</v>
          </cell>
          <cell r="AR34">
            <v>2.23</v>
          </cell>
          <cell r="AS34">
            <v>2.14</v>
          </cell>
          <cell r="AT34">
            <v>2.2400000000000002</v>
          </cell>
          <cell r="AU34">
            <v>2.5099999999999998</v>
          </cell>
          <cell r="AV34">
            <v>2.23</v>
          </cell>
          <cell r="AW34">
            <v>1.75</v>
          </cell>
          <cell r="AX34">
            <v>1.76</v>
          </cell>
          <cell r="AY34">
            <v>2.57</v>
          </cell>
          <cell r="AZ34">
            <v>3.69</v>
          </cell>
          <cell r="BA34">
            <v>3.8</v>
          </cell>
          <cell r="BB34">
            <v>2.75</v>
          </cell>
          <cell r="BC34">
            <v>1.64</v>
          </cell>
          <cell r="BD34">
            <v>1.74</v>
          </cell>
          <cell r="BE34">
            <v>2.0299999999999998</v>
          </cell>
          <cell r="BF34">
            <v>2.2400000000000002</v>
          </cell>
          <cell r="BG34">
            <v>2.08</v>
          </cell>
          <cell r="BH34">
            <v>2.12</v>
          </cell>
          <cell r="BI34">
            <v>2.46</v>
          </cell>
          <cell r="BJ34">
            <v>3.07</v>
          </cell>
          <cell r="BK34">
            <v>3.18</v>
          </cell>
          <cell r="BL34">
            <v>2.35</v>
          </cell>
          <cell r="BM34">
            <v>2.16</v>
          </cell>
          <cell r="BN34">
            <v>1.96</v>
          </cell>
          <cell r="BO34">
            <v>2.19</v>
          </cell>
          <cell r="BP34">
            <v>2.23</v>
          </cell>
          <cell r="BQ34">
            <v>2.2200000000000002</v>
          </cell>
          <cell r="BR34">
            <v>1.98</v>
          </cell>
          <cell r="BS34">
            <v>2.31</v>
          </cell>
          <cell r="BT34">
            <v>1.88</v>
          </cell>
          <cell r="BU34">
            <v>1.58</v>
          </cell>
          <cell r="BV34">
            <v>1.95</v>
          </cell>
          <cell r="BW34">
            <v>1.96</v>
          </cell>
          <cell r="BX34">
            <v>2.06</v>
          </cell>
          <cell r="BY34">
            <v>1.74</v>
          </cell>
          <cell r="BZ34">
            <v>1.75</v>
          </cell>
          <cell r="CA34">
            <v>1.57</v>
          </cell>
          <cell r="CB34">
            <v>1.8</v>
          </cell>
          <cell r="CC34">
            <v>2.2799999999999998</v>
          </cell>
          <cell r="CD34">
            <v>2.1800000000000002</v>
          </cell>
          <cell r="CE34">
            <v>2.2200000000000002</v>
          </cell>
          <cell r="CF34">
            <v>2.5499999999999998</v>
          </cell>
          <cell r="CG34">
            <v>2.83</v>
          </cell>
        </row>
        <row r="35">
          <cell r="A35" t="str">
            <v>NGPL-STX</v>
          </cell>
          <cell r="B35">
            <v>32</v>
          </cell>
          <cell r="C35">
            <v>2.2000000000000002</v>
          </cell>
          <cell r="D35">
            <v>2.1</v>
          </cell>
          <cell r="E35">
            <v>1.92</v>
          </cell>
          <cell r="F35">
            <v>1.58</v>
          </cell>
          <cell r="G35">
            <v>1.85</v>
          </cell>
          <cell r="H35">
            <v>2.15</v>
          </cell>
          <cell r="I35">
            <v>2.6</v>
          </cell>
          <cell r="J35">
            <v>1.9</v>
          </cell>
          <cell r="K35">
            <v>1.89</v>
          </cell>
          <cell r="L35">
            <v>2.02</v>
          </cell>
          <cell r="M35">
            <v>2.3199999999999998</v>
          </cell>
          <cell r="N35">
            <v>1.95</v>
          </cell>
          <cell r="O35">
            <v>2.04</v>
          </cell>
          <cell r="P35">
            <v>2.2999999999999998</v>
          </cell>
          <cell r="Q35">
            <v>1.97</v>
          </cell>
          <cell r="R35">
            <v>2.23</v>
          </cell>
          <cell r="S35">
            <v>2.2400000000000002</v>
          </cell>
          <cell r="T35">
            <v>1.86</v>
          </cell>
          <cell r="U35">
            <v>1.97</v>
          </cell>
          <cell r="V35">
            <v>1.72</v>
          </cell>
          <cell r="W35">
            <v>1.88</v>
          </cell>
          <cell r="X35">
            <v>1.72</v>
          </cell>
          <cell r="Y35">
            <v>1.41</v>
          </cell>
          <cell r="Z35">
            <v>1.34</v>
          </cell>
          <cell r="AA35">
            <v>1.6</v>
          </cell>
          <cell r="AB35">
            <v>1.61</v>
          </cell>
          <cell r="AC35">
            <v>1.52</v>
          </cell>
          <cell r="AD35">
            <v>1.32</v>
          </cell>
          <cell r="AE35">
            <v>1.34</v>
          </cell>
          <cell r="AF35">
            <v>1.48</v>
          </cell>
          <cell r="AG35">
            <v>1.59</v>
          </cell>
          <cell r="AH35">
            <v>1.63</v>
          </cell>
          <cell r="AI35">
            <v>1.41</v>
          </cell>
          <cell r="AJ35">
            <v>1.3</v>
          </cell>
          <cell r="AK35">
            <v>1.51</v>
          </cell>
          <cell r="AL35">
            <v>1.58</v>
          </cell>
          <cell r="AM35">
            <v>1.7</v>
          </cell>
          <cell r="AN35">
            <v>2.1</v>
          </cell>
          <cell r="AO35">
            <v>2.0499999999999998</v>
          </cell>
          <cell r="AP35">
            <v>1.8</v>
          </cell>
          <cell r="AQ35">
            <v>1.97</v>
          </cell>
          <cell r="AR35">
            <v>2.25</v>
          </cell>
          <cell r="AS35">
            <v>2.11</v>
          </cell>
          <cell r="AT35">
            <v>2.2400000000000002</v>
          </cell>
          <cell r="AU35">
            <v>2.52</v>
          </cell>
          <cell r="AV35">
            <v>2.23</v>
          </cell>
          <cell r="AW35">
            <v>1.73</v>
          </cell>
          <cell r="AX35">
            <v>1.75</v>
          </cell>
          <cell r="AY35">
            <v>2.61</v>
          </cell>
          <cell r="AZ35">
            <v>3.66</v>
          </cell>
          <cell r="BA35">
            <v>3.85</v>
          </cell>
          <cell r="BB35">
            <v>2.73</v>
          </cell>
          <cell r="BC35">
            <v>1.64</v>
          </cell>
          <cell r="BD35">
            <v>1.75</v>
          </cell>
          <cell r="BE35">
            <v>2.04</v>
          </cell>
          <cell r="BF35">
            <v>2.2200000000000002</v>
          </cell>
          <cell r="BG35">
            <v>2.09</v>
          </cell>
          <cell r="BH35">
            <v>2.1</v>
          </cell>
          <cell r="BI35">
            <v>2.4500000000000002</v>
          </cell>
          <cell r="BJ35">
            <v>3.05</v>
          </cell>
          <cell r="BK35">
            <v>3.18</v>
          </cell>
          <cell r="BL35">
            <v>2.35</v>
          </cell>
          <cell r="BM35">
            <v>2.16</v>
          </cell>
          <cell r="BN35">
            <v>1.93</v>
          </cell>
          <cell r="BO35">
            <v>2.17</v>
          </cell>
          <cell r="BP35">
            <v>2.23</v>
          </cell>
          <cell r="BQ35">
            <v>2.2000000000000002</v>
          </cell>
          <cell r="BR35">
            <v>1.96</v>
          </cell>
          <cell r="BS35">
            <v>2.29</v>
          </cell>
          <cell r="BT35">
            <v>1.85</v>
          </cell>
          <cell r="BU35">
            <v>1.53</v>
          </cell>
          <cell r="BV35">
            <v>1.93</v>
          </cell>
          <cell r="BW35">
            <v>1.88</v>
          </cell>
          <cell r="BX35">
            <v>2.02</v>
          </cell>
          <cell r="BY35">
            <v>1.69</v>
          </cell>
          <cell r="BZ35">
            <v>1.73</v>
          </cell>
          <cell r="CA35">
            <v>1.56</v>
          </cell>
          <cell r="CB35">
            <v>1.8</v>
          </cell>
          <cell r="CC35">
            <v>2.2799999999999998</v>
          </cell>
          <cell r="CD35">
            <v>2.15</v>
          </cell>
          <cell r="CE35">
            <v>2.19</v>
          </cell>
          <cell r="CF35">
            <v>2.5499999999999998</v>
          </cell>
          <cell r="CG35">
            <v>2.82</v>
          </cell>
        </row>
        <row r="36">
          <cell r="A36" t="str">
            <v>NNG-DEMARC</v>
          </cell>
          <cell r="B36">
            <v>33</v>
          </cell>
          <cell r="M36">
            <v>2.1</v>
          </cell>
          <cell r="N36">
            <v>1.9</v>
          </cell>
          <cell r="O36">
            <v>1.89</v>
          </cell>
          <cell r="Q36">
            <v>1.95</v>
          </cell>
          <cell r="R36">
            <v>2.0499999999999998</v>
          </cell>
          <cell r="S36">
            <v>2.14</v>
          </cell>
          <cell r="T36">
            <v>1.77</v>
          </cell>
          <cell r="U36">
            <v>1.77</v>
          </cell>
          <cell r="V36">
            <v>1.5</v>
          </cell>
          <cell r="W36">
            <v>1.61</v>
          </cell>
          <cell r="X36">
            <v>1.55</v>
          </cell>
          <cell r="Y36">
            <v>1.39</v>
          </cell>
          <cell r="Z36">
            <v>1.39</v>
          </cell>
          <cell r="AA36">
            <v>1.47</v>
          </cell>
          <cell r="AB36">
            <v>1.6</v>
          </cell>
          <cell r="AC36">
            <v>1.5</v>
          </cell>
          <cell r="AD36">
            <v>1.25</v>
          </cell>
          <cell r="AE36">
            <v>1.24</v>
          </cell>
          <cell r="AF36">
            <v>1.28</v>
          </cell>
          <cell r="AG36">
            <v>1.41</v>
          </cell>
          <cell r="AH36">
            <v>1.42</v>
          </cell>
          <cell r="AI36">
            <v>1.23</v>
          </cell>
          <cell r="AJ36">
            <v>1.19</v>
          </cell>
          <cell r="AK36">
            <v>1.41</v>
          </cell>
          <cell r="AL36">
            <v>1.5</v>
          </cell>
          <cell r="AM36">
            <v>1.63</v>
          </cell>
          <cell r="AN36">
            <v>1.9</v>
          </cell>
          <cell r="AO36">
            <v>2.0499999999999998</v>
          </cell>
          <cell r="AP36">
            <v>1.86</v>
          </cell>
          <cell r="AQ36">
            <v>1.98</v>
          </cell>
          <cell r="AR36">
            <v>2.16</v>
          </cell>
          <cell r="AS36">
            <v>1.99</v>
          </cell>
          <cell r="AT36">
            <v>2.0299999999999998</v>
          </cell>
          <cell r="AU36">
            <v>2.17</v>
          </cell>
          <cell r="AV36">
            <v>2.08</v>
          </cell>
          <cell r="AW36">
            <v>1.63</v>
          </cell>
          <cell r="AX36">
            <v>1.71</v>
          </cell>
          <cell r="AY36">
            <v>2.59</v>
          </cell>
          <cell r="AZ36">
            <v>3.62</v>
          </cell>
          <cell r="BA36">
            <v>4.22</v>
          </cell>
          <cell r="BB36">
            <v>2.87</v>
          </cell>
          <cell r="BC36">
            <v>1.65</v>
          </cell>
          <cell r="BD36">
            <v>1.73</v>
          </cell>
          <cell r="BE36">
            <v>1.94</v>
          </cell>
          <cell r="BF36">
            <v>2.11</v>
          </cell>
          <cell r="BG36">
            <v>2.0099999999999998</v>
          </cell>
          <cell r="BH36">
            <v>2.0499999999999998</v>
          </cell>
          <cell r="BI36">
            <v>2.42</v>
          </cell>
          <cell r="BJ36">
            <v>3.02</v>
          </cell>
          <cell r="BK36">
            <v>3.29</v>
          </cell>
          <cell r="BL36">
            <v>2.4500000000000002</v>
          </cell>
          <cell r="BM36">
            <v>2.1800000000000002</v>
          </cell>
          <cell r="BN36">
            <v>1.95</v>
          </cell>
          <cell r="BO36">
            <v>2.16</v>
          </cell>
          <cell r="BP36">
            <v>2.1800000000000002</v>
          </cell>
          <cell r="BQ36">
            <v>2.16</v>
          </cell>
          <cell r="BR36">
            <v>1.93</v>
          </cell>
          <cell r="BS36">
            <v>2.27</v>
          </cell>
          <cell r="BT36">
            <v>1.86</v>
          </cell>
          <cell r="BU36">
            <v>1.57</v>
          </cell>
          <cell r="BV36">
            <v>1.92</v>
          </cell>
          <cell r="BW36">
            <v>2</v>
          </cell>
          <cell r="BX36">
            <v>2.12</v>
          </cell>
          <cell r="BY36">
            <v>1.83</v>
          </cell>
          <cell r="BZ36">
            <v>1.8</v>
          </cell>
          <cell r="CA36">
            <v>1.59</v>
          </cell>
          <cell r="CB36">
            <v>1.76</v>
          </cell>
          <cell r="CC36">
            <v>2.21</v>
          </cell>
          <cell r="CD36">
            <v>2.14</v>
          </cell>
          <cell r="CE36">
            <v>2.19</v>
          </cell>
          <cell r="CF36">
            <v>2.5299999999999998</v>
          </cell>
          <cell r="CG36">
            <v>2.78</v>
          </cell>
        </row>
        <row r="37">
          <cell r="A37" t="str">
            <v>NNG-TOK</v>
          </cell>
          <cell r="B37">
            <v>34</v>
          </cell>
          <cell r="C37">
            <v>1.96</v>
          </cell>
          <cell r="D37">
            <v>1.92</v>
          </cell>
          <cell r="E37">
            <v>1.9</v>
          </cell>
          <cell r="F37">
            <v>1.5</v>
          </cell>
          <cell r="G37">
            <v>1.75</v>
          </cell>
          <cell r="H37">
            <v>1.95</v>
          </cell>
          <cell r="I37">
            <v>2.4500000000000002</v>
          </cell>
          <cell r="J37">
            <v>1.71</v>
          </cell>
          <cell r="K37">
            <v>1.71</v>
          </cell>
          <cell r="L37">
            <v>1.81</v>
          </cell>
          <cell r="M37">
            <v>2.0499999999999998</v>
          </cell>
          <cell r="N37">
            <v>1.8</v>
          </cell>
          <cell r="O37">
            <v>1.81</v>
          </cell>
          <cell r="P37">
            <v>2.2599999999999998</v>
          </cell>
          <cell r="Q37">
            <v>1.89</v>
          </cell>
          <cell r="R37">
            <v>1.97</v>
          </cell>
          <cell r="S37">
            <v>2.0299999999999998</v>
          </cell>
          <cell r="T37">
            <v>1.73</v>
          </cell>
          <cell r="U37">
            <v>1.73</v>
          </cell>
          <cell r="V37">
            <v>1.47</v>
          </cell>
          <cell r="W37">
            <v>1.6</v>
          </cell>
          <cell r="X37">
            <v>1.53</v>
          </cell>
          <cell r="Y37">
            <v>1.36</v>
          </cell>
          <cell r="Z37">
            <v>1.22</v>
          </cell>
          <cell r="AA37">
            <v>1.44</v>
          </cell>
          <cell r="AB37">
            <v>1.57</v>
          </cell>
          <cell r="AC37">
            <v>1.46</v>
          </cell>
          <cell r="AD37">
            <v>1.21</v>
          </cell>
          <cell r="AE37">
            <v>1.2</v>
          </cell>
          <cell r="AF37">
            <v>1.26</v>
          </cell>
          <cell r="AG37">
            <v>1.37</v>
          </cell>
          <cell r="AH37">
            <v>1.39</v>
          </cell>
          <cell r="AI37">
            <v>1.2</v>
          </cell>
          <cell r="AJ37">
            <v>1.17</v>
          </cell>
          <cell r="AK37">
            <v>1.38</v>
          </cell>
          <cell r="AL37">
            <v>1.46</v>
          </cell>
          <cell r="AM37">
            <v>1.57</v>
          </cell>
          <cell r="AN37">
            <v>1.84</v>
          </cell>
          <cell r="AO37">
            <v>1.93</v>
          </cell>
          <cell r="AP37">
            <v>1.73</v>
          </cell>
          <cell r="AQ37">
            <v>1.87</v>
          </cell>
          <cell r="AR37">
            <v>2.06</v>
          </cell>
          <cell r="AS37">
            <v>1.95</v>
          </cell>
          <cell r="AT37">
            <v>1.98</v>
          </cell>
          <cell r="AU37">
            <v>2.1</v>
          </cell>
          <cell r="AV37">
            <v>2.0299999999999998</v>
          </cell>
          <cell r="AW37">
            <v>1.57</v>
          </cell>
          <cell r="AX37">
            <v>1.64</v>
          </cell>
          <cell r="AY37">
            <v>2.48</v>
          </cell>
          <cell r="AZ37">
            <v>3.52</v>
          </cell>
          <cell r="BA37">
            <v>3.8</v>
          </cell>
          <cell r="BB37">
            <v>2.73</v>
          </cell>
          <cell r="BC37">
            <v>1.56</v>
          </cell>
          <cell r="BD37">
            <v>1.63</v>
          </cell>
          <cell r="BE37">
            <v>1.85</v>
          </cell>
          <cell r="BF37">
            <v>2.04</v>
          </cell>
          <cell r="BG37">
            <v>1.91</v>
          </cell>
          <cell r="BH37">
            <v>1.96</v>
          </cell>
          <cell r="BI37">
            <v>2.33</v>
          </cell>
          <cell r="BJ37">
            <v>2.86</v>
          </cell>
          <cell r="BK37">
            <v>3.09</v>
          </cell>
          <cell r="BL37">
            <v>2.2799999999999998</v>
          </cell>
          <cell r="BM37">
            <v>2.0499999999999998</v>
          </cell>
          <cell r="BN37">
            <v>1.86</v>
          </cell>
          <cell r="BO37">
            <v>2.06</v>
          </cell>
          <cell r="BP37">
            <v>2.06</v>
          </cell>
          <cell r="BQ37">
            <v>2.0499999999999998</v>
          </cell>
          <cell r="BR37">
            <v>1.84</v>
          </cell>
          <cell r="BS37">
            <v>2.15</v>
          </cell>
          <cell r="BT37">
            <v>1.79</v>
          </cell>
          <cell r="BU37">
            <v>1.5</v>
          </cell>
          <cell r="BV37">
            <v>1.78</v>
          </cell>
          <cell r="BW37">
            <v>1.86</v>
          </cell>
          <cell r="BX37">
            <v>1.98</v>
          </cell>
          <cell r="BY37">
            <v>1.74</v>
          </cell>
          <cell r="BZ37">
            <v>1.72</v>
          </cell>
          <cell r="CA37">
            <v>1.48</v>
          </cell>
          <cell r="CB37">
            <v>1.67</v>
          </cell>
          <cell r="CC37">
            <v>2.13</v>
          </cell>
          <cell r="CD37">
            <v>2.06</v>
          </cell>
          <cell r="CE37">
            <v>2.1</v>
          </cell>
          <cell r="CF37">
            <v>2.44</v>
          </cell>
          <cell r="CG37">
            <v>2.7</v>
          </cell>
        </row>
        <row r="38">
          <cell r="A38" t="str">
            <v>NNG-VENT</v>
          </cell>
          <cell r="B38">
            <v>35</v>
          </cell>
          <cell r="C38">
            <v>2.0499999999999998</v>
          </cell>
          <cell r="D38">
            <v>2.0499999999999998</v>
          </cell>
          <cell r="E38">
            <v>1.96</v>
          </cell>
          <cell r="F38">
            <v>1.6</v>
          </cell>
          <cell r="G38">
            <v>1.86</v>
          </cell>
          <cell r="H38">
            <v>2.09</v>
          </cell>
          <cell r="I38">
            <v>2.59</v>
          </cell>
          <cell r="J38">
            <v>1.8</v>
          </cell>
          <cell r="K38">
            <v>1.78</v>
          </cell>
          <cell r="L38">
            <v>1.8</v>
          </cell>
          <cell r="M38">
            <v>2.15</v>
          </cell>
          <cell r="N38">
            <v>1.9</v>
          </cell>
          <cell r="O38">
            <v>1.88</v>
          </cell>
          <cell r="P38">
            <v>2.3199999999999998</v>
          </cell>
          <cell r="Q38">
            <v>1.93</v>
          </cell>
          <cell r="R38">
            <v>2.0499999999999998</v>
          </cell>
          <cell r="S38">
            <v>2.14</v>
          </cell>
          <cell r="T38">
            <v>1.75</v>
          </cell>
          <cell r="U38">
            <v>1.8</v>
          </cell>
          <cell r="V38">
            <v>1.5</v>
          </cell>
          <cell r="W38">
            <v>1.61</v>
          </cell>
          <cell r="X38">
            <v>1.54</v>
          </cell>
          <cell r="Y38">
            <v>1.39</v>
          </cell>
          <cell r="Z38">
            <v>1.27</v>
          </cell>
          <cell r="AA38">
            <v>1.48</v>
          </cell>
          <cell r="AB38">
            <v>1.62</v>
          </cell>
          <cell r="AC38">
            <v>1.49</v>
          </cell>
          <cell r="AD38">
            <v>1.25</v>
          </cell>
          <cell r="AE38">
            <v>1.23</v>
          </cell>
          <cell r="AF38">
            <v>1.28</v>
          </cell>
          <cell r="AG38">
            <v>1.39</v>
          </cell>
          <cell r="AH38">
            <v>1.41</v>
          </cell>
          <cell r="AI38">
            <v>1.18</v>
          </cell>
          <cell r="AJ38">
            <v>1.0900000000000001</v>
          </cell>
          <cell r="AK38">
            <v>1.33</v>
          </cell>
          <cell r="AL38">
            <v>1.48</v>
          </cell>
          <cell r="AM38">
            <v>1.61</v>
          </cell>
          <cell r="AN38">
            <v>1.84</v>
          </cell>
          <cell r="AO38">
            <v>2</v>
          </cell>
          <cell r="AP38">
            <v>1.84</v>
          </cell>
          <cell r="AQ38">
            <v>1.94</v>
          </cell>
          <cell r="AR38">
            <v>2.11</v>
          </cell>
          <cell r="AS38">
            <v>1.91</v>
          </cell>
          <cell r="AT38">
            <v>1.96</v>
          </cell>
          <cell r="AU38">
            <v>2.0699999999999998</v>
          </cell>
          <cell r="AV38">
            <v>2.0699999999999998</v>
          </cell>
          <cell r="AW38">
            <v>1.62</v>
          </cell>
          <cell r="AX38">
            <v>1.71</v>
          </cell>
          <cell r="AY38">
            <v>2.5499999999999998</v>
          </cell>
          <cell r="AZ38">
            <v>3.61</v>
          </cell>
          <cell r="BA38">
            <v>4.2</v>
          </cell>
          <cell r="BB38">
            <v>2.85</v>
          </cell>
          <cell r="BC38">
            <v>1.63</v>
          </cell>
          <cell r="BD38">
            <v>1.71</v>
          </cell>
          <cell r="BE38">
            <v>1.94</v>
          </cell>
          <cell r="BF38">
            <v>2.1</v>
          </cell>
          <cell r="BG38">
            <v>1.97</v>
          </cell>
          <cell r="BH38">
            <v>2.0499999999999998</v>
          </cell>
          <cell r="BI38">
            <v>2.41</v>
          </cell>
          <cell r="BJ38">
            <v>3.03</v>
          </cell>
          <cell r="BK38">
            <v>3.29</v>
          </cell>
          <cell r="BL38">
            <v>2.44</v>
          </cell>
          <cell r="BM38">
            <v>2.17</v>
          </cell>
          <cell r="BN38">
            <v>1.96</v>
          </cell>
          <cell r="BO38">
            <v>2.15</v>
          </cell>
          <cell r="BP38">
            <v>2.1800000000000002</v>
          </cell>
          <cell r="BQ38">
            <v>2.15</v>
          </cell>
          <cell r="BR38">
            <v>1.92</v>
          </cell>
          <cell r="BS38">
            <v>2.2599999999999998</v>
          </cell>
          <cell r="BT38">
            <v>1.84</v>
          </cell>
          <cell r="BU38">
            <v>1.56</v>
          </cell>
          <cell r="BV38">
            <v>1.91</v>
          </cell>
          <cell r="BW38">
            <v>2</v>
          </cell>
          <cell r="BX38">
            <v>2.13</v>
          </cell>
          <cell r="BY38">
            <v>1.84</v>
          </cell>
          <cell r="BZ38">
            <v>1.8</v>
          </cell>
          <cell r="CA38">
            <v>1.6</v>
          </cell>
          <cell r="CB38">
            <v>1.75</v>
          </cell>
          <cell r="CC38">
            <v>2.2000000000000002</v>
          </cell>
          <cell r="CD38">
            <v>2.12</v>
          </cell>
          <cell r="CE38">
            <v>2.1800000000000002</v>
          </cell>
          <cell r="CF38">
            <v>2.5</v>
          </cell>
          <cell r="CG38">
            <v>2.76</v>
          </cell>
        </row>
        <row r="39">
          <cell r="A39" t="str">
            <v>NOR-EAST</v>
          </cell>
          <cell r="B39">
            <v>36</v>
          </cell>
          <cell r="AE39">
            <v>1.33</v>
          </cell>
          <cell r="AF39">
            <v>1.44</v>
          </cell>
          <cell r="AG39">
            <v>1.57</v>
          </cell>
          <cell r="AH39">
            <v>1.61</v>
          </cell>
          <cell r="AI39">
            <v>1.4</v>
          </cell>
          <cell r="AJ39">
            <v>1.3</v>
          </cell>
          <cell r="AK39">
            <v>1.5</v>
          </cell>
          <cell r="AL39">
            <v>1.54</v>
          </cell>
          <cell r="AM39">
            <v>1.68</v>
          </cell>
          <cell r="AN39">
            <v>2.02</v>
          </cell>
          <cell r="AO39">
            <v>2.09</v>
          </cell>
          <cell r="AP39">
            <v>1.89</v>
          </cell>
          <cell r="AQ39">
            <v>1.93</v>
          </cell>
          <cell r="AR39">
            <v>2.23</v>
          </cell>
          <cell r="AS39">
            <v>2.12</v>
          </cell>
          <cell r="AT39">
            <v>2.1800000000000002</v>
          </cell>
          <cell r="AU39">
            <v>2.31</v>
          </cell>
          <cell r="AV39">
            <v>2.25</v>
          </cell>
          <cell r="AW39">
            <v>1.75</v>
          </cell>
          <cell r="AX39">
            <v>1.74</v>
          </cell>
          <cell r="AY39">
            <v>2.4700000000000002</v>
          </cell>
          <cell r="AZ39">
            <v>3.61</v>
          </cell>
          <cell r="BA39">
            <v>4.1500000000000004</v>
          </cell>
          <cell r="BB39">
            <v>2.78</v>
          </cell>
          <cell r="BC39">
            <v>1.65</v>
          </cell>
          <cell r="BD39">
            <v>1.74</v>
          </cell>
          <cell r="BE39">
            <v>2.0099999999999998</v>
          </cell>
          <cell r="BF39">
            <v>2.19</v>
          </cell>
          <cell r="BG39">
            <v>2.0699999999999998</v>
          </cell>
          <cell r="BH39">
            <v>2.11</v>
          </cell>
          <cell r="BI39">
            <v>2.44</v>
          </cell>
          <cell r="BJ39">
            <v>3.05</v>
          </cell>
          <cell r="BK39">
            <v>3.17</v>
          </cell>
          <cell r="BL39">
            <v>2.37</v>
          </cell>
          <cell r="BM39">
            <v>2.16</v>
          </cell>
          <cell r="BN39">
            <v>1.94</v>
          </cell>
          <cell r="BO39">
            <v>2.16</v>
          </cell>
          <cell r="BP39">
            <v>2.2000000000000002</v>
          </cell>
          <cell r="BQ39">
            <v>2.1800000000000002</v>
          </cell>
          <cell r="BR39">
            <v>1.96</v>
          </cell>
          <cell r="BS39">
            <v>2.2999999999999998</v>
          </cell>
          <cell r="BT39">
            <v>1.86</v>
          </cell>
          <cell r="BU39">
            <v>1.57</v>
          </cell>
          <cell r="BV39">
            <v>1.94</v>
          </cell>
          <cell r="BW39">
            <v>1.93</v>
          </cell>
          <cell r="BX39">
            <v>2.0299999999999998</v>
          </cell>
          <cell r="BY39">
            <v>1.74</v>
          </cell>
          <cell r="BZ39">
            <v>1.74</v>
          </cell>
          <cell r="CA39">
            <v>1.56</v>
          </cell>
          <cell r="CB39">
            <v>1.77</v>
          </cell>
          <cell r="CC39">
            <v>2.27</v>
          </cell>
          <cell r="CD39">
            <v>2.17</v>
          </cell>
          <cell r="CE39">
            <v>2.21</v>
          </cell>
          <cell r="CF39">
            <v>2.5499999999999998</v>
          </cell>
          <cell r="CG39">
            <v>2.82</v>
          </cell>
        </row>
        <row r="40">
          <cell r="A40" t="str">
            <v>NOR-WEST</v>
          </cell>
          <cell r="B40">
            <v>37</v>
          </cell>
          <cell r="AE40">
            <v>1.28</v>
          </cell>
          <cell r="AF40">
            <v>1.35</v>
          </cell>
          <cell r="AG40">
            <v>1.46</v>
          </cell>
          <cell r="AH40">
            <v>1.48</v>
          </cell>
          <cell r="AI40">
            <v>1.28</v>
          </cell>
          <cell r="AJ40">
            <v>1.22</v>
          </cell>
          <cell r="AK40">
            <v>1.43</v>
          </cell>
          <cell r="AL40">
            <v>1.5</v>
          </cell>
          <cell r="AM40">
            <v>1.62</v>
          </cell>
          <cell r="AN40">
            <v>1.89</v>
          </cell>
          <cell r="AO40">
            <v>2.0099999999999998</v>
          </cell>
          <cell r="AP40">
            <v>1.83</v>
          </cell>
          <cell r="AQ40">
            <v>1.9</v>
          </cell>
          <cell r="AR40">
            <v>2.15</v>
          </cell>
          <cell r="AS40">
            <v>2.02</v>
          </cell>
          <cell r="AT40">
            <v>2.0699999999999998</v>
          </cell>
          <cell r="AU40">
            <v>2.2000000000000002</v>
          </cell>
          <cell r="AV40">
            <v>2.16</v>
          </cell>
          <cell r="AW40">
            <v>1.68</v>
          </cell>
          <cell r="AX40">
            <v>1.69</v>
          </cell>
          <cell r="AY40">
            <v>2.4300000000000002</v>
          </cell>
          <cell r="AZ40">
            <v>3.55</v>
          </cell>
          <cell r="BA40">
            <v>4.1100000000000003</v>
          </cell>
          <cell r="BB40">
            <v>2.73</v>
          </cell>
          <cell r="BC40">
            <v>1.61</v>
          </cell>
          <cell r="BD40">
            <v>1.72</v>
          </cell>
          <cell r="BE40">
            <v>1.96</v>
          </cell>
          <cell r="BF40">
            <v>2.15</v>
          </cell>
          <cell r="BG40">
            <v>2.0099999999999998</v>
          </cell>
          <cell r="BH40">
            <v>2.0699999999999998</v>
          </cell>
          <cell r="BI40">
            <v>2.41</v>
          </cell>
          <cell r="BJ40">
            <v>2.98</v>
          </cell>
          <cell r="BK40">
            <v>3.1</v>
          </cell>
          <cell r="BL40">
            <v>2.3199999999999998</v>
          </cell>
          <cell r="BM40">
            <v>2.15</v>
          </cell>
          <cell r="BN40">
            <v>1.92</v>
          </cell>
          <cell r="BO40">
            <v>2.14</v>
          </cell>
          <cell r="BP40">
            <v>2.17</v>
          </cell>
          <cell r="BQ40">
            <v>2.15</v>
          </cell>
          <cell r="BR40">
            <v>1.92</v>
          </cell>
          <cell r="BS40">
            <v>2.2599999999999998</v>
          </cell>
          <cell r="BT40">
            <v>1.83</v>
          </cell>
          <cell r="BU40">
            <v>1.52</v>
          </cell>
          <cell r="BV40">
            <v>1.89</v>
          </cell>
          <cell r="BW40">
            <v>1.9</v>
          </cell>
          <cell r="BX40">
            <v>2.0099999999999998</v>
          </cell>
          <cell r="BY40">
            <v>1.73</v>
          </cell>
          <cell r="BZ40">
            <v>1.73</v>
          </cell>
          <cell r="CA40">
            <v>1.54</v>
          </cell>
          <cell r="CB40">
            <v>1.74</v>
          </cell>
          <cell r="CC40">
            <v>2.2200000000000002</v>
          </cell>
          <cell r="CD40">
            <v>2.12</v>
          </cell>
          <cell r="CE40">
            <v>2.1800000000000002</v>
          </cell>
          <cell r="CF40">
            <v>2.5099999999999998</v>
          </cell>
          <cell r="CG40">
            <v>2.77</v>
          </cell>
        </row>
        <row r="41">
          <cell r="A41" t="str">
            <v>NWPL-CAN</v>
          </cell>
          <cell r="B41">
            <v>38</v>
          </cell>
          <cell r="C41">
            <v>1.5</v>
          </cell>
          <cell r="D41">
            <v>1.74</v>
          </cell>
          <cell r="E41">
            <v>2.25</v>
          </cell>
          <cell r="F41">
            <v>1.74</v>
          </cell>
          <cell r="G41">
            <v>1.8</v>
          </cell>
          <cell r="H41">
            <v>1.8</v>
          </cell>
          <cell r="I41">
            <v>2.25</v>
          </cell>
          <cell r="J41">
            <v>1.58</v>
          </cell>
          <cell r="K41">
            <v>1.55</v>
          </cell>
          <cell r="L41">
            <v>1.65</v>
          </cell>
          <cell r="M41">
            <v>1.92</v>
          </cell>
          <cell r="N41">
            <v>1.75</v>
          </cell>
          <cell r="O41">
            <v>1.8</v>
          </cell>
          <cell r="P41">
            <v>2.4</v>
          </cell>
          <cell r="Q41">
            <v>2.1800000000000002</v>
          </cell>
          <cell r="R41">
            <v>1.79</v>
          </cell>
          <cell r="S41">
            <v>1.98</v>
          </cell>
          <cell r="T41">
            <v>1.62</v>
          </cell>
          <cell r="U41">
            <v>1.6</v>
          </cell>
          <cell r="V41">
            <v>1.39</v>
          </cell>
          <cell r="W41">
            <v>1.48</v>
          </cell>
          <cell r="X41">
            <v>1.45</v>
          </cell>
          <cell r="Y41">
            <v>1.36</v>
          </cell>
          <cell r="Z41">
            <v>1.18</v>
          </cell>
          <cell r="AA41">
            <v>1.52</v>
          </cell>
          <cell r="AB41">
            <v>1.63</v>
          </cell>
          <cell r="AC41">
            <v>1.4</v>
          </cell>
          <cell r="AD41">
            <v>1.03</v>
          </cell>
          <cell r="AE41">
            <v>1</v>
          </cell>
          <cell r="AF41">
            <v>0.97</v>
          </cell>
          <cell r="AG41">
            <v>0.99</v>
          </cell>
          <cell r="AH41">
            <v>0.97</v>
          </cell>
          <cell r="AI41">
            <v>0.85</v>
          </cell>
          <cell r="AJ41">
            <v>0.75</v>
          </cell>
          <cell r="AK41">
            <v>0.85</v>
          </cell>
          <cell r="AL41">
            <v>0.96</v>
          </cell>
          <cell r="AM41">
            <v>1.26</v>
          </cell>
          <cell r="AN41">
            <v>1.29</v>
          </cell>
          <cell r="AO41">
            <v>1.24</v>
          </cell>
          <cell r="AP41">
            <v>1.2</v>
          </cell>
          <cell r="AQ41">
            <v>1.1499999999999999</v>
          </cell>
          <cell r="AR41">
            <v>0.93</v>
          </cell>
          <cell r="AS41">
            <v>0.93</v>
          </cell>
          <cell r="AT41">
            <v>0.9</v>
          </cell>
          <cell r="AU41">
            <v>0.96</v>
          </cell>
          <cell r="AV41">
            <v>1.01</v>
          </cell>
          <cell r="AW41">
            <v>1.01</v>
          </cell>
          <cell r="AX41">
            <v>1.1000000000000001</v>
          </cell>
          <cell r="AY41">
            <v>2.17</v>
          </cell>
          <cell r="AZ41">
            <v>3.55</v>
          </cell>
          <cell r="BA41">
            <v>4.1500000000000004</v>
          </cell>
          <cell r="BB41">
            <v>2.37</v>
          </cell>
          <cell r="BC41">
            <v>1.05</v>
          </cell>
          <cell r="BD41">
            <v>1.1100000000000001</v>
          </cell>
          <cell r="BE41">
            <v>1.33</v>
          </cell>
          <cell r="BF41">
            <v>1.38</v>
          </cell>
          <cell r="BG41">
            <v>1.22</v>
          </cell>
          <cell r="BH41">
            <v>1.08</v>
          </cell>
          <cell r="BI41">
            <v>1.19</v>
          </cell>
          <cell r="BJ41">
            <v>1.48</v>
          </cell>
          <cell r="BK41">
            <v>2.7</v>
          </cell>
          <cell r="BL41">
            <v>1.4</v>
          </cell>
          <cell r="BM41">
            <v>1.85</v>
          </cell>
          <cell r="BN41">
            <v>1.43</v>
          </cell>
          <cell r="BO41">
            <v>1.1200000000000001</v>
          </cell>
          <cell r="BP41">
            <v>1.43</v>
          </cell>
          <cell r="BQ41">
            <v>1.7</v>
          </cell>
          <cell r="BR41">
            <v>1.38</v>
          </cell>
          <cell r="BS41">
            <v>1.45</v>
          </cell>
          <cell r="BT41">
            <v>1.57</v>
          </cell>
          <cell r="BU41">
            <v>1.46</v>
          </cell>
          <cell r="BV41">
            <v>1.67</v>
          </cell>
          <cell r="BW41">
            <v>2.14</v>
          </cell>
          <cell r="BX41">
            <v>2.09</v>
          </cell>
          <cell r="BY41">
            <v>2.88</v>
          </cell>
          <cell r="BZ41">
            <v>1.77</v>
          </cell>
          <cell r="CA41">
            <v>1.5</v>
          </cell>
          <cell r="CB41">
            <v>1.51</v>
          </cell>
          <cell r="CC41">
            <v>1.95</v>
          </cell>
          <cell r="CD41">
            <v>1.91</v>
          </cell>
          <cell r="CE41">
            <v>1.94</v>
          </cell>
          <cell r="CF41">
            <v>2.21</v>
          </cell>
          <cell r="CG41">
            <v>2.5</v>
          </cell>
        </row>
        <row r="42">
          <cell r="A42" t="str">
            <v>NWPL-ROCK</v>
          </cell>
          <cell r="B42">
            <v>39</v>
          </cell>
          <cell r="C42">
            <v>1.79</v>
          </cell>
          <cell r="D42">
            <v>1.95</v>
          </cell>
          <cell r="E42">
            <v>2.2999999999999998</v>
          </cell>
          <cell r="F42">
            <v>1.61</v>
          </cell>
          <cell r="G42">
            <v>1.78</v>
          </cell>
          <cell r="H42">
            <v>1.79</v>
          </cell>
          <cell r="I42">
            <v>2.25</v>
          </cell>
          <cell r="J42">
            <v>1.58</v>
          </cell>
          <cell r="K42">
            <v>1.55</v>
          </cell>
          <cell r="L42">
            <v>1.65</v>
          </cell>
          <cell r="M42">
            <v>1.92</v>
          </cell>
          <cell r="N42">
            <v>1.75</v>
          </cell>
          <cell r="O42">
            <v>1.74</v>
          </cell>
          <cell r="P42">
            <v>2.35</v>
          </cell>
          <cell r="Q42">
            <v>1.92</v>
          </cell>
          <cell r="R42">
            <v>1.78</v>
          </cell>
          <cell r="S42">
            <v>1.95</v>
          </cell>
          <cell r="T42">
            <v>1.61</v>
          </cell>
          <cell r="U42">
            <v>1.6</v>
          </cell>
          <cell r="V42">
            <v>1.37</v>
          </cell>
          <cell r="W42">
            <v>1.46</v>
          </cell>
          <cell r="X42">
            <v>1.45</v>
          </cell>
          <cell r="Y42">
            <v>1.36</v>
          </cell>
          <cell r="Z42">
            <v>1.18</v>
          </cell>
          <cell r="AA42">
            <v>1.48</v>
          </cell>
          <cell r="AB42">
            <v>1.61</v>
          </cell>
          <cell r="AC42">
            <v>1.37</v>
          </cell>
          <cell r="AD42">
            <v>1.06</v>
          </cell>
          <cell r="AE42">
            <v>1.05</v>
          </cell>
          <cell r="AF42">
            <v>1.05</v>
          </cell>
          <cell r="AG42">
            <v>1.06</v>
          </cell>
          <cell r="AH42">
            <v>1.1399999999999999</v>
          </cell>
          <cell r="AI42">
            <v>0.98</v>
          </cell>
          <cell r="AJ42">
            <v>0.84</v>
          </cell>
          <cell r="AK42">
            <v>0.96</v>
          </cell>
          <cell r="AL42">
            <v>1.05</v>
          </cell>
          <cell r="AM42">
            <v>1.25</v>
          </cell>
          <cell r="AN42">
            <v>1.31</v>
          </cell>
          <cell r="AO42">
            <v>1.25</v>
          </cell>
          <cell r="AP42">
            <v>1.19</v>
          </cell>
          <cell r="AQ42">
            <v>1.17</v>
          </cell>
          <cell r="AR42">
            <v>1.06</v>
          </cell>
          <cell r="AS42">
            <v>1.05</v>
          </cell>
          <cell r="AT42">
            <v>1.07</v>
          </cell>
          <cell r="AU42">
            <v>1.19</v>
          </cell>
          <cell r="AV42">
            <v>1.23</v>
          </cell>
          <cell r="AW42">
            <v>1.18</v>
          </cell>
          <cell r="AX42">
            <v>1.26</v>
          </cell>
          <cell r="AY42">
            <v>2.29</v>
          </cell>
          <cell r="AZ42">
            <v>3.52</v>
          </cell>
          <cell r="BA42">
            <v>4.2</v>
          </cell>
          <cell r="BB42">
            <v>2.48</v>
          </cell>
          <cell r="BC42">
            <v>1.39</v>
          </cell>
          <cell r="BD42">
            <v>1.44</v>
          </cell>
          <cell r="BE42">
            <v>1.64</v>
          </cell>
          <cell r="BF42">
            <v>1.48</v>
          </cell>
          <cell r="BG42">
            <v>1.44</v>
          </cell>
          <cell r="BH42">
            <v>1.38</v>
          </cell>
          <cell r="BI42">
            <v>1.48</v>
          </cell>
          <cell r="BJ42">
            <v>2.12</v>
          </cell>
          <cell r="BK42">
            <v>3</v>
          </cell>
          <cell r="BL42">
            <v>1.94</v>
          </cell>
          <cell r="BM42">
            <v>2.06</v>
          </cell>
          <cell r="BN42">
            <v>1.69</v>
          </cell>
          <cell r="BO42">
            <v>1.87</v>
          </cell>
          <cell r="BP42">
            <v>1.9</v>
          </cell>
          <cell r="BQ42">
            <v>1.98</v>
          </cell>
          <cell r="BR42">
            <v>1.64</v>
          </cell>
          <cell r="BS42">
            <v>1.62</v>
          </cell>
          <cell r="BT42">
            <v>1.73</v>
          </cell>
          <cell r="BU42">
            <v>1.57</v>
          </cell>
          <cell r="BV42">
            <v>1.65</v>
          </cell>
          <cell r="BW42">
            <v>2.02</v>
          </cell>
          <cell r="BX42">
            <v>2</v>
          </cell>
          <cell r="BY42">
            <v>1.82</v>
          </cell>
          <cell r="BZ42">
            <v>1.63</v>
          </cell>
          <cell r="CA42">
            <v>1.51</v>
          </cell>
          <cell r="CB42">
            <v>1.54</v>
          </cell>
          <cell r="CC42">
            <v>2</v>
          </cell>
          <cell r="CD42">
            <v>1.94</v>
          </cell>
          <cell r="CE42">
            <v>1.99</v>
          </cell>
          <cell r="CF42">
            <v>2.1800000000000002</v>
          </cell>
          <cell r="CG42">
            <v>2.56</v>
          </cell>
        </row>
        <row r="43">
          <cell r="A43" t="str">
            <v>ONG-OKL</v>
          </cell>
          <cell r="B43">
            <v>40</v>
          </cell>
          <cell r="C43">
            <v>1.97</v>
          </cell>
          <cell r="D43">
            <v>1.98</v>
          </cell>
          <cell r="E43">
            <v>1.92</v>
          </cell>
          <cell r="F43">
            <v>1.62</v>
          </cell>
          <cell r="G43">
            <v>1.81</v>
          </cell>
          <cell r="H43">
            <v>2.0699999999999998</v>
          </cell>
          <cell r="I43">
            <v>2.4</v>
          </cell>
          <cell r="J43">
            <v>1.78</v>
          </cell>
          <cell r="K43">
            <v>1.76</v>
          </cell>
          <cell r="L43">
            <v>1.91</v>
          </cell>
          <cell r="M43">
            <v>2.16</v>
          </cell>
          <cell r="N43">
            <v>1.85</v>
          </cell>
          <cell r="O43">
            <v>1.88</v>
          </cell>
          <cell r="P43">
            <v>2.2400000000000002</v>
          </cell>
          <cell r="Q43">
            <v>1.92</v>
          </cell>
          <cell r="R43">
            <v>2.1</v>
          </cell>
          <cell r="S43">
            <v>2.12</v>
          </cell>
          <cell r="T43">
            <v>1.78</v>
          </cell>
          <cell r="U43">
            <v>1.83</v>
          </cell>
          <cell r="V43">
            <v>1.58</v>
          </cell>
          <cell r="W43">
            <v>1.68</v>
          </cell>
          <cell r="X43">
            <v>1.59</v>
          </cell>
          <cell r="Y43">
            <v>1.39</v>
          </cell>
          <cell r="Z43">
            <v>1.3</v>
          </cell>
          <cell r="AA43">
            <v>1.49</v>
          </cell>
          <cell r="AB43">
            <v>1.59</v>
          </cell>
          <cell r="AC43">
            <v>1.51</v>
          </cell>
          <cell r="AD43">
            <v>1.29</v>
          </cell>
          <cell r="AE43">
            <v>1.29</v>
          </cell>
          <cell r="AF43">
            <v>1.35</v>
          </cell>
          <cell r="AG43">
            <v>1.45</v>
          </cell>
          <cell r="AH43">
            <v>1.48</v>
          </cell>
          <cell r="AI43">
            <v>1.28</v>
          </cell>
          <cell r="AJ43">
            <v>1.22</v>
          </cell>
          <cell r="AK43">
            <v>1.44</v>
          </cell>
          <cell r="AL43">
            <v>1.5</v>
          </cell>
          <cell r="AM43">
            <v>1.61</v>
          </cell>
          <cell r="AN43">
            <v>1.89</v>
          </cell>
          <cell r="AO43">
            <v>2.02</v>
          </cell>
          <cell r="AP43">
            <v>1.81</v>
          </cell>
          <cell r="AQ43">
            <v>1.91</v>
          </cell>
          <cell r="AR43">
            <v>2.15</v>
          </cell>
          <cell r="AS43">
            <v>2.02</v>
          </cell>
          <cell r="AT43">
            <v>2.06</v>
          </cell>
          <cell r="AU43">
            <v>2.2000000000000002</v>
          </cell>
          <cell r="AV43">
            <v>2.17</v>
          </cell>
          <cell r="AW43">
            <v>1.68</v>
          </cell>
          <cell r="AX43">
            <v>1.7</v>
          </cell>
          <cell r="AY43">
            <v>2.5099999999999998</v>
          </cell>
          <cell r="AZ43">
            <v>3.61</v>
          </cell>
          <cell r="BA43">
            <v>4.3</v>
          </cell>
          <cell r="BB43">
            <v>2.77</v>
          </cell>
          <cell r="BC43">
            <v>1.65</v>
          </cell>
          <cell r="BD43">
            <v>1.71</v>
          </cell>
          <cell r="BE43">
            <v>1.95</v>
          </cell>
          <cell r="BF43">
            <v>2.14</v>
          </cell>
          <cell r="BG43">
            <v>2.06</v>
          </cell>
          <cell r="BH43">
            <v>2.06</v>
          </cell>
          <cell r="BI43">
            <v>2.39</v>
          </cell>
          <cell r="BJ43">
            <v>3.01</v>
          </cell>
          <cell r="BK43">
            <v>3.16</v>
          </cell>
          <cell r="BL43">
            <v>2.36</v>
          </cell>
          <cell r="BM43">
            <v>2.15</v>
          </cell>
          <cell r="BN43">
            <v>1.93</v>
          </cell>
          <cell r="BO43">
            <v>2.16</v>
          </cell>
          <cell r="BP43">
            <v>2.19</v>
          </cell>
          <cell r="BQ43">
            <v>2.17</v>
          </cell>
          <cell r="BR43">
            <v>1.95</v>
          </cell>
          <cell r="BS43">
            <v>2.29</v>
          </cell>
          <cell r="BT43">
            <v>1.86</v>
          </cell>
          <cell r="BU43">
            <v>1.58</v>
          </cell>
          <cell r="BV43">
            <v>1.93</v>
          </cell>
          <cell r="BW43">
            <v>1.95</v>
          </cell>
          <cell r="BX43">
            <v>2.06</v>
          </cell>
          <cell r="BY43">
            <v>1.77</v>
          </cell>
          <cell r="BZ43">
            <v>1.75</v>
          </cell>
          <cell r="CA43">
            <v>1.58</v>
          </cell>
          <cell r="CB43">
            <v>1.76</v>
          </cell>
          <cell r="CC43">
            <v>2.23</v>
          </cell>
          <cell r="CD43">
            <v>2.13</v>
          </cell>
          <cell r="CE43">
            <v>2.1800000000000002</v>
          </cell>
          <cell r="CF43">
            <v>2.5099999999999998</v>
          </cell>
          <cell r="CG43">
            <v>2.78</v>
          </cell>
        </row>
        <row r="44">
          <cell r="A44" t="str">
            <v>PEPL-FZ</v>
          </cell>
          <cell r="B44">
            <v>41</v>
          </cell>
          <cell r="C44">
            <v>2.0699999999999998</v>
          </cell>
          <cell r="D44">
            <v>2.0299999999999998</v>
          </cell>
          <cell r="E44">
            <v>1.95</v>
          </cell>
          <cell r="F44">
            <v>1.61</v>
          </cell>
          <cell r="G44">
            <v>1.83</v>
          </cell>
          <cell r="H44">
            <v>2.1</v>
          </cell>
          <cell r="I44">
            <v>2.5499999999999998</v>
          </cell>
          <cell r="J44">
            <v>1.85</v>
          </cell>
          <cell r="K44">
            <v>1.79</v>
          </cell>
          <cell r="L44">
            <v>1.93</v>
          </cell>
          <cell r="M44">
            <v>2.1800000000000002</v>
          </cell>
          <cell r="N44">
            <v>1.9</v>
          </cell>
          <cell r="O44">
            <v>1.9</v>
          </cell>
          <cell r="P44">
            <v>2.23</v>
          </cell>
          <cell r="Q44">
            <v>1.97</v>
          </cell>
          <cell r="R44">
            <v>2.12</v>
          </cell>
          <cell r="S44">
            <v>2.14</v>
          </cell>
          <cell r="T44">
            <v>1.8</v>
          </cell>
          <cell r="U44">
            <v>1.84</v>
          </cell>
          <cell r="V44">
            <v>1.57</v>
          </cell>
          <cell r="W44">
            <v>1.65</v>
          </cell>
          <cell r="X44">
            <v>1.57</v>
          </cell>
          <cell r="Y44">
            <v>1.41</v>
          </cell>
          <cell r="Z44">
            <v>1.31</v>
          </cell>
          <cell r="AA44">
            <v>1.52</v>
          </cell>
          <cell r="AB44">
            <v>1.6</v>
          </cell>
          <cell r="AC44">
            <v>1.51</v>
          </cell>
          <cell r="AD44">
            <v>1.27</v>
          </cell>
          <cell r="AE44">
            <v>1.27</v>
          </cell>
          <cell r="AF44">
            <v>1.34</v>
          </cell>
          <cell r="AG44">
            <v>1.45</v>
          </cell>
          <cell r="AH44">
            <v>1.47</v>
          </cell>
          <cell r="AI44">
            <v>1.25</v>
          </cell>
          <cell r="AJ44">
            <v>1.2</v>
          </cell>
          <cell r="AK44">
            <v>1.41</v>
          </cell>
          <cell r="AL44">
            <v>1.5</v>
          </cell>
          <cell r="AM44">
            <v>1.61</v>
          </cell>
          <cell r="AN44">
            <v>1.89</v>
          </cell>
          <cell r="AO44">
            <v>2</v>
          </cell>
          <cell r="AP44">
            <v>1.81</v>
          </cell>
          <cell r="AQ44">
            <v>1.9</v>
          </cell>
          <cell r="AR44">
            <v>2.14</v>
          </cell>
          <cell r="AS44">
            <v>2</v>
          </cell>
          <cell r="AT44">
            <v>2.0499999999999998</v>
          </cell>
          <cell r="AU44">
            <v>2.1800000000000002</v>
          </cell>
          <cell r="AV44">
            <v>2.13</v>
          </cell>
          <cell r="AW44">
            <v>1.67</v>
          </cell>
          <cell r="AX44">
            <v>1.69</v>
          </cell>
          <cell r="AY44">
            <v>2.5099999999999998</v>
          </cell>
          <cell r="AZ44">
            <v>3.61</v>
          </cell>
          <cell r="BA44">
            <v>4.0999999999999996</v>
          </cell>
          <cell r="BB44">
            <v>2.84</v>
          </cell>
          <cell r="BC44">
            <v>1.64</v>
          </cell>
          <cell r="BD44">
            <v>1.73</v>
          </cell>
          <cell r="BE44">
            <v>1.95</v>
          </cell>
          <cell r="BF44">
            <v>2.13</v>
          </cell>
          <cell r="BG44">
            <v>2.0099999999999998</v>
          </cell>
          <cell r="BH44">
            <v>2.06</v>
          </cell>
          <cell r="BI44">
            <v>2.42</v>
          </cell>
          <cell r="BJ44">
            <v>3.01</v>
          </cell>
          <cell r="BK44">
            <v>3.16</v>
          </cell>
          <cell r="BL44">
            <v>2.35</v>
          </cell>
          <cell r="BM44">
            <v>2.15</v>
          </cell>
          <cell r="BN44">
            <v>1.93</v>
          </cell>
          <cell r="BO44">
            <v>2.15</v>
          </cell>
          <cell r="BP44">
            <v>2.19</v>
          </cell>
          <cell r="BQ44">
            <v>2.1800000000000002</v>
          </cell>
          <cell r="BR44">
            <v>1.94</v>
          </cell>
          <cell r="BS44">
            <v>2.27</v>
          </cell>
          <cell r="BT44">
            <v>1.84</v>
          </cell>
          <cell r="BU44">
            <v>1.56</v>
          </cell>
          <cell r="BV44">
            <v>1.9</v>
          </cell>
          <cell r="BW44">
            <v>1.95</v>
          </cell>
          <cell r="BX44">
            <v>2.06</v>
          </cell>
          <cell r="BY44">
            <v>1.78</v>
          </cell>
          <cell r="BZ44">
            <v>1.76</v>
          </cell>
          <cell r="CA44">
            <v>1.58</v>
          </cell>
          <cell r="CB44">
            <v>1.76</v>
          </cell>
          <cell r="CC44">
            <v>2.2200000000000002</v>
          </cell>
          <cell r="CD44">
            <v>2.12</v>
          </cell>
          <cell r="CE44">
            <v>2.17</v>
          </cell>
          <cell r="CF44">
            <v>2.5099999999999998</v>
          </cell>
          <cell r="CG44">
            <v>2.77</v>
          </cell>
        </row>
        <row r="45">
          <cell r="A45" t="str">
            <v>QUEST</v>
          </cell>
          <cell r="B45">
            <v>42</v>
          </cell>
          <cell r="C45">
            <v>1.87</v>
          </cell>
          <cell r="D45">
            <v>1.88</v>
          </cell>
          <cell r="E45">
            <v>2.2599999999999998</v>
          </cell>
          <cell r="F45">
            <v>1.59</v>
          </cell>
          <cell r="G45">
            <v>1.7</v>
          </cell>
          <cell r="H45">
            <v>1.75</v>
          </cell>
          <cell r="I45">
            <v>2.2000000000000002</v>
          </cell>
          <cell r="J45">
            <v>1.58</v>
          </cell>
          <cell r="K45">
            <v>1.56</v>
          </cell>
          <cell r="L45">
            <v>1.65</v>
          </cell>
          <cell r="M45">
            <v>1.88</v>
          </cell>
          <cell r="N45">
            <v>1.72</v>
          </cell>
          <cell r="O45">
            <v>1.71</v>
          </cell>
          <cell r="P45">
            <v>2.2599999999999998</v>
          </cell>
          <cell r="Q45">
            <v>1.86</v>
          </cell>
          <cell r="R45">
            <v>1.77</v>
          </cell>
          <cell r="S45">
            <v>1.88</v>
          </cell>
          <cell r="T45">
            <v>1.55</v>
          </cell>
          <cell r="U45">
            <v>1.55</v>
          </cell>
          <cell r="V45">
            <v>1.31</v>
          </cell>
          <cell r="W45">
            <v>1.42</v>
          </cell>
          <cell r="X45">
            <v>1.41</v>
          </cell>
          <cell r="Y45">
            <v>1.34</v>
          </cell>
          <cell r="Z45">
            <v>1.1499999999999999</v>
          </cell>
          <cell r="AA45">
            <v>1.45</v>
          </cell>
          <cell r="AB45">
            <v>1.57</v>
          </cell>
          <cell r="AC45">
            <v>1.35</v>
          </cell>
          <cell r="AD45">
            <v>1.06</v>
          </cell>
          <cell r="AE45">
            <v>1.05</v>
          </cell>
          <cell r="AF45">
            <v>1.05</v>
          </cell>
          <cell r="AG45">
            <v>1.07</v>
          </cell>
          <cell r="AH45">
            <v>1.1299999999999999</v>
          </cell>
          <cell r="AI45">
            <v>0.98</v>
          </cell>
          <cell r="AJ45">
            <v>0.85</v>
          </cell>
          <cell r="AK45">
            <v>0.95</v>
          </cell>
          <cell r="AL45">
            <v>1.04</v>
          </cell>
          <cell r="AM45">
            <v>1.23</v>
          </cell>
          <cell r="AN45">
            <v>1.31</v>
          </cell>
          <cell r="AO45">
            <v>1.26</v>
          </cell>
          <cell r="AP45">
            <v>1.17</v>
          </cell>
          <cell r="AQ45">
            <v>1.1599999999999999</v>
          </cell>
          <cell r="AR45">
            <v>1.05</v>
          </cell>
          <cell r="AS45">
            <v>1.05</v>
          </cell>
          <cell r="AT45">
            <v>1.06</v>
          </cell>
          <cell r="AU45">
            <v>1.17</v>
          </cell>
          <cell r="AV45">
            <v>1.19</v>
          </cell>
          <cell r="AW45">
            <v>1.18</v>
          </cell>
          <cell r="AX45">
            <v>1.25</v>
          </cell>
          <cell r="AY45">
            <v>2.2000000000000002</v>
          </cell>
          <cell r="AZ45">
            <v>3.36</v>
          </cell>
          <cell r="BA45">
            <v>4.2</v>
          </cell>
          <cell r="BB45">
            <v>2.4500000000000002</v>
          </cell>
          <cell r="BC45">
            <v>1.38</v>
          </cell>
          <cell r="BD45">
            <v>1.42</v>
          </cell>
          <cell r="BE45">
            <v>1.61</v>
          </cell>
          <cell r="BF45">
            <v>1.45</v>
          </cell>
          <cell r="BG45">
            <v>1.42</v>
          </cell>
          <cell r="BH45">
            <v>1.38</v>
          </cell>
          <cell r="BI45">
            <v>1.47</v>
          </cell>
          <cell r="BJ45">
            <v>2.1</v>
          </cell>
          <cell r="BK45">
            <v>2.99</v>
          </cell>
          <cell r="BL45">
            <v>1.93</v>
          </cell>
          <cell r="BM45">
            <v>2.04</v>
          </cell>
          <cell r="BN45">
            <v>1.68</v>
          </cell>
          <cell r="BO45">
            <v>1.86</v>
          </cell>
          <cell r="BP45">
            <v>1.89</v>
          </cell>
          <cell r="BQ45">
            <v>1.97</v>
          </cell>
          <cell r="BR45">
            <v>1.62</v>
          </cell>
          <cell r="BS45">
            <v>1.61</v>
          </cell>
          <cell r="BT45">
            <v>1.73</v>
          </cell>
          <cell r="BU45">
            <v>1.53</v>
          </cell>
          <cell r="BV45">
            <v>1.64</v>
          </cell>
          <cell r="BW45">
            <v>1.91</v>
          </cell>
          <cell r="BX45">
            <v>2</v>
          </cell>
          <cell r="BY45">
            <v>1.73</v>
          </cell>
          <cell r="BZ45">
            <v>1.58</v>
          </cell>
          <cell r="CA45">
            <v>1.45</v>
          </cell>
          <cell r="CB45">
            <v>1.43</v>
          </cell>
          <cell r="CC45">
            <v>1.9</v>
          </cell>
          <cell r="CD45">
            <v>1.85</v>
          </cell>
          <cell r="CE45">
            <v>1.92</v>
          </cell>
          <cell r="CF45">
            <v>2.12</v>
          </cell>
          <cell r="CG45">
            <v>2.48</v>
          </cell>
        </row>
        <row r="46">
          <cell r="A46" t="str">
            <v>NGI-SOCAL</v>
          </cell>
          <cell r="B46">
            <v>43</v>
          </cell>
          <cell r="C46">
            <v>2.42</v>
          </cell>
          <cell r="D46">
            <v>2.3199999999999998</v>
          </cell>
          <cell r="E46">
            <v>2.33</v>
          </cell>
          <cell r="F46">
            <v>1.82</v>
          </cell>
          <cell r="G46">
            <v>2.04</v>
          </cell>
          <cell r="H46">
            <v>2.1800000000000002</v>
          </cell>
          <cell r="I46">
            <v>2.58</v>
          </cell>
          <cell r="J46">
            <v>1.92</v>
          </cell>
          <cell r="K46">
            <v>2.04</v>
          </cell>
          <cell r="L46">
            <v>2.29</v>
          </cell>
          <cell r="M46">
            <v>2.4300000000000002</v>
          </cell>
          <cell r="N46">
            <v>2.2000000000000002</v>
          </cell>
          <cell r="O46">
            <v>2.0699999999999998</v>
          </cell>
          <cell r="P46">
            <v>2.5499999999999998</v>
          </cell>
          <cell r="Q46">
            <v>2.23</v>
          </cell>
          <cell r="R46">
            <v>2</v>
          </cell>
          <cell r="S46">
            <v>2.19</v>
          </cell>
          <cell r="T46">
            <v>1.93</v>
          </cell>
          <cell r="U46">
            <v>1.92</v>
          </cell>
          <cell r="V46">
            <v>1.66</v>
          </cell>
          <cell r="W46">
            <v>1.76</v>
          </cell>
          <cell r="X46">
            <v>1.74</v>
          </cell>
          <cell r="Y46">
            <v>1.64</v>
          </cell>
          <cell r="Z46">
            <v>1.4</v>
          </cell>
          <cell r="AA46">
            <v>1.69</v>
          </cell>
          <cell r="AB46">
            <v>1.85</v>
          </cell>
          <cell r="AC46">
            <v>1.66</v>
          </cell>
          <cell r="AD46">
            <v>1.27</v>
          </cell>
          <cell r="AE46">
            <v>1.23</v>
          </cell>
          <cell r="AF46">
            <v>1.25</v>
          </cell>
          <cell r="AG46">
            <v>1.34</v>
          </cell>
          <cell r="AH46">
            <v>1.38</v>
          </cell>
          <cell r="AI46">
            <v>1.25</v>
          </cell>
          <cell r="AJ46">
            <v>1.24</v>
          </cell>
          <cell r="AK46">
            <v>1.46</v>
          </cell>
          <cell r="AL46">
            <v>1.53</v>
          </cell>
          <cell r="AM46">
            <v>1.56</v>
          </cell>
          <cell r="AN46">
            <v>1.63</v>
          </cell>
          <cell r="AO46">
            <v>1.48</v>
          </cell>
          <cell r="AP46">
            <v>1.42</v>
          </cell>
          <cell r="AQ46">
            <v>1.39</v>
          </cell>
          <cell r="AR46">
            <v>1.29</v>
          </cell>
          <cell r="AS46">
            <v>1.29</v>
          </cell>
          <cell r="AT46">
            <v>1.37</v>
          </cell>
          <cell r="AU46">
            <v>1.69</v>
          </cell>
          <cell r="AV46">
            <v>2.16</v>
          </cell>
          <cell r="AW46">
            <v>1.72</v>
          </cell>
          <cell r="AX46">
            <v>1.73</v>
          </cell>
          <cell r="AY46">
            <v>2.62</v>
          </cell>
          <cell r="AZ46">
            <v>3.7</v>
          </cell>
          <cell r="BA46">
            <v>4.2699999999999996</v>
          </cell>
          <cell r="BB46">
            <v>2.65</v>
          </cell>
          <cell r="BC46">
            <v>1.61</v>
          </cell>
          <cell r="BD46">
            <v>1.74</v>
          </cell>
          <cell r="BE46">
            <v>2.0499999999999998</v>
          </cell>
          <cell r="BF46">
            <v>2.2000000000000002</v>
          </cell>
          <cell r="BG46">
            <v>2.19</v>
          </cell>
          <cell r="BH46">
            <v>2.2200000000000002</v>
          </cell>
          <cell r="BI46">
            <v>2.5</v>
          </cell>
          <cell r="BJ46">
            <v>3.08</v>
          </cell>
          <cell r="BK46">
            <v>3.34</v>
          </cell>
          <cell r="BL46">
            <v>2.36</v>
          </cell>
          <cell r="BM46">
            <v>2.2799999999999998</v>
          </cell>
          <cell r="BN46">
            <v>2.11</v>
          </cell>
        </row>
        <row r="47">
          <cell r="A47" t="str">
            <v>SONAT-LA</v>
          </cell>
          <cell r="B47">
            <v>44</v>
          </cell>
          <cell r="C47">
            <v>2.2599999999999998</v>
          </cell>
          <cell r="D47">
            <v>2.2000000000000002</v>
          </cell>
          <cell r="E47">
            <v>1.91</v>
          </cell>
          <cell r="F47">
            <v>1.61</v>
          </cell>
          <cell r="G47">
            <v>1.9</v>
          </cell>
          <cell r="H47">
            <v>2.1800000000000002</v>
          </cell>
          <cell r="I47">
            <v>2.6</v>
          </cell>
          <cell r="J47">
            <v>1.95</v>
          </cell>
          <cell r="K47">
            <v>1.9</v>
          </cell>
          <cell r="L47">
            <v>2.0499999999999998</v>
          </cell>
          <cell r="M47">
            <v>2.31</v>
          </cell>
          <cell r="N47">
            <v>1.95</v>
          </cell>
          <cell r="O47">
            <v>2.0499999999999998</v>
          </cell>
          <cell r="P47">
            <v>2.2999999999999998</v>
          </cell>
          <cell r="Q47">
            <v>2.0099999999999998</v>
          </cell>
          <cell r="R47">
            <v>2.31</v>
          </cell>
          <cell r="S47">
            <v>2.3199999999999998</v>
          </cell>
          <cell r="T47">
            <v>1.91</v>
          </cell>
          <cell r="U47">
            <v>1.92</v>
          </cell>
          <cell r="V47">
            <v>1.75</v>
          </cell>
          <cell r="W47">
            <v>1.85</v>
          </cell>
          <cell r="X47">
            <v>1.73</v>
          </cell>
          <cell r="Y47">
            <v>1.44</v>
          </cell>
          <cell r="Z47">
            <v>1.38</v>
          </cell>
          <cell r="AA47">
            <v>1.62</v>
          </cell>
          <cell r="AB47">
            <v>1.65</v>
          </cell>
          <cell r="AC47">
            <v>1.57</v>
          </cell>
          <cell r="AD47">
            <v>1.38</v>
          </cell>
          <cell r="AE47">
            <v>1.41</v>
          </cell>
          <cell r="AF47">
            <v>1.53</v>
          </cell>
          <cell r="AG47">
            <v>1.64</v>
          </cell>
          <cell r="AH47">
            <v>1.66</v>
          </cell>
          <cell r="AI47">
            <v>1.46</v>
          </cell>
          <cell r="AJ47">
            <v>1.34</v>
          </cell>
          <cell r="AK47">
            <v>1.54</v>
          </cell>
          <cell r="AL47">
            <v>1.61</v>
          </cell>
          <cell r="AM47">
            <v>1.76</v>
          </cell>
          <cell r="AN47">
            <v>2.2400000000000002</v>
          </cell>
          <cell r="AO47">
            <v>3.38</v>
          </cell>
          <cell r="AP47">
            <v>2.34</v>
          </cell>
          <cell r="AQ47">
            <v>2.84</v>
          </cell>
          <cell r="AR47">
            <v>2.65</v>
          </cell>
          <cell r="AS47">
            <v>2.17</v>
          </cell>
          <cell r="AT47">
            <v>2.2999999999999998</v>
          </cell>
          <cell r="AU47">
            <v>2.61</v>
          </cell>
          <cell r="AV47">
            <v>2.2599999999999998</v>
          </cell>
          <cell r="AW47">
            <v>1.74</v>
          </cell>
          <cell r="AX47">
            <v>1.78</v>
          </cell>
          <cell r="AY47">
            <v>2.66</v>
          </cell>
          <cell r="AZ47">
            <v>3.84</v>
          </cell>
          <cell r="BA47">
            <v>3.95</v>
          </cell>
          <cell r="BB47">
            <v>2.88</v>
          </cell>
          <cell r="BC47">
            <v>1.74</v>
          </cell>
          <cell r="BD47">
            <v>1.78</v>
          </cell>
          <cell r="BE47">
            <v>2.08</v>
          </cell>
          <cell r="BF47">
            <v>2.2799999999999998</v>
          </cell>
          <cell r="BG47">
            <v>2.1</v>
          </cell>
          <cell r="BH47">
            <v>2.14</v>
          </cell>
          <cell r="BI47">
            <v>2.5</v>
          </cell>
          <cell r="BJ47">
            <v>3.05</v>
          </cell>
          <cell r="BK47">
            <v>3.25</v>
          </cell>
          <cell r="BL47">
            <v>2.52</v>
          </cell>
          <cell r="BM47">
            <v>2.27</v>
          </cell>
          <cell r="BN47">
            <v>2.02</v>
          </cell>
          <cell r="BO47">
            <v>2.23</v>
          </cell>
          <cell r="BP47">
            <v>2.2799999999999998</v>
          </cell>
          <cell r="BQ47">
            <v>2.25</v>
          </cell>
          <cell r="BR47">
            <v>2.0099999999999998</v>
          </cell>
          <cell r="BS47">
            <v>2.35</v>
          </cell>
          <cell r="BT47">
            <v>1.91</v>
          </cell>
          <cell r="BU47">
            <v>1.6</v>
          </cell>
          <cell r="BV47">
            <v>2.02</v>
          </cell>
          <cell r="BW47">
            <v>1.96</v>
          </cell>
          <cell r="BX47">
            <v>2.09</v>
          </cell>
          <cell r="BY47">
            <v>1.76</v>
          </cell>
          <cell r="BZ47">
            <v>1.78</v>
          </cell>
          <cell r="CA47">
            <v>1.62</v>
          </cell>
          <cell r="CB47">
            <v>1.87</v>
          </cell>
          <cell r="CC47">
            <v>2.2999999999999998</v>
          </cell>
          <cell r="CD47">
            <v>2.21</v>
          </cell>
          <cell r="CE47">
            <v>2.2599999999999998</v>
          </cell>
          <cell r="CF47">
            <v>2.6</v>
          </cell>
          <cell r="CG47">
            <v>2.87</v>
          </cell>
        </row>
        <row r="48">
          <cell r="A48" t="str">
            <v>TANG</v>
          </cell>
          <cell r="B48">
            <v>45</v>
          </cell>
          <cell r="C48">
            <v>2.2090000000000001</v>
          </cell>
          <cell r="D48">
            <v>2.1240000000000001</v>
          </cell>
          <cell r="E48">
            <v>1.85</v>
          </cell>
          <cell r="F48">
            <v>1.5489999999999999</v>
          </cell>
          <cell r="G48">
            <v>1.806</v>
          </cell>
          <cell r="H48">
            <v>2.109</v>
          </cell>
          <cell r="I48">
            <v>2.581</v>
          </cell>
          <cell r="J48">
            <v>1.927</v>
          </cell>
          <cell r="K48">
            <v>1.8540000000000001</v>
          </cell>
          <cell r="L48">
            <v>2.0030000000000001</v>
          </cell>
          <cell r="M48">
            <v>2.2959999999999998</v>
          </cell>
          <cell r="N48">
            <v>1.9379999999999999</v>
          </cell>
          <cell r="O48">
            <v>2.0230000000000001</v>
          </cell>
          <cell r="P48">
            <v>2.3010000000000002</v>
          </cell>
          <cell r="Q48">
            <v>1.9690000000000001</v>
          </cell>
          <cell r="R48">
            <v>2.1930000000000001</v>
          </cell>
          <cell r="S48">
            <v>2.198</v>
          </cell>
          <cell r="T48">
            <v>1.871</v>
          </cell>
          <cell r="U48">
            <v>1.9670000000000001</v>
          </cell>
          <cell r="V48">
            <v>1.7090000000000001</v>
          </cell>
          <cell r="W48">
            <v>1.86</v>
          </cell>
          <cell r="X48">
            <v>1.7</v>
          </cell>
          <cell r="Y48">
            <v>1.397</v>
          </cell>
          <cell r="Z48">
            <v>1.333</v>
          </cell>
          <cell r="AA48">
            <v>1.5920000000000001</v>
          </cell>
          <cell r="AB48">
            <v>1.601</v>
          </cell>
          <cell r="AC48">
            <v>1.514</v>
          </cell>
          <cell r="AD48">
            <v>1.3120000000000001</v>
          </cell>
          <cell r="AE48">
            <v>1.3380000000000001</v>
          </cell>
          <cell r="AF48">
            <v>1.4610000000000001</v>
          </cell>
          <cell r="AG48">
            <v>1.577</v>
          </cell>
          <cell r="AH48">
            <v>1.6180000000000001</v>
          </cell>
          <cell r="AI48">
            <v>1.399</v>
          </cell>
          <cell r="AJ48">
            <v>1.288</v>
          </cell>
          <cell r="AK48">
            <v>1.4810000000000001</v>
          </cell>
          <cell r="AL48">
            <v>1.544</v>
          </cell>
          <cell r="AM48">
            <v>1.6779999999999999</v>
          </cell>
          <cell r="AN48">
            <v>2.0640000000000001</v>
          </cell>
          <cell r="AO48">
            <v>2.0859999999999999</v>
          </cell>
          <cell r="AP48">
            <v>1.806</v>
          </cell>
          <cell r="AQ48">
            <v>1.92</v>
          </cell>
          <cell r="AR48">
            <v>2.2050000000000001</v>
          </cell>
          <cell r="AS48">
            <v>2.1040000000000001</v>
          </cell>
          <cell r="AT48">
            <v>2.2410000000000001</v>
          </cell>
          <cell r="AU48">
            <v>2.5099999999999998</v>
          </cell>
          <cell r="AV48">
            <v>2.1619999999999999</v>
          </cell>
          <cell r="AW48">
            <v>1.6859999999999999</v>
          </cell>
          <cell r="AX48">
            <v>1.7270000000000001</v>
          </cell>
          <cell r="AY48">
            <v>2.5539999999999998</v>
          </cell>
          <cell r="AZ48">
            <v>3.6459999999999999</v>
          </cell>
          <cell r="BA48">
            <v>3.7229999999999999</v>
          </cell>
          <cell r="BB48">
            <v>2.706</v>
          </cell>
          <cell r="BC48">
            <v>1.62</v>
          </cell>
          <cell r="BD48">
            <v>1.716</v>
          </cell>
          <cell r="BE48">
            <v>2.0179999999999998</v>
          </cell>
        </row>
        <row r="49">
          <cell r="A49" t="str">
            <v>TENN-Z0</v>
          </cell>
          <cell r="B49">
            <v>46</v>
          </cell>
          <cell r="C49">
            <v>2.2799999999999998</v>
          </cell>
          <cell r="D49">
            <v>2.12</v>
          </cell>
          <cell r="E49">
            <v>1.82</v>
          </cell>
          <cell r="F49">
            <v>1.54</v>
          </cell>
          <cell r="G49">
            <v>1.8</v>
          </cell>
          <cell r="H49">
            <v>2.1</v>
          </cell>
          <cell r="I49">
            <v>2.58</v>
          </cell>
          <cell r="J49">
            <v>1.83</v>
          </cell>
          <cell r="K49">
            <v>1.73</v>
          </cell>
          <cell r="L49">
            <v>1.89</v>
          </cell>
          <cell r="M49">
            <v>2.23</v>
          </cell>
          <cell r="N49">
            <v>1.88</v>
          </cell>
          <cell r="O49">
            <v>2.02</v>
          </cell>
          <cell r="P49">
            <v>2.29</v>
          </cell>
          <cell r="Q49">
            <v>1.94</v>
          </cell>
          <cell r="R49">
            <v>2.1800000000000002</v>
          </cell>
          <cell r="S49">
            <v>2.17</v>
          </cell>
          <cell r="T49">
            <v>1.85</v>
          </cell>
          <cell r="U49">
            <v>1.98</v>
          </cell>
          <cell r="V49">
            <v>1.7</v>
          </cell>
          <cell r="W49">
            <v>1.84</v>
          </cell>
          <cell r="X49">
            <v>1.68</v>
          </cell>
          <cell r="Y49">
            <v>1.38</v>
          </cell>
          <cell r="Z49">
            <v>1.33</v>
          </cell>
          <cell r="AA49">
            <v>1.62</v>
          </cell>
          <cell r="AB49">
            <v>1.6</v>
          </cell>
          <cell r="AC49">
            <v>1.5</v>
          </cell>
          <cell r="AD49">
            <v>1.32</v>
          </cell>
          <cell r="AE49">
            <v>1.35</v>
          </cell>
          <cell r="AF49">
            <v>1.47</v>
          </cell>
          <cell r="AG49">
            <v>1.58</v>
          </cell>
          <cell r="AH49">
            <v>1.63</v>
          </cell>
          <cell r="AI49">
            <v>1.4</v>
          </cell>
          <cell r="AJ49">
            <v>1.28</v>
          </cell>
          <cell r="AK49">
            <v>1.48</v>
          </cell>
          <cell r="AL49">
            <v>1.56</v>
          </cell>
          <cell r="AM49">
            <v>1.7</v>
          </cell>
          <cell r="AN49">
            <v>2.08</v>
          </cell>
          <cell r="AO49">
            <v>2.11</v>
          </cell>
          <cell r="AP49">
            <v>1.8</v>
          </cell>
          <cell r="AQ49">
            <v>1.97</v>
          </cell>
          <cell r="AR49">
            <v>2.2200000000000002</v>
          </cell>
          <cell r="AS49">
            <v>2.11</v>
          </cell>
          <cell r="AT49">
            <v>2.2599999999999998</v>
          </cell>
          <cell r="AU49">
            <v>2.5299999999999998</v>
          </cell>
          <cell r="AV49">
            <v>2.19</v>
          </cell>
          <cell r="AW49">
            <v>1.69</v>
          </cell>
          <cell r="AX49">
            <v>1.73</v>
          </cell>
          <cell r="AY49">
            <v>2.59</v>
          </cell>
          <cell r="AZ49">
            <v>3.68</v>
          </cell>
          <cell r="BA49">
            <v>3.82</v>
          </cell>
          <cell r="BB49">
            <v>2.73</v>
          </cell>
          <cell r="BC49">
            <v>1.62</v>
          </cell>
          <cell r="BD49">
            <v>1.74</v>
          </cell>
          <cell r="BE49">
            <v>2.02</v>
          </cell>
          <cell r="BF49">
            <v>2.23</v>
          </cell>
          <cell r="BG49">
            <v>2.06</v>
          </cell>
          <cell r="BH49">
            <v>2.1</v>
          </cell>
          <cell r="BI49">
            <v>2.4300000000000002</v>
          </cell>
          <cell r="BJ49">
            <v>2.99</v>
          </cell>
          <cell r="BK49">
            <v>3.17</v>
          </cell>
          <cell r="BL49">
            <v>2.36</v>
          </cell>
          <cell r="BM49">
            <v>2.14</v>
          </cell>
          <cell r="BN49">
            <v>1.92</v>
          </cell>
          <cell r="BO49">
            <v>2.16</v>
          </cell>
          <cell r="BP49">
            <v>2.2200000000000002</v>
          </cell>
          <cell r="BQ49">
            <v>2.2000000000000002</v>
          </cell>
          <cell r="BR49">
            <v>1.95</v>
          </cell>
          <cell r="BS49">
            <v>2.27</v>
          </cell>
          <cell r="BT49">
            <v>1.83</v>
          </cell>
          <cell r="BU49">
            <v>1.53</v>
          </cell>
          <cell r="BV49">
            <v>1.92</v>
          </cell>
          <cell r="BW49">
            <v>1.89</v>
          </cell>
          <cell r="BX49">
            <v>2.02</v>
          </cell>
          <cell r="BY49">
            <v>1.69</v>
          </cell>
          <cell r="BZ49">
            <v>1.74</v>
          </cell>
          <cell r="CA49">
            <v>1.56</v>
          </cell>
          <cell r="CB49">
            <v>1.83</v>
          </cell>
          <cell r="CC49">
            <v>2.2799999999999998</v>
          </cell>
          <cell r="CD49">
            <v>2.14</v>
          </cell>
          <cell r="CE49">
            <v>2.19</v>
          </cell>
          <cell r="CF49">
            <v>2.5299999999999998</v>
          </cell>
          <cell r="CG49">
            <v>2.8</v>
          </cell>
        </row>
        <row r="50">
          <cell r="A50" t="str">
            <v>TENN-Z1</v>
          </cell>
          <cell r="B50">
            <v>47</v>
          </cell>
          <cell r="C50">
            <v>2.2999999999999998</v>
          </cell>
          <cell r="D50">
            <v>2.1800000000000002</v>
          </cell>
          <cell r="E50">
            <v>1.88</v>
          </cell>
          <cell r="F50">
            <v>1.59</v>
          </cell>
          <cell r="G50">
            <v>1.84</v>
          </cell>
          <cell r="H50">
            <v>2.14</v>
          </cell>
          <cell r="I50">
            <v>2.6</v>
          </cell>
          <cell r="J50">
            <v>1.86</v>
          </cell>
          <cell r="K50">
            <v>1.81</v>
          </cell>
          <cell r="L50">
            <v>1.95</v>
          </cell>
          <cell r="M50">
            <v>2.27</v>
          </cell>
          <cell r="N50">
            <v>1.92</v>
          </cell>
          <cell r="O50">
            <v>2.0499999999999998</v>
          </cell>
          <cell r="P50">
            <v>2.33</v>
          </cell>
          <cell r="Q50">
            <v>1.98</v>
          </cell>
          <cell r="R50">
            <v>2.31</v>
          </cell>
          <cell r="S50">
            <v>2.3199999999999998</v>
          </cell>
          <cell r="T50">
            <v>1.92</v>
          </cell>
          <cell r="U50">
            <v>2</v>
          </cell>
          <cell r="V50">
            <v>1.73</v>
          </cell>
          <cell r="W50">
            <v>1.87</v>
          </cell>
          <cell r="X50">
            <v>1.7</v>
          </cell>
          <cell r="Y50">
            <v>1.4</v>
          </cell>
          <cell r="Z50">
            <v>1.35</v>
          </cell>
          <cell r="AA50">
            <v>1.62</v>
          </cell>
          <cell r="AB50">
            <v>1.64</v>
          </cell>
          <cell r="AC50">
            <v>1.57</v>
          </cell>
          <cell r="AD50">
            <v>1.37</v>
          </cell>
          <cell r="AE50">
            <v>1.42</v>
          </cell>
          <cell r="AF50">
            <v>1.5</v>
          </cell>
          <cell r="AG50">
            <v>1.6</v>
          </cell>
          <cell r="AH50">
            <v>1.64</v>
          </cell>
          <cell r="AI50">
            <v>1.42</v>
          </cell>
          <cell r="AJ50">
            <v>1.3</v>
          </cell>
          <cell r="AK50">
            <v>1.5</v>
          </cell>
          <cell r="AL50">
            <v>1.58</v>
          </cell>
          <cell r="AM50">
            <v>1.73</v>
          </cell>
          <cell r="AN50">
            <v>2.2400000000000002</v>
          </cell>
          <cell r="AO50">
            <v>3.25</v>
          </cell>
          <cell r="AP50">
            <v>2.33</v>
          </cell>
          <cell r="AQ50">
            <v>2.81</v>
          </cell>
          <cell r="AR50">
            <v>2.58</v>
          </cell>
          <cell r="AS50">
            <v>2.1</v>
          </cell>
          <cell r="AT50">
            <v>2.2799999999999998</v>
          </cell>
          <cell r="AU50">
            <v>2.57</v>
          </cell>
          <cell r="AV50">
            <v>2.2200000000000002</v>
          </cell>
          <cell r="AW50">
            <v>1.72</v>
          </cell>
          <cell r="AX50">
            <v>1.75</v>
          </cell>
          <cell r="AY50">
            <v>2.63</v>
          </cell>
          <cell r="AZ50">
            <v>3.73</v>
          </cell>
          <cell r="BA50">
            <v>3.84</v>
          </cell>
          <cell r="BB50">
            <v>2.79</v>
          </cell>
          <cell r="BC50">
            <v>1.66</v>
          </cell>
          <cell r="BD50">
            <v>1.76</v>
          </cell>
          <cell r="BE50">
            <v>2.04</v>
          </cell>
          <cell r="BF50">
            <v>2.2400000000000002</v>
          </cell>
          <cell r="BG50">
            <v>2.0699999999999998</v>
          </cell>
          <cell r="BH50">
            <v>2.11</v>
          </cell>
          <cell r="BI50">
            <v>2.46</v>
          </cell>
          <cell r="BJ50">
            <v>3.02</v>
          </cell>
          <cell r="BK50">
            <v>3.2</v>
          </cell>
          <cell r="BL50">
            <v>2.4500000000000002</v>
          </cell>
          <cell r="BM50">
            <v>2.19</v>
          </cell>
          <cell r="BN50">
            <v>1.93</v>
          </cell>
          <cell r="BO50">
            <v>2.19</v>
          </cell>
          <cell r="BP50">
            <v>2.2400000000000002</v>
          </cell>
          <cell r="BQ50">
            <v>2.21</v>
          </cell>
          <cell r="BR50">
            <v>1.96</v>
          </cell>
          <cell r="BS50">
            <v>2.29</v>
          </cell>
          <cell r="BT50">
            <v>1.85</v>
          </cell>
          <cell r="BU50">
            <v>1.53</v>
          </cell>
          <cell r="BV50">
            <v>1.95</v>
          </cell>
          <cell r="BW50">
            <v>1.93</v>
          </cell>
          <cell r="BX50">
            <v>2.0499999999999998</v>
          </cell>
          <cell r="BY50">
            <v>1.71</v>
          </cell>
          <cell r="BZ50">
            <v>1.75</v>
          </cell>
          <cell r="CA50">
            <v>1.57</v>
          </cell>
          <cell r="CB50">
            <v>1.84</v>
          </cell>
          <cell r="CC50">
            <v>2.2999999999999998</v>
          </cell>
          <cell r="CD50">
            <v>2.16</v>
          </cell>
          <cell r="CE50">
            <v>2.21</v>
          </cell>
          <cell r="CF50">
            <v>2.54</v>
          </cell>
          <cell r="CG50">
            <v>2.83</v>
          </cell>
        </row>
        <row r="51">
          <cell r="A51" t="str">
            <v>TET-ELA</v>
          </cell>
          <cell r="B51">
            <v>48</v>
          </cell>
          <cell r="L51">
            <v>2.0499999999999998</v>
          </cell>
          <cell r="M51">
            <v>2.35</v>
          </cell>
          <cell r="N51">
            <v>2</v>
          </cell>
          <cell r="O51">
            <v>2.1</v>
          </cell>
          <cell r="P51">
            <v>2.35</v>
          </cell>
          <cell r="Q51">
            <v>2</v>
          </cell>
          <cell r="R51">
            <v>2.35</v>
          </cell>
          <cell r="S51">
            <v>2.35</v>
          </cell>
          <cell r="T51">
            <v>1.96</v>
          </cell>
          <cell r="U51">
            <v>2.0499999999999998</v>
          </cell>
          <cell r="V51">
            <v>1.81</v>
          </cell>
          <cell r="W51">
            <v>1.93</v>
          </cell>
          <cell r="X51">
            <v>1.76</v>
          </cell>
          <cell r="Y51">
            <v>1.45</v>
          </cell>
          <cell r="Z51">
            <v>1.38</v>
          </cell>
          <cell r="AA51">
            <v>1.66</v>
          </cell>
          <cell r="AB51">
            <v>1.65</v>
          </cell>
          <cell r="AC51">
            <v>1.59</v>
          </cell>
          <cell r="AD51">
            <v>1.4</v>
          </cell>
          <cell r="AE51">
            <v>1.43</v>
          </cell>
          <cell r="AF51">
            <v>1.54</v>
          </cell>
          <cell r="AG51">
            <v>1.65</v>
          </cell>
          <cell r="AH51">
            <v>1.69</v>
          </cell>
          <cell r="AI51">
            <v>1.46</v>
          </cell>
          <cell r="AJ51">
            <v>1.34</v>
          </cell>
          <cell r="AK51">
            <v>1.54</v>
          </cell>
          <cell r="AL51">
            <v>1.61</v>
          </cell>
          <cell r="AM51">
            <v>1.76</v>
          </cell>
          <cell r="AN51">
            <v>2.2599999999999998</v>
          </cell>
          <cell r="AO51">
            <v>3.5</v>
          </cell>
          <cell r="AP51">
            <v>2.5</v>
          </cell>
          <cell r="AQ51">
            <v>2.92</v>
          </cell>
          <cell r="AR51">
            <v>2.65</v>
          </cell>
          <cell r="AS51">
            <v>2.1800000000000002</v>
          </cell>
          <cell r="AT51">
            <v>2.34</v>
          </cell>
          <cell r="AU51">
            <v>2.61</v>
          </cell>
          <cell r="AV51">
            <v>2.25</v>
          </cell>
          <cell r="AW51">
            <v>1.73</v>
          </cell>
          <cell r="AX51">
            <v>1.78</v>
          </cell>
          <cell r="AY51">
            <v>2.65</v>
          </cell>
          <cell r="AZ51">
            <v>3.83</v>
          </cell>
          <cell r="BA51">
            <v>3.9</v>
          </cell>
          <cell r="BB51">
            <v>2.85</v>
          </cell>
          <cell r="BC51">
            <v>1.7</v>
          </cell>
          <cell r="BD51">
            <v>1.78</v>
          </cell>
          <cell r="BE51">
            <v>2.0699999999999998</v>
          </cell>
          <cell r="BF51">
            <v>2.2400000000000002</v>
          </cell>
          <cell r="BG51">
            <v>2.1</v>
          </cell>
          <cell r="BH51">
            <v>2.13</v>
          </cell>
          <cell r="BI51">
            <v>2.48</v>
          </cell>
          <cell r="BJ51">
            <v>3.04</v>
          </cell>
          <cell r="BK51">
            <v>3.23</v>
          </cell>
          <cell r="BL51">
            <v>2.48</v>
          </cell>
          <cell r="BM51">
            <v>2.2200000000000002</v>
          </cell>
          <cell r="BN51">
            <v>1.97</v>
          </cell>
          <cell r="BO51">
            <v>2.2000000000000002</v>
          </cell>
          <cell r="BP51">
            <v>2.2599999999999998</v>
          </cell>
          <cell r="BQ51">
            <v>2.23</v>
          </cell>
          <cell r="BR51">
            <v>1.98</v>
          </cell>
          <cell r="BS51">
            <v>2.31</v>
          </cell>
          <cell r="BT51">
            <v>1.87</v>
          </cell>
          <cell r="BU51">
            <v>1.56</v>
          </cell>
          <cell r="BV51">
            <v>1.98</v>
          </cell>
          <cell r="BW51">
            <v>1.96</v>
          </cell>
          <cell r="BX51">
            <v>2.0499999999999998</v>
          </cell>
          <cell r="BY51">
            <v>1.72</v>
          </cell>
          <cell r="BZ51">
            <v>1.77</v>
          </cell>
          <cell r="CA51">
            <v>1.58</v>
          </cell>
          <cell r="CB51">
            <v>1.86</v>
          </cell>
          <cell r="CC51">
            <v>2.3199999999999998</v>
          </cell>
          <cell r="CD51">
            <v>2.1800000000000002</v>
          </cell>
          <cell r="CE51">
            <v>2.23</v>
          </cell>
          <cell r="CF51">
            <v>2.57</v>
          </cell>
          <cell r="CG51">
            <v>2.82</v>
          </cell>
        </row>
        <row r="52">
          <cell r="A52" t="str">
            <v>TET-ETX</v>
          </cell>
          <cell r="B52">
            <v>49</v>
          </cell>
          <cell r="L52">
            <v>2.02</v>
          </cell>
          <cell r="M52">
            <v>2.31</v>
          </cell>
          <cell r="N52">
            <v>1.96</v>
          </cell>
          <cell r="O52">
            <v>2.0499999999999998</v>
          </cell>
          <cell r="P52">
            <v>2.3199999999999998</v>
          </cell>
          <cell r="Q52">
            <v>1.95</v>
          </cell>
          <cell r="R52">
            <v>2.25</v>
          </cell>
          <cell r="S52">
            <v>2.2400000000000002</v>
          </cell>
          <cell r="T52">
            <v>1.9</v>
          </cell>
          <cell r="U52">
            <v>1.98</v>
          </cell>
          <cell r="V52">
            <v>1.74</v>
          </cell>
          <cell r="W52">
            <v>1.88</v>
          </cell>
          <cell r="X52">
            <v>1.73</v>
          </cell>
          <cell r="Y52">
            <v>1.41</v>
          </cell>
          <cell r="Z52">
            <v>1.34</v>
          </cell>
          <cell r="AA52">
            <v>1.6</v>
          </cell>
          <cell r="AB52">
            <v>1.6</v>
          </cell>
          <cell r="AC52">
            <v>1.54</v>
          </cell>
          <cell r="AD52">
            <v>1.33</v>
          </cell>
          <cell r="AE52">
            <v>1.35</v>
          </cell>
          <cell r="AF52">
            <v>1.48</v>
          </cell>
          <cell r="AG52">
            <v>1.6</v>
          </cell>
          <cell r="AH52">
            <v>1.64</v>
          </cell>
          <cell r="AI52">
            <v>1.41</v>
          </cell>
          <cell r="AJ52">
            <v>1.3</v>
          </cell>
          <cell r="AK52">
            <v>1.5</v>
          </cell>
          <cell r="AL52">
            <v>1.58</v>
          </cell>
          <cell r="AM52">
            <v>1.7</v>
          </cell>
          <cell r="AN52">
            <v>2.11</v>
          </cell>
          <cell r="AO52">
            <v>2.0499999999999998</v>
          </cell>
          <cell r="AP52">
            <v>1.82</v>
          </cell>
          <cell r="AQ52">
            <v>1.96</v>
          </cell>
          <cell r="AR52">
            <v>2.23</v>
          </cell>
          <cell r="AS52">
            <v>2.13</v>
          </cell>
          <cell r="AT52">
            <v>2.25</v>
          </cell>
          <cell r="AU52">
            <v>2.56</v>
          </cell>
          <cell r="AV52">
            <v>2.19</v>
          </cell>
          <cell r="AW52">
            <v>1.69</v>
          </cell>
          <cell r="AX52">
            <v>1.73</v>
          </cell>
          <cell r="AY52">
            <v>2.61</v>
          </cell>
          <cell r="AZ52">
            <v>3.69</v>
          </cell>
          <cell r="BA52">
            <v>3.92</v>
          </cell>
          <cell r="BB52">
            <v>2.75</v>
          </cell>
          <cell r="BC52">
            <v>1.63</v>
          </cell>
          <cell r="BD52">
            <v>1.73</v>
          </cell>
          <cell r="BE52">
            <v>2.0299999999999998</v>
          </cell>
          <cell r="BF52">
            <v>2.2000000000000002</v>
          </cell>
          <cell r="BG52">
            <v>2.06</v>
          </cell>
          <cell r="BH52">
            <v>2.1</v>
          </cell>
          <cell r="BI52">
            <v>2.4500000000000002</v>
          </cell>
          <cell r="BJ52">
            <v>2.93</v>
          </cell>
          <cell r="BK52">
            <v>3.17</v>
          </cell>
          <cell r="BL52">
            <v>2.38</v>
          </cell>
          <cell r="BM52">
            <v>2.16</v>
          </cell>
          <cell r="BN52">
            <v>1.92</v>
          </cell>
          <cell r="BO52">
            <v>2.16</v>
          </cell>
          <cell r="BP52">
            <v>2.2200000000000002</v>
          </cell>
          <cell r="BQ52">
            <v>2.2200000000000002</v>
          </cell>
          <cell r="BR52">
            <v>1.95</v>
          </cell>
          <cell r="BS52">
            <v>2.2799999999999998</v>
          </cell>
          <cell r="BT52">
            <v>1.88</v>
          </cell>
          <cell r="BU52">
            <v>1.54</v>
          </cell>
          <cell r="BV52">
            <v>1.95</v>
          </cell>
          <cell r="BW52">
            <v>1.91</v>
          </cell>
          <cell r="BX52">
            <v>2.0299999999999998</v>
          </cell>
          <cell r="BY52">
            <v>1.68</v>
          </cell>
          <cell r="BZ52">
            <v>1.74</v>
          </cell>
          <cell r="CA52">
            <v>1.56</v>
          </cell>
          <cell r="CB52">
            <v>1.81</v>
          </cell>
          <cell r="CC52">
            <v>2.29</v>
          </cell>
          <cell r="CD52">
            <v>2.15</v>
          </cell>
          <cell r="CE52">
            <v>2.2000000000000002</v>
          </cell>
          <cell r="CF52">
            <v>2.5299999999999998</v>
          </cell>
          <cell r="CG52">
            <v>2.79</v>
          </cell>
        </row>
        <row r="53">
          <cell r="A53" t="str">
            <v>TET-STX</v>
          </cell>
          <cell r="B53">
            <v>50</v>
          </cell>
          <cell r="L53">
            <v>2.04</v>
          </cell>
          <cell r="M53">
            <v>2.31</v>
          </cell>
          <cell r="N53">
            <v>1.96</v>
          </cell>
          <cell r="O53">
            <v>2.0699999999999998</v>
          </cell>
          <cell r="P53">
            <v>2.3199999999999998</v>
          </cell>
          <cell r="Q53">
            <v>1.94</v>
          </cell>
          <cell r="R53">
            <v>2.2000000000000002</v>
          </cell>
          <cell r="S53">
            <v>2.1800000000000002</v>
          </cell>
          <cell r="T53">
            <v>1.87</v>
          </cell>
          <cell r="U53">
            <v>1.99</v>
          </cell>
          <cell r="V53">
            <v>1.73</v>
          </cell>
          <cell r="W53">
            <v>1.88</v>
          </cell>
          <cell r="X53">
            <v>1.71</v>
          </cell>
          <cell r="Y53">
            <v>1.41</v>
          </cell>
          <cell r="Z53">
            <v>1.34</v>
          </cell>
          <cell r="AA53">
            <v>1.6</v>
          </cell>
          <cell r="AB53">
            <v>1.61</v>
          </cell>
          <cell r="AC53">
            <v>1.53</v>
          </cell>
          <cell r="AD53">
            <v>1.32</v>
          </cell>
          <cell r="AE53">
            <v>1.36</v>
          </cell>
          <cell r="AF53">
            <v>1.47</v>
          </cell>
          <cell r="AG53">
            <v>1.58</v>
          </cell>
          <cell r="AH53">
            <v>1.62</v>
          </cell>
          <cell r="AI53">
            <v>1.41</v>
          </cell>
          <cell r="AJ53">
            <v>1.29</v>
          </cell>
          <cell r="AK53">
            <v>1.48</v>
          </cell>
          <cell r="AL53">
            <v>1.56</v>
          </cell>
          <cell r="AM53">
            <v>1.69</v>
          </cell>
          <cell r="AN53">
            <v>2.09</v>
          </cell>
          <cell r="AO53">
            <v>2.1</v>
          </cell>
          <cell r="AP53">
            <v>1.78</v>
          </cell>
          <cell r="AQ53">
            <v>1.95</v>
          </cell>
          <cell r="AR53">
            <v>2.2200000000000002</v>
          </cell>
          <cell r="AS53">
            <v>2.12</v>
          </cell>
          <cell r="AT53">
            <v>2.2400000000000002</v>
          </cell>
          <cell r="AU53">
            <v>2.54</v>
          </cell>
          <cell r="AV53">
            <v>2.2000000000000002</v>
          </cell>
          <cell r="AW53">
            <v>1.69</v>
          </cell>
          <cell r="AX53">
            <v>1.73</v>
          </cell>
          <cell r="AY53">
            <v>2.6</v>
          </cell>
          <cell r="AZ53">
            <v>3.68</v>
          </cell>
          <cell r="BA53">
            <v>3.8</v>
          </cell>
          <cell r="BB53">
            <v>2.73</v>
          </cell>
          <cell r="BC53">
            <v>1.62</v>
          </cell>
          <cell r="BD53">
            <v>1.75</v>
          </cell>
          <cell r="BE53">
            <v>2.0299999999999998</v>
          </cell>
          <cell r="BF53">
            <v>2.21</v>
          </cell>
          <cell r="BG53">
            <v>2.0699999999999998</v>
          </cell>
          <cell r="BH53">
            <v>2.1</v>
          </cell>
          <cell r="BI53">
            <v>2.44</v>
          </cell>
          <cell r="BJ53">
            <v>2.96</v>
          </cell>
          <cell r="BK53">
            <v>3.16</v>
          </cell>
          <cell r="BL53">
            <v>2.33</v>
          </cell>
          <cell r="BM53">
            <v>2.15</v>
          </cell>
          <cell r="BN53">
            <v>1.92</v>
          </cell>
          <cell r="BO53">
            <v>2.15</v>
          </cell>
          <cell r="BP53">
            <v>2.21</v>
          </cell>
          <cell r="BQ53">
            <v>2.19</v>
          </cell>
          <cell r="BR53">
            <v>1.95</v>
          </cell>
          <cell r="BS53">
            <v>2.2799999999999998</v>
          </cell>
          <cell r="BT53">
            <v>1.85</v>
          </cell>
          <cell r="BU53">
            <v>1.52</v>
          </cell>
          <cell r="BV53">
            <v>1.94</v>
          </cell>
          <cell r="BW53">
            <v>1.92</v>
          </cell>
          <cell r="BX53">
            <v>2.02</v>
          </cell>
          <cell r="BY53">
            <v>1.69</v>
          </cell>
          <cell r="BZ53">
            <v>1.74</v>
          </cell>
          <cell r="CA53">
            <v>1.556</v>
          </cell>
          <cell r="CB53">
            <v>1.81</v>
          </cell>
          <cell r="CC53">
            <v>2.2799999999999998</v>
          </cell>
          <cell r="CD53">
            <v>2.14</v>
          </cell>
          <cell r="CE53">
            <v>2.1800000000000002</v>
          </cell>
          <cell r="CF53">
            <v>2.52</v>
          </cell>
          <cell r="CG53">
            <v>2.8</v>
          </cell>
        </row>
        <row r="54">
          <cell r="A54" t="str">
            <v>TET-WLA</v>
          </cell>
          <cell r="B54">
            <v>51</v>
          </cell>
          <cell r="L54">
            <v>2.0499999999999998</v>
          </cell>
          <cell r="M54">
            <v>2.33</v>
          </cell>
          <cell r="N54">
            <v>2</v>
          </cell>
          <cell r="O54">
            <v>2.09</v>
          </cell>
          <cell r="P54">
            <v>2.34</v>
          </cell>
          <cell r="Q54">
            <v>2</v>
          </cell>
          <cell r="R54">
            <v>2.3199999999999998</v>
          </cell>
          <cell r="S54">
            <v>2.3199999999999998</v>
          </cell>
          <cell r="T54">
            <v>1.94</v>
          </cell>
          <cell r="U54">
            <v>2.04</v>
          </cell>
          <cell r="V54">
            <v>1.8</v>
          </cell>
          <cell r="W54">
            <v>1.92</v>
          </cell>
          <cell r="X54">
            <v>1.75</v>
          </cell>
          <cell r="Y54">
            <v>1.44</v>
          </cell>
          <cell r="Z54">
            <v>1.37</v>
          </cell>
          <cell r="AA54">
            <v>1.65</v>
          </cell>
          <cell r="AB54">
            <v>1.63</v>
          </cell>
          <cell r="AC54">
            <v>1.56</v>
          </cell>
          <cell r="AD54">
            <v>1.36</v>
          </cell>
          <cell r="AE54">
            <v>1.4</v>
          </cell>
          <cell r="AF54">
            <v>1.51</v>
          </cell>
          <cell r="AG54">
            <v>1.63</v>
          </cell>
          <cell r="AH54">
            <v>1.68</v>
          </cell>
          <cell r="AI54">
            <v>1.44</v>
          </cell>
          <cell r="AJ54">
            <v>1.33</v>
          </cell>
          <cell r="AK54">
            <v>1.52</v>
          </cell>
          <cell r="AL54">
            <v>1.59</v>
          </cell>
          <cell r="AM54">
            <v>1.74</v>
          </cell>
          <cell r="AN54">
            <v>2.2200000000000002</v>
          </cell>
          <cell r="AO54">
            <v>2.85</v>
          </cell>
          <cell r="AP54">
            <v>2.2000000000000002</v>
          </cell>
          <cell r="AQ54">
            <v>2.73</v>
          </cell>
          <cell r="AR54">
            <v>2.56</v>
          </cell>
          <cell r="AS54">
            <v>2.16</v>
          </cell>
          <cell r="AT54">
            <v>2.31</v>
          </cell>
          <cell r="AU54">
            <v>2.58</v>
          </cell>
          <cell r="AV54">
            <v>2.2200000000000002</v>
          </cell>
          <cell r="AW54">
            <v>1.72</v>
          </cell>
          <cell r="AX54">
            <v>1.77</v>
          </cell>
          <cell r="AY54">
            <v>2.64</v>
          </cell>
          <cell r="AZ54">
            <v>3.81</v>
          </cell>
          <cell r="BA54">
            <v>3.87</v>
          </cell>
          <cell r="BB54">
            <v>2.83</v>
          </cell>
          <cell r="BC54">
            <v>1.68</v>
          </cell>
          <cell r="BD54">
            <v>1.75</v>
          </cell>
          <cell r="BE54">
            <v>2.0499999999999998</v>
          </cell>
          <cell r="BF54">
            <v>2.23</v>
          </cell>
          <cell r="BG54">
            <v>2.08</v>
          </cell>
          <cell r="BH54">
            <v>2.12</v>
          </cell>
          <cell r="BI54">
            <v>2.46</v>
          </cell>
          <cell r="BJ54">
            <v>3.02</v>
          </cell>
          <cell r="BK54">
            <v>3.21</v>
          </cell>
          <cell r="BL54">
            <v>2.46</v>
          </cell>
          <cell r="BM54">
            <v>2.2000000000000002</v>
          </cell>
          <cell r="BN54">
            <v>1.94</v>
          </cell>
          <cell r="BO54">
            <v>2.19</v>
          </cell>
          <cell r="BP54">
            <v>2.2400000000000002</v>
          </cell>
          <cell r="BQ54">
            <v>2.2200000000000002</v>
          </cell>
          <cell r="BR54">
            <v>1.96</v>
          </cell>
          <cell r="BS54">
            <v>2.2999999999999998</v>
          </cell>
          <cell r="BT54">
            <v>1.86</v>
          </cell>
          <cell r="BU54">
            <v>1.54</v>
          </cell>
          <cell r="BV54">
            <v>1.97</v>
          </cell>
          <cell r="BW54">
            <v>1.93</v>
          </cell>
          <cell r="BX54">
            <v>2.0499999999999998</v>
          </cell>
          <cell r="BY54">
            <v>1.72</v>
          </cell>
          <cell r="BZ54">
            <v>1.75</v>
          </cell>
          <cell r="CA54">
            <v>1.57</v>
          </cell>
          <cell r="CB54">
            <v>1.85</v>
          </cell>
          <cell r="CC54">
            <v>2.31</v>
          </cell>
          <cell r="CD54">
            <v>2.16</v>
          </cell>
          <cell r="CE54">
            <v>2.2200000000000002</v>
          </cell>
          <cell r="CF54">
            <v>2.5499999999999998</v>
          </cell>
          <cell r="CG54">
            <v>2.81</v>
          </cell>
        </row>
        <row r="55">
          <cell r="A55" t="str">
            <v>TET-M3</v>
          </cell>
          <cell r="B55">
            <v>52</v>
          </cell>
          <cell r="AU55">
            <v>2.93</v>
          </cell>
          <cell r="AV55">
            <v>2.5499999999999998</v>
          </cell>
          <cell r="AW55">
            <v>2.04</v>
          </cell>
          <cell r="AX55">
            <v>2.08</v>
          </cell>
          <cell r="AY55">
            <v>3.26</v>
          </cell>
          <cell r="AZ55">
            <v>4.9800000000000004</v>
          </cell>
          <cell r="BA55">
            <v>5.15</v>
          </cell>
          <cell r="BB55">
            <v>3.58</v>
          </cell>
          <cell r="BC55">
            <v>2.1</v>
          </cell>
          <cell r="BD55">
            <v>2.13</v>
          </cell>
          <cell r="BE55">
            <v>2.41</v>
          </cell>
          <cell r="BF55">
            <v>2.57</v>
          </cell>
          <cell r="BG55">
            <v>2.41</v>
          </cell>
          <cell r="BH55">
            <v>2.4</v>
          </cell>
          <cell r="BI55">
            <v>2.75</v>
          </cell>
          <cell r="BJ55">
            <v>3.45</v>
          </cell>
          <cell r="BK55">
            <v>3.75</v>
          </cell>
          <cell r="BL55">
            <v>3.24</v>
          </cell>
          <cell r="BM55">
            <v>2.83</v>
          </cell>
          <cell r="BN55">
            <v>2.33</v>
          </cell>
          <cell r="BO55">
            <v>2.4700000000000002</v>
          </cell>
          <cell r="BP55">
            <v>2.57</v>
          </cell>
          <cell r="BQ55">
            <v>2.52</v>
          </cell>
          <cell r="BR55">
            <v>2.25</v>
          </cell>
          <cell r="BS55">
            <v>2.58</v>
          </cell>
          <cell r="BT55">
            <v>2.15</v>
          </cell>
          <cell r="BU55">
            <v>1.78</v>
          </cell>
          <cell r="BV55">
            <v>2.27</v>
          </cell>
          <cell r="BW55">
            <v>2.38</v>
          </cell>
          <cell r="BX55">
            <v>2.4300000000000002</v>
          </cell>
          <cell r="BY55">
            <v>2.19</v>
          </cell>
          <cell r="BZ55">
            <v>2.16</v>
          </cell>
          <cell r="CA55">
            <v>1.84</v>
          </cell>
          <cell r="CB55">
            <v>2.11</v>
          </cell>
          <cell r="CC55">
            <v>2.54</v>
          </cell>
          <cell r="CD55">
            <v>2.42</v>
          </cell>
          <cell r="CE55">
            <v>2.4900000000000002</v>
          </cell>
          <cell r="CF55">
            <v>2.86</v>
          </cell>
          <cell r="CG55">
            <v>3.12</v>
          </cell>
        </row>
        <row r="56">
          <cell r="A56" t="str">
            <v>TRAN-Z1</v>
          </cell>
          <cell r="B56">
            <v>53</v>
          </cell>
          <cell r="C56">
            <v>2.35</v>
          </cell>
          <cell r="D56">
            <v>2.25</v>
          </cell>
          <cell r="E56">
            <v>1.86</v>
          </cell>
          <cell r="F56">
            <v>1.56</v>
          </cell>
          <cell r="G56">
            <v>1.847</v>
          </cell>
          <cell r="H56">
            <v>2.15</v>
          </cell>
          <cell r="I56">
            <v>2.68</v>
          </cell>
          <cell r="J56">
            <v>2.08</v>
          </cell>
          <cell r="K56">
            <v>1.89</v>
          </cell>
          <cell r="L56">
            <v>2.02</v>
          </cell>
          <cell r="M56">
            <v>2.33</v>
          </cell>
          <cell r="N56">
            <v>2.04</v>
          </cell>
          <cell r="O56">
            <v>2.09</v>
          </cell>
          <cell r="P56">
            <v>2.34</v>
          </cell>
          <cell r="Q56">
            <v>2.02</v>
          </cell>
          <cell r="R56">
            <v>2.3199999999999998</v>
          </cell>
          <cell r="S56">
            <v>2.3199999999999998</v>
          </cell>
          <cell r="T56">
            <v>1.93</v>
          </cell>
          <cell r="U56">
            <v>2.02</v>
          </cell>
          <cell r="V56">
            <v>1.81</v>
          </cell>
          <cell r="W56">
            <v>1.92</v>
          </cell>
          <cell r="X56">
            <v>1.76</v>
          </cell>
          <cell r="Y56">
            <v>1.43</v>
          </cell>
          <cell r="Z56">
            <v>1.35</v>
          </cell>
          <cell r="AA56">
            <v>1.61</v>
          </cell>
          <cell r="AB56">
            <v>1.65</v>
          </cell>
          <cell r="AC56">
            <v>1.56</v>
          </cell>
          <cell r="AD56">
            <v>1.36</v>
          </cell>
          <cell r="AE56">
            <v>1.38</v>
          </cell>
          <cell r="AF56">
            <v>1.49</v>
          </cell>
          <cell r="AG56">
            <v>1.6</v>
          </cell>
          <cell r="AH56">
            <v>1.65</v>
          </cell>
          <cell r="AI56">
            <v>1.43</v>
          </cell>
          <cell r="AJ56">
            <v>1.29</v>
          </cell>
          <cell r="AK56">
            <v>1.49</v>
          </cell>
          <cell r="AL56">
            <v>1.56</v>
          </cell>
          <cell r="AM56">
            <v>1.72</v>
          </cell>
          <cell r="AN56">
            <v>2.12</v>
          </cell>
          <cell r="AO56">
            <v>2.15</v>
          </cell>
          <cell r="AP56">
            <v>1.8</v>
          </cell>
          <cell r="AQ56">
            <v>1.96</v>
          </cell>
          <cell r="AR56">
            <v>2.25</v>
          </cell>
          <cell r="AS56">
            <v>2.12</v>
          </cell>
          <cell r="AT56">
            <v>2.27</v>
          </cell>
          <cell r="AU56">
            <v>2.54</v>
          </cell>
          <cell r="AV56">
            <v>2.2200000000000002</v>
          </cell>
          <cell r="AW56">
            <v>1.7</v>
          </cell>
          <cell r="AX56">
            <v>1.73</v>
          </cell>
          <cell r="AY56">
            <v>2.57</v>
          </cell>
          <cell r="AZ56">
            <v>3.67</v>
          </cell>
          <cell r="BA56">
            <v>3.81</v>
          </cell>
          <cell r="BB56">
            <v>2.77</v>
          </cell>
          <cell r="BC56">
            <v>1.62</v>
          </cell>
          <cell r="BD56">
            <v>1.74</v>
          </cell>
          <cell r="BE56">
            <v>2.02</v>
          </cell>
          <cell r="BF56">
            <v>2.2000000000000002</v>
          </cell>
          <cell r="BG56">
            <v>2.06</v>
          </cell>
          <cell r="BH56">
            <v>2.1</v>
          </cell>
          <cell r="BI56">
            <v>2.4500000000000002</v>
          </cell>
          <cell r="BJ56">
            <v>2.97</v>
          </cell>
          <cell r="BK56">
            <v>3.17</v>
          </cell>
          <cell r="BL56">
            <v>2.4</v>
          </cell>
          <cell r="BM56">
            <v>2.17</v>
          </cell>
          <cell r="BN56">
            <v>1.91</v>
          </cell>
          <cell r="BO56">
            <v>2.16</v>
          </cell>
          <cell r="BP56">
            <v>2.23</v>
          </cell>
          <cell r="BQ56">
            <v>2.2000000000000002</v>
          </cell>
          <cell r="BR56">
            <v>1.95</v>
          </cell>
          <cell r="BS56">
            <v>2.29</v>
          </cell>
          <cell r="BT56">
            <v>1.85</v>
          </cell>
          <cell r="BU56">
            <v>1.53</v>
          </cell>
          <cell r="BV56">
            <v>1.96</v>
          </cell>
          <cell r="BW56">
            <v>1.91</v>
          </cell>
          <cell r="BX56">
            <v>2.04</v>
          </cell>
          <cell r="BY56">
            <v>1.71</v>
          </cell>
          <cell r="BZ56">
            <v>1.75</v>
          </cell>
          <cell r="CA56">
            <v>1.58</v>
          </cell>
          <cell r="CB56">
            <v>1.81</v>
          </cell>
          <cell r="CC56">
            <v>2.29</v>
          </cell>
          <cell r="CD56">
            <v>2.16</v>
          </cell>
          <cell r="CE56">
            <v>2.21</v>
          </cell>
          <cell r="CF56">
            <v>2.56</v>
          </cell>
          <cell r="CG56">
            <v>2.83</v>
          </cell>
        </row>
        <row r="57">
          <cell r="A57" t="str">
            <v>TRAN-Z2</v>
          </cell>
          <cell r="B57">
            <v>54</v>
          </cell>
          <cell r="C57">
            <v>2.36</v>
          </cell>
          <cell r="D57">
            <v>2.2799999999999998</v>
          </cell>
          <cell r="E57">
            <v>1.88</v>
          </cell>
          <cell r="F57">
            <v>1.6</v>
          </cell>
          <cell r="G57">
            <v>1.86</v>
          </cell>
          <cell r="H57">
            <v>2.16</v>
          </cell>
          <cell r="I57">
            <v>2.69</v>
          </cell>
          <cell r="J57">
            <v>2.11</v>
          </cell>
          <cell r="K57">
            <v>1.93</v>
          </cell>
          <cell r="L57">
            <v>2.0499999999999998</v>
          </cell>
          <cell r="M57">
            <v>2.36</v>
          </cell>
          <cell r="N57">
            <v>2.06</v>
          </cell>
          <cell r="O57">
            <v>2.11</v>
          </cell>
          <cell r="P57">
            <v>2.37</v>
          </cell>
          <cell r="Q57">
            <v>2.0299999999999998</v>
          </cell>
          <cell r="R57">
            <v>2.36</v>
          </cell>
          <cell r="S57">
            <v>2.36</v>
          </cell>
          <cell r="T57">
            <v>1.97</v>
          </cell>
          <cell r="U57">
            <v>2.04</v>
          </cell>
          <cell r="V57">
            <v>1.83</v>
          </cell>
          <cell r="W57">
            <v>1.93</v>
          </cell>
          <cell r="X57">
            <v>1.8</v>
          </cell>
          <cell r="Y57">
            <v>1.47</v>
          </cell>
          <cell r="Z57">
            <v>1.39</v>
          </cell>
          <cell r="AA57">
            <v>1.66</v>
          </cell>
          <cell r="AB57">
            <v>1.66</v>
          </cell>
          <cell r="AC57">
            <v>1.59</v>
          </cell>
          <cell r="AD57">
            <v>1.4</v>
          </cell>
          <cell r="AE57">
            <v>1.42</v>
          </cell>
          <cell r="AF57">
            <v>1.53</v>
          </cell>
          <cell r="AG57">
            <v>1.64</v>
          </cell>
          <cell r="AH57">
            <v>1.7</v>
          </cell>
          <cell r="AI57">
            <v>1.48</v>
          </cell>
          <cell r="AJ57">
            <v>1.33</v>
          </cell>
          <cell r="AK57">
            <v>1.55</v>
          </cell>
          <cell r="AL57">
            <v>1.61</v>
          </cell>
          <cell r="AM57">
            <v>1.77</v>
          </cell>
          <cell r="AN57">
            <v>2.23</v>
          </cell>
          <cell r="AO57">
            <v>3.29</v>
          </cell>
          <cell r="AP57">
            <v>2.2999999999999998</v>
          </cell>
          <cell r="AQ57">
            <v>2.7</v>
          </cell>
          <cell r="AR57">
            <v>2.58</v>
          </cell>
          <cell r="AS57">
            <v>2.16</v>
          </cell>
          <cell r="AT57">
            <v>2.31</v>
          </cell>
          <cell r="AU57">
            <v>2.6</v>
          </cell>
          <cell r="AV57">
            <v>2.27</v>
          </cell>
          <cell r="AW57">
            <v>1.77</v>
          </cell>
          <cell r="AX57">
            <v>1.8</v>
          </cell>
          <cell r="AY57">
            <v>2.64</v>
          </cell>
          <cell r="AZ57">
            <v>3.77</v>
          </cell>
          <cell r="BA57">
            <v>3.9</v>
          </cell>
          <cell r="BB57">
            <v>2.87</v>
          </cell>
          <cell r="BC57">
            <v>1.71</v>
          </cell>
          <cell r="BD57">
            <v>1.77</v>
          </cell>
          <cell r="BE57">
            <v>2.09</v>
          </cell>
          <cell r="BF57">
            <v>2.25</v>
          </cell>
          <cell r="BG57">
            <v>2.1</v>
          </cell>
          <cell r="BH57">
            <v>2.13</v>
          </cell>
          <cell r="BI57">
            <v>2.48</v>
          </cell>
          <cell r="BJ57">
            <v>3.02</v>
          </cell>
          <cell r="BK57">
            <v>3.21</v>
          </cell>
          <cell r="BL57">
            <v>2.4900000000000002</v>
          </cell>
          <cell r="BM57">
            <v>2.2200000000000002</v>
          </cell>
          <cell r="BN57">
            <v>1.97</v>
          </cell>
          <cell r="BO57">
            <v>2.2200000000000002</v>
          </cell>
          <cell r="BP57">
            <v>2.2799999999999998</v>
          </cell>
          <cell r="BQ57">
            <v>2.25</v>
          </cell>
          <cell r="BR57">
            <v>2</v>
          </cell>
          <cell r="BS57">
            <v>2.33</v>
          </cell>
          <cell r="BT57">
            <v>1.89</v>
          </cell>
          <cell r="BU57">
            <v>1.6</v>
          </cell>
          <cell r="BV57">
            <v>2.04</v>
          </cell>
          <cell r="BW57">
            <v>1.95</v>
          </cell>
          <cell r="BX57">
            <v>2.08</v>
          </cell>
          <cell r="BY57">
            <v>1.74</v>
          </cell>
          <cell r="BZ57">
            <v>1.78</v>
          </cell>
          <cell r="CA57">
            <v>1.61</v>
          </cell>
          <cell r="CB57">
            <v>1.84</v>
          </cell>
          <cell r="CC57">
            <v>2.3199999999999998</v>
          </cell>
          <cell r="CD57">
            <v>2.19</v>
          </cell>
          <cell r="CE57">
            <v>2.2400000000000002</v>
          </cell>
          <cell r="CF57">
            <v>2.58</v>
          </cell>
          <cell r="CG57">
            <v>2.86</v>
          </cell>
        </row>
        <row r="58">
          <cell r="A58" t="str">
            <v>TRAN-Z3</v>
          </cell>
          <cell r="B58">
            <v>55</v>
          </cell>
          <cell r="C58">
            <v>2.38</v>
          </cell>
          <cell r="D58">
            <v>2.29</v>
          </cell>
          <cell r="E58">
            <v>1.9</v>
          </cell>
          <cell r="F58">
            <v>1.62</v>
          </cell>
          <cell r="G58">
            <v>1.86</v>
          </cell>
          <cell r="H58">
            <v>2.19</v>
          </cell>
          <cell r="I58">
            <v>2.7</v>
          </cell>
          <cell r="J58">
            <v>2.16</v>
          </cell>
          <cell r="K58">
            <v>1.95</v>
          </cell>
          <cell r="L58">
            <v>2.0699999999999998</v>
          </cell>
          <cell r="M58">
            <v>2.37</v>
          </cell>
          <cell r="N58">
            <v>2.08</v>
          </cell>
          <cell r="O58">
            <v>2.15</v>
          </cell>
          <cell r="P58">
            <v>2.38</v>
          </cell>
          <cell r="Q58">
            <v>2.0499999999999998</v>
          </cell>
          <cell r="R58">
            <v>2.38</v>
          </cell>
          <cell r="S58">
            <v>2.38</v>
          </cell>
          <cell r="T58">
            <v>2</v>
          </cell>
          <cell r="U58">
            <v>2.06</v>
          </cell>
          <cell r="V58">
            <v>1.86</v>
          </cell>
          <cell r="W58">
            <v>1.96</v>
          </cell>
          <cell r="X58">
            <v>1.82</v>
          </cell>
          <cell r="Y58">
            <v>1.48</v>
          </cell>
          <cell r="Z58">
            <v>1.42</v>
          </cell>
          <cell r="AA58">
            <v>1.7</v>
          </cell>
          <cell r="AB58">
            <v>1.69</v>
          </cell>
          <cell r="AC58">
            <v>1.62</v>
          </cell>
          <cell r="AD58">
            <v>1.43</v>
          </cell>
          <cell r="AE58">
            <v>1.46</v>
          </cell>
          <cell r="AF58">
            <v>1.56</v>
          </cell>
          <cell r="AG58">
            <v>1.67</v>
          </cell>
          <cell r="AH58">
            <v>1.73</v>
          </cell>
          <cell r="AI58">
            <v>1.5</v>
          </cell>
          <cell r="AJ58">
            <v>1.36</v>
          </cell>
          <cell r="AK58">
            <v>1.59</v>
          </cell>
          <cell r="AL58">
            <v>1.64</v>
          </cell>
          <cell r="AM58">
            <v>1.8</v>
          </cell>
          <cell r="AN58">
            <v>2.27</v>
          </cell>
          <cell r="AO58">
            <v>3.38</v>
          </cell>
          <cell r="AP58">
            <v>2.36</v>
          </cell>
          <cell r="AQ58">
            <v>2.81</v>
          </cell>
          <cell r="AR58">
            <v>2.69</v>
          </cell>
          <cell r="AS58">
            <v>2.2000000000000002</v>
          </cell>
          <cell r="AT58">
            <v>2.37</v>
          </cell>
          <cell r="AU58">
            <v>2.65</v>
          </cell>
          <cell r="AV58">
            <v>2.2999999999999998</v>
          </cell>
          <cell r="AW58">
            <v>1.81</v>
          </cell>
          <cell r="AX58">
            <v>1.85</v>
          </cell>
          <cell r="AY58">
            <v>2.69</v>
          </cell>
          <cell r="AZ58">
            <v>3.82</v>
          </cell>
          <cell r="BA58">
            <v>3.98</v>
          </cell>
          <cell r="BB58">
            <v>2.9</v>
          </cell>
          <cell r="BC58">
            <v>1.77</v>
          </cell>
          <cell r="BD58">
            <v>1.81</v>
          </cell>
          <cell r="BE58">
            <v>2.15</v>
          </cell>
          <cell r="BF58">
            <v>2.2999999999999998</v>
          </cell>
          <cell r="BG58">
            <v>2.15</v>
          </cell>
          <cell r="BH58">
            <v>2.17</v>
          </cell>
          <cell r="BI58">
            <v>2.5299999999999998</v>
          </cell>
          <cell r="BJ58">
            <v>3.1</v>
          </cell>
          <cell r="BK58">
            <v>3.27</v>
          </cell>
          <cell r="BL58">
            <v>2.54</v>
          </cell>
          <cell r="BM58">
            <v>2.2799999999999998</v>
          </cell>
          <cell r="BN58">
            <v>2.0299999999999998</v>
          </cell>
          <cell r="BO58">
            <v>2.27</v>
          </cell>
          <cell r="BP58">
            <v>2.3199999999999998</v>
          </cell>
          <cell r="BQ58">
            <v>2.29</v>
          </cell>
          <cell r="BR58">
            <v>2.0299999999999998</v>
          </cell>
          <cell r="BS58">
            <v>2.37</v>
          </cell>
          <cell r="BT58">
            <v>1.93</v>
          </cell>
          <cell r="BU58">
            <v>1.63</v>
          </cell>
          <cell r="BV58">
            <v>2.08</v>
          </cell>
          <cell r="BW58">
            <v>2.0099999999999998</v>
          </cell>
          <cell r="BX58">
            <v>2.11</v>
          </cell>
          <cell r="BY58">
            <v>1.78</v>
          </cell>
          <cell r="BZ58">
            <v>1.81</v>
          </cell>
          <cell r="CA58">
            <v>1.63</v>
          </cell>
          <cell r="CB58">
            <v>1.88</v>
          </cell>
          <cell r="CC58">
            <v>2.36</v>
          </cell>
          <cell r="CD58">
            <v>2.23</v>
          </cell>
          <cell r="CE58">
            <v>2.2599999999999998</v>
          </cell>
          <cell r="CF58">
            <v>2.61</v>
          </cell>
          <cell r="CG58">
            <v>2.89</v>
          </cell>
        </row>
        <row r="59">
          <cell r="A59" t="str">
            <v>TRAN-Z4</v>
          </cell>
          <cell r="B59">
            <v>56</v>
          </cell>
          <cell r="C59">
            <v>2.44</v>
          </cell>
          <cell r="D59">
            <v>2.3199999999999998</v>
          </cell>
          <cell r="E59">
            <v>1.91</v>
          </cell>
          <cell r="F59">
            <v>1.66</v>
          </cell>
          <cell r="G59">
            <v>1.92</v>
          </cell>
          <cell r="H59">
            <v>2.23</v>
          </cell>
          <cell r="I59">
            <v>2.72</v>
          </cell>
          <cell r="J59">
            <v>2.1</v>
          </cell>
          <cell r="K59">
            <v>1.94</v>
          </cell>
          <cell r="L59">
            <v>2.11</v>
          </cell>
          <cell r="M59">
            <v>2.39</v>
          </cell>
          <cell r="N59">
            <v>2.09</v>
          </cell>
          <cell r="O59">
            <v>2.17</v>
          </cell>
          <cell r="P59">
            <v>2.42</v>
          </cell>
          <cell r="Q59">
            <v>2.0699999999999998</v>
          </cell>
          <cell r="R59">
            <v>2.41</v>
          </cell>
          <cell r="S59">
            <v>2.4</v>
          </cell>
          <cell r="T59">
            <v>2</v>
          </cell>
          <cell r="U59">
            <v>2.08</v>
          </cell>
          <cell r="V59">
            <v>1.85</v>
          </cell>
          <cell r="W59">
            <v>1.98</v>
          </cell>
          <cell r="X59">
            <v>1.82</v>
          </cell>
          <cell r="Y59">
            <v>1.49</v>
          </cell>
          <cell r="Z59">
            <v>1.44</v>
          </cell>
          <cell r="AA59">
            <v>1.71</v>
          </cell>
          <cell r="AB59">
            <v>1.69</v>
          </cell>
          <cell r="AC59">
            <v>1.62</v>
          </cell>
          <cell r="AD59">
            <v>1.45</v>
          </cell>
          <cell r="AE59">
            <v>1.45</v>
          </cell>
          <cell r="AF59">
            <v>1.58</v>
          </cell>
          <cell r="AG59">
            <v>1.68</v>
          </cell>
          <cell r="AH59">
            <v>1.74</v>
          </cell>
          <cell r="AI59">
            <v>1.51</v>
          </cell>
          <cell r="AJ59">
            <v>1.39</v>
          </cell>
          <cell r="AK59">
            <v>1.59</v>
          </cell>
          <cell r="AL59">
            <v>1.65</v>
          </cell>
          <cell r="AM59">
            <v>1.82</v>
          </cell>
          <cell r="AN59">
            <v>2.29</v>
          </cell>
          <cell r="AO59">
            <v>3.44</v>
          </cell>
          <cell r="AP59">
            <v>2.41</v>
          </cell>
          <cell r="AQ59">
            <v>2.82</v>
          </cell>
          <cell r="AR59">
            <v>2.74</v>
          </cell>
          <cell r="AS59">
            <v>2.2000000000000002</v>
          </cell>
          <cell r="AT59">
            <v>2.38</v>
          </cell>
          <cell r="AU59">
            <v>2.66</v>
          </cell>
          <cell r="AV59">
            <v>2.34</v>
          </cell>
          <cell r="AW59">
            <v>1.8</v>
          </cell>
          <cell r="AX59">
            <v>1.83</v>
          </cell>
          <cell r="AY59">
            <v>2.69</v>
          </cell>
          <cell r="AZ59">
            <v>3.84</v>
          </cell>
          <cell r="BA59">
            <v>3.8</v>
          </cell>
          <cell r="BB59">
            <v>2.9</v>
          </cell>
          <cell r="BC59">
            <v>1.76</v>
          </cell>
          <cell r="BD59">
            <v>1.81</v>
          </cell>
          <cell r="BE59">
            <v>2.15</v>
          </cell>
          <cell r="BF59">
            <v>2.31</v>
          </cell>
          <cell r="BG59">
            <v>2.15</v>
          </cell>
          <cell r="BH59">
            <v>2.1800000000000002</v>
          </cell>
          <cell r="BI59">
            <v>2.5</v>
          </cell>
          <cell r="BJ59">
            <v>3.01</v>
          </cell>
          <cell r="BK59">
            <v>3.27</v>
          </cell>
          <cell r="BL59">
            <v>2.58</v>
          </cell>
          <cell r="BM59">
            <v>2.34</v>
          </cell>
          <cell r="BN59">
            <v>2.08</v>
          </cell>
          <cell r="BO59">
            <v>2.2999999999999998</v>
          </cell>
          <cell r="BP59">
            <v>2.33</v>
          </cell>
          <cell r="BQ59">
            <v>2.29</v>
          </cell>
          <cell r="BR59">
            <v>2.02</v>
          </cell>
          <cell r="BS59">
            <v>2.37</v>
          </cell>
          <cell r="BT59">
            <v>1.94</v>
          </cell>
          <cell r="BU59">
            <v>1.63</v>
          </cell>
          <cell r="BV59">
            <v>2.09</v>
          </cell>
          <cell r="BW59">
            <v>2.02</v>
          </cell>
          <cell r="BX59">
            <v>2.12</v>
          </cell>
          <cell r="BY59">
            <v>1.81</v>
          </cell>
          <cell r="BZ59">
            <v>1.84</v>
          </cell>
          <cell r="CA59">
            <v>1.66</v>
          </cell>
          <cell r="CB59">
            <v>1.88</v>
          </cell>
          <cell r="CC59">
            <v>2.37</v>
          </cell>
          <cell r="CD59">
            <v>2.2400000000000002</v>
          </cell>
          <cell r="CE59">
            <v>2.27</v>
          </cell>
          <cell r="CF59">
            <v>2.62</v>
          </cell>
          <cell r="CG59">
            <v>2.9</v>
          </cell>
        </row>
        <row r="60">
          <cell r="A60" t="str">
            <v>TRAN-Z6</v>
          </cell>
          <cell r="B60">
            <v>57</v>
          </cell>
          <cell r="AU60">
            <v>2.93</v>
          </cell>
          <cell r="AV60">
            <v>2.58</v>
          </cell>
          <cell r="AW60">
            <v>2.0499999999999998</v>
          </cell>
          <cell r="AX60">
            <v>2.1</v>
          </cell>
          <cell r="AY60">
            <v>3.33</v>
          </cell>
          <cell r="AZ60">
            <v>5.14</v>
          </cell>
          <cell r="BA60">
            <v>5.25</v>
          </cell>
          <cell r="BB60">
            <v>3.65</v>
          </cell>
          <cell r="BC60">
            <v>2.15</v>
          </cell>
          <cell r="BD60">
            <v>2.15</v>
          </cell>
          <cell r="BE60">
            <v>2.42</v>
          </cell>
          <cell r="BF60">
            <v>2.59</v>
          </cell>
          <cell r="BG60">
            <v>2.4300000000000002</v>
          </cell>
          <cell r="BH60">
            <v>2.42</v>
          </cell>
          <cell r="BI60">
            <v>2.75</v>
          </cell>
          <cell r="BJ60">
            <v>3.47</v>
          </cell>
          <cell r="BK60">
            <v>3.76</v>
          </cell>
          <cell r="BL60">
            <v>3.29</v>
          </cell>
          <cell r="BM60">
            <v>2.95</v>
          </cell>
          <cell r="BN60">
            <v>2.4</v>
          </cell>
          <cell r="BO60">
            <v>2.4900000000000002</v>
          </cell>
          <cell r="BP60">
            <v>2.56</v>
          </cell>
          <cell r="BQ60">
            <v>2.5299999999999998</v>
          </cell>
          <cell r="BR60">
            <v>2.2599999999999998</v>
          </cell>
          <cell r="BS60">
            <v>2.59</v>
          </cell>
          <cell r="BT60">
            <v>2.17</v>
          </cell>
          <cell r="BU60">
            <v>1.8</v>
          </cell>
          <cell r="BV60">
            <v>2.2999999999999998</v>
          </cell>
          <cell r="BW60">
            <v>2.41</v>
          </cell>
          <cell r="BX60">
            <v>2.5</v>
          </cell>
          <cell r="BY60">
            <v>2.36</v>
          </cell>
          <cell r="BZ60">
            <v>2.31</v>
          </cell>
          <cell r="CA60">
            <v>1.96</v>
          </cell>
          <cell r="CB60">
            <v>2.15</v>
          </cell>
          <cell r="CC60">
            <v>2.56</v>
          </cell>
          <cell r="CD60">
            <v>2.42</v>
          </cell>
          <cell r="CE60">
            <v>2.5</v>
          </cell>
          <cell r="CF60">
            <v>2.9</v>
          </cell>
          <cell r="CG60">
            <v>3.14</v>
          </cell>
        </row>
        <row r="61">
          <cell r="A61" t="str">
            <v>TRUNK-FZ</v>
          </cell>
          <cell r="B61">
            <v>58</v>
          </cell>
          <cell r="C61">
            <v>2.2599999999999998</v>
          </cell>
          <cell r="D61">
            <v>2.2000000000000002</v>
          </cell>
          <cell r="E61">
            <v>1.9</v>
          </cell>
          <cell r="F61">
            <v>1.6</v>
          </cell>
          <cell r="G61">
            <v>1.85</v>
          </cell>
          <cell r="H61">
            <v>2.15</v>
          </cell>
          <cell r="I61">
            <v>2.67</v>
          </cell>
          <cell r="J61">
            <v>1.95</v>
          </cell>
          <cell r="K61">
            <v>1.92</v>
          </cell>
          <cell r="L61">
            <v>2.0299999999999998</v>
          </cell>
          <cell r="M61">
            <v>2.2999999999999998</v>
          </cell>
          <cell r="N61">
            <v>2</v>
          </cell>
          <cell r="O61">
            <v>2.08</v>
          </cell>
          <cell r="P61">
            <v>2.35</v>
          </cell>
          <cell r="Q61">
            <v>1.99</v>
          </cell>
          <cell r="R61">
            <v>2.2799999999999998</v>
          </cell>
          <cell r="S61">
            <v>2.2999999999999998</v>
          </cell>
          <cell r="T61">
            <v>1.94</v>
          </cell>
          <cell r="U61">
            <v>2.0099999999999998</v>
          </cell>
          <cell r="V61">
            <v>1.75</v>
          </cell>
          <cell r="W61">
            <v>1.87</v>
          </cell>
          <cell r="X61">
            <v>1.71</v>
          </cell>
          <cell r="Y61">
            <v>1.41</v>
          </cell>
          <cell r="Z61">
            <v>1.37</v>
          </cell>
          <cell r="AA61">
            <v>1.6</v>
          </cell>
          <cell r="AB61">
            <v>1.6</v>
          </cell>
          <cell r="AC61">
            <v>1.53</v>
          </cell>
          <cell r="AD61">
            <v>1.33</v>
          </cell>
          <cell r="AE61">
            <v>1.35</v>
          </cell>
          <cell r="AF61">
            <v>1.5</v>
          </cell>
          <cell r="AG61">
            <v>1.61</v>
          </cell>
          <cell r="AH61">
            <v>1.65</v>
          </cell>
          <cell r="AI61">
            <v>1.44</v>
          </cell>
          <cell r="AJ61">
            <v>1.3</v>
          </cell>
          <cell r="AK61">
            <v>1.5</v>
          </cell>
          <cell r="AL61">
            <v>1.59</v>
          </cell>
          <cell r="AM61">
            <v>1.73</v>
          </cell>
          <cell r="AN61">
            <v>2.2000000000000002</v>
          </cell>
          <cell r="AO61">
            <v>3.15</v>
          </cell>
          <cell r="AP61">
            <v>2.27</v>
          </cell>
          <cell r="AQ61">
            <v>2.68</v>
          </cell>
          <cell r="BB61">
            <v>2.83</v>
          </cell>
          <cell r="BD61">
            <v>1.73</v>
          </cell>
          <cell r="BE61">
            <v>2.02</v>
          </cell>
          <cell r="BF61">
            <v>2.23</v>
          </cell>
          <cell r="BG61">
            <v>2.08</v>
          </cell>
          <cell r="BH61">
            <v>2.11</v>
          </cell>
          <cell r="BI61">
            <v>2.46</v>
          </cell>
        </row>
        <row r="62">
          <cell r="A62" t="str">
            <v>TRUNK-LA</v>
          </cell>
          <cell r="B62">
            <v>59</v>
          </cell>
          <cell r="AO62">
            <v>3.2</v>
          </cell>
          <cell r="AP62">
            <v>2.3199999999999998</v>
          </cell>
          <cell r="AQ62">
            <v>2.74</v>
          </cell>
          <cell r="AR62">
            <v>2.6</v>
          </cell>
          <cell r="AS62">
            <v>2.16</v>
          </cell>
          <cell r="AT62">
            <v>2.2999999999999998</v>
          </cell>
          <cell r="AU62">
            <v>2.6</v>
          </cell>
          <cell r="AV62">
            <v>2.2599999999999998</v>
          </cell>
          <cell r="AW62">
            <v>1.76</v>
          </cell>
          <cell r="AX62">
            <v>1.77</v>
          </cell>
          <cell r="AY62">
            <v>2.63</v>
          </cell>
          <cell r="AZ62">
            <v>3.74</v>
          </cell>
          <cell r="BA62">
            <v>3.8</v>
          </cell>
          <cell r="BB62">
            <v>2.76</v>
          </cell>
          <cell r="BC62">
            <v>1.67</v>
          </cell>
          <cell r="BD62">
            <v>1.76</v>
          </cell>
          <cell r="BE62">
            <v>2.06</v>
          </cell>
          <cell r="BF62">
            <v>2.2400000000000002</v>
          </cell>
          <cell r="BG62">
            <v>2.08</v>
          </cell>
          <cell r="BH62">
            <v>2.13</v>
          </cell>
          <cell r="BI62">
            <v>2.4700000000000002</v>
          </cell>
          <cell r="BJ62">
            <v>3.07</v>
          </cell>
          <cell r="BK62">
            <v>3.18</v>
          </cell>
          <cell r="BL62">
            <v>2.44</v>
          </cell>
          <cell r="BM62">
            <v>2.16</v>
          </cell>
          <cell r="BN62">
            <v>1.93</v>
          </cell>
          <cell r="BO62">
            <v>2.1800000000000002</v>
          </cell>
          <cell r="BP62">
            <v>2.2200000000000002</v>
          </cell>
          <cell r="BQ62">
            <v>2.19</v>
          </cell>
          <cell r="BR62">
            <v>1.94</v>
          </cell>
          <cell r="BS62">
            <v>2.2799999999999998</v>
          </cell>
          <cell r="BT62">
            <v>1.84</v>
          </cell>
          <cell r="BU62">
            <v>1.53</v>
          </cell>
          <cell r="BV62">
            <v>1.94</v>
          </cell>
          <cell r="BW62">
            <v>1.91</v>
          </cell>
          <cell r="BX62">
            <v>2.0499999999999998</v>
          </cell>
          <cell r="BY62">
            <v>1.71</v>
          </cell>
          <cell r="BZ62">
            <v>1.75</v>
          </cell>
          <cell r="CA62">
            <v>1.56</v>
          </cell>
          <cell r="CB62">
            <v>1.83</v>
          </cell>
          <cell r="CC62">
            <v>2.2999999999999998</v>
          </cell>
          <cell r="CD62">
            <v>2.16</v>
          </cell>
          <cell r="CE62">
            <v>2.2200000000000002</v>
          </cell>
          <cell r="CF62">
            <v>2.56</v>
          </cell>
          <cell r="CG62">
            <v>2.85</v>
          </cell>
        </row>
        <row r="63">
          <cell r="A63" t="str">
            <v>TRUNK-TX</v>
          </cell>
          <cell r="B63">
            <v>60</v>
          </cell>
          <cell r="AO63">
            <v>2.0499999999999998</v>
          </cell>
          <cell r="AP63">
            <v>1.78</v>
          </cell>
          <cell r="AQ63">
            <v>1.92</v>
          </cell>
          <cell r="AR63">
            <v>2.23</v>
          </cell>
          <cell r="AS63">
            <v>2.11</v>
          </cell>
          <cell r="AT63">
            <v>2.2599999999999998</v>
          </cell>
          <cell r="AU63">
            <v>2.5299999999999998</v>
          </cell>
          <cell r="AV63">
            <v>2.21</v>
          </cell>
          <cell r="AW63">
            <v>1.7</v>
          </cell>
          <cell r="AX63">
            <v>1.74</v>
          </cell>
          <cell r="AY63">
            <v>2.61</v>
          </cell>
          <cell r="AZ63">
            <v>3.68</v>
          </cell>
          <cell r="BA63">
            <v>3.59</v>
          </cell>
          <cell r="BB63">
            <v>2.7</v>
          </cell>
          <cell r="BC63">
            <v>1.64</v>
          </cell>
          <cell r="BD63">
            <v>1.73</v>
          </cell>
          <cell r="BE63">
            <v>2.02</v>
          </cell>
          <cell r="BF63">
            <v>2.2200000000000002</v>
          </cell>
          <cell r="BG63">
            <v>2.0699999999999998</v>
          </cell>
          <cell r="BH63">
            <v>2.11</v>
          </cell>
          <cell r="BI63">
            <v>2.46</v>
          </cell>
          <cell r="BJ63">
            <v>3</v>
          </cell>
          <cell r="BK63">
            <v>3.16</v>
          </cell>
          <cell r="BL63">
            <v>2.35</v>
          </cell>
          <cell r="BM63">
            <v>2.15</v>
          </cell>
          <cell r="BN63">
            <v>1.92</v>
          </cell>
          <cell r="BO63">
            <v>2.17</v>
          </cell>
          <cell r="BP63">
            <v>2.2200000000000002</v>
          </cell>
          <cell r="BQ63">
            <v>2.2000000000000002</v>
          </cell>
          <cell r="BR63">
            <v>1.95</v>
          </cell>
          <cell r="BS63">
            <v>2.2799999999999998</v>
          </cell>
          <cell r="BT63">
            <v>1.83</v>
          </cell>
          <cell r="BU63">
            <v>1.54</v>
          </cell>
          <cell r="BV63">
            <v>1.94</v>
          </cell>
          <cell r="BW63">
            <v>1.89</v>
          </cell>
          <cell r="BX63">
            <v>2.0299999999999998</v>
          </cell>
          <cell r="BY63">
            <v>1.69</v>
          </cell>
          <cell r="BZ63">
            <v>1.74</v>
          </cell>
          <cell r="CA63">
            <v>1.56</v>
          </cell>
          <cell r="CB63">
            <v>1.82</v>
          </cell>
          <cell r="CC63">
            <v>2.2799999999999998</v>
          </cell>
          <cell r="CD63">
            <v>2.14</v>
          </cell>
          <cell r="CE63">
            <v>2.2000000000000002</v>
          </cell>
          <cell r="CF63">
            <v>2.5299999999999998</v>
          </cell>
          <cell r="CG63">
            <v>2.81</v>
          </cell>
        </row>
        <row r="64">
          <cell r="A64" t="str">
            <v>TW-PERM</v>
          </cell>
          <cell r="B64">
            <v>61</v>
          </cell>
          <cell r="C64">
            <v>2.11</v>
          </cell>
          <cell r="D64">
            <v>2.0299999999999998</v>
          </cell>
          <cell r="E64">
            <v>2.0299999999999998</v>
          </cell>
          <cell r="F64">
            <v>1.57</v>
          </cell>
          <cell r="G64">
            <v>1.84</v>
          </cell>
          <cell r="H64">
            <v>1.9</v>
          </cell>
          <cell r="I64">
            <v>2.21</v>
          </cell>
          <cell r="J64">
            <v>1.65</v>
          </cell>
          <cell r="K64">
            <v>1.76</v>
          </cell>
          <cell r="L64">
            <v>1.88</v>
          </cell>
          <cell r="M64">
            <v>2.0299999999999998</v>
          </cell>
          <cell r="N64">
            <v>1.73</v>
          </cell>
          <cell r="O64">
            <v>1.76</v>
          </cell>
          <cell r="P64">
            <v>2.27</v>
          </cell>
          <cell r="Q64">
            <v>1.91</v>
          </cell>
          <cell r="R64">
            <v>1.88</v>
          </cell>
          <cell r="S64">
            <v>2.0099999999999998</v>
          </cell>
          <cell r="T64">
            <v>1.73</v>
          </cell>
          <cell r="U64">
            <v>1.73</v>
          </cell>
          <cell r="V64">
            <v>1.48</v>
          </cell>
          <cell r="W64">
            <v>1.64</v>
          </cell>
          <cell r="X64">
            <v>1.56</v>
          </cell>
          <cell r="Y64">
            <v>1.38</v>
          </cell>
          <cell r="Z64">
            <v>1.21</v>
          </cell>
          <cell r="AA64">
            <v>1.47</v>
          </cell>
          <cell r="AB64">
            <v>1.63</v>
          </cell>
          <cell r="AC64">
            <v>1.44</v>
          </cell>
          <cell r="AD64">
            <v>1.1599999999999999</v>
          </cell>
          <cell r="AE64">
            <v>1.18</v>
          </cell>
          <cell r="AF64">
            <v>1.26</v>
          </cell>
          <cell r="AG64">
            <v>1.35</v>
          </cell>
          <cell r="AH64">
            <v>1.38</v>
          </cell>
          <cell r="AI64">
            <v>1.19</v>
          </cell>
          <cell r="AJ64">
            <v>1.18</v>
          </cell>
          <cell r="AK64">
            <v>1.36</v>
          </cell>
          <cell r="AL64">
            <v>1.42</v>
          </cell>
          <cell r="AM64">
            <v>1.53</v>
          </cell>
          <cell r="AN64">
            <v>1.74</v>
          </cell>
          <cell r="AO64">
            <v>1.89</v>
          </cell>
          <cell r="AP64">
            <v>1.66</v>
          </cell>
          <cell r="AQ64">
            <v>1.76</v>
          </cell>
          <cell r="AR64">
            <v>1.96</v>
          </cell>
          <cell r="AS64">
            <v>1.89</v>
          </cell>
          <cell r="AT64">
            <v>1.95</v>
          </cell>
          <cell r="AU64">
            <v>2.02</v>
          </cell>
          <cell r="AV64">
            <v>2.0099999999999998</v>
          </cell>
          <cell r="AW64">
            <v>1.55</v>
          </cell>
          <cell r="AX64">
            <v>1.62</v>
          </cell>
          <cell r="AY64">
            <v>2.44</v>
          </cell>
          <cell r="AZ64">
            <v>3.5</v>
          </cell>
          <cell r="BA64">
            <v>4.0999999999999996</v>
          </cell>
          <cell r="BB64">
            <v>2.5</v>
          </cell>
          <cell r="BC64">
            <v>1.52</v>
          </cell>
          <cell r="BD64">
            <v>1.61</v>
          </cell>
          <cell r="BE64">
            <v>1.89</v>
          </cell>
          <cell r="BF64">
            <v>2.0499999999999998</v>
          </cell>
          <cell r="BG64">
            <v>1.99</v>
          </cell>
          <cell r="BH64">
            <v>2.0499999999999998</v>
          </cell>
          <cell r="BI64">
            <v>2.35</v>
          </cell>
          <cell r="BJ64">
            <v>2.84</v>
          </cell>
          <cell r="BK64">
            <v>3.06</v>
          </cell>
          <cell r="BL64">
            <v>2.2000000000000002</v>
          </cell>
          <cell r="BM64">
            <v>2.09</v>
          </cell>
          <cell r="BN64">
            <v>1.87</v>
          </cell>
          <cell r="BO64">
            <v>2.0699999999999998</v>
          </cell>
          <cell r="BP64">
            <v>2.15</v>
          </cell>
          <cell r="BQ64">
            <v>2.12</v>
          </cell>
          <cell r="BR64">
            <v>1.89</v>
          </cell>
          <cell r="BS64">
            <v>2.17</v>
          </cell>
          <cell r="BT64">
            <v>1.94</v>
          </cell>
          <cell r="BU64">
            <v>1.59</v>
          </cell>
          <cell r="BV64">
            <v>1.83</v>
          </cell>
          <cell r="BW64">
            <v>1.99</v>
          </cell>
          <cell r="BX64">
            <v>1.99</v>
          </cell>
          <cell r="BY64">
            <v>1.74</v>
          </cell>
          <cell r="BZ64">
            <v>1.67</v>
          </cell>
          <cell r="CA64">
            <v>1.57</v>
          </cell>
          <cell r="CB64">
            <v>1.66</v>
          </cell>
          <cell r="CC64">
            <v>2.16</v>
          </cell>
          <cell r="CD64">
            <v>2.08</v>
          </cell>
          <cell r="CE64">
            <v>2.17</v>
          </cell>
          <cell r="CF64">
            <v>2.4500000000000002</v>
          </cell>
          <cell r="CG64">
            <v>2.77</v>
          </cell>
        </row>
        <row r="65">
          <cell r="A65" t="str">
            <v>TXG-Z1</v>
          </cell>
          <cell r="B65">
            <v>62</v>
          </cell>
          <cell r="C65">
            <v>2.33</v>
          </cell>
          <cell r="D65">
            <v>2.25</v>
          </cell>
          <cell r="E65">
            <v>1.92</v>
          </cell>
          <cell r="F65">
            <v>1.61</v>
          </cell>
          <cell r="G65">
            <v>1.85</v>
          </cell>
          <cell r="H65">
            <v>2.16</v>
          </cell>
          <cell r="I65">
            <v>2.65</v>
          </cell>
          <cell r="J65">
            <v>2</v>
          </cell>
          <cell r="K65">
            <v>1.89</v>
          </cell>
          <cell r="L65">
            <v>2.04</v>
          </cell>
          <cell r="M65">
            <v>2.2999999999999998</v>
          </cell>
          <cell r="N65">
            <v>1.98</v>
          </cell>
          <cell r="O65">
            <v>2.09</v>
          </cell>
          <cell r="P65">
            <v>2.2999999999999998</v>
          </cell>
          <cell r="Q65">
            <v>2.02</v>
          </cell>
          <cell r="R65">
            <v>2.2999999999999998</v>
          </cell>
          <cell r="S65">
            <v>2.33</v>
          </cell>
          <cell r="T65">
            <v>1.94</v>
          </cell>
          <cell r="U65">
            <v>2.02</v>
          </cell>
          <cell r="V65">
            <v>1.78</v>
          </cell>
          <cell r="W65">
            <v>1.91</v>
          </cell>
          <cell r="X65">
            <v>1.76</v>
          </cell>
          <cell r="Y65">
            <v>1.44</v>
          </cell>
          <cell r="Z65">
            <v>1.39</v>
          </cell>
          <cell r="AA65">
            <v>1.63</v>
          </cell>
          <cell r="AB65">
            <v>1.64</v>
          </cell>
          <cell r="AC65">
            <v>1.58</v>
          </cell>
          <cell r="AD65">
            <v>1.38</v>
          </cell>
          <cell r="AE65">
            <v>1.41</v>
          </cell>
          <cell r="AF65">
            <v>1.51</v>
          </cell>
          <cell r="AG65">
            <v>1.62</v>
          </cell>
          <cell r="AH65">
            <v>1.66</v>
          </cell>
          <cell r="AI65">
            <v>1.46</v>
          </cell>
          <cell r="AJ65">
            <v>1.33</v>
          </cell>
          <cell r="AK65">
            <v>1.53</v>
          </cell>
          <cell r="AL65">
            <v>1.62</v>
          </cell>
          <cell r="AM65">
            <v>1.76</v>
          </cell>
          <cell r="AN65">
            <v>2.25</v>
          </cell>
          <cell r="AO65">
            <v>3.32</v>
          </cell>
          <cell r="AP65">
            <v>2.35</v>
          </cell>
          <cell r="AQ65">
            <v>2.74</v>
          </cell>
          <cell r="AR65">
            <v>2.7</v>
          </cell>
          <cell r="AS65">
            <v>2.17</v>
          </cell>
          <cell r="AT65">
            <v>2.2999999999999998</v>
          </cell>
          <cell r="AU65">
            <v>2.61</v>
          </cell>
          <cell r="AV65">
            <v>2.2799999999999998</v>
          </cell>
          <cell r="AW65">
            <v>1.81</v>
          </cell>
          <cell r="AX65">
            <v>1.8</v>
          </cell>
          <cell r="AY65">
            <v>2.62</v>
          </cell>
          <cell r="AZ65">
            <v>3.81</v>
          </cell>
          <cell r="BA65">
            <v>4.01</v>
          </cell>
          <cell r="BB65">
            <v>2.88</v>
          </cell>
          <cell r="BC65">
            <v>1.76</v>
          </cell>
          <cell r="BD65">
            <v>1.78</v>
          </cell>
          <cell r="BE65">
            <v>2.08</v>
          </cell>
          <cell r="BF65">
            <v>2.2999999999999998</v>
          </cell>
          <cell r="BG65">
            <v>2.13</v>
          </cell>
          <cell r="BH65">
            <v>2.17</v>
          </cell>
          <cell r="BI65">
            <v>2.54</v>
          </cell>
          <cell r="BJ65">
            <v>3.08</v>
          </cell>
          <cell r="BK65">
            <v>3.24</v>
          </cell>
          <cell r="BL65">
            <v>2.4700000000000002</v>
          </cell>
          <cell r="BM65">
            <v>2.2400000000000002</v>
          </cell>
          <cell r="BN65">
            <v>1.99</v>
          </cell>
          <cell r="BO65">
            <v>2.2200000000000002</v>
          </cell>
          <cell r="BP65">
            <v>2.2400000000000002</v>
          </cell>
          <cell r="BQ65">
            <v>2.25</v>
          </cell>
          <cell r="BR65">
            <v>2</v>
          </cell>
          <cell r="BS65">
            <v>2.33</v>
          </cell>
          <cell r="BT65">
            <v>1.91</v>
          </cell>
          <cell r="BU65">
            <v>1.59</v>
          </cell>
          <cell r="BV65">
            <v>2.0299999999999998</v>
          </cell>
          <cell r="BW65">
            <v>1.98</v>
          </cell>
          <cell r="BX65">
            <v>2.09</v>
          </cell>
          <cell r="BY65">
            <v>1.74</v>
          </cell>
          <cell r="BZ65">
            <v>1.81</v>
          </cell>
          <cell r="CA65">
            <v>1.62</v>
          </cell>
          <cell r="CB65">
            <v>1.87</v>
          </cell>
          <cell r="CC65">
            <v>2.35</v>
          </cell>
          <cell r="CD65">
            <v>2.21</v>
          </cell>
          <cell r="CE65">
            <v>2.25</v>
          </cell>
          <cell r="CF65">
            <v>2.6</v>
          </cell>
          <cell r="CG65">
            <v>2.88</v>
          </cell>
        </row>
        <row r="66">
          <cell r="A66" t="str">
            <v>TXG-ZSL</v>
          </cell>
          <cell r="B66">
            <v>63</v>
          </cell>
          <cell r="C66">
            <v>2.3199999999999998</v>
          </cell>
          <cell r="D66">
            <v>2.2400000000000002</v>
          </cell>
          <cell r="E66">
            <v>1.9</v>
          </cell>
          <cell r="F66">
            <v>1.6</v>
          </cell>
          <cell r="G66">
            <v>1.85</v>
          </cell>
          <cell r="H66">
            <v>2.15</v>
          </cell>
          <cell r="I66">
            <v>2.65</v>
          </cell>
          <cell r="J66">
            <v>1.98</v>
          </cell>
          <cell r="K66">
            <v>1.87</v>
          </cell>
          <cell r="L66">
            <v>2.0499999999999998</v>
          </cell>
          <cell r="M66">
            <v>2.3199999999999998</v>
          </cell>
          <cell r="N66">
            <v>1.98</v>
          </cell>
          <cell r="O66">
            <v>2.09</v>
          </cell>
          <cell r="P66">
            <v>2.3199999999999998</v>
          </cell>
          <cell r="Q66">
            <v>2.0299999999999998</v>
          </cell>
          <cell r="R66">
            <v>2.3199999999999998</v>
          </cell>
          <cell r="S66">
            <v>2.3199999999999998</v>
          </cell>
          <cell r="T66">
            <v>1.93</v>
          </cell>
          <cell r="U66">
            <v>2.0299999999999998</v>
          </cell>
          <cell r="V66">
            <v>1.77</v>
          </cell>
          <cell r="W66">
            <v>1.91</v>
          </cell>
          <cell r="X66">
            <v>1.75</v>
          </cell>
          <cell r="Y66">
            <v>1.44</v>
          </cell>
          <cell r="Z66">
            <v>1.37</v>
          </cell>
          <cell r="AA66">
            <v>1.63</v>
          </cell>
          <cell r="AB66">
            <v>1.64</v>
          </cell>
          <cell r="AC66">
            <v>1.57</v>
          </cell>
          <cell r="AD66">
            <v>1.38</v>
          </cell>
          <cell r="AE66">
            <v>1.4</v>
          </cell>
          <cell r="AF66">
            <v>1.51</v>
          </cell>
          <cell r="AG66">
            <v>1.62</v>
          </cell>
          <cell r="AH66">
            <v>1.67</v>
          </cell>
          <cell r="AI66">
            <v>1.46</v>
          </cell>
          <cell r="AJ66">
            <v>1.32</v>
          </cell>
          <cell r="AK66">
            <v>1.53</v>
          </cell>
          <cell r="AL66">
            <v>1.61</v>
          </cell>
          <cell r="AM66">
            <v>1.76</v>
          </cell>
          <cell r="AN66">
            <v>2.2400000000000002</v>
          </cell>
          <cell r="AO66">
            <v>3.35</v>
          </cell>
          <cell r="AP66">
            <v>2.35</v>
          </cell>
          <cell r="AQ66">
            <v>2.8</v>
          </cell>
          <cell r="AR66">
            <v>2.72</v>
          </cell>
          <cell r="AS66">
            <v>2.19</v>
          </cell>
          <cell r="AT66">
            <v>2.3199999999999998</v>
          </cell>
          <cell r="AU66">
            <v>2.62</v>
          </cell>
          <cell r="AV66">
            <v>2.2999999999999998</v>
          </cell>
          <cell r="AW66">
            <v>1.79</v>
          </cell>
          <cell r="AX66">
            <v>1.81</v>
          </cell>
          <cell r="AY66">
            <v>2.64</v>
          </cell>
          <cell r="AZ66">
            <v>3.84</v>
          </cell>
          <cell r="BA66">
            <v>4.0199999999999996</v>
          </cell>
          <cell r="BB66">
            <v>2.88</v>
          </cell>
          <cell r="BC66">
            <v>1.77</v>
          </cell>
          <cell r="BD66">
            <v>1.79</v>
          </cell>
          <cell r="BE66">
            <v>2.1</v>
          </cell>
          <cell r="BF66">
            <v>2.31</v>
          </cell>
          <cell r="BG66">
            <v>2.13</v>
          </cell>
          <cell r="BH66">
            <v>2.16</v>
          </cell>
          <cell r="BI66">
            <v>2.5299999999999998</v>
          </cell>
          <cell r="BJ66">
            <v>3.08</v>
          </cell>
          <cell r="BK66">
            <v>3.26</v>
          </cell>
          <cell r="BL66">
            <v>2.5099999999999998</v>
          </cell>
          <cell r="BM66">
            <v>2.25</v>
          </cell>
          <cell r="BN66">
            <v>1.99</v>
          </cell>
          <cell r="BO66">
            <v>2.23</v>
          </cell>
          <cell r="BP66">
            <v>2.2200000000000002</v>
          </cell>
          <cell r="BQ66">
            <v>2.25</v>
          </cell>
          <cell r="BR66">
            <v>2</v>
          </cell>
          <cell r="BS66">
            <v>2.33</v>
          </cell>
          <cell r="BT66">
            <v>1.91</v>
          </cell>
          <cell r="BU66">
            <v>1.58</v>
          </cell>
          <cell r="BV66">
            <v>2.02</v>
          </cell>
          <cell r="BW66">
            <v>1.96</v>
          </cell>
          <cell r="BX66">
            <v>2.0699999999999998</v>
          </cell>
          <cell r="BY66">
            <v>1.74</v>
          </cell>
          <cell r="BZ66">
            <v>1.79</v>
          </cell>
          <cell r="CA66">
            <v>1.61</v>
          </cell>
          <cell r="CB66">
            <v>1.87</v>
          </cell>
          <cell r="CC66">
            <v>2.34</v>
          </cell>
          <cell r="CD66">
            <v>2.2000000000000002</v>
          </cell>
          <cell r="CE66">
            <v>2.2400000000000002</v>
          </cell>
          <cell r="CF66">
            <v>2.59</v>
          </cell>
          <cell r="CG66">
            <v>2.87</v>
          </cell>
        </row>
        <row r="67">
          <cell r="A67" t="str">
            <v>VAL-TX</v>
          </cell>
          <cell r="B67">
            <v>64</v>
          </cell>
          <cell r="C67">
            <v>2.04</v>
          </cell>
          <cell r="D67">
            <v>2.0499999999999998</v>
          </cell>
          <cell r="E67">
            <v>1.9</v>
          </cell>
          <cell r="F67">
            <v>1.56</v>
          </cell>
          <cell r="G67">
            <v>1.8</v>
          </cell>
          <cell r="H67">
            <v>2.15</v>
          </cell>
          <cell r="I67">
            <v>2.5</v>
          </cell>
          <cell r="J67">
            <v>1.81</v>
          </cell>
          <cell r="K67">
            <v>1.82</v>
          </cell>
          <cell r="L67">
            <v>2.02</v>
          </cell>
          <cell r="M67">
            <v>2.2400000000000002</v>
          </cell>
          <cell r="N67">
            <v>1.85</v>
          </cell>
          <cell r="O67">
            <v>1.95</v>
          </cell>
          <cell r="P67">
            <v>2.2999999999999998</v>
          </cell>
          <cell r="Q67">
            <v>1.91</v>
          </cell>
          <cell r="R67">
            <v>2</v>
          </cell>
          <cell r="S67">
            <v>2.09</v>
          </cell>
          <cell r="T67">
            <v>1.84</v>
          </cell>
          <cell r="U67">
            <v>1.9</v>
          </cell>
          <cell r="V67">
            <v>1.64</v>
          </cell>
          <cell r="W67">
            <v>1.85</v>
          </cell>
          <cell r="X67">
            <v>1.65</v>
          </cell>
          <cell r="Y67">
            <v>1.39</v>
          </cell>
          <cell r="Z67">
            <v>1.29</v>
          </cell>
          <cell r="AA67">
            <v>1.56</v>
          </cell>
          <cell r="AB67">
            <v>1.58</v>
          </cell>
          <cell r="AC67">
            <v>1.45</v>
          </cell>
          <cell r="AD67">
            <v>1.26</v>
          </cell>
          <cell r="AE67">
            <v>1.28</v>
          </cell>
          <cell r="AF67">
            <v>1.38</v>
          </cell>
          <cell r="AG67">
            <v>1.5</v>
          </cell>
          <cell r="AH67">
            <v>1.53</v>
          </cell>
          <cell r="AI67">
            <v>1.36</v>
          </cell>
          <cell r="AJ67">
            <v>1.26</v>
          </cell>
          <cell r="AK67">
            <v>1.43</v>
          </cell>
          <cell r="AL67">
            <v>1.5</v>
          </cell>
          <cell r="AM67">
            <v>1.61</v>
          </cell>
          <cell r="AN67">
            <v>1.97</v>
          </cell>
          <cell r="AO67">
            <v>2.04</v>
          </cell>
          <cell r="AP67">
            <v>1.77</v>
          </cell>
          <cell r="AQ67">
            <v>1.89</v>
          </cell>
          <cell r="AR67">
            <v>2.1800000000000002</v>
          </cell>
          <cell r="AS67">
            <v>2.06</v>
          </cell>
          <cell r="AT67">
            <v>2.1800000000000002</v>
          </cell>
          <cell r="AU67">
            <v>2.37</v>
          </cell>
          <cell r="AV67">
            <v>2.16</v>
          </cell>
          <cell r="AW67">
            <v>1.74</v>
          </cell>
          <cell r="AX67">
            <v>1.71</v>
          </cell>
          <cell r="AY67">
            <v>2.4900000000000002</v>
          </cell>
          <cell r="AZ67">
            <v>3.55</v>
          </cell>
          <cell r="BA67">
            <v>3.76</v>
          </cell>
          <cell r="BB67">
            <v>2.64</v>
          </cell>
          <cell r="BC67">
            <v>1.6</v>
          </cell>
          <cell r="BD67">
            <v>1.69</v>
          </cell>
          <cell r="BE67">
            <v>1.96</v>
          </cell>
          <cell r="BF67">
            <v>2.17</v>
          </cell>
          <cell r="BG67">
            <v>2.0299999999999998</v>
          </cell>
          <cell r="BH67">
            <v>2.0699999999999998</v>
          </cell>
          <cell r="BI67">
            <v>2.38</v>
          </cell>
          <cell r="BJ67">
            <v>3</v>
          </cell>
          <cell r="BK67">
            <v>3.15</v>
          </cell>
          <cell r="BL67">
            <v>2.31</v>
          </cell>
          <cell r="BM67">
            <v>2.09</v>
          </cell>
          <cell r="BN67">
            <v>1.88</v>
          </cell>
          <cell r="BO67">
            <v>2.11</v>
          </cell>
          <cell r="BP67">
            <v>2.1800000000000002</v>
          </cell>
          <cell r="BQ67">
            <v>2.17</v>
          </cell>
          <cell r="BR67">
            <v>1.93</v>
          </cell>
        </row>
        <row r="68">
          <cell r="A68" t="str">
            <v>WILL-TOK</v>
          </cell>
          <cell r="B68">
            <v>65</v>
          </cell>
          <cell r="C68">
            <v>1.98</v>
          </cell>
          <cell r="D68">
            <v>2</v>
          </cell>
          <cell r="E68">
            <v>2.0299999999999998</v>
          </cell>
          <cell r="F68">
            <v>1.65</v>
          </cell>
          <cell r="G68">
            <v>1.85</v>
          </cell>
          <cell r="H68">
            <v>2.0699999999999998</v>
          </cell>
          <cell r="I68">
            <v>2.57</v>
          </cell>
          <cell r="J68">
            <v>1.75</v>
          </cell>
          <cell r="K68">
            <v>1.73</v>
          </cell>
          <cell r="L68">
            <v>1.86</v>
          </cell>
          <cell r="M68">
            <v>2.1</v>
          </cell>
          <cell r="N68">
            <v>1.83</v>
          </cell>
          <cell r="O68">
            <v>1.83</v>
          </cell>
          <cell r="P68">
            <v>2.25</v>
          </cell>
          <cell r="Q68">
            <v>1.94</v>
          </cell>
          <cell r="R68">
            <v>2.1</v>
          </cell>
          <cell r="S68">
            <v>2.11</v>
          </cell>
          <cell r="T68">
            <v>1.76</v>
          </cell>
          <cell r="U68">
            <v>1.77</v>
          </cell>
          <cell r="V68">
            <v>1.53</v>
          </cell>
          <cell r="W68">
            <v>1.61</v>
          </cell>
          <cell r="X68">
            <v>1.55</v>
          </cell>
          <cell r="Y68">
            <v>1.33</v>
          </cell>
          <cell r="Z68">
            <v>1.24</v>
          </cell>
          <cell r="AA68">
            <v>1.45</v>
          </cell>
          <cell r="AB68">
            <v>1.6</v>
          </cell>
          <cell r="AC68">
            <v>1.51</v>
          </cell>
          <cell r="AD68">
            <v>1.23</v>
          </cell>
          <cell r="AE68">
            <v>1.24</v>
          </cell>
          <cell r="AF68">
            <v>1.27</v>
          </cell>
          <cell r="AG68">
            <v>1.4</v>
          </cell>
          <cell r="AH68">
            <v>1.44</v>
          </cell>
          <cell r="AI68">
            <v>1.23</v>
          </cell>
          <cell r="AJ68">
            <v>1.18</v>
          </cell>
          <cell r="AK68">
            <v>1.42</v>
          </cell>
          <cell r="AL68">
            <v>1.49</v>
          </cell>
          <cell r="AM68">
            <v>1.6</v>
          </cell>
          <cell r="AN68">
            <v>1.88</v>
          </cell>
          <cell r="AO68">
            <v>2.0299999999999998</v>
          </cell>
          <cell r="AP68">
            <v>1.84</v>
          </cell>
          <cell r="AQ68">
            <v>1.9</v>
          </cell>
          <cell r="AR68">
            <v>2.15</v>
          </cell>
          <cell r="AS68">
            <v>2</v>
          </cell>
          <cell r="AT68">
            <v>2.0299999999999998</v>
          </cell>
          <cell r="AU68">
            <v>2.1800000000000002</v>
          </cell>
          <cell r="AV68">
            <v>2.14</v>
          </cell>
          <cell r="AW68">
            <v>1.67</v>
          </cell>
          <cell r="AX68">
            <v>1.68</v>
          </cell>
          <cell r="AY68">
            <v>2.5</v>
          </cell>
          <cell r="AZ68">
            <v>3.68</v>
          </cell>
          <cell r="BA68">
            <v>4.3</v>
          </cell>
          <cell r="BB68">
            <v>2.81</v>
          </cell>
          <cell r="BC68">
            <v>2.81</v>
          </cell>
          <cell r="BD68">
            <v>1.7</v>
          </cell>
          <cell r="BE68">
            <v>1.92</v>
          </cell>
          <cell r="BG68">
            <v>2.04</v>
          </cell>
          <cell r="BH68">
            <v>2.0499999999999998</v>
          </cell>
          <cell r="BI68">
            <v>2.38</v>
          </cell>
          <cell r="BJ68">
            <v>2.98</v>
          </cell>
          <cell r="BK68">
            <v>3.15</v>
          </cell>
          <cell r="BL68">
            <v>2.37</v>
          </cell>
          <cell r="BM68">
            <v>2.15</v>
          </cell>
          <cell r="BN68">
            <v>1.92</v>
          </cell>
          <cell r="BO68">
            <v>2.15</v>
          </cell>
          <cell r="BP68">
            <v>2.1800000000000002</v>
          </cell>
          <cell r="BQ68">
            <v>2.16</v>
          </cell>
          <cell r="BR68">
            <v>1.93</v>
          </cell>
          <cell r="BS68">
            <v>2.27</v>
          </cell>
          <cell r="BT68">
            <v>1.85</v>
          </cell>
          <cell r="BU68">
            <v>1.56</v>
          </cell>
          <cell r="BV68">
            <v>1.9</v>
          </cell>
          <cell r="BW68">
            <v>1.94</v>
          </cell>
          <cell r="BX68">
            <v>2.0499999999999998</v>
          </cell>
          <cell r="BY68">
            <v>1.78</v>
          </cell>
          <cell r="BZ68">
            <v>1.75</v>
          </cell>
          <cell r="CA68">
            <v>1.57</v>
          </cell>
          <cell r="CB68">
            <v>1.74</v>
          </cell>
          <cell r="CC68">
            <v>2.2200000000000002</v>
          </cell>
          <cell r="CD68">
            <v>2.12</v>
          </cell>
          <cell r="CE68">
            <v>2.17</v>
          </cell>
          <cell r="CF68">
            <v>2.5</v>
          </cell>
          <cell r="CG68">
            <v>2.77</v>
          </cell>
        </row>
      </sheetData>
      <sheetData sheetId="1" refreshError="1">
        <row r="2">
          <cell r="A2">
            <v>33909</v>
          </cell>
          <cell r="B2">
            <v>3</v>
          </cell>
          <cell r="D2" t="str">
            <v>3D</v>
          </cell>
          <cell r="E2" t="str">
            <v>3D Avg</v>
          </cell>
          <cell r="F2">
            <v>2</v>
          </cell>
        </row>
        <row r="3">
          <cell r="A3">
            <v>33939</v>
          </cell>
          <cell r="B3">
            <v>4</v>
          </cell>
          <cell r="D3" t="str">
            <v>2D</v>
          </cell>
          <cell r="E3" t="str">
            <v>2D Avg</v>
          </cell>
          <cell r="F3">
            <v>3</v>
          </cell>
        </row>
        <row r="4">
          <cell r="A4">
            <v>33970</v>
          </cell>
          <cell r="B4">
            <v>5</v>
          </cell>
          <cell r="D4" t="str">
            <v>FD</v>
          </cell>
          <cell r="E4" t="str">
            <v>Settle</v>
          </cell>
          <cell r="F4">
            <v>4</v>
          </cell>
        </row>
        <row r="5">
          <cell r="A5">
            <v>34001</v>
          </cell>
          <cell r="B5">
            <v>6</v>
          </cell>
          <cell r="D5" t="str">
            <v>AECO-NT</v>
          </cell>
          <cell r="E5" t="str">
            <v>AECO Hub</v>
          </cell>
          <cell r="F5">
            <v>5</v>
          </cell>
        </row>
        <row r="6">
          <cell r="A6">
            <v>34029</v>
          </cell>
          <cell r="B6">
            <v>7</v>
          </cell>
          <cell r="D6" t="str">
            <v>ANR-LA</v>
          </cell>
          <cell r="E6" t="str">
            <v>ANR-Louisiana</v>
          </cell>
          <cell r="F6">
            <v>6</v>
          </cell>
        </row>
        <row r="7">
          <cell r="A7">
            <v>34060</v>
          </cell>
          <cell r="B7">
            <v>8</v>
          </cell>
          <cell r="D7" t="str">
            <v>ANR-OFF</v>
          </cell>
          <cell r="E7" t="str">
            <v>ANR-Offshore</v>
          </cell>
          <cell r="F7">
            <v>7</v>
          </cell>
        </row>
        <row r="8">
          <cell r="A8">
            <v>34090</v>
          </cell>
          <cell r="B8">
            <v>9</v>
          </cell>
          <cell r="D8" t="str">
            <v>ANR-OK</v>
          </cell>
          <cell r="E8" t="str">
            <v>ANR-Oklahoma</v>
          </cell>
          <cell r="F8">
            <v>8</v>
          </cell>
        </row>
        <row r="9">
          <cell r="A9">
            <v>34121</v>
          </cell>
          <cell r="B9">
            <v>10</v>
          </cell>
          <cell r="D9" t="str">
            <v>CG-APP</v>
          </cell>
          <cell r="E9" t="str">
            <v>Columbia Gas-App</v>
          </cell>
          <cell r="F9">
            <v>9</v>
          </cell>
        </row>
        <row r="10">
          <cell r="A10">
            <v>34151</v>
          </cell>
          <cell r="B10">
            <v>11</v>
          </cell>
          <cell r="D10" t="str">
            <v>CGLF-LA</v>
          </cell>
          <cell r="E10" t="str">
            <v>Columbia Gulf-Louisiana</v>
          </cell>
          <cell r="F10">
            <v>10</v>
          </cell>
        </row>
        <row r="11">
          <cell r="A11">
            <v>34182</v>
          </cell>
          <cell r="B11">
            <v>12</v>
          </cell>
          <cell r="D11" t="str">
            <v>CGLF-OFS</v>
          </cell>
          <cell r="E11" t="str">
            <v>Columbia Gulf-Offshore</v>
          </cell>
          <cell r="F11">
            <v>11</v>
          </cell>
        </row>
        <row r="12">
          <cell r="A12">
            <v>34213</v>
          </cell>
          <cell r="B12">
            <v>13</v>
          </cell>
          <cell r="D12" t="str">
            <v>CHIC</v>
          </cell>
          <cell r="E12" t="str">
            <v>Chicago City Gate</v>
          </cell>
          <cell r="F12">
            <v>12</v>
          </cell>
        </row>
        <row r="13">
          <cell r="A13">
            <v>34243</v>
          </cell>
          <cell r="B13">
            <v>14</v>
          </cell>
          <cell r="D13" t="str">
            <v>CIG-ROCK</v>
          </cell>
          <cell r="E13" t="str">
            <v>CIG-Rocky Mtn</v>
          </cell>
          <cell r="F13">
            <v>13</v>
          </cell>
        </row>
        <row r="14">
          <cell r="A14">
            <v>34274</v>
          </cell>
          <cell r="B14">
            <v>15</v>
          </cell>
          <cell r="D14" t="str">
            <v>CNG</v>
          </cell>
          <cell r="E14" t="str">
            <v>CNG-Appalacian</v>
          </cell>
          <cell r="F14">
            <v>14</v>
          </cell>
        </row>
        <row r="15">
          <cell r="A15">
            <v>34304</v>
          </cell>
          <cell r="B15">
            <v>16</v>
          </cell>
          <cell r="D15" t="str">
            <v>EPNG-ANAD</v>
          </cell>
          <cell r="E15" t="str">
            <v>El Paso-Anadarko</v>
          </cell>
          <cell r="F15">
            <v>15</v>
          </cell>
        </row>
        <row r="16">
          <cell r="A16">
            <v>34335</v>
          </cell>
          <cell r="B16">
            <v>17</v>
          </cell>
          <cell r="D16" t="str">
            <v>EPNG-PERM</v>
          </cell>
          <cell r="E16" t="str">
            <v>El Paso-Permian</v>
          </cell>
          <cell r="F16">
            <v>16</v>
          </cell>
        </row>
        <row r="17">
          <cell r="A17">
            <v>34366</v>
          </cell>
          <cell r="B17">
            <v>18</v>
          </cell>
          <cell r="D17" t="str">
            <v>EPNG-SJ</v>
          </cell>
          <cell r="E17" t="str">
            <v>El Paso-San Juan</v>
          </cell>
          <cell r="F17">
            <v>17</v>
          </cell>
        </row>
        <row r="18">
          <cell r="A18">
            <v>34394</v>
          </cell>
          <cell r="B18">
            <v>19</v>
          </cell>
          <cell r="D18" t="str">
            <v>FGT-Z1</v>
          </cell>
          <cell r="E18" t="str">
            <v>Florida-Zone 1</v>
          </cell>
          <cell r="F18">
            <v>18</v>
          </cell>
        </row>
        <row r="19">
          <cell r="A19">
            <v>34425</v>
          </cell>
          <cell r="B19">
            <v>20</v>
          </cell>
          <cell r="D19" t="str">
            <v>FGT-Z2</v>
          </cell>
          <cell r="E19" t="str">
            <v>Florida-Zone 2</v>
          </cell>
          <cell r="F19">
            <v>19</v>
          </cell>
        </row>
        <row r="20">
          <cell r="A20">
            <v>34455</v>
          </cell>
          <cell r="B20">
            <v>21</v>
          </cell>
          <cell r="D20" t="str">
            <v>FGT-Z3</v>
          </cell>
          <cell r="E20" t="str">
            <v>Florida-Zone 3</v>
          </cell>
          <cell r="F20">
            <v>20</v>
          </cell>
        </row>
        <row r="21">
          <cell r="A21">
            <v>34486</v>
          </cell>
          <cell r="B21">
            <v>22</v>
          </cell>
          <cell r="D21" t="str">
            <v>HSC</v>
          </cell>
          <cell r="E21" t="str">
            <v>Hous Ship Chan</v>
          </cell>
          <cell r="F21">
            <v>21</v>
          </cell>
        </row>
        <row r="22">
          <cell r="A22">
            <v>34516</v>
          </cell>
          <cell r="B22">
            <v>23</v>
          </cell>
          <cell r="D22" t="str">
            <v>HUB</v>
          </cell>
          <cell r="E22" t="str">
            <v>Henry Hub</v>
          </cell>
          <cell r="F22">
            <v>22</v>
          </cell>
        </row>
        <row r="23">
          <cell r="A23">
            <v>34547</v>
          </cell>
          <cell r="B23">
            <v>24</v>
          </cell>
          <cell r="D23" t="str">
            <v>KERN</v>
          </cell>
          <cell r="E23" t="str">
            <v>Kern River</v>
          </cell>
          <cell r="F23">
            <v>23</v>
          </cell>
        </row>
        <row r="24">
          <cell r="A24">
            <v>34578</v>
          </cell>
          <cell r="B24">
            <v>25</v>
          </cell>
          <cell r="D24" t="str">
            <v>KERN-NGI</v>
          </cell>
          <cell r="E24" t="str">
            <v>Kern River-NGI</v>
          </cell>
          <cell r="F24">
            <v>24</v>
          </cell>
        </row>
        <row r="25">
          <cell r="A25">
            <v>34608</v>
          </cell>
          <cell r="B25">
            <v>26</v>
          </cell>
          <cell r="D25" t="str">
            <v>KOCH-LA</v>
          </cell>
          <cell r="E25" t="str">
            <v>Koch Gateway-LA</v>
          </cell>
          <cell r="F25">
            <v>25</v>
          </cell>
        </row>
        <row r="26">
          <cell r="A26">
            <v>34639</v>
          </cell>
          <cell r="B26">
            <v>27</v>
          </cell>
          <cell r="D26" t="str">
            <v>KOCH-TX</v>
          </cell>
          <cell r="E26" t="str">
            <v>Koch Gateway-TX</v>
          </cell>
          <cell r="F26">
            <v>26</v>
          </cell>
        </row>
        <row r="27">
          <cell r="A27">
            <v>34669</v>
          </cell>
          <cell r="B27">
            <v>28</v>
          </cell>
          <cell r="D27" t="str">
            <v>MALIN-400</v>
          </cell>
          <cell r="E27" t="str">
            <v>Malin-400 Border</v>
          </cell>
          <cell r="F27">
            <v>27</v>
          </cell>
        </row>
        <row r="28">
          <cell r="A28">
            <v>34700</v>
          </cell>
          <cell r="B28">
            <v>29</v>
          </cell>
          <cell r="D28" t="str">
            <v>MALIN-401</v>
          </cell>
          <cell r="E28" t="str">
            <v>Malin-401 Border</v>
          </cell>
          <cell r="F28">
            <v>28</v>
          </cell>
        </row>
        <row r="29">
          <cell r="A29">
            <v>34731</v>
          </cell>
          <cell r="B29">
            <v>30</v>
          </cell>
          <cell r="D29" t="str">
            <v>MICH</v>
          </cell>
          <cell r="E29" t="str">
            <v>MichCon</v>
          </cell>
          <cell r="F29">
            <v>29</v>
          </cell>
        </row>
        <row r="30">
          <cell r="A30">
            <v>34759</v>
          </cell>
          <cell r="B30">
            <v>31</v>
          </cell>
          <cell r="D30" t="str">
            <v>MRC</v>
          </cell>
          <cell r="E30" t="str">
            <v>Miss River Corr</v>
          </cell>
          <cell r="F30">
            <v>30</v>
          </cell>
        </row>
        <row r="31">
          <cell r="A31">
            <v>34790</v>
          </cell>
          <cell r="B31">
            <v>32</v>
          </cell>
          <cell r="D31" t="str">
            <v>NGPL-LA</v>
          </cell>
          <cell r="E31" t="str">
            <v>NGPL-Louisiana</v>
          </cell>
          <cell r="F31">
            <v>31</v>
          </cell>
        </row>
        <row r="32">
          <cell r="A32">
            <v>34820</v>
          </cell>
          <cell r="B32">
            <v>33</v>
          </cell>
          <cell r="D32" t="str">
            <v>NGPL-MC</v>
          </cell>
          <cell r="E32" t="str">
            <v>NGPL-MidContinent</v>
          </cell>
          <cell r="F32">
            <v>32</v>
          </cell>
        </row>
        <row r="33">
          <cell r="A33">
            <v>34851</v>
          </cell>
          <cell r="B33">
            <v>34</v>
          </cell>
          <cell r="D33" t="str">
            <v>NGPL-OK</v>
          </cell>
          <cell r="E33" t="str">
            <v>NGPL-Oklahoma</v>
          </cell>
          <cell r="F33">
            <v>33</v>
          </cell>
        </row>
        <row r="34">
          <cell r="A34">
            <v>34881</v>
          </cell>
          <cell r="B34">
            <v>35</v>
          </cell>
          <cell r="D34" t="str">
            <v>NGPL-STX</v>
          </cell>
          <cell r="E34" t="str">
            <v>NGPL-Texas</v>
          </cell>
          <cell r="F34">
            <v>34</v>
          </cell>
        </row>
        <row r="35">
          <cell r="A35">
            <v>34912</v>
          </cell>
          <cell r="B35">
            <v>36</v>
          </cell>
          <cell r="D35" t="str">
            <v>NNG-DEMARC</v>
          </cell>
          <cell r="E35" t="str">
            <v>Northern-Demarc</v>
          </cell>
          <cell r="F35">
            <v>35</v>
          </cell>
        </row>
        <row r="36">
          <cell r="A36">
            <v>34943</v>
          </cell>
          <cell r="B36">
            <v>37</v>
          </cell>
          <cell r="D36" t="str">
            <v>NNG-TOK</v>
          </cell>
          <cell r="E36" t="str">
            <v>Northern-TOK</v>
          </cell>
          <cell r="F36">
            <v>36</v>
          </cell>
        </row>
        <row r="37">
          <cell r="A37">
            <v>34973</v>
          </cell>
          <cell r="B37">
            <v>38</v>
          </cell>
          <cell r="D37" t="str">
            <v>NNG-VENT</v>
          </cell>
          <cell r="E37" t="str">
            <v>Northern-Ventura</v>
          </cell>
          <cell r="F37">
            <v>37</v>
          </cell>
        </row>
        <row r="38">
          <cell r="A38">
            <v>35004</v>
          </cell>
          <cell r="B38">
            <v>39</v>
          </cell>
          <cell r="D38" t="str">
            <v>NOR-AM</v>
          </cell>
          <cell r="E38" t="str">
            <v>Noram</v>
          </cell>
          <cell r="F38">
            <v>38</v>
          </cell>
        </row>
        <row r="39">
          <cell r="A39">
            <v>35034</v>
          </cell>
          <cell r="B39">
            <v>40</v>
          </cell>
          <cell r="D39" t="str">
            <v>NOR-EAST</v>
          </cell>
          <cell r="E39" t="str">
            <v>Noram East</v>
          </cell>
          <cell r="F39">
            <v>39</v>
          </cell>
        </row>
        <row r="40">
          <cell r="A40">
            <v>35065</v>
          </cell>
          <cell r="B40">
            <v>41</v>
          </cell>
          <cell r="D40" t="str">
            <v>NOR-WEST</v>
          </cell>
          <cell r="E40" t="str">
            <v>Noram West</v>
          </cell>
          <cell r="F40">
            <v>40</v>
          </cell>
        </row>
        <row r="41">
          <cell r="A41">
            <v>35096</v>
          </cell>
          <cell r="B41">
            <v>42</v>
          </cell>
          <cell r="D41" t="str">
            <v>NWPL-CAN</v>
          </cell>
          <cell r="E41" t="str">
            <v>Northwest-Canada</v>
          </cell>
          <cell r="F41">
            <v>41</v>
          </cell>
        </row>
        <row r="42">
          <cell r="A42">
            <v>35125</v>
          </cell>
          <cell r="B42">
            <v>43</v>
          </cell>
          <cell r="D42" t="str">
            <v>NWPL-ROCK</v>
          </cell>
          <cell r="E42" t="str">
            <v>Northwest-Rock Mtn</v>
          </cell>
          <cell r="F42">
            <v>42</v>
          </cell>
        </row>
        <row r="43">
          <cell r="A43">
            <v>35156</v>
          </cell>
          <cell r="B43">
            <v>44</v>
          </cell>
          <cell r="D43" t="str">
            <v>ONG-OKL</v>
          </cell>
          <cell r="E43" t="str">
            <v>ONG-Oklahoma</v>
          </cell>
          <cell r="F43">
            <v>43</v>
          </cell>
        </row>
        <row r="44">
          <cell r="A44">
            <v>35186</v>
          </cell>
          <cell r="B44">
            <v>45</v>
          </cell>
          <cell r="D44" t="str">
            <v>PEPL-FZ</v>
          </cell>
          <cell r="E44" t="str">
            <v>Panhandle-Field Zone</v>
          </cell>
          <cell r="F44">
            <v>44</v>
          </cell>
        </row>
        <row r="45">
          <cell r="A45">
            <v>35217</v>
          </cell>
          <cell r="B45">
            <v>46</v>
          </cell>
          <cell r="D45" t="str">
            <v>QUEST</v>
          </cell>
          <cell r="E45" t="str">
            <v>Questar</v>
          </cell>
          <cell r="F45">
            <v>45</v>
          </cell>
        </row>
        <row r="46">
          <cell r="A46">
            <v>35247</v>
          </cell>
          <cell r="B46">
            <v>47</v>
          </cell>
          <cell r="D46" t="str">
            <v>NGI-Socal</v>
          </cell>
          <cell r="E46" t="str">
            <v>So Cal Border</v>
          </cell>
          <cell r="F46">
            <v>46</v>
          </cell>
        </row>
        <row r="47">
          <cell r="A47">
            <v>35278</v>
          </cell>
          <cell r="B47">
            <v>48</v>
          </cell>
          <cell r="D47" t="str">
            <v>SONAT-LA</v>
          </cell>
          <cell r="E47" t="str">
            <v>Southern-Louisiana</v>
          </cell>
          <cell r="F47">
            <v>47</v>
          </cell>
        </row>
        <row r="48">
          <cell r="A48">
            <v>35309</v>
          </cell>
          <cell r="B48">
            <v>49</v>
          </cell>
          <cell r="D48" t="str">
            <v>TANG</v>
          </cell>
          <cell r="E48" t="str">
            <v>Transamerican</v>
          </cell>
          <cell r="F48">
            <v>48</v>
          </cell>
        </row>
        <row r="49">
          <cell r="A49">
            <v>35339</v>
          </cell>
          <cell r="B49">
            <v>50</v>
          </cell>
          <cell r="D49" t="str">
            <v>TENN-Z0</v>
          </cell>
          <cell r="E49" t="str">
            <v>Tennessee-Zone 0</v>
          </cell>
          <cell r="F49">
            <v>49</v>
          </cell>
        </row>
        <row r="50">
          <cell r="A50">
            <v>35370</v>
          </cell>
          <cell r="B50">
            <v>51</v>
          </cell>
          <cell r="D50" t="str">
            <v>TENN-Z1</v>
          </cell>
          <cell r="E50" t="str">
            <v>Tennessee-Zone 1</v>
          </cell>
          <cell r="F50">
            <v>50</v>
          </cell>
        </row>
        <row r="51">
          <cell r="A51">
            <v>35400</v>
          </cell>
          <cell r="B51">
            <v>52</v>
          </cell>
          <cell r="D51" t="str">
            <v>TET-ELA</v>
          </cell>
          <cell r="E51" t="str">
            <v>Texas Eastern-ELA</v>
          </cell>
          <cell r="F51">
            <v>51</v>
          </cell>
        </row>
        <row r="52">
          <cell r="A52">
            <v>35431</v>
          </cell>
          <cell r="B52">
            <v>53</v>
          </cell>
          <cell r="D52" t="str">
            <v>TET-ETX</v>
          </cell>
          <cell r="E52" t="str">
            <v>Texas Eastern-ETX</v>
          </cell>
          <cell r="F52">
            <v>52</v>
          </cell>
        </row>
        <row r="53">
          <cell r="A53">
            <v>35462</v>
          </cell>
          <cell r="B53">
            <v>54</v>
          </cell>
          <cell r="D53" t="str">
            <v>TET-M3</v>
          </cell>
          <cell r="E53" t="str">
            <v>Texas Eastern-M3</v>
          </cell>
          <cell r="F53">
            <v>53</v>
          </cell>
        </row>
        <row r="54">
          <cell r="A54">
            <v>35490</v>
          </cell>
          <cell r="B54">
            <v>55</v>
          </cell>
          <cell r="D54" t="str">
            <v>TET-STX</v>
          </cell>
          <cell r="E54" t="str">
            <v>Texas Eastern-STX</v>
          </cell>
          <cell r="F54">
            <v>54</v>
          </cell>
        </row>
        <row r="55">
          <cell r="A55">
            <v>35521</v>
          </cell>
          <cell r="B55">
            <v>56</v>
          </cell>
          <cell r="D55" t="str">
            <v>TET-WLA</v>
          </cell>
          <cell r="E55" t="str">
            <v>Texas Eastern-WLA</v>
          </cell>
          <cell r="F55">
            <v>55</v>
          </cell>
        </row>
        <row r="56">
          <cell r="A56">
            <v>35551</v>
          </cell>
          <cell r="B56">
            <v>57</v>
          </cell>
          <cell r="D56" t="str">
            <v>TRAN-Z1</v>
          </cell>
          <cell r="E56" t="str">
            <v>Transco-Zone 1</v>
          </cell>
          <cell r="F56">
            <v>56</v>
          </cell>
        </row>
        <row r="57">
          <cell r="A57">
            <v>35582</v>
          </cell>
          <cell r="B57">
            <v>58</v>
          </cell>
          <cell r="D57" t="str">
            <v>TRAN-Z2</v>
          </cell>
          <cell r="E57" t="str">
            <v>Transco-Zone 2</v>
          </cell>
          <cell r="F57">
            <v>57</v>
          </cell>
        </row>
        <row r="58">
          <cell r="A58">
            <v>35612</v>
          </cell>
          <cell r="B58">
            <v>59</v>
          </cell>
          <cell r="D58" t="str">
            <v>TRAN-Z3</v>
          </cell>
          <cell r="E58" t="str">
            <v>Transco-Zone 3</v>
          </cell>
          <cell r="F58">
            <v>58</v>
          </cell>
        </row>
        <row r="59">
          <cell r="A59">
            <v>35643</v>
          </cell>
          <cell r="B59">
            <v>60</v>
          </cell>
          <cell r="D59" t="str">
            <v>TRAN-Z4</v>
          </cell>
          <cell r="E59" t="str">
            <v>Transco-Zone 4</v>
          </cell>
          <cell r="F59">
            <v>59</v>
          </cell>
        </row>
        <row r="60">
          <cell r="A60">
            <v>35674</v>
          </cell>
          <cell r="B60">
            <v>61</v>
          </cell>
          <cell r="D60" t="str">
            <v>TRAN-Z6</v>
          </cell>
          <cell r="E60" t="str">
            <v>Transco-Zone 6</v>
          </cell>
          <cell r="F60">
            <v>60</v>
          </cell>
        </row>
        <row r="61">
          <cell r="A61">
            <v>35704</v>
          </cell>
          <cell r="B61">
            <v>62</v>
          </cell>
          <cell r="D61" t="str">
            <v>TRUNK-FZ</v>
          </cell>
          <cell r="E61" t="str">
            <v>Trunkline-Field Zone</v>
          </cell>
          <cell r="F61">
            <v>61</v>
          </cell>
        </row>
        <row r="62">
          <cell r="A62">
            <v>35735</v>
          </cell>
          <cell r="B62">
            <v>63</v>
          </cell>
          <cell r="D62" t="str">
            <v>TRUNK-LA</v>
          </cell>
          <cell r="E62" t="str">
            <v>Trunkline-Louisiana</v>
          </cell>
          <cell r="F62">
            <v>62</v>
          </cell>
        </row>
        <row r="63">
          <cell r="A63">
            <v>35765</v>
          </cell>
          <cell r="B63">
            <v>64</v>
          </cell>
          <cell r="D63" t="str">
            <v>TRUNK-TX</v>
          </cell>
          <cell r="E63" t="str">
            <v>Trunkline-Texas</v>
          </cell>
          <cell r="F63">
            <v>63</v>
          </cell>
        </row>
        <row r="64">
          <cell r="A64">
            <v>35796</v>
          </cell>
          <cell r="B64">
            <v>65</v>
          </cell>
          <cell r="D64" t="str">
            <v>TW-PERM</v>
          </cell>
          <cell r="E64" t="str">
            <v>Transwestern-Permian</v>
          </cell>
          <cell r="F64">
            <v>64</v>
          </cell>
        </row>
        <row r="65">
          <cell r="A65">
            <v>35827</v>
          </cell>
          <cell r="B65">
            <v>66</v>
          </cell>
          <cell r="D65" t="str">
            <v>TXG-Z1</v>
          </cell>
          <cell r="E65" t="str">
            <v>Texas Gas-Zone 1</v>
          </cell>
          <cell r="F65">
            <v>65</v>
          </cell>
        </row>
        <row r="66">
          <cell r="A66">
            <v>35855</v>
          </cell>
          <cell r="B66">
            <v>67</v>
          </cell>
          <cell r="D66" t="str">
            <v>TXG-ZSL</v>
          </cell>
          <cell r="E66" t="str">
            <v>Texas Gas-Zone SL</v>
          </cell>
          <cell r="F66">
            <v>66</v>
          </cell>
        </row>
        <row r="67">
          <cell r="A67">
            <v>35886</v>
          </cell>
          <cell r="B67">
            <v>68</v>
          </cell>
          <cell r="D67" t="str">
            <v>VAL-TX</v>
          </cell>
          <cell r="E67" t="str">
            <v>Valero-TX</v>
          </cell>
          <cell r="F67">
            <v>67</v>
          </cell>
        </row>
        <row r="68">
          <cell r="A68">
            <v>35916</v>
          </cell>
          <cell r="B68">
            <v>69</v>
          </cell>
          <cell r="D68" t="str">
            <v>KRS (SOCAL)-NGI</v>
          </cell>
          <cell r="E68" t="str">
            <v>Kern River Station</v>
          </cell>
          <cell r="F68">
            <v>68</v>
          </cell>
        </row>
        <row r="69">
          <cell r="A69">
            <v>35947</v>
          </cell>
          <cell r="B69">
            <v>70</v>
          </cell>
        </row>
        <row r="70">
          <cell r="A70">
            <v>35977</v>
          </cell>
          <cell r="B70">
            <v>71</v>
          </cell>
        </row>
        <row r="71">
          <cell r="A71">
            <v>36008</v>
          </cell>
          <cell r="B71">
            <v>72</v>
          </cell>
        </row>
        <row r="72">
          <cell r="A72">
            <v>36039</v>
          </cell>
          <cell r="B72">
            <v>73</v>
          </cell>
        </row>
        <row r="73">
          <cell r="A73">
            <v>36069</v>
          </cell>
          <cell r="B73">
            <v>74</v>
          </cell>
        </row>
        <row r="74">
          <cell r="A74">
            <v>36100</v>
          </cell>
          <cell r="B74">
            <v>75</v>
          </cell>
        </row>
        <row r="75">
          <cell r="A75">
            <v>36130</v>
          </cell>
          <cell r="B75">
            <v>76</v>
          </cell>
        </row>
        <row r="76">
          <cell r="A76">
            <v>36161</v>
          </cell>
          <cell r="B76">
            <v>77</v>
          </cell>
        </row>
        <row r="77">
          <cell r="A77">
            <v>36192</v>
          </cell>
          <cell r="B77">
            <v>78</v>
          </cell>
        </row>
        <row r="78">
          <cell r="A78">
            <v>36220</v>
          </cell>
          <cell r="B78">
            <v>79</v>
          </cell>
        </row>
        <row r="79">
          <cell r="A79">
            <v>36251</v>
          </cell>
          <cell r="B79">
            <v>80</v>
          </cell>
        </row>
        <row r="80">
          <cell r="A80">
            <v>36281</v>
          </cell>
          <cell r="B80">
            <v>81</v>
          </cell>
        </row>
        <row r="81">
          <cell r="A81">
            <v>36312</v>
          </cell>
          <cell r="B81">
            <v>82</v>
          </cell>
        </row>
        <row r="82">
          <cell r="A82">
            <v>36342</v>
          </cell>
          <cell r="B82">
            <v>83</v>
          </cell>
        </row>
        <row r="83">
          <cell r="A83">
            <v>36373</v>
          </cell>
          <cell r="B83">
            <v>84</v>
          </cell>
        </row>
        <row r="84">
          <cell r="A84">
            <v>36404</v>
          </cell>
          <cell r="B84">
            <v>85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DWtoGTdirectSetup_"/>
      <sheetName val="_UnregulatedCurves_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S1130"/>
  <sheetViews>
    <sheetView tabSelected="1" zoomScale="70" zoomScaleNormal="70" workbookViewId="0">
      <pane xSplit="1" ySplit="9" topLeftCell="B10" activePane="bottomRight" state="frozen"/>
      <selection activeCell="J39" sqref="J39"/>
      <selection pane="topRight" activeCell="J39" sqref="J39"/>
      <selection pane="bottomLeft" activeCell="J39" sqref="J39"/>
      <selection pane="bottomRight" activeCell="I1" sqref="I1"/>
    </sheetView>
  </sheetViews>
  <sheetFormatPr defaultColWidth="7.08984375" defaultRowHeight="15"/>
  <cols>
    <col min="1" max="1" width="7.54296875" style="2" bestFit="1" customWidth="1"/>
    <col min="2" max="5" width="10" style="1" customWidth="1"/>
    <col min="6" max="6" width="9.36328125" style="2" customWidth="1"/>
    <col min="7" max="7" width="13.36328125" style="1" customWidth="1"/>
    <col min="8" max="8" width="12.6328125" style="2" customWidth="1"/>
    <col min="9" max="9" width="10" style="1" customWidth="1"/>
    <col min="10" max="10" width="9.6328125" style="1" customWidth="1"/>
    <col min="11" max="11" width="13.36328125" style="1" customWidth="1"/>
    <col min="12" max="12" width="6.453125" style="1" bestFit="1" customWidth="1"/>
    <col min="13" max="13" width="13.54296875" style="1" bestFit="1" customWidth="1"/>
    <col min="14" max="14" width="6" style="1" bestFit="1" customWidth="1"/>
    <col min="15" max="15" width="10.1796875" style="1" customWidth="1"/>
    <col min="16" max="16" width="9.1796875" style="1" customWidth="1"/>
    <col min="17" max="17" width="9.90625" style="1" customWidth="1"/>
    <col min="18" max="18" width="9.36328125" style="1" customWidth="1"/>
    <col min="19" max="19" width="9.1796875" style="1" customWidth="1"/>
    <col min="20" max="20" width="10.1796875" style="1" customWidth="1"/>
    <col min="21" max="21" width="11.81640625" style="1" customWidth="1"/>
    <col min="22" max="22" width="7.08984375" style="1" customWidth="1"/>
    <col min="23" max="23" width="8.81640625" style="1" customWidth="1"/>
    <col min="24" max="24" width="9.1796875" style="1" customWidth="1"/>
    <col min="25" max="25" width="11.81640625" style="1" customWidth="1"/>
    <col min="26" max="26" width="7.08984375" style="1" customWidth="1"/>
    <col min="27" max="27" width="9.1796875" style="1" customWidth="1"/>
    <col min="28" max="28" width="9.36328125" style="1" customWidth="1"/>
    <col min="29" max="29" width="8.1796875" style="1" customWidth="1"/>
    <col min="30" max="30" width="9" style="1" customWidth="1"/>
    <col min="31" max="16384" width="7.08984375" style="1"/>
  </cols>
  <sheetData>
    <row r="1" spans="1:19" ht="24.75" customHeight="1">
      <c r="A1" s="28" t="s">
        <v>26</v>
      </c>
      <c r="I1" s="92" t="s">
        <v>64</v>
      </c>
    </row>
    <row r="2" spans="1:19" ht="15" customHeight="1">
      <c r="A2" s="27" t="s">
        <v>25</v>
      </c>
    </row>
    <row r="3" spans="1:19" ht="15" customHeight="1">
      <c r="A3" s="1"/>
      <c r="G3" s="26"/>
      <c r="N3" s="25"/>
    </row>
    <row r="4" spans="1:19" ht="15" customHeight="1">
      <c r="C4" s="24" t="s">
        <v>24</v>
      </c>
      <c r="D4" s="23">
        <f>1-0.196</f>
        <v>0.80400000000000005</v>
      </c>
      <c r="E4" s="24" t="s">
        <v>23</v>
      </c>
      <c r="F4" s="23">
        <f>1+0.196</f>
        <v>1.196</v>
      </c>
    </row>
    <row r="5" spans="1:19" ht="15" customHeight="1">
      <c r="A5" s="1"/>
    </row>
    <row r="6" spans="1:19" ht="15" customHeight="1">
      <c r="D6" s="10"/>
      <c r="E6" s="10"/>
      <c r="F6" s="10"/>
      <c r="G6" s="10"/>
      <c r="I6" s="10"/>
      <c r="K6" s="22"/>
      <c r="L6" s="81" t="s">
        <v>22</v>
      </c>
      <c r="M6" s="81"/>
      <c r="N6" s="81"/>
      <c r="O6" s="81"/>
      <c r="P6" s="81"/>
      <c r="Q6" s="81"/>
      <c r="R6" s="81"/>
      <c r="S6" s="81"/>
    </row>
    <row r="7" spans="1:19" ht="15" customHeight="1">
      <c r="B7" s="10"/>
      <c r="C7" s="10"/>
      <c r="D7" s="10"/>
      <c r="E7" s="10"/>
      <c r="F7" s="10"/>
      <c r="G7" s="10"/>
      <c r="I7" s="10"/>
      <c r="K7" s="21"/>
      <c r="L7" s="81" t="s">
        <v>21</v>
      </c>
      <c r="M7" s="81"/>
      <c r="N7" s="81"/>
      <c r="O7" s="81"/>
      <c r="P7" s="81"/>
      <c r="Q7" s="81"/>
      <c r="R7" s="81"/>
      <c r="S7" s="81"/>
    </row>
    <row r="8" spans="1:19" s="15" customFormat="1" ht="112.5" customHeight="1">
      <c r="B8" s="18" t="s">
        <v>20</v>
      </c>
      <c r="C8" s="18" t="s">
        <v>19</v>
      </c>
      <c r="D8" s="18" t="s">
        <v>18</v>
      </c>
      <c r="E8" s="18" t="s">
        <v>17</v>
      </c>
      <c r="F8" s="17" t="s">
        <v>16</v>
      </c>
      <c r="G8" s="18" t="s">
        <v>15</v>
      </c>
      <c r="H8" s="17" t="s">
        <v>14</v>
      </c>
      <c r="I8" s="18" t="s">
        <v>13</v>
      </c>
      <c r="J8" s="17" t="s">
        <v>12</v>
      </c>
      <c r="K8" s="20" t="s">
        <v>11</v>
      </c>
      <c r="L8" s="16" t="s">
        <v>10</v>
      </c>
      <c r="M8" s="16" t="s">
        <v>9</v>
      </c>
      <c r="N8" s="16" t="s">
        <v>8</v>
      </c>
      <c r="O8" s="16" t="s">
        <v>7</v>
      </c>
      <c r="P8" s="16" t="s">
        <v>6</v>
      </c>
      <c r="Q8" s="16" t="s">
        <v>5</v>
      </c>
      <c r="R8" s="16" t="s">
        <v>4</v>
      </c>
      <c r="S8" s="19" t="s">
        <v>3</v>
      </c>
    </row>
    <row r="9" spans="1:19" s="15" customFormat="1" ht="15" customHeight="1">
      <c r="A9" s="17" t="s">
        <v>2</v>
      </c>
      <c r="B9" s="18" t="s">
        <v>1</v>
      </c>
      <c r="C9" s="18" t="s">
        <v>1</v>
      </c>
      <c r="D9" s="18" t="s">
        <v>1</v>
      </c>
      <c r="E9" s="18" t="s">
        <v>1</v>
      </c>
      <c r="F9" s="17" t="s">
        <v>1</v>
      </c>
      <c r="G9" s="18" t="s">
        <v>1</v>
      </c>
      <c r="H9" s="17" t="s">
        <v>1</v>
      </c>
      <c r="I9" s="18" t="s">
        <v>1</v>
      </c>
      <c r="J9" s="17" t="s">
        <v>1</v>
      </c>
      <c r="K9" s="17" t="s">
        <v>1</v>
      </c>
      <c r="L9" s="16" t="s">
        <v>0</v>
      </c>
      <c r="M9" s="16" t="s">
        <v>0</v>
      </c>
      <c r="N9" s="16" t="s">
        <v>0</v>
      </c>
      <c r="O9" s="16" t="s">
        <v>0</v>
      </c>
      <c r="P9" s="16" t="s">
        <v>0</v>
      </c>
      <c r="Q9" s="16" t="s">
        <v>0</v>
      </c>
      <c r="R9" s="16" t="s">
        <v>0</v>
      </c>
      <c r="S9" s="16" t="s">
        <v>0</v>
      </c>
    </row>
    <row r="10" spans="1:19" ht="15" customHeight="1">
      <c r="A10" s="13">
        <v>42370</v>
      </c>
      <c r="B10" s="8">
        <f>2.4489 * CHOOSE(CONTROL!$C$12, $D$4, 100%, $F$4)</f>
        <v>2.4489000000000001</v>
      </c>
      <c r="C10" s="8">
        <f>2.4592 * CHOOSE(CONTROL!$C$12, $D$4, 100%, $F$4)</f>
        <v>2.4592000000000001</v>
      </c>
      <c r="D10" s="8">
        <f>2.4601 * CHOOSE( CONTROL!$C$12, $D$4, 100%, $F$4)</f>
        <v>2.4601000000000002</v>
      </c>
      <c r="E10" s="12">
        <f>2.4587 * CHOOSE( CONTROL!$C$12, $D$4, 100%, $F$4)</f>
        <v>2.4586999999999999</v>
      </c>
      <c r="F10" s="4">
        <f>3.4708 * CHOOSE(CONTROL!$C$12, $D$4, 100%, $F$4)</f>
        <v>3.4708000000000001</v>
      </c>
      <c r="G10" s="8">
        <f>2.4455 * CHOOSE( CONTROL!$C$12, $D$4, 100%, $F$4)</f>
        <v>2.4455</v>
      </c>
      <c r="H10" s="4">
        <f>3.3387 * CHOOSE(CONTROL!$C$12, $D$4, 100%, $F$4)</f>
        <v>3.3386999999999998</v>
      </c>
      <c r="I10" s="8"/>
      <c r="J10" s="4">
        <f>2.372 * CHOOSE(CONTROL!$C$12, $D$4, 100%, $F$4)</f>
        <v>2.3719999999999999</v>
      </c>
      <c r="K10" s="4"/>
      <c r="L10" s="9">
        <v>29.306000000000001</v>
      </c>
      <c r="M10" s="9">
        <v>12.063700000000001</v>
      </c>
      <c r="N10" s="9">
        <v>4.9444999999999997</v>
      </c>
      <c r="O10" s="9">
        <v>0.61660000000000004</v>
      </c>
      <c r="P10" s="9">
        <v>1.2939000000000001</v>
      </c>
      <c r="Q10" s="9"/>
      <c r="R10" s="9">
        <f t="shared" ref="R10:R41" si="0">(0.1*4000000)/1000000</f>
        <v>0.4</v>
      </c>
      <c r="S10" s="11"/>
    </row>
    <row r="11" spans="1:19" ht="15" customHeight="1">
      <c r="A11" s="13">
        <v>42401</v>
      </c>
      <c r="B11" s="8">
        <f>2.26 * CHOOSE(CONTROL!$C$12, $D$4, 100%, $F$4)</f>
        <v>2.2599999999999998</v>
      </c>
      <c r="C11" s="8">
        <f>2.2703 * CHOOSE(CONTROL!$C$12, $D$4, 100%, $F$4)</f>
        <v>2.2703000000000002</v>
      </c>
      <c r="D11" s="8">
        <f>2.2738 * CHOOSE( CONTROL!$C$12, $D$4, 100%, $F$4)</f>
        <v>2.2738</v>
      </c>
      <c r="E11" s="12">
        <f>2.2714 * CHOOSE( CONTROL!$C$12, $D$4, 100%, $F$4)</f>
        <v>2.2713999999999999</v>
      </c>
      <c r="F11" s="4">
        <f>3.2742 * CHOOSE(CONTROL!$C$12, $D$4, 100%, $F$4)</f>
        <v>3.2742</v>
      </c>
      <c r="G11" s="8">
        <f>2.2591 * CHOOSE( CONTROL!$C$12, $D$4, 100%, $F$4)</f>
        <v>2.2591000000000001</v>
      </c>
      <c r="H11" s="4">
        <f>3.1449 * CHOOSE(CONTROL!$C$12, $D$4, 100%, $F$4)</f>
        <v>3.1448999999999998</v>
      </c>
      <c r="I11" s="8"/>
      <c r="J11" s="4">
        <f>2.189 * CHOOSE(CONTROL!$C$12, $D$4, 100%, $F$4)</f>
        <v>2.1890000000000001</v>
      </c>
      <c r="K11" s="4"/>
      <c r="L11" s="9">
        <v>27.0672</v>
      </c>
      <c r="M11" s="9">
        <v>11.285299999999999</v>
      </c>
      <c r="N11" s="9">
        <v>4.6254999999999997</v>
      </c>
      <c r="O11" s="9">
        <v>0.57679999999999998</v>
      </c>
      <c r="P11" s="9">
        <v>1.2104999999999999</v>
      </c>
      <c r="Q11" s="9"/>
      <c r="R11" s="9">
        <f t="shared" si="0"/>
        <v>0.4</v>
      </c>
      <c r="S11" s="11"/>
    </row>
    <row r="12" spans="1:19" ht="15" customHeight="1">
      <c r="A12" s="13">
        <v>42430</v>
      </c>
      <c r="B12" s="8">
        <f>1.7667 * CHOOSE(CONTROL!$C$12, $D$4, 100%, $F$4)</f>
        <v>1.7666999999999999</v>
      </c>
      <c r="C12" s="8">
        <f>1.777 * CHOOSE(CONTROL!$C$12, $D$4, 100%, $F$4)</f>
        <v>1.7769999999999999</v>
      </c>
      <c r="D12" s="8">
        <f>1.759 * CHOOSE( CONTROL!$C$12, $D$4, 100%, $F$4)</f>
        <v>1.7589999999999999</v>
      </c>
      <c r="E12" s="12">
        <f>1.7645 * CHOOSE( CONTROL!$C$12, $D$4, 100%, $F$4)</f>
        <v>1.7645</v>
      </c>
      <c r="F12" s="4">
        <f>2.7649 * CHOOSE(CONTROL!$C$12, $D$4, 100%, $F$4)</f>
        <v>2.7648999999999999</v>
      </c>
      <c r="G12" s="8">
        <f>1.7527 * CHOOSE( CONTROL!$C$12, $D$4, 100%, $F$4)</f>
        <v>1.7526999999999999</v>
      </c>
      <c r="H12" s="4">
        <f>2.6429 * CHOOSE(CONTROL!$C$12, $D$4, 100%, $F$4)</f>
        <v>2.6429</v>
      </c>
      <c r="I12" s="8"/>
      <c r="J12" s="4">
        <f>1.711 * CHOOSE(CONTROL!$C$12, $D$4, 100%, $F$4)</f>
        <v>1.7110000000000001</v>
      </c>
      <c r="K12" s="4"/>
      <c r="L12" s="9">
        <v>28.933900000000001</v>
      </c>
      <c r="M12" s="9">
        <v>12.063700000000001</v>
      </c>
      <c r="N12" s="9">
        <v>4.9444999999999997</v>
      </c>
      <c r="O12" s="9">
        <v>0.61660000000000004</v>
      </c>
      <c r="P12" s="9">
        <v>1.2939000000000001</v>
      </c>
      <c r="Q12" s="9"/>
      <c r="R12" s="9">
        <f t="shared" si="0"/>
        <v>0.4</v>
      </c>
      <c r="S12" s="11"/>
    </row>
    <row r="13" spans="1:19" ht="15" customHeight="1">
      <c r="A13" s="13">
        <v>42461</v>
      </c>
      <c r="B13" s="8">
        <f>1.9649 * CHOOSE(CONTROL!$C$12, $D$4, 100%, $F$4)</f>
        <v>1.9649000000000001</v>
      </c>
      <c r="C13" s="8">
        <f>1.9752 * CHOOSE(CONTROL!$C$12, $D$4, 100%, $F$4)</f>
        <v>1.9752000000000001</v>
      </c>
      <c r="D13" s="8">
        <f>1.9632 * CHOOSE( CONTROL!$C$12, $D$4, 100%, $F$4)</f>
        <v>1.9632000000000001</v>
      </c>
      <c r="E13" s="12">
        <f>1.966 * CHOOSE( CONTROL!$C$12, $D$4, 100%, $F$4)</f>
        <v>1.966</v>
      </c>
      <c r="F13" s="4">
        <f>2.9713 * CHOOSE(CONTROL!$C$12, $D$4, 100%, $F$4)</f>
        <v>2.9712999999999998</v>
      </c>
      <c r="G13" s="8">
        <f>1.9366 * CHOOSE( CONTROL!$C$12, $D$4, 100%, $F$4)</f>
        <v>1.9366000000000001</v>
      </c>
      <c r="H13" s="4">
        <f>2.8463 * CHOOSE(CONTROL!$C$12, $D$4, 100%, $F$4)</f>
        <v>2.8462999999999998</v>
      </c>
      <c r="I13" s="8"/>
      <c r="J13" s="4">
        <f>1.903 * CHOOSE(CONTROL!$C$12, $D$4, 100%, $F$4)</f>
        <v>1.903</v>
      </c>
      <c r="K13" s="4"/>
      <c r="L13" s="9">
        <v>29.665800000000001</v>
      </c>
      <c r="M13" s="9">
        <v>11.6745</v>
      </c>
      <c r="N13" s="9">
        <v>4.7850000000000001</v>
      </c>
      <c r="O13" s="9">
        <v>0.59670000000000001</v>
      </c>
      <c r="P13" s="9">
        <v>2.0352000000000001</v>
      </c>
      <c r="Q13" s="9"/>
      <c r="R13" s="9">
        <f t="shared" si="0"/>
        <v>0.4</v>
      </c>
      <c r="S13" s="11"/>
    </row>
    <row r="14" spans="1:19" ht="15" customHeight="1">
      <c r="A14" s="13">
        <v>42491</v>
      </c>
      <c r="B14" s="8">
        <f>CHOOSE( CONTROL!$C$29, 2.0666, 2.0598) * CHOOSE(CONTROL!$C$12, $D$4, 100%, $F$4)</f>
        <v>2.0598000000000001</v>
      </c>
      <c r="C14" s="8">
        <f>CHOOSE( CONTROL!$C$29, 2.077, 2.0701) * CHOOSE(CONTROL!$C$12, $D$4, 100%, $F$4)</f>
        <v>2.0701000000000001</v>
      </c>
      <c r="D14" s="8">
        <f>CHOOSE( CONTROL!$C$29, 2.0498, 2.043) * CHOOSE( CONTROL!$C$12, $D$4, 100%, $F$4)</f>
        <v>2.0430000000000001</v>
      </c>
      <c r="E14" s="12">
        <f>CHOOSE( CONTROL!$C$29, 2.0574, 2.0505) * CHOOSE( CONTROL!$C$12, $D$4, 100%, $F$4)</f>
        <v>2.0505</v>
      </c>
      <c r="F14" s="4">
        <f>CHOOSE( CONTROL!$C$29, 3.0411, 3.0343) * CHOOSE(CONTROL!$C$12, $D$4, 100%, $F$4)</f>
        <v>3.0343</v>
      </c>
      <c r="G14" s="8">
        <f>CHOOSE( CONTROL!$C$29, 2.0175, 2.0107) * CHOOSE( CONTROL!$C$12, $D$4, 100%, $F$4)</f>
        <v>2.0106999999999999</v>
      </c>
      <c r="H14" s="4">
        <f>CHOOSE( CONTROL!$C$29, 2.9151, 2.9084) * CHOOSE(CONTROL!$C$12, $D$4, 100%, $F$4)</f>
        <v>2.9083999999999999</v>
      </c>
      <c r="I14" s="8"/>
      <c r="J14" s="4">
        <f>CHOOSE( CONTROL!$C$29, 2.0016, 1.995) * CHOOSE(CONTROL!$C$12, $D$4, 100%, $F$4)</f>
        <v>1.9950000000000001</v>
      </c>
      <c r="K14" s="4"/>
      <c r="L14" s="9">
        <v>34.542499999999997</v>
      </c>
      <c r="M14" s="9">
        <v>12.063700000000001</v>
      </c>
      <c r="N14" s="9">
        <v>4.9444999999999997</v>
      </c>
      <c r="O14" s="9">
        <v>0.37459999999999999</v>
      </c>
      <c r="P14" s="9">
        <v>1.3714999999999999</v>
      </c>
      <c r="Q14" s="9"/>
      <c r="R14" s="9">
        <f t="shared" si="0"/>
        <v>0.4</v>
      </c>
      <c r="S14" s="11"/>
    </row>
    <row r="15" spans="1:19" ht="15" customHeight="1">
      <c r="A15" s="13">
        <v>42522</v>
      </c>
      <c r="B15" s="8">
        <f>CHOOSE( CONTROL!$C$29, 2.0336, 2.0268) * CHOOSE(CONTROL!$C$12, $D$4, 100%, $F$4)</f>
        <v>2.0268000000000002</v>
      </c>
      <c r="C15" s="8">
        <f>CHOOSE( CONTROL!$C$29, 2.0439, 2.0371) * CHOOSE(CONTROL!$C$12, $D$4, 100%, $F$4)</f>
        <v>2.0371000000000001</v>
      </c>
      <c r="D15" s="8">
        <f>CHOOSE( CONTROL!$C$29, 2.0124, 2.0055) * CHOOSE( CONTROL!$C$12, $D$4, 100%, $F$4)</f>
        <v>2.0055000000000001</v>
      </c>
      <c r="E15" s="12">
        <f>CHOOSE( CONTROL!$C$29, 2.0214, 2.0145) * CHOOSE( CONTROL!$C$12, $D$4, 100%, $F$4)</f>
        <v>2.0145</v>
      </c>
      <c r="F15" s="4">
        <f>CHOOSE( CONTROL!$C$29, 2.9977, 2.9909) * CHOOSE(CONTROL!$C$12, $D$4, 100%, $F$4)</f>
        <v>2.9908999999999999</v>
      </c>
      <c r="G15" s="8">
        <f>CHOOSE( CONTROL!$C$29, 1.9837, 1.9769) * CHOOSE( CONTROL!$C$12, $D$4, 100%, $F$4)</f>
        <v>1.9769000000000001</v>
      </c>
      <c r="H15" s="4">
        <f>CHOOSE( CONTROL!$C$29, 2.8724, 2.8657) * CHOOSE(CONTROL!$C$12, $D$4, 100%, $F$4)</f>
        <v>2.8656999999999999</v>
      </c>
      <c r="I15" s="8"/>
      <c r="J15" s="4">
        <f>CHOOSE( CONTROL!$C$29, 1.9696, 1.963) * CHOOSE(CONTROL!$C$12, $D$4, 100%, $F$4)</f>
        <v>1.9630000000000001</v>
      </c>
      <c r="K15" s="4"/>
      <c r="L15" s="9">
        <v>33.428199999999997</v>
      </c>
      <c r="M15" s="9">
        <v>11.6745</v>
      </c>
      <c r="N15" s="9">
        <v>4.7850000000000001</v>
      </c>
      <c r="O15" s="9">
        <v>0.36249999999999999</v>
      </c>
      <c r="P15" s="9">
        <v>1.3272999999999999</v>
      </c>
      <c r="Q15" s="9"/>
      <c r="R15" s="9">
        <f t="shared" si="0"/>
        <v>0.4</v>
      </c>
      <c r="S15" s="11"/>
    </row>
    <row r="16" spans="1:19" ht="15" customHeight="1">
      <c r="A16" s="13">
        <v>42552</v>
      </c>
      <c r="B16" s="8">
        <f>CHOOSE( CONTROL!$C$29, 3.0181, 3.0113) * CHOOSE(CONTROL!$C$12, $D$4, 100%, $F$4)</f>
        <v>3.0112999999999999</v>
      </c>
      <c r="C16" s="8">
        <f>CHOOSE( CONTROL!$C$29, 3.0285, 3.0216) * CHOOSE(CONTROL!$C$12, $D$4, 100%, $F$4)</f>
        <v>3.0215999999999998</v>
      </c>
      <c r="D16" s="8">
        <f>CHOOSE( CONTROL!$C$29, 3.0277, 3.0209) * CHOOSE( CONTROL!$C$12, $D$4, 100%, $F$4)</f>
        <v>3.0209000000000001</v>
      </c>
      <c r="E16" s="12">
        <f>CHOOSE( CONTROL!$C$29, 3.0265, 3.0197) * CHOOSE( CONTROL!$C$12, $D$4, 100%, $F$4)</f>
        <v>3.0196999999999998</v>
      </c>
      <c r="F16" s="4">
        <f>CHOOSE( CONTROL!$C$29, 4.0272, 4.0203) * CHOOSE(CONTROL!$C$12, $D$4, 100%, $F$4)</f>
        <v>4.0202999999999998</v>
      </c>
      <c r="G16" s="8">
        <f>CHOOSE( CONTROL!$C$29, 2.9802, 2.9735) * CHOOSE( CONTROL!$C$12, $D$4, 100%, $F$4)</f>
        <v>2.9735</v>
      </c>
      <c r="H16" s="4">
        <f>CHOOSE( CONTROL!$C$29, 3.8872, 3.8804) * CHOOSE(CONTROL!$C$12, $D$4, 100%, $F$4)</f>
        <v>3.8803999999999998</v>
      </c>
      <c r="I16" s="8"/>
      <c r="J16" s="4">
        <f>CHOOSE( CONTROL!$C$29, 2.9236, 2.917) * CHOOSE(CONTROL!$C$12, $D$4, 100%, $F$4)</f>
        <v>2.9169999999999998</v>
      </c>
      <c r="K16" s="4"/>
      <c r="L16" s="9">
        <v>34.542499999999997</v>
      </c>
      <c r="M16" s="9">
        <v>12.063700000000001</v>
      </c>
      <c r="N16" s="9">
        <v>4.9444999999999997</v>
      </c>
      <c r="O16" s="9">
        <v>0.37459999999999999</v>
      </c>
      <c r="P16" s="9">
        <v>1.3714999999999999</v>
      </c>
      <c r="Q16" s="9"/>
      <c r="R16" s="9">
        <f t="shared" si="0"/>
        <v>0.4</v>
      </c>
      <c r="S16" s="11"/>
    </row>
    <row r="17" spans="1:19" ht="15" customHeight="1">
      <c r="A17" s="13">
        <v>42583</v>
      </c>
      <c r="B17" s="8">
        <f>CHOOSE( CONTROL!$C$29, 2.7653, 2.7585) * CHOOSE(CONTROL!$C$12, $D$4, 100%, $F$4)</f>
        <v>2.7585000000000002</v>
      </c>
      <c r="C17" s="8">
        <f>CHOOSE( CONTROL!$C$29, 2.7756, 2.7688) * CHOOSE(CONTROL!$C$12, $D$4, 100%, $F$4)</f>
        <v>2.7688000000000001</v>
      </c>
      <c r="D17" s="8">
        <f>CHOOSE( CONTROL!$C$29, 2.7673, 2.7604) * CHOOSE( CONTROL!$C$12, $D$4, 100%, $F$4)</f>
        <v>2.7604000000000002</v>
      </c>
      <c r="E17" s="12">
        <f>CHOOSE( CONTROL!$C$29, 2.7686, 2.7617) * CHOOSE( CONTROL!$C$12, $D$4, 100%, $F$4)</f>
        <v>2.7616999999999998</v>
      </c>
      <c r="F17" s="4">
        <f>CHOOSE( CONTROL!$C$29, 3.7717, 3.7649) * CHOOSE(CONTROL!$C$12, $D$4, 100%, $F$4)</f>
        <v>3.7648999999999999</v>
      </c>
      <c r="G17" s="8">
        <f>CHOOSE( CONTROL!$C$29, 2.7211, 2.7143) * CHOOSE( CONTROL!$C$12, $D$4, 100%, $F$4)</f>
        <v>2.7143000000000002</v>
      </c>
      <c r="H17" s="4">
        <f>CHOOSE( CONTROL!$C$29, 3.6354, 3.6286) * CHOOSE(CONTROL!$C$12, $D$4, 100%, $F$4)</f>
        <v>3.6286</v>
      </c>
      <c r="I17" s="8"/>
      <c r="J17" s="4">
        <f>CHOOSE( CONTROL!$C$29, 2.6786, 2.672) * CHOOSE(CONTROL!$C$12, $D$4, 100%, $F$4)</f>
        <v>2.6720000000000002</v>
      </c>
      <c r="K17" s="4"/>
      <c r="L17" s="9">
        <v>34.542499999999997</v>
      </c>
      <c r="M17" s="9">
        <v>12.063700000000001</v>
      </c>
      <c r="N17" s="9">
        <v>4.9444999999999997</v>
      </c>
      <c r="O17" s="9">
        <v>0.37459999999999999</v>
      </c>
      <c r="P17" s="9">
        <v>1.3714999999999999</v>
      </c>
      <c r="Q17" s="9"/>
      <c r="R17" s="9">
        <f t="shared" si="0"/>
        <v>0.4</v>
      </c>
      <c r="S17" s="11"/>
    </row>
    <row r="18" spans="1:19" ht="15" customHeight="1">
      <c r="A18" s="13">
        <v>42614</v>
      </c>
      <c r="B18" s="8">
        <f>CHOOSE( CONTROL!$C$29, 2.9521, 2.9453) * CHOOSE(CONTROL!$C$12, $D$4, 100%, $F$4)</f>
        <v>2.9453</v>
      </c>
      <c r="C18" s="8">
        <f>CHOOSE( CONTROL!$C$29, 2.9624, 2.9556) * CHOOSE(CONTROL!$C$12, $D$4, 100%, $F$4)</f>
        <v>2.9556</v>
      </c>
      <c r="D18" s="8">
        <f>CHOOSE( CONTROL!$C$29, 2.9568, 2.95) * CHOOSE( CONTROL!$C$12, $D$4, 100%, $F$4)</f>
        <v>2.95</v>
      </c>
      <c r="E18" s="12">
        <f>CHOOSE( CONTROL!$C$29, 2.9572, 2.9504) * CHOOSE( CONTROL!$C$12, $D$4, 100%, $F$4)</f>
        <v>2.9504000000000001</v>
      </c>
      <c r="F18" s="4">
        <f>CHOOSE( CONTROL!$C$29, 3.9637, 3.9569) * CHOOSE(CONTROL!$C$12, $D$4, 100%, $F$4)</f>
        <v>3.9569000000000001</v>
      </c>
      <c r="G18" s="8">
        <f>CHOOSE( CONTROL!$C$29, 2.9072, 2.9005) * CHOOSE( CONTROL!$C$12, $D$4, 100%, $F$4)</f>
        <v>2.9005000000000001</v>
      </c>
      <c r="H18" s="4">
        <f>CHOOSE( CONTROL!$C$29, 3.8246, 3.8179) * CHOOSE(CONTROL!$C$12, $D$4, 100%, $F$4)</f>
        <v>3.8178999999999998</v>
      </c>
      <c r="I18" s="8"/>
      <c r="J18" s="4">
        <f>CHOOSE( CONTROL!$C$29, 2.8596, 2.853) * CHOOSE(CONTROL!$C$12, $D$4, 100%, $F$4)</f>
        <v>2.8530000000000002</v>
      </c>
      <c r="K18" s="4"/>
      <c r="L18" s="9">
        <v>33.428199999999997</v>
      </c>
      <c r="M18" s="9">
        <v>11.6745</v>
      </c>
      <c r="N18" s="9">
        <v>4.7850000000000001</v>
      </c>
      <c r="O18" s="9">
        <v>0.36249999999999999</v>
      </c>
      <c r="P18" s="9">
        <v>1.3272999999999999</v>
      </c>
      <c r="Q18" s="9"/>
      <c r="R18" s="9">
        <f t="shared" si="0"/>
        <v>0.4</v>
      </c>
      <c r="S18" s="11"/>
    </row>
    <row r="19" spans="1:19" ht="15" customHeight="1">
      <c r="A19" s="13">
        <v>42644</v>
      </c>
      <c r="B19" s="8">
        <f>3.0474 * CHOOSE(CONTROL!$C$12, $D$4, 100%, $F$4)</f>
        <v>3.0474000000000001</v>
      </c>
      <c r="C19" s="8">
        <f>3.0577 * CHOOSE(CONTROL!$C$12, $D$4, 100%, $F$4)</f>
        <v>3.0577000000000001</v>
      </c>
      <c r="D19" s="8">
        <f>3.0449 * CHOOSE( CONTROL!$C$12, $D$4, 100%, $F$4)</f>
        <v>3.0449000000000002</v>
      </c>
      <c r="E19" s="12">
        <f>3.0478 * CHOOSE( CONTROL!$C$12, $D$4, 100%, $F$4)</f>
        <v>3.0478000000000001</v>
      </c>
      <c r="F19" s="4">
        <f>4.0384 * CHOOSE(CONTROL!$C$12, $D$4, 100%, $F$4)</f>
        <v>4.0384000000000002</v>
      </c>
      <c r="G19" s="8">
        <f>2.998 * CHOOSE( CONTROL!$C$12, $D$4, 100%, $F$4)</f>
        <v>2.9980000000000002</v>
      </c>
      <c r="H19" s="4">
        <f>3.8982 * CHOOSE(CONTROL!$C$12, $D$4, 100%, $F$4)</f>
        <v>3.8982000000000001</v>
      </c>
      <c r="I19" s="8"/>
      <c r="J19" s="4">
        <f>2.952 * CHOOSE(CONTROL!$C$12, $D$4, 100%, $F$4)</f>
        <v>2.952</v>
      </c>
      <c r="K19" s="4"/>
      <c r="L19" s="9">
        <v>34.3003</v>
      </c>
      <c r="M19" s="9">
        <v>12.063700000000001</v>
      </c>
      <c r="N19" s="9">
        <v>4.9444999999999997</v>
      </c>
      <c r="O19" s="9">
        <v>0.37459999999999999</v>
      </c>
      <c r="P19" s="9">
        <v>1.3714999999999999</v>
      </c>
      <c r="Q19" s="9"/>
      <c r="R19" s="9">
        <f t="shared" si="0"/>
        <v>0.4</v>
      </c>
      <c r="S19" s="11"/>
    </row>
    <row r="20" spans="1:19" ht="15" customHeight="1">
      <c r="A20" s="13">
        <v>42675</v>
      </c>
      <c r="B20" s="8">
        <f>2.8534 * CHOOSE(CONTROL!$C$12, $D$4, 100%, $F$4)</f>
        <v>2.8534000000000002</v>
      </c>
      <c r="C20" s="8">
        <f>2.8637 * CHOOSE(CONTROL!$C$12, $D$4, 100%, $F$4)</f>
        <v>2.8637000000000001</v>
      </c>
      <c r="D20" s="8">
        <f>2.823 * CHOOSE( CONTROL!$C$12, $D$4, 100%, $F$4)</f>
        <v>2.823</v>
      </c>
      <c r="E20" s="12">
        <f>2.8368 * CHOOSE( CONTROL!$C$12, $D$4, 100%, $F$4)</f>
        <v>2.8368000000000002</v>
      </c>
      <c r="F20" s="4">
        <f>3.8304 * CHOOSE(CONTROL!$C$12, $D$4, 100%, $F$4)</f>
        <v>3.8304</v>
      </c>
      <c r="G20" s="8">
        <f>2.8007 * CHOOSE( CONTROL!$C$12, $D$4, 100%, $F$4)</f>
        <v>2.8007</v>
      </c>
      <c r="H20" s="4">
        <f>3.6932 * CHOOSE(CONTROL!$C$12, $D$4, 100%, $F$4)</f>
        <v>3.6932</v>
      </c>
      <c r="I20" s="8"/>
      <c r="J20" s="4">
        <f>2.764 * CHOOSE(CONTROL!$C$12, $D$4, 100%, $F$4)</f>
        <v>2.7639999999999998</v>
      </c>
      <c r="K20" s="4"/>
      <c r="L20" s="9">
        <v>28.000499999999999</v>
      </c>
      <c r="M20" s="9">
        <v>11.6745</v>
      </c>
      <c r="N20" s="9">
        <v>4.7850000000000001</v>
      </c>
      <c r="O20" s="9">
        <v>0.36249999999999999</v>
      </c>
      <c r="P20" s="9">
        <v>1.2522</v>
      </c>
      <c r="Q20" s="9"/>
      <c r="R20" s="9">
        <f t="shared" si="0"/>
        <v>0.4</v>
      </c>
      <c r="S20" s="11"/>
    </row>
    <row r="21" spans="1:19" ht="15" customHeight="1">
      <c r="A21" s="13">
        <v>42705</v>
      </c>
      <c r="B21" s="8">
        <f>2.9071 * CHOOSE(CONTROL!$C$12, $D$4, 100%, $F$4)</f>
        <v>2.9070999999999998</v>
      </c>
      <c r="C21" s="8">
        <f>2.9174 * CHOOSE(CONTROL!$C$12, $D$4, 100%, $F$4)</f>
        <v>2.9174000000000002</v>
      </c>
      <c r="D21" s="8">
        <f>2.8786 * CHOOSE( CONTROL!$C$12, $D$4, 100%, $F$4)</f>
        <v>2.8786</v>
      </c>
      <c r="E21" s="12">
        <f>2.8917 * CHOOSE( CONTROL!$C$12, $D$4, 100%, $F$4)</f>
        <v>2.8917000000000002</v>
      </c>
      <c r="F21" s="4">
        <f>3.8774 * CHOOSE(CONTROL!$C$12, $D$4, 100%, $F$4)</f>
        <v>3.8774000000000002</v>
      </c>
      <c r="G21" s="8">
        <f>2.8559 * CHOOSE( CONTROL!$C$12, $D$4, 100%, $F$4)</f>
        <v>2.8559000000000001</v>
      </c>
      <c r="H21" s="4">
        <f>3.7395 * CHOOSE(CONTROL!$C$12, $D$4, 100%, $F$4)</f>
        <v>3.7395</v>
      </c>
      <c r="I21" s="8"/>
      <c r="J21" s="4">
        <f>2.816 * CHOOSE(CONTROL!$C$12, $D$4, 100%, $F$4)</f>
        <v>2.8159999999999998</v>
      </c>
      <c r="K21" s="4"/>
      <c r="L21" s="9">
        <v>28.933900000000001</v>
      </c>
      <c r="M21" s="9">
        <v>12.063700000000001</v>
      </c>
      <c r="N21" s="9">
        <v>4.9444999999999997</v>
      </c>
      <c r="O21" s="9">
        <v>0.37459999999999999</v>
      </c>
      <c r="P21" s="9">
        <v>1.2939000000000001</v>
      </c>
      <c r="Q21" s="9"/>
      <c r="R21" s="9">
        <f t="shared" si="0"/>
        <v>0.4</v>
      </c>
      <c r="S21" s="11"/>
    </row>
    <row r="22" spans="1:19" ht="15" customHeight="1">
      <c r="A22" s="13">
        <v>42736</v>
      </c>
      <c r="B22" s="8">
        <f>3.0743 * CHOOSE(CONTROL!$C$12, $D$4, 100%, $F$4)</f>
        <v>3.0743</v>
      </c>
      <c r="C22" s="8">
        <f>3.0846 * CHOOSE(CONTROL!$C$12, $D$4, 100%, $F$4)</f>
        <v>3.0846</v>
      </c>
      <c r="D22" s="8">
        <f>3.0844 * CHOOSE( CONTROL!$C$12, $D$4, 100%, $F$4)</f>
        <v>3.0844</v>
      </c>
      <c r="E22" s="12">
        <f>3.0834 * CHOOSE( CONTROL!$C$12, $D$4, 100%, $F$4)</f>
        <v>3.0834000000000001</v>
      </c>
      <c r="F22" s="4">
        <f>4.0962 * CHOOSE(CONTROL!$C$12, $D$4, 100%, $F$4)</f>
        <v>4.0961999999999996</v>
      </c>
      <c r="G22" s="8">
        <f>3.0617 * CHOOSE( CONTROL!$C$12, $D$4, 100%, $F$4)</f>
        <v>3.0617000000000001</v>
      </c>
      <c r="H22" s="4">
        <f>3.9552 * CHOOSE(CONTROL!$C$12, $D$4, 100%, $F$4)</f>
        <v>3.9552</v>
      </c>
      <c r="I22" s="8"/>
      <c r="J22" s="4">
        <f>2.978 * CHOOSE(CONTROL!$C$12, $D$4, 100%, $F$4)</f>
        <v>2.9780000000000002</v>
      </c>
      <c r="K22" s="4"/>
      <c r="L22" s="9">
        <v>28.933900000000001</v>
      </c>
      <c r="M22" s="9">
        <v>12.063700000000001</v>
      </c>
      <c r="N22" s="9">
        <v>4.9444999999999997</v>
      </c>
      <c r="O22" s="9">
        <v>0.37459999999999999</v>
      </c>
      <c r="P22" s="9">
        <v>1.2939000000000001</v>
      </c>
      <c r="Q22" s="9"/>
      <c r="R22" s="9">
        <f t="shared" si="0"/>
        <v>0.4</v>
      </c>
      <c r="S22" s="11"/>
    </row>
    <row r="23" spans="1:19" ht="15" customHeight="1">
      <c r="A23" s="13">
        <v>42767</v>
      </c>
      <c r="B23" s="8">
        <f>3.1083 * CHOOSE(CONTROL!$C$12, $D$4, 100%, $F$4)</f>
        <v>3.1082999999999998</v>
      </c>
      <c r="C23" s="8">
        <f>3.1186 * CHOOSE(CONTROL!$C$12, $D$4, 100%, $F$4)</f>
        <v>3.1185999999999998</v>
      </c>
      <c r="D23" s="8">
        <f>3.1207 * CHOOSE( CONTROL!$C$12, $D$4, 100%, $F$4)</f>
        <v>3.1206999999999998</v>
      </c>
      <c r="E23" s="12">
        <f>3.1188 * CHOOSE( CONTROL!$C$12, $D$4, 100%, $F$4)</f>
        <v>3.1187999999999998</v>
      </c>
      <c r="F23" s="4">
        <f>4.1225 * CHOOSE(CONTROL!$C$12, $D$4, 100%, $F$4)</f>
        <v>4.1224999999999996</v>
      </c>
      <c r="G23" s="8">
        <f>3.0952 * CHOOSE( CONTROL!$C$12, $D$4, 100%, $F$4)</f>
        <v>3.0952000000000002</v>
      </c>
      <c r="H23" s="4">
        <f>3.9811 * CHOOSE(CONTROL!$C$12, $D$4, 100%, $F$4)</f>
        <v>3.9811000000000001</v>
      </c>
      <c r="I23" s="8"/>
      <c r="J23" s="4">
        <f>3.011 * CHOOSE(CONTROL!$C$12, $D$4, 100%, $F$4)</f>
        <v>3.0110000000000001</v>
      </c>
      <c r="K23" s="4"/>
      <c r="L23" s="9">
        <v>26.133800000000001</v>
      </c>
      <c r="M23" s="9">
        <v>10.8962</v>
      </c>
      <c r="N23" s="9">
        <v>4.4660000000000002</v>
      </c>
      <c r="O23" s="9">
        <v>0.33829999999999999</v>
      </c>
      <c r="P23" s="9">
        <v>1.1687000000000001</v>
      </c>
      <c r="Q23" s="9"/>
      <c r="R23" s="9">
        <f t="shared" si="0"/>
        <v>0.4</v>
      </c>
      <c r="S23" s="11"/>
    </row>
    <row r="24" spans="1:19" ht="15" customHeight="1">
      <c r="A24" s="13">
        <v>42795</v>
      </c>
      <c r="B24" s="8">
        <f>3.097 * CHOOSE(CONTROL!$C$12, $D$4, 100%, $F$4)</f>
        <v>3.097</v>
      </c>
      <c r="C24" s="8">
        <f>3.1073 * CHOOSE(CONTROL!$C$12, $D$4, 100%, $F$4)</f>
        <v>3.1073</v>
      </c>
      <c r="D24" s="8">
        <f>3.0895 * CHOOSE( CONTROL!$C$12, $D$4, 100%, $F$4)</f>
        <v>3.0895000000000001</v>
      </c>
      <c r="E24" s="12">
        <f>3.0949 * CHOOSE( CONTROL!$C$12, $D$4, 100%, $F$4)</f>
        <v>3.0949</v>
      </c>
      <c r="F24" s="4">
        <f>4.0951 * CHOOSE(CONTROL!$C$12, $D$4, 100%, $F$4)</f>
        <v>4.0951000000000004</v>
      </c>
      <c r="G24" s="8">
        <f>3.0635 * CHOOSE( CONTROL!$C$12, $D$4, 100%, $F$4)</f>
        <v>3.0634999999999999</v>
      </c>
      <c r="H24" s="4">
        <f>3.9542 * CHOOSE(CONTROL!$C$12, $D$4, 100%, $F$4)</f>
        <v>3.9542000000000002</v>
      </c>
      <c r="I24" s="8"/>
      <c r="J24" s="4">
        <f>3 * CHOOSE(CONTROL!$C$12, $D$4, 100%, $F$4)</f>
        <v>3</v>
      </c>
      <c r="K24" s="4"/>
      <c r="L24" s="9">
        <v>28.933900000000001</v>
      </c>
      <c r="M24" s="9">
        <v>12.063700000000001</v>
      </c>
      <c r="N24" s="9">
        <v>4.9444999999999997</v>
      </c>
      <c r="O24" s="9">
        <v>0.37459999999999999</v>
      </c>
      <c r="P24" s="9">
        <v>1.2939000000000001</v>
      </c>
      <c r="Q24" s="9"/>
      <c r="R24" s="9">
        <f t="shared" si="0"/>
        <v>0.4</v>
      </c>
      <c r="S24" s="11"/>
    </row>
    <row r="25" spans="1:19" ht="15" customHeight="1">
      <c r="A25" s="13">
        <v>42826</v>
      </c>
      <c r="B25" s="8">
        <f>3.0309 * CHOOSE(CONTROL!$C$12, $D$4, 100%, $F$4)</f>
        <v>3.0308999999999999</v>
      </c>
      <c r="C25" s="8">
        <f>3.0412 * CHOOSE(CONTROL!$C$12, $D$4, 100%, $F$4)</f>
        <v>3.0411999999999999</v>
      </c>
      <c r="D25" s="8">
        <f>3.0373 * CHOOSE( CONTROL!$C$12, $D$4, 100%, $F$4)</f>
        <v>3.0373000000000001</v>
      </c>
      <c r="E25" s="12">
        <f>3.0374 * CHOOSE( CONTROL!$C$12, $D$4, 100%, $F$4)</f>
        <v>3.0373999999999999</v>
      </c>
      <c r="F25" s="4">
        <f>4.0373 * CHOOSE(CONTROL!$C$12, $D$4, 100%, $F$4)</f>
        <v>4.0373000000000001</v>
      </c>
      <c r="G25" s="8">
        <f>2.9862 * CHOOSE( CONTROL!$C$12, $D$4, 100%, $F$4)</f>
        <v>2.9862000000000002</v>
      </c>
      <c r="H25" s="4">
        <f>3.8972 * CHOOSE(CONTROL!$C$12, $D$4, 100%, $F$4)</f>
        <v>3.8972000000000002</v>
      </c>
      <c r="I25" s="8"/>
      <c r="J25" s="4">
        <f>2.936 * CHOOSE(CONTROL!$C$12, $D$4, 100%, $F$4)</f>
        <v>2.9359999999999999</v>
      </c>
      <c r="K25" s="4"/>
      <c r="L25" s="9">
        <v>33.190800000000003</v>
      </c>
      <c r="M25" s="9">
        <v>11.6745</v>
      </c>
      <c r="N25" s="9">
        <v>4.7850000000000001</v>
      </c>
      <c r="O25" s="9">
        <v>0.36249999999999999</v>
      </c>
      <c r="P25" s="9">
        <v>2.0352000000000001</v>
      </c>
      <c r="Q25" s="9"/>
      <c r="R25" s="9">
        <f t="shared" si="0"/>
        <v>0.4</v>
      </c>
      <c r="S25" s="11"/>
    </row>
    <row r="26" spans="1:19" ht="15" customHeight="1">
      <c r="A26" s="13">
        <v>42856</v>
      </c>
      <c r="B26" s="8">
        <f>CHOOSE( CONTROL!$C$29, 3.046, 3.0392) * CHOOSE(CONTROL!$C$12, $D$4, 100%, $F$4)</f>
        <v>3.0392000000000001</v>
      </c>
      <c r="C26" s="8">
        <f>CHOOSE( CONTROL!$C$29, 3.0563, 3.0495) * CHOOSE(CONTROL!$C$12, $D$4, 100%, $F$4)</f>
        <v>3.0495000000000001</v>
      </c>
      <c r="D26" s="8">
        <f>CHOOSE( CONTROL!$C$29, 3.0307, 3.0238) * CHOOSE( CONTROL!$C$12, $D$4, 100%, $F$4)</f>
        <v>3.0238</v>
      </c>
      <c r="E26" s="12">
        <f>CHOOSE( CONTROL!$C$29, 3.0378, 3.031) * CHOOSE( CONTROL!$C$12, $D$4, 100%, $F$4)</f>
        <v>3.0310000000000001</v>
      </c>
      <c r="F26" s="4">
        <f>CHOOSE( CONTROL!$C$29, 4.0205, 4.0136) * CHOOSE(CONTROL!$C$12, $D$4, 100%, $F$4)</f>
        <v>4.0136000000000003</v>
      </c>
      <c r="G26" s="8">
        <f>CHOOSE( CONTROL!$C$29, 2.9829, 2.9762) * CHOOSE( CONTROL!$C$12, $D$4, 100%, $F$4)</f>
        <v>2.9762</v>
      </c>
      <c r="H26" s="4">
        <f>CHOOSE( CONTROL!$C$29, 3.8806, 3.8738) * CHOOSE(CONTROL!$C$12, $D$4, 100%, $F$4)</f>
        <v>3.8738000000000001</v>
      </c>
      <c r="I26" s="8">
        <f>CHOOSE( CONTROL!$C$29, 2.9788, 2.9722) * CHOOSE(CONTROL!$C$12, $D$4, 100%, $F$4)</f>
        <v>2.9722</v>
      </c>
      <c r="J26" s="4">
        <f>CHOOSE( CONTROL!$C$29, 2.9506, 2.944) * CHOOSE(CONTROL!$C$12, $D$4, 100%, $F$4)</f>
        <v>2.944</v>
      </c>
      <c r="K26" s="4"/>
      <c r="L26" s="9">
        <v>34.666899999999998</v>
      </c>
      <c r="M26" s="9">
        <v>12.063700000000001</v>
      </c>
      <c r="N26" s="9">
        <v>4.9444999999999997</v>
      </c>
      <c r="O26" s="9">
        <v>0.37459999999999999</v>
      </c>
      <c r="P26" s="9">
        <v>2.1030000000000002</v>
      </c>
      <c r="Q26" s="9">
        <v>25.076499999999999</v>
      </c>
      <c r="R26" s="9">
        <f t="shared" si="0"/>
        <v>0.4</v>
      </c>
      <c r="S26" s="11"/>
    </row>
    <row r="27" spans="1:19" ht="15" customHeight="1">
      <c r="A27" s="13">
        <v>42887</v>
      </c>
      <c r="B27" s="8">
        <f>CHOOSE( CONTROL!$C$29, 3.0863, 3.0794) * CHOOSE(CONTROL!$C$12, $D$4, 100%, $F$4)</f>
        <v>3.0794000000000001</v>
      </c>
      <c r="C27" s="8">
        <f>CHOOSE( CONTROL!$C$29, 3.0966, 3.0897) * CHOOSE(CONTROL!$C$12, $D$4, 100%, $F$4)</f>
        <v>3.0897000000000001</v>
      </c>
      <c r="D27" s="8">
        <f>CHOOSE( CONTROL!$C$29, 3.0666, 3.0597) * CHOOSE( CONTROL!$C$12, $D$4, 100%, $F$4)</f>
        <v>3.0596999999999999</v>
      </c>
      <c r="E27" s="12">
        <f>CHOOSE( CONTROL!$C$29, 3.0752, 3.0683) * CHOOSE( CONTROL!$C$12, $D$4, 100%, $F$4)</f>
        <v>3.0682999999999998</v>
      </c>
      <c r="F27" s="4">
        <f>CHOOSE( CONTROL!$C$29, 4.0504, 4.0435) * CHOOSE(CONTROL!$C$12, $D$4, 100%, $F$4)</f>
        <v>4.0434999999999999</v>
      </c>
      <c r="G27" s="8">
        <f>CHOOSE( CONTROL!$C$29, 3.0213, 3.0146) * CHOOSE( CONTROL!$C$12, $D$4, 100%, $F$4)</f>
        <v>3.0146000000000002</v>
      </c>
      <c r="H27" s="4">
        <f>CHOOSE( CONTROL!$C$29, 3.9101, 3.9033) * CHOOSE(CONTROL!$C$12, $D$4, 100%, $F$4)</f>
        <v>3.9033000000000002</v>
      </c>
      <c r="I27" s="8">
        <f>CHOOSE( CONTROL!$C$29, 3.02, 3.0134) * CHOOSE(CONTROL!$C$12, $D$4, 100%, $F$4)</f>
        <v>3.0133999999999999</v>
      </c>
      <c r="J27" s="4">
        <f>CHOOSE( CONTROL!$C$29, 2.9896, 2.983) * CHOOSE(CONTROL!$C$12, $D$4, 100%, $F$4)</f>
        <v>2.9830000000000001</v>
      </c>
      <c r="K27" s="4"/>
      <c r="L27" s="9">
        <v>33.5486</v>
      </c>
      <c r="M27" s="9">
        <v>11.6745</v>
      </c>
      <c r="N27" s="9">
        <v>4.7850000000000001</v>
      </c>
      <c r="O27" s="9">
        <v>0.36249999999999999</v>
      </c>
      <c r="P27" s="9">
        <v>2.0352000000000001</v>
      </c>
      <c r="Q27" s="9">
        <v>24.267600000000002</v>
      </c>
      <c r="R27" s="9">
        <f t="shared" si="0"/>
        <v>0.4</v>
      </c>
      <c r="S27" s="11"/>
    </row>
    <row r="28" spans="1:19" ht="15" customHeight="1">
      <c r="A28" s="13">
        <v>42917</v>
      </c>
      <c r="B28" s="8">
        <f>CHOOSE( CONTROL!$C$29, 3.1255, 3.1186) * CHOOSE(CONTROL!$C$12, $D$4, 100%, $F$4)</f>
        <v>3.1185999999999998</v>
      </c>
      <c r="C28" s="8">
        <f>CHOOSE( CONTROL!$C$29, 3.1358, 3.1289) * CHOOSE(CONTROL!$C$12, $D$4, 100%, $F$4)</f>
        <v>3.1288999999999998</v>
      </c>
      <c r="D28" s="8">
        <f>CHOOSE( CONTROL!$C$29, 3.1364, 3.1296) * CHOOSE( CONTROL!$C$12, $D$4, 100%, $F$4)</f>
        <v>3.1295999999999999</v>
      </c>
      <c r="E28" s="12">
        <f>CHOOSE( CONTROL!$C$29, 3.1347, 3.1279) * CHOOSE( CONTROL!$C$12, $D$4, 100%, $F$4)</f>
        <v>3.1278999999999999</v>
      </c>
      <c r="F28" s="4">
        <f>CHOOSE( CONTROL!$C$29, 4.1345, 4.1276) * CHOOSE(CONTROL!$C$12, $D$4, 100%, $F$4)</f>
        <v>4.1276000000000002</v>
      </c>
      <c r="G28" s="8">
        <f>CHOOSE( CONTROL!$C$29, 3.086, 3.0793) * CHOOSE( CONTROL!$C$12, $D$4, 100%, $F$4)</f>
        <v>3.0792999999999999</v>
      </c>
      <c r="H28" s="4">
        <f>CHOOSE( CONTROL!$C$29, 3.993, 3.9862) * CHOOSE(CONTROL!$C$12, $D$4, 100%, $F$4)</f>
        <v>3.9862000000000002</v>
      </c>
      <c r="I28" s="8">
        <f>CHOOSE( CONTROL!$C$29, 3.1133, 3.1067) * CHOOSE(CONTROL!$C$12, $D$4, 100%, $F$4)</f>
        <v>3.1067</v>
      </c>
      <c r="J28" s="4">
        <f>CHOOSE( CONTROL!$C$29, 3.0276, 3.021) * CHOOSE(CONTROL!$C$12, $D$4, 100%, $F$4)</f>
        <v>3.0209999999999999</v>
      </c>
      <c r="K28" s="4"/>
      <c r="L28" s="9">
        <v>34.666899999999998</v>
      </c>
      <c r="M28" s="9">
        <v>12.063700000000001</v>
      </c>
      <c r="N28" s="9">
        <v>4.9444999999999997</v>
      </c>
      <c r="O28" s="9">
        <v>0.37459999999999999</v>
      </c>
      <c r="P28" s="9">
        <v>2.1030000000000002</v>
      </c>
      <c r="Q28" s="9">
        <v>25.076499999999999</v>
      </c>
      <c r="R28" s="9">
        <f t="shared" si="0"/>
        <v>0.4</v>
      </c>
      <c r="S28" s="11"/>
    </row>
    <row r="29" spans="1:19" ht="15" customHeight="1">
      <c r="A29" s="13">
        <v>42948</v>
      </c>
      <c r="B29" s="8">
        <f>CHOOSE( CONTROL!$C$29, 3.1296, 3.1228) * CHOOSE(CONTROL!$C$12, $D$4, 100%, $F$4)</f>
        <v>3.1227999999999998</v>
      </c>
      <c r="C29" s="8">
        <f>CHOOSE( CONTROL!$C$29, 3.1399, 3.1331) * CHOOSE(CONTROL!$C$12, $D$4, 100%, $F$4)</f>
        <v>3.1331000000000002</v>
      </c>
      <c r="D29" s="8">
        <f>CHOOSE( CONTROL!$C$29, 3.1329, 3.126) * CHOOSE( CONTROL!$C$12, $D$4, 100%, $F$4)</f>
        <v>3.1259999999999999</v>
      </c>
      <c r="E29" s="12">
        <f>CHOOSE( CONTROL!$C$29, 3.1338, 3.1269) * CHOOSE( CONTROL!$C$12, $D$4, 100%, $F$4)</f>
        <v>3.1269</v>
      </c>
      <c r="F29" s="4">
        <f>CHOOSE( CONTROL!$C$29, 4.136, 4.1292) * CHOOSE(CONTROL!$C$12, $D$4, 100%, $F$4)</f>
        <v>4.1292</v>
      </c>
      <c r="G29" s="8">
        <f>CHOOSE( CONTROL!$C$29, 3.0802, 3.0734) * CHOOSE( CONTROL!$C$12, $D$4, 100%, $F$4)</f>
        <v>3.0733999999999999</v>
      </c>
      <c r="H29" s="4">
        <f>CHOOSE( CONTROL!$C$29, 3.9945, 3.9878) * CHOOSE(CONTROL!$C$12, $D$4, 100%, $F$4)</f>
        <v>3.9878</v>
      </c>
      <c r="I29" s="8">
        <f>CHOOSE( CONTROL!$C$29, 3.0984, 3.0918) * CHOOSE(CONTROL!$C$12, $D$4, 100%, $F$4)</f>
        <v>3.0918000000000001</v>
      </c>
      <c r="J29" s="4">
        <f>CHOOSE( CONTROL!$C$29, 3.0316, 3.025) * CHOOSE(CONTROL!$C$12, $D$4, 100%, $F$4)</f>
        <v>3.0249999999999999</v>
      </c>
      <c r="K29" s="4"/>
      <c r="L29" s="9">
        <v>34.666899999999998</v>
      </c>
      <c r="M29" s="9">
        <v>12.063700000000001</v>
      </c>
      <c r="N29" s="9">
        <v>4.9444999999999997</v>
      </c>
      <c r="O29" s="9">
        <v>0.37459999999999999</v>
      </c>
      <c r="P29" s="9">
        <v>2.1030000000000002</v>
      </c>
      <c r="Q29" s="9">
        <v>25.076499999999999</v>
      </c>
      <c r="R29" s="9">
        <f t="shared" si="0"/>
        <v>0.4</v>
      </c>
      <c r="S29" s="11"/>
    </row>
    <row r="30" spans="1:19" ht="15" customHeight="1">
      <c r="A30" s="13">
        <v>42979</v>
      </c>
      <c r="B30" s="8">
        <f>CHOOSE( CONTROL!$C$29, 3.1182, 3.1114) * CHOOSE(CONTROL!$C$12, $D$4, 100%, $F$4)</f>
        <v>3.1114000000000002</v>
      </c>
      <c r="C30" s="8">
        <f>CHOOSE( CONTROL!$C$29, 3.1286, 3.1217) * CHOOSE(CONTROL!$C$12, $D$4, 100%, $F$4)</f>
        <v>3.1217000000000001</v>
      </c>
      <c r="D30" s="8">
        <f>CHOOSE( CONTROL!$C$29, 3.1242, 3.1174) * CHOOSE( CONTROL!$C$12, $D$4, 100%, $F$4)</f>
        <v>3.1173999999999999</v>
      </c>
      <c r="E30" s="12">
        <f>CHOOSE( CONTROL!$C$29, 3.1242, 3.1174) * CHOOSE( CONTROL!$C$12, $D$4, 100%, $F$4)</f>
        <v>3.1173999999999999</v>
      </c>
      <c r="F30" s="4">
        <f>CHOOSE( CONTROL!$C$29, 4.1298, 4.123) * CHOOSE(CONTROL!$C$12, $D$4, 100%, $F$4)</f>
        <v>4.1230000000000002</v>
      </c>
      <c r="G30" s="8">
        <f>CHOOSE( CONTROL!$C$29, 3.071, 3.0643) * CHOOSE( CONTROL!$C$12, $D$4, 100%, $F$4)</f>
        <v>3.0642999999999998</v>
      </c>
      <c r="H30" s="4">
        <f>CHOOSE( CONTROL!$C$29, 3.9884, 3.9816) * CHOOSE(CONTROL!$C$12, $D$4, 100%, $F$4)</f>
        <v>3.9815999999999998</v>
      </c>
      <c r="I30" s="8">
        <f>CHOOSE( CONTROL!$C$29, 3.0952, 3.0885) * CHOOSE(CONTROL!$C$12, $D$4, 100%, $F$4)</f>
        <v>3.0884999999999998</v>
      </c>
      <c r="J30" s="4">
        <f>CHOOSE( CONTROL!$C$29, 3.0206, 3.014) * CHOOSE(CONTROL!$C$12, $D$4, 100%, $F$4)</f>
        <v>3.0139999999999998</v>
      </c>
      <c r="K30" s="4"/>
      <c r="L30" s="9">
        <v>33.5486</v>
      </c>
      <c r="M30" s="9">
        <v>11.6745</v>
      </c>
      <c r="N30" s="9">
        <v>4.7850000000000001</v>
      </c>
      <c r="O30" s="9">
        <v>0.36249999999999999</v>
      </c>
      <c r="P30" s="9">
        <v>2.0352000000000001</v>
      </c>
      <c r="Q30" s="9">
        <v>24.267600000000002</v>
      </c>
      <c r="R30" s="9">
        <f t="shared" si="0"/>
        <v>0.4</v>
      </c>
      <c r="S30" s="11"/>
    </row>
    <row r="31" spans="1:19" ht="15" customHeight="1">
      <c r="A31" s="13">
        <v>43009</v>
      </c>
      <c r="B31" s="8">
        <f>3.131 * CHOOSE(CONTROL!$C$12, $D$4, 100%, $F$4)</f>
        <v>3.1309999999999998</v>
      </c>
      <c r="C31" s="8">
        <f>3.1413 * CHOOSE(CONTROL!$C$12, $D$4, 100%, $F$4)</f>
        <v>3.1413000000000002</v>
      </c>
      <c r="D31" s="8">
        <f>3.1246 * CHOOSE( CONTROL!$C$12, $D$4, 100%, $F$4)</f>
        <v>3.1246</v>
      </c>
      <c r="E31" s="12">
        <f>3.129 * CHOOSE( CONTROL!$C$12, $D$4, 100%, $F$4)</f>
        <v>3.129</v>
      </c>
      <c r="F31" s="4">
        <f>4.122 * CHOOSE(CONTROL!$C$12, $D$4, 100%, $F$4)</f>
        <v>4.1219999999999999</v>
      </c>
      <c r="G31" s="8">
        <f>3.0804 * CHOOSE( CONTROL!$C$12, $D$4, 100%, $F$4)</f>
        <v>3.0804</v>
      </c>
      <c r="H31" s="4">
        <f>3.9806 * CHOOSE(CONTROL!$C$12, $D$4, 100%, $F$4)</f>
        <v>3.9805999999999999</v>
      </c>
      <c r="I31" s="8">
        <f>3.1114 * CHOOSE(CONTROL!$C$12, $D$4, 100%, $F$4)</f>
        <v>3.1114000000000002</v>
      </c>
      <c r="J31" s="4">
        <f>3.033 * CHOOSE(CONTROL!$C$12, $D$4, 100%, $F$4)</f>
        <v>3.0329999999999999</v>
      </c>
      <c r="K31" s="4"/>
      <c r="L31" s="9">
        <v>30.654699999999998</v>
      </c>
      <c r="M31" s="9">
        <v>12.063700000000001</v>
      </c>
      <c r="N31" s="9">
        <v>4.9444999999999997</v>
      </c>
      <c r="O31" s="9">
        <v>0.37459999999999999</v>
      </c>
      <c r="P31" s="9">
        <v>2.1030000000000002</v>
      </c>
      <c r="Q31" s="9">
        <v>25.076499999999999</v>
      </c>
      <c r="R31" s="9">
        <f t="shared" si="0"/>
        <v>0.4</v>
      </c>
      <c r="S31" s="11"/>
    </row>
    <row r="32" spans="1:19" ht="15" customHeight="1">
      <c r="A32" s="13">
        <v>43040</v>
      </c>
      <c r="B32" s="8">
        <f>3.1816 * CHOOSE(CONTROL!$C$12, $D$4, 100%, $F$4)</f>
        <v>3.1816</v>
      </c>
      <c r="C32" s="8">
        <f>3.1919 * CHOOSE(CONTROL!$C$12, $D$4, 100%, $F$4)</f>
        <v>3.1919</v>
      </c>
      <c r="D32" s="8">
        <f>3.1512 * CHOOSE( CONTROL!$C$12, $D$4, 100%, $F$4)</f>
        <v>3.1511999999999998</v>
      </c>
      <c r="E32" s="12">
        <f>3.165 * CHOOSE( CONTROL!$C$12, $D$4, 100%, $F$4)</f>
        <v>3.165</v>
      </c>
      <c r="F32" s="4">
        <f>4.1586 * CHOOSE(CONTROL!$C$12, $D$4, 100%, $F$4)</f>
        <v>4.1585999999999999</v>
      </c>
      <c r="G32" s="8">
        <f>3.1242 * CHOOSE( CONTROL!$C$12, $D$4, 100%, $F$4)</f>
        <v>3.1242000000000001</v>
      </c>
      <c r="H32" s="4">
        <f>4.0167 * CHOOSE(CONTROL!$C$12, $D$4, 100%, $F$4)</f>
        <v>4.0167000000000002</v>
      </c>
      <c r="I32" s="8">
        <f>3.1448 * CHOOSE(CONTROL!$C$12, $D$4, 100%, $F$4)</f>
        <v>3.1448</v>
      </c>
      <c r="J32" s="4">
        <f>3.082 * CHOOSE(CONTROL!$C$12, $D$4, 100%, $F$4)</f>
        <v>3.0819999999999999</v>
      </c>
      <c r="K32" s="4"/>
      <c r="L32" s="9">
        <v>28.000499999999999</v>
      </c>
      <c r="M32" s="9">
        <v>11.6745</v>
      </c>
      <c r="N32" s="9">
        <v>4.7850000000000001</v>
      </c>
      <c r="O32" s="9">
        <v>0.36249999999999999</v>
      </c>
      <c r="P32" s="9">
        <v>1.2522</v>
      </c>
      <c r="Q32" s="9">
        <v>24.267600000000002</v>
      </c>
      <c r="R32" s="9">
        <f t="shared" si="0"/>
        <v>0.4</v>
      </c>
      <c r="S32" s="11"/>
    </row>
    <row r="33" spans="1:19" ht="15" customHeight="1">
      <c r="A33" s="13">
        <v>43070</v>
      </c>
      <c r="B33" s="8">
        <f>3.3374 * CHOOSE(CONTROL!$C$12, $D$4, 100%, $F$4)</f>
        <v>3.3374000000000001</v>
      </c>
      <c r="C33" s="8">
        <f>3.3477 * CHOOSE(CONTROL!$C$12, $D$4, 100%, $F$4)</f>
        <v>3.3477000000000001</v>
      </c>
      <c r="D33" s="8">
        <f>3.3089 * CHOOSE( CONTROL!$C$12, $D$4, 100%, $F$4)</f>
        <v>3.3089</v>
      </c>
      <c r="E33" s="12">
        <f>3.322 * CHOOSE( CONTROL!$C$12, $D$4, 100%, $F$4)</f>
        <v>3.3220000000000001</v>
      </c>
      <c r="F33" s="4">
        <f>4.3077 * CHOOSE(CONTROL!$C$12, $D$4, 100%, $F$4)</f>
        <v>4.3076999999999996</v>
      </c>
      <c r="G33" s="8">
        <f>3.2802 * CHOOSE( CONTROL!$C$12, $D$4, 100%, $F$4)</f>
        <v>3.2801999999999998</v>
      </c>
      <c r="H33" s="4">
        <f>4.1637 * CHOOSE(CONTROL!$C$12, $D$4, 100%, $F$4)</f>
        <v>4.1637000000000004</v>
      </c>
      <c r="I33" s="8">
        <f>3.3066 * CHOOSE(CONTROL!$C$12, $D$4, 100%, $F$4)</f>
        <v>3.3066</v>
      </c>
      <c r="J33" s="4">
        <f>3.233 * CHOOSE(CONTROL!$C$12, $D$4, 100%, $F$4)</f>
        <v>3.2330000000000001</v>
      </c>
      <c r="K33" s="4"/>
      <c r="L33" s="9">
        <v>28.933900000000001</v>
      </c>
      <c r="M33" s="9">
        <v>12.063700000000001</v>
      </c>
      <c r="N33" s="9">
        <v>4.9444999999999997</v>
      </c>
      <c r="O33" s="9">
        <v>0.37459999999999999</v>
      </c>
      <c r="P33" s="9">
        <v>1.2939000000000001</v>
      </c>
      <c r="Q33" s="9">
        <v>25.076499999999999</v>
      </c>
      <c r="R33" s="9">
        <f t="shared" si="0"/>
        <v>0.4</v>
      </c>
      <c r="S33" s="11"/>
    </row>
    <row r="34" spans="1:19" ht="15" customHeight="1">
      <c r="A34" s="13">
        <v>43101</v>
      </c>
      <c r="B34" s="8">
        <f>3.4282 * CHOOSE(CONTROL!$C$12, $D$4, 100%, $F$4)</f>
        <v>3.4281999999999999</v>
      </c>
      <c r="C34" s="8">
        <f>3.4385 * CHOOSE(CONTROL!$C$12, $D$4, 100%, $F$4)</f>
        <v>3.4384999999999999</v>
      </c>
      <c r="D34" s="8">
        <f>3.4383 * CHOOSE( CONTROL!$C$12, $D$4, 100%, $F$4)</f>
        <v>3.4382999999999999</v>
      </c>
      <c r="E34" s="12">
        <f>3.4373 * CHOOSE( CONTROL!$C$12, $D$4, 100%, $F$4)</f>
        <v>3.4373</v>
      </c>
      <c r="F34" s="4">
        <f>4.4501 * CHOOSE(CONTROL!$C$12, $D$4, 100%, $F$4)</f>
        <v>4.4500999999999999</v>
      </c>
      <c r="G34" s="8">
        <f>3.4107 * CHOOSE( CONTROL!$C$12, $D$4, 100%, $F$4)</f>
        <v>3.4106999999999998</v>
      </c>
      <c r="H34" s="4">
        <f>4.3041 * CHOOSE(CONTROL!$C$12, $D$4, 100%, $F$4)</f>
        <v>4.3041</v>
      </c>
      <c r="I34" s="8">
        <f>3.4312 * CHOOSE(CONTROL!$C$12, $D$4, 100%, $F$4)</f>
        <v>3.4312</v>
      </c>
      <c r="J34" s="4">
        <f>3.321 * CHOOSE(CONTROL!$C$12, $D$4, 100%, $F$4)</f>
        <v>3.3210000000000002</v>
      </c>
      <c r="K34" s="4"/>
      <c r="L34" s="9">
        <v>28.933900000000001</v>
      </c>
      <c r="M34" s="9">
        <v>12.063700000000001</v>
      </c>
      <c r="N34" s="9">
        <v>4.9444999999999997</v>
      </c>
      <c r="O34" s="9">
        <v>0.37459999999999999</v>
      </c>
      <c r="P34" s="9">
        <v>1.2939000000000001</v>
      </c>
      <c r="Q34" s="9">
        <v>24.901700000000002</v>
      </c>
      <c r="R34" s="9">
        <f t="shared" si="0"/>
        <v>0.4</v>
      </c>
      <c r="S34" s="11"/>
    </row>
    <row r="35" spans="1:19" ht="15" customHeight="1">
      <c r="A35" s="13">
        <v>43132</v>
      </c>
      <c r="B35" s="8">
        <f>3.4024 * CHOOSE(CONTROL!$C$12, $D$4, 100%, $F$4)</f>
        <v>3.4024000000000001</v>
      </c>
      <c r="C35" s="8">
        <f>3.4127 * CHOOSE(CONTROL!$C$12, $D$4, 100%, $F$4)</f>
        <v>3.4127000000000001</v>
      </c>
      <c r="D35" s="8">
        <f>3.4148 * CHOOSE( CONTROL!$C$12, $D$4, 100%, $F$4)</f>
        <v>3.4148000000000001</v>
      </c>
      <c r="E35" s="12">
        <f>3.4129 * CHOOSE( CONTROL!$C$12, $D$4, 100%, $F$4)</f>
        <v>3.4129</v>
      </c>
      <c r="F35" s="4">
        <f>4.4166 * CHOOSE(CONTROL!$C$12, $D$4, 100%, $F$4)</f>
        <v>4.4165999999999999</v>
      </c>
      <c r="G35" s="8">
        <f>3.3851 * CHOOSE( CONTROL!$C$12, $D$4, 100%, $F$4)</f>
        <v>3.3851</v>
      </c>
      <c r="H35" s="4">
        <f>4.2711 * CHOOSE(CONTROL!$C$12, $D$4, 100%, $F$4)</f>
        <v>4.2710999999999997</v>
      </c>
      <c r="I35" s="8">
        <f>3.3953 * CHOOSE(CONTROL!$C$12, $D$4, 100%, $F$4)</f>
        <v>3.3953000000000002</v>
      </c>
      <c r="J35" s="4">
        <f>3.296 * CHOOSE(CONTROL!$C$12, $D$4, 100%, $F$4)</f>
        <v>3.2959999999999998</v>
      </c>
      <c r="K35" s="4"/>
      <c r="L35" s="9">
        <v>26.133800000000001</v>
      </c>
      <c r="M35" s="9">
        <v>10.8962</v>
      </c>
      <c r="N35" s="9">
        <v>4.4660000000000002</v>
      </c>
      <c r="O35" s="9">
        <v>0.33829999999999999</v>
      </c>
      <c r="P35" s="9">
        <v>1.1687000000000001</v>
      </c>
      <c r="Q35" s="9">
        <v>22.491800000000001</v>
      </c>
      <c r="R35" s="9">
        <f t="shared" si="0"/>
        <v>0.4</v>
      </c>
      <c r="S35" s="11"/>
    </row>
    <row r="36" spans="1:19" ht="15" customHeight="1">
      <c r="A36" s="13">
        <v>43160</v>
      </c>
      <c r="B36" s="8">
        <f>3.3364 * CHOOSE(CONTROL!$C$12, $D$4, 100%, $F$4)</f>
        <v>3.3363999999999998</v>
      </c>
      <c r="C36" s="8">
        <f>3.3467 * CHOOSE(CONTROL!$C$12, $D$4, 100%, $F$4)</f>
        <v>3.3466999999999998</v>
      </c>
      <c r="D36" s="8">
        <f>3.3289 * CHOOSE( CONTROL!$C$12, $D$4, 100%, $F$4)</f>
        <v>3.3289</v>
      </c>
      <c r="E36" s="12">
        <f>3.3343 * CHOOSE( CONTROL!$C$12, $D$4, 100%, $F$4)</f>
        <v>3.3342999999999998</v>
      </c>
      <c r="F36" s="4">
        <f>4.3346 * CHOOSE(CONTROL!$C$12, $D$4, 100%, $F$4)</f>
        <v>4.3346</v>
      </c>
      <c r="G36" s="8">
        <f>3.2995 * CHOOSE( CONTROL!$C$12, $D$4, 100%, $F$4)</f>
        <v>3.2995000000000001</v>
      </c>
      <c r="H36" s="4">
        <f>4.1902 * CHOOSE(CONTROL!$C$12, $D$4, 100%, $F$4)</f>
        <v>4.1901999999999999</v>
      </c>
      <c r="I36" s="8">
        <f>3.2918 * CHOOSE(CONTROL!$C$12, $D$4, 100%, $F$4)</f>
        <v>3.2917999999999998</v>
      </c>
      <c r="J36" s="4">
        <f>3.232 * CHOOSE(CONTROL!$C$12, $D$4, 100%, $F$4)</f>
        <v>3.2320000000000002</v>
      </c>
      <c r="K36" s="4"/>
      <c r="L36" s="9">
        <v>28.933900000000001</v>
      </c>
      <c r="M36" s="9">
        <v>12.063700000000001</v>
      </c>
      <c r="N36" s="9">
        <v>4.9444999999999997</v>
      </c>
      <c r="O36" s="9">
        <v>0.37459999999999999</v>
      </c>
      <c r="P36" s="9">
        <v>1.2939000000000001</v>
      </c>
      <c r="Q36" s="9">
        <v>24.901700000000002</v>
      </c>
      <c r="R36" s="9">
        <f t="shared" si="0"/>
        <v>0.4</v>
      </c>
      <c r="S36" s="11"/>
    </row>
    <row r="37" spans="1:19" ht="15" customHeight="1">
      <c r="A37" s="13">
        <v>43191</v>
      </c>
      <c r="B37" s="8">
        <f>2.9102 * CHOOSE(CONTROL!$C$12, $D$4, 100%, $F$4)</f>
        <v>2.9102000000000001</v>
      </c>
      <c r="C37" s="8">
        <f>2.9205 * CHOOSE(CONTROL!$C$12, $D$4, 100%, $F$4)</f>
        <v>2.9205000000000001</v>
      </c>
      <c r="D37" s="8">
        <f>2.9255 * CHOOSE( CONTROL!$C$12, $D$4, 100%, $F$4)</f>
        <v>2.9255</v>
      </c>
      <c r="E37" s="12">
        <f>2.9227 * CHOOSE( CONTROL!$C$12, $D$4, 100%, $F$4)</f>
        <v>2.9226999999999999</v>
      </c>
      <c r="F37" s="4">
        <f>3.9166 * CHOOSE(CONTROL!$C$12, $D$4, 100%, $F$4)</f>
        <v>3.9165999999999999</v>
      </c>
      <c r="G37" s="8">
        <f>2.8672 * CHOOSE( CONTROL!$C$12, $D$4, 100%, $F$4)</f>
        <v>2.8672</v>
      </c>
      <c r="H37" s="4">
        <f>3.7782 * CHOOSE(CONTROL!$C$12, $D$4, 100%, $F$4)</f>
        <v>3.7782</v>
      </c>
      <c r="I37" s="8">
        <f>2.8686 * CHOOSE(CONTROL!$C$12, $D$4, 100%, $F$4)</f>
        <v>2.8685999999999998</v>
      </c>
      <c r="J37" s="4">
        <f>2.819 * CHOOSE(CONTROL!$C$12, $D$4, 100%, $F$4)</f>
        <v>2.819</v>
      </c>
      <c r="K37" s="4"/>
      <c r="L37" s="9">
        <v>29.665800000000001</v>
      </c>
      <c r="M37" s="9">
        <v>11.6745</v>
      </c>
      <c r="N37" s="9">
        <v>4.7850000000000001</v>
      </c>
      <c r="O37" s="9">
        <v>0.36249999999999999</v>
      </c>
      <c r="P37" s="9">
        <v>1.1798</v>
      </c>
      <c r="Q37" s="9">
        <v>24.098400000000002</v>
      </c>
      <c r="R37" s="9">
        <f t="shared" si="0"/>
        <v>0.4</v>
      </c>
      <c r="S37" s="11"/>
    </row>
    <row r="38" spans="1:19" ht="15" customHeight="1">
      <c r="A38" s="13">
        <v>43221</v>
      </c>
      <c r="B38" s="8">
        <f>CHOOSE( CONTROL!$C$29, 2.8943, 2.8875) * CHOOSE(CONTROL!$C$12, $D$4, 100%, $F$4)</f>
        <v>2.8875000000000002</v>
      </c>
      <c r="C38" s="8">
        <f>CHOOSE( CONTROL!$C$29, 2.9046, 2.8978) * CHOOSE(CONTROL!$C$12, $D$4, 100%, $F$4)</f>
        <v>2.8978000000000002</v>
      </c>
      <c r="D38" s="8">
        <f>CHOOSE( CONTROL!$C$29, 2.8849, 2.878) * CHOOSE( CONTROL!$C$12, $D$4, 100%, $F$4)</f>
        <v>2.8780000000000001</v>
      </c>
      <c r="E38" s="12">
        <f>CHOOSE( CONTROL!$C$29, 2.8905, 2.8836) * CHOOSE( CONTROL!$C$12, $D$4, 100%, $F$4)</f>
        <v>2.8835999999999999</v>
      </c>
      <c r="F38" s="4">
        <f>CHOOSE( CONTROL!$C$29, 3.8687, 3.8619) * CHOOSE(CONTROL!$C$12, $D$4, 100%, $F$4)</f>
        <v>3.8618999999999999</v>
      </c>
      <c r="G38" s="8">
        <f>CHOOSE( CONTROL!$C$29, 2.8334, 2.8266) * CHOOSE( CONTROL!$C$12, $D$4, 100%, $F$4)</f>
        <v>2.8266</v>
      </c>
      <c r="H38" s="4">
        <f>CHOOSE( CONTROL!$C$29, 3.731, 3.7243) * CHOOSE(CONTROL!$C$12, $D$4, 100%, $F$4)</f>
        <v>3.7242999999999999</v>
      </c>
      <c r="I38" s="8">
        <f>CHOOSE( CONTROL!$C$29, 2.8317, 2.8251) * CHOOSE(CONTROL!$C$12, $D$4, 100%, $F$4)</f>
        <v>2.8250999999999999</v>
      </c>
      <c r="J38" s="4">
        <f>CHOOSE( CONTROL!$C$29, 2.8036, 2.797) * CHOOSE(CONTROL!$C$12, $D$4, 100%, $F$4)</f>
        <v>2.7970000000000002</v>
      </c>
      <c r="K38" s="4"/>
      <c r="L38" s="9">
        <v>30.896899999999999</v>
      </c>
      <c r="M38" s="9">
        <v>12.063700000000001</v>
      </c>
      <c r="N38" s="9">
        <v>4.9444999999999997</v>
      </c>
      <c r="O38" s="9">
        <v>0.37459999999999999</v>
      </c>
      <c r="P38" s="9">
        <v>1.2192000000000001</v>
      </c>
      <c r="Q38" s="9">
        <v>24.901700000000002</v>
      </c>
      <c r="R38" s="9">
        <f t="shared" si="0"/>
        <v>0.4</v>
      </c>
      <c r="S38" s="11"/>
    </row>
    <row r="39" spans="1:19" ht="15" customHeight="1">
      <c r="A39" s="13">
        <v>43252</v>
      </c>
      <c r="B39" s="8">
        <f>CHOOSE( CONTROL!$C$29, 2.9118, 2.905) * CHOOSE(CONTROL!$C$12, $D$4, 100%, $F$4)</f>
        <v>2.9049999999999998</v>
      </c>
      <c r="C39" s="8">
        <f>CHOOSE( CONTROL!$C$29, 2.9222, 2.9153) * CHOOSE(CONTROL!$C$12, $D$4, 100%, $F$4)</f>
        <v>2.9152999999999998</v>
      </c>
      <c r="D39" s="8">
        <f>CHOOSE( CONTROL!$C$29, 2.8969, 2.89) * CHOOSE( CONTROL!$C$12, $D$4, 100%, $F$4)</f>
        <v>2.89</v>
      </c>
      <c r="E39" s="12">
        <f>CHOOSE( CONTROL!$C$29, 2.9045, 2.8976) * CHOOSE( CONTROL!$C$12, $D$4, 100%, $F$4)</f>
        <v>2.8976000000000002</v>
      </c>
      <c r="F39" s="4">
        <f>CHOOSE( CONTROL!$C$29, 3.876, 3.8691) * CHOOSE(CONTROL!$C$12, $D$4, 100%, $F$4)</f>
        <v>3.8691</v>
      </c>
      <c r="G39" s="8">
        <f>CHOOSE( CONTROL!$C$29, 2.8494, 2.8426) * CHOOSE( CONTROL!$C$12, $D$4, 100%, $F$4)</f>
        <v>2.8426</v>
      </c>
      <c r="H39" s="4">
        <f>CHOOSE( CONTROL!$C$29, 3.7381, 3.7314) * CHOOSE(CONTROL!$C$12, $D$4, 100%, $F$4)</f>
        <v>3.7313999999999998</v>
      </c>
      <c r="I39" s="8">
        <f>CHOOSE( CONTROL!$C$29, 2.8509, 2.8443) * CHOOSE(CONTROL!$C$12, $D$4, 100%, $F$4)</f>
        <v>2.8443000000000001</v>
      </c>
      <c r="J39" s="4">
        <f>CHOOSE( CONTROL!$C$29, 2.8206, 2.814) * CHOOSE(CONTROL!$C$12, $D$4, 100%, $F$4)</f>
        <v>2.8140000000000001</v>
      </c>
      <c r="K39" s="4"/>
      <c r="L39" s="9">
        <v>29.900200000000002</v>
      </c>
      <c r="M39" s="9">
        <v>11.6745</v>
      </c>
      <c r="N39" s="9">
        <v>4.7850000000000001</v>
      </c>
      <c r="O39" s="9">
        <v>0.36249999999999999</v>
      </c>
      <c r="P39" s="9">
        <v>1.1798</v>
      </c>
      <c r="Q39" s="9">
        <v>24.098400000000002</v>
      </c>
      <c r="R39" s="9">
        <f t="shared" si="0"/>
        <v>0.4</v>
      </c>
      <c r="S39" s="11"/>
    </row>
    <row r="40" spans="1:19" ht="15" customHeight="1">
      <c r="A40" s="13">
        <v>43282</v>
      </c>
      <c r="B40" s="8">
        <f>CHOOSE( CONTROL!$C$29, 2.9356, 2.9287) * CHOOSE(CONTROL!$C$12, $D$4, 100%, $F$4)</f>
        <v>2.9287000000000001</v>
      </c>
      <c r="C40" s="8">
        <f>CHOOSE( CONTROL!$C$29, 2.9459, 2.9391) * CHOOSE(CONTROL!$C$12, $D$4, 100%, $F$4)</f>
        <v>2.9390999999999998</v>
      </c>
      <c r="D40" s="8">
        <f>CHOOSE( CONTROL!$C$29, 2.954, 2.9472) * CHOOSE( CONTROL!$C$12, $D$4, 100%, $F$4)</f>
        <v>2.9472</v>
      </c>
      <c r="E40" s="12">
        <f>CHOOSE( CONTROL!$C$29, 2.9495, 2.9427) * CHOOSE( CONTROL!$C$12, $D$4, 100%, $F$4)</f>
        <v>2.9426999999999999</v>
      </c>
      <c r="F40" s="4">
        <f>CHOOSE( CONTROL!$C$29, 3.9446, 3.9378) * CHOOSE(CONTROL!$C$12, $D$4, 100%, $F$4)</f>
        <v>3.9378000000000002</v>
      </c>
      <c r="G40" s="8">
        <f>CHOOSE( CONTROL!$C$29, 2.8988, 2.8921) * CHOOSE( CONTROL!$C$12, $D$4, 100%, $F$4)</f>
        <v>2.8921000000000001</v>
      </c>
      <c r="H40" s="4">
        <f>CHOOSE( CONTROL!$C$29, 3.8058, 3.799) * CHOOSE(CONTROL!$C$12, $D$4, 100%, $F$4)</f>
        <v>3.7989999999999999</v>
      </c>
      <c r="I40" s="8">
        <f>CHOOSE( CONTROL!$C$29, 2.9292, 2.9226) * CHOOSE(CONTROL!$C$12, $D$4, 100%, $F$4)</f>
        <v>2.9226000000000001</v>
      </c>
      <c r="J40" s="4">
        <f>CHOOSE( CONTROL!$C$29, 2.8436, 2.837) * CHOOSE(CONTROL!$C$12, $D$4, 100%, $F$4)</f>
        <v>2.8370000000000002</v>
      </c>
      <c r="K40" s="4"/>
      <c r="L40" s="9">
        <v>30.896899999999999</v>
      </c>
      <c r="M40" s="9">
        <v>12.063700000000001</v>
      </c>
      <c r="N40" s="9">
        <v>4.9444999999999997</v>
      </c>
      <c r="O40" s="9">
        <v>0.37459999999999999</v>
      </c>
      <c r="P40" s="9">
        <v>1.2192000000000001</v>
      </c>
      <c r="Q40" s="9">
        <v>24.901700000000002</v>
      </c>
      <c r="R40" s="9">
        <f t="shared" si="0"/>
        <v>0.4</v>
      </c>
      <c r="S40" s="11"/>
    </row>
    <row r="41" spans="1:19" ht="15" customHeight="1">
      <c r="A41" s="13">
        <v>43313</v>
      </c>
      <c r="B41" s="8">
        <f>CHOOSE( CONTROL!$C$29, 2.9356, 2.9287) * CHOOSE(CONTROL!$C$12, $D$4, 100%, $F$4)</f>
        <v>2.9287000000000001</v>
      </c>
      <c r="C41" s="8">
        <f>CHOOSE( CONTROL!$C$29, 2.9459, 2.9391) * CHOOSE(CONTROL!$C$12, $D$4, 100%, $F$4)</f>
        <v>2.9390999999999998</v>
      </c>
      <c r="D41" s="8">
        <f>CHOOSE( CONTROL!$C$29, 2.9474, 2.9405) * CHOOSE( CONTROL!$C$12, $D$4, 100%, $F$4)</f>
        <v>2.9405000000000001</v>
      </c>
      <c r="E41" s="12">
        <f>CHOOSE( CONTROL!$C$29, 2.9453, 2.9384) * CHOOSE( CONTROL!$C$12, $D$4, 100%, $F$4)</f>
        <v>2.9384000000000001</v>
      </c>
      <c r="F41" s="4">
        <f>CHOOSE( CONTROL!$C$29, 3.942, 3.9352) * CHOOSE(CONTROL!$C$12, $D$4, 100%, $F$4)</f>
        <v>3.9352</v>
      </c>
      <c r="G41" s="8">
        <f>CHOOSE( CONTROL!$C$29, 2.8889, 2.8822) * CHOOSE( CONTROL!$C$12, $D$4, 100%, $F$4)</f>
        <v>2.8822000000000001</v>
      </c>
      <c r="H41" s="4">
        <f>CHOOSE( CONTROL!$C$29, 3.8032, 3.7965) * CHOOSE(CONTROL!$C$12, $D$4, 100%, $F$4)</f>
        <v>3.7965</v>
      </c>
      <c r="I41" s="8">
        <f>CHOOSE( CONTROL!$C$29, 2.9103, 2.9037) * CHOOSE(CONTROL!$C$12, $D$4, 100%, $F$4)</f>
        <v>2.9037000000000002</v>
      </c>
      <c r="J41" s="4">
        <f>CHOOSE( CONTROL!$C$29, 2.8436, 2.837) * CHOOSE(CONTROL!$C$12, $D$4, 100%, $F$4)</f>
        <v>2.8370000000000002</v>
      </c>
      <c r="K41" s="4"/>
      <c r="L41" s="9">
        <v>30.896899999999999</v>
      </c>
      <c r="M41" s="9">
        <v>12.063700000000001</v>
      </c>
      <c r="N41" s="9">
        <v>4.9444999999999997</v>
      </c>
      <c r="O41" s="9">
        <v>0.37459999999999999</v>
      </c>
      <c r="P41" s="9">
        <v>1.2192000000000001</v>
      </c>
      <c r="Q41" s="9">
        <v>24.901700000000002</v>
      </c>
      <c r="R41" s="9">
        <f t="shared" si="0"/>
        <v>0.4</v>
      </c>
      <c r="S41" s="11"/>
    </row>
    <row r="42" spans="1:19" ht="15" customHeight="1">
      <c r="A42" s="13">
        <v>43344</v>
      </c>
      <c r="B42" s="8">
        <f>CHOOSE( CONTROL!$C$29, 2.9242, 2.9174) * CHOOSE(CONTROL!$C$12, $D$4, 100%, $F$4)</f>
        <v>2.9174000000000002</v>
      </c>
      <c r="C42" s="8">
        <f>CHOOSE( CONTROL!$C$29, 2.9345, 2.9277) * CHOOSE(CONTROL!$C$12, $D$4, 100%, $F$4)</f>
        <v>2.9277000000000002</v>
      </c>
      <c r="D42" s="8">
        <f>CHOOSE( CONTROL!$C$29, 2.9392, 2.9324) * CHOOSE( CONTROL!$C$12, $D$4, 100%, $F$4)</f>
        <v>2.9323999999999999</v>
      </c>
      <c r="E42" s="12">
        <f>CHOOSE( CONTROL!$C$29, 2.9359, 2.9291) * CHOOSE( CONTROL!$C$12, $D$4, 100%, $F$4)</f>
        <v>2.9291</v>
      </c>
      <c r="F42" s="4">
        <f>CHOOSE( CONTROL!$C$29, 3.9358, 3.929) * CHOOSE(CONTROL!$C$12, $D$4, 100%, $F$4)</f>
        <v>3.9289999999999998</v>
      </c>
      <c r="G42" s="8">
        <f>CHOOSE( CONTROL!$C$29, 2.8798, 2.873) * CHOOSE( CONTROL!$C$12, $D$4, 100%, $F$4)</f>
        <v>2.8730000000000002</v>
      </c>
      <c r="H42" s="4">
        <f>CHOOSE( CONTROL!$C$29, 3.7971, 3.7904) * CHOOSE(CONTROL!$C$12, $D$4, 100%, $F$4)</f>
        <v>3.7904</v>
      </c>
      <c r="I42" s="8">
        <f>CHOOSE( CONTROL!$C$29, 2.9071, 2.9005) * CHOOSE(CONTROL!$C$12, $D$4, 100%, $F$4)</f>
        <v>2.9005000000000001</v>
      </c>
      <c r="J42" s="4">
        <f>CHOOSE( CONTROL!$C$29, 2.8326, 2.826) * CHOOSE(CONTROL!$C$12, $D$4, 100%, $F$4)</f>
        <v>2.8260000000000001</v>
      </c>
      <c r="K42" s="4"/>
      <c r="L42" s="9">
        <v>29.900200000000002</v>
      </c>
      <c r="M42" s="9">
        <v>11.6745</v>
      </c>
      <c r="N42" s="9">
        <v>4.7850000000000001</v>
      </c>
      <c r="O42" s="9">
        <v>0.36249999999999999</v>
      </c>
      <c r="P42" s="9">
        <v>1.1798</v>
      </c>
      <c r="Q42" s="9">
        <v>24.098400000000002</v>
      </c>
      <c r="R42" s="9">
        <f t="shared" ref="R42:R73" si="1">(0.1*4000000)/1000000</f>
        <v>0.4</v>
      </c>
      <c r="S42" s="11"/>
    </row>
    <row r="43" spans="1:19" ht="15" customHeight="1">
      <c r="A43" s="13">
        <v>43374</v>
      </c>
      <c r="B43" s="8">
        <f>2.9432 * CHOOSE(CONTROL!$C$12, $D$4, 100%, $F$4)</f>
        <v>2.9432</v>
      </c>
      <c r="C43" s="8">
        <f>2.9535 * CHOOSE(CONTROL!$C$12, $D$4, 100%, $F$4)</f>
        <v>2.9535</v>
      </c>
      <c r="D43" s="8">
        <f>2.9486 * CHOOSE( CONTROL!$C$12, $D$4, 100%, $F$4)</f>
        <v>2.9485999999999999</v>
      </c>
      <c r="E43" s="12">
        <f>2.9491 * CHOOSE( CONTROL!$C$12, $D$4, 100%, $F$4)</f>
        <v>2.9491000000000001</v>
      </c>
      <c r="F43" s="4">
        <f>3.9341 * CHOOSE(CONTROL!$C$12, $D$4, 100%, $F$4)</f>
        <v>3.9340999999999999</v>
      </c>
      <c r="G43" s="8">
        <f>2.8953 * CHOOSE( CONTROL!$C$12, $D$4, 100%, $F$4)</f>
        <v>2.8953000000000002</v>
      </c>
      <c r="H43" s="4">
        <f>3.7955 * CHOOSE(CONTROL!$C$12, $D$4, 100%, $F$4)</f>
        <v>3.7955000000000001</v>
      </c>
      <c r="I43" s="8">
        <f>2.9293 * CHOOSE(CONTROL!$C$12, $D$4, 100%, $F$4)</f>
        <v>2.9293</v>
      </c>
      <c r="J43" s="4">
        <f>2.851 * CHOOSE(CONTROL!$C$12, $D$4, 100%, $F$4)</f>
        <v>2.851</v>
      </c>
      <c r="K43" s="4"/>
      <c r="L43" s="9">
        <v>30.654699999999998</v>
      </c>
      <c r="M43" s="9">
        <v>12.063700000000001</v>
      </c>
      <c r="N43" s="9">
        <v>4.9444999999999997</v>
      </c>
      <c r="O43" s="9">
        <v>0.37459999999999999</v>
      </c>
      <c r="P43" s="9">
        <v>1.2192000000000001</v>
      </c>
      <c r="Q43" s="9">
        <v>24.901700000000002</v>
      </c>
      <c r="R43" s="9">
        <f t="shared" si="1"/>
        <v>0.4</v>
      </c>
      <c r="S43" s="11"/>
    </row>
    <row r="44" spans="1:19" ht="15" customHeight="1">
      <c r="A44" s="13">
        <v>43405</v>
      </c>
      <c r="B44" s="8">
        <f>2.9979 * CHOOSE(CONTROL!$C$12, $D$4, 100%, $F$4)</f>
        <v>2.9979</v>
      </c>
      <c r="C44" s="8">
        <f>3.0082 * CHOOSE(CONTROL!$C$12, $D$4, 100%, $F$4)</f>
        <v>3.0082</v>
      </c>
      <c r="D44" s="8">
        <f>2.9675 * CHOOSE( CONTROL!$C$12, $D$4, 100%, $F$4)</f>
        <v>2.9674999999999998</v>
      </c>
      <c r="E44" s="12">
        <f>2.9813 * CHOOSE( CONTROL!$C$12, $D$4, 100%, $F$4)</f>
        <v>2.9813000000000001</v>
      </c>
      <c r="F44" s="4">
        <f>3.9749 * CHOOSE(CONTROL!$C$12, $D$4, 100%, $F$4)</f>
        <v>3.9748999999999999</v>
      </c>
      <c r="G44" s="8">
        <f>2.9431 * CHOOSE( CONTROL!$C$12, $D$4, 100%, $F$4)</f>
        <v>2.9430999999999998</v>
      </c>
      <c r="H44" s="4">
        <f>3.8357 * CHOOSE(CONTROL!$C$12, $D$4, 100%, $F$4)</f>
        <v>3.8357000000000001</v>
      </c>
      <c r="I44" s="8">
        <f>2.9667 * CHOOSE(CONTROL!$C$12, $D$4, 100%, $F$4)</f>
        <v>2.9666999999999999</v>
      </c>
      <c r="J44" s="4">
        <f>2.904 * CHOOSE(CONTROL!$C$12, $D$4, 100%, $F$4)</f>
        <v>2.9039999999999999</v>
      </c>
      <c r="K44" s="4"/>
      <c r="L44" s="9">
        <v>28.000499999999999</v>
      </c>
      <c r="M44" s="9">
        <v>11.6745</v>
      </c>
      <c r="N44" s="9">
        <v>4.7850000000000001</v>
      </c>
      <c r="O44" s="9">
        <v>0.36249999999999999</v>
      </c>
      <c r="P44" s="9">
        <v>1.2522</v>
      </c>
      <c r="Q44" s="9">
        <v>24.098400000000002</v>
      </c>
      <c r="R44" s="9">
        <f t="shared" si="1"/>
        <v>0.4</v>
      </c>
      <c r="S44" s="11"/>
    </row>
    <row r="45" spans="1:19" ht="15" customHeight="1">
      <c r="A45" s="13">
        <v>43435</v>
      </c>
      <c r="B45" s="8">
        <f>3.1362 * CHOOSE(CONTROL!$C$12, $D$4, 100%, $F$4)</f>
        <v>3.1362000000000001</v>
      </c>
      <c r="C45" s="8">
        <f>3.1465 * CHOOSE(CONTROL!$C$12, $D$4, 100%, $F$4)</f>
        <v>3.1465000000000001</v>
      </c>
      <c r="D45" s="8">
        <f>3.1077 * CHOOSE( CONTROL!$C$12, $D$4, 100%, $F$4)</f>
        <v>3.1076999999999999</v>
      </c>
      <c r="E45" s="12">
        <f>3.1208 * CHOOSE( CONTROL!$C$12, $D$4, 100%, $F$4)</f>
        <v>3.1208</v>
      </c>
      <c r="F45" s="4">
        <f>4.1065 * CHOOSE(CONTROL!$C$12, $D$4, 100%, $F$4)</f>
        <v>4.1064999999999996</v>
      </c>
      <c r="G45" s="8">
        <f>3.0818 * CHOOSE( CONTROL!$C$12, $D$4, 100%, $F$4)</f>
        <v>3.0817999999999999</v>
      </c>
      <c r="H45" s="4">
        <f>3.9654 * CHOOSE(CONTROL!$C$12, $D$4, 100%, $F$4)</f>
        <v>3.9653999999999998</v>
      </c>
      <c r="I45" s="8">
        <f>3.1115 * CHOOSE(CONTROL!$C$12, $D$4, 100%, $F$4)</f>
        <v>3.1114999999999999</v>
      </c>
      <c r="J45" s="4">
        <f>3.038 * CHOOSE(CONTROL!$C$12, $D$4, 100%, $F$4)</f>
        <v>3.0379999999999998</v>
      </c>
      <c r="K45" s="4"/>
      <c r="L45" s="9">
        <v>28.933900000000001</v>
      </c>
      <c r="M45" s="9">
        <v>12.063700000000001</v>
      </c>
      <c r="N45" s="9">
        <v>4.9444999999999997</v>
      </c>
      <c r="O45" s="9">
        <v>0.37459999999999999</v>
      </c>
      <c r="P45" s="9">
        <v>1.2939000000000001</v>
      </c>
      <c r="Q45" s="9">
        <v>24.901700000000002</v>
      </c>
      <c r="R45" s="9">
        <f t="shared" si="1"/>
        <v>0.4</v>
      </c>
      <c r="S45" s="11"/>
    </row>
    <row r="46" spans="1:19" ht="15" customHeight="1">
      <c r="A46" s="13">
        <v>43466</v>
      </c>
      <c r="B46" s="8">
        <f>3.7993 * CHOOSE(CONTROL!$C$12, $D$4, 100%, $F$4)</f>
        <v>3.7993000000000001</v>
      </c>
      <c r="C46" s="8">
        <f>3.8096 * CHOOSE(CONTROL!$C$12, $D$4, 100%, $F$4)</f>
        <v>3.8096000000000001</v>
      </c>
      <c r="D46" s="8">
        <f>3.8094 * CHOOSE( CONTROL!$C$12, $D$4, 100%, $F$4)</f>
        <v>3.8094000000000001</v>
      </c>
      <c r="E46" s="12">
        <f>3.8084 * CHOOSE( CONTROL!$C$12, $D$4, 100%, $F$4)</f>
        <v>3.8083999999999998</v>
      </c>
      <c r="F46" s="4">
        <f>4.8212 * CHOOSE(CONTROL!$C$12, $D$4, 100%, $F$4)</f>
        <v>4.8212000000000002</v>
      </c>
      <c r="G46" s="8">
        <f>3.7764 * CHOOSE( CONTROL!$C$12, $D$4, 100%, $F$4)</f>
        <v>3.7764000000000002</v>
      </c>
      <c r="H46" s="4">
        <f>4.6699 * CHOOSE(CONTROL!$C$12, $D$4, 100%, $F$4)</f>
        <v>4.6699000000000002</v>
      </c>
      <c r="I46" s="8">
        <f>3.791 * CHOOSE(CONTROL!$C$12, $D$4, 100%, $F$4)</f>
        <v>3.7909999999999999</v>
      </c>
      <c r="J46" s="4">
        <f>3.6805 * CHOOSE(CONTROL!$C$12, $D$4, 100%, $F$4)</f>
        <v>3.6804999999999999</v>
      </c>
      <c r="K46" s="4"/>
      <c r="L46" s="9">
        <v>28.933900000000001</v>
      </c>
      <c r="M46" s="9">
        <v>12.063700000000001</v>
      </c>
      <c r="N46" s="9">
        <v>4.9444999999999997</v>
      </c>
      <c r="O46" s="9">
        <v>0.37459999999999999</v>
      </c>
      <c r="P46" s="9">
        <v>1.2939000000000001</v>
      </c>
      <c r="Q46" s="9">
        <v>24.651199999999999</v>
      </c>
      <c r="R46" s="9">
        <f t="shared" si="1"/>
        <v>0.4</v>
      </c>
      <c r="S46" s="11"/>
    </row>
    <row r="47" spans="1:19" ht="15" customHeight="1">
      <c r="A47" s="13">
        <v>43497</v>
      </c>
      <c r="B47" s="8">
        <f>3.5537 * CHOOSE(CONTROL!$C$12, $D$4, 100%, $F$4)</f>
        <v>3.5537000000000001</v>
      </c>
      <c r="C47" s="8">
        <f>3.564 * CHOOSE(CONTROL!$C$12, $D$4, 100%, $F$4)</f>
        <v>3.5640000000000001</v>
      </c>
      <c r="D47" s="8">
        <f>3.5661 * CHOOSE( CONTROL!$C$12, $D$4, 100%, $F$4)</f>
        <v>3.5661</v>
      </c>
      <c r="E47" s="12">
        <f>3.5642 * CHOOSE( CONTROL!$C$12, $D$4, 100%, $F$4)</f>
        <v>3.5642</v>
      </c>
      <c r="F47" s="4">
        <f>4.5679 * CHOOSE(CONTROL!$C$12, $D$4, 100%, $F$4)</f>
        <v>4.5678999999999998</v>
      </c>
      <c r="G47" s="8">
        <f>3.5342 * CHOOSE( CONTROL!$C$12, $D$4, 100%, $F$4)</f>
        <v>3.5341999999999998</v>
      </c>
      <c r="H47" s="4">
        <f>4.4202 * CHOOSE(CONTROL!$C$12, $D$4, 100%, $F$4)</f>
        <v>4.4202000000000004</v>
      </c>
      <c r="I47" s="8">
        <f>3.542 * CHOOSE(CONTROL!$C$12, $D$4, 100%, $F$4)</f>
        <v>3.5419999999999998</v>
      </c>
      <c r="J47" s="4">
        <f>3.4426 * CHOOSE(CONTROL!$C$12, $D$4, 100%, $F$4)</f>
        <v>3.4426000000000001</v>
      </c>
      <c r="K47" s="4"/>
      <c r="L47" s="9">
        <v>26.133800000000001</v>
      </c>
      <c r="M47" s="9">
        <v>10.8962</v>
      </c>
      <c r="N47" s="9">
        <v>4.4660000000000002</v>
      </c>
      <c r="O47" s="9">
        <v>0.33829999999999999</v>
      </c>
      <c r="P47" s="9">
        <v>1.1687000000000001</v>
      </c>
      <c r="Q47" s="9">
        <v>22.265599999999999</v>
      </c>
      <c r="R47" s="9">
        <f t="shared" si="1"/>
        <v>0.4</v>
      </c>
      <c r="S47" s="11"/>
    </row>
    <row r="48" spans="1:19" ht="15" customHeight="1">
      <c r="A48" s="13">
        <v>43525</v>
      </c>
      <c r="B48" s="8">
        <f>3.4781 * CHOOSE(CONTROL!$C$12, $D$4, 100%, $F$4)</f>
        <v>3.4781</v>
      </c>
      <c r="C48" s="8">
        <f>3.4884 * CHOOSE(CONTROL!$C$12, $D$4, 100%, $F$4)</f>
        <v>3.4883999999999999</v>
      </c>
      <c r="D48" s="8">
        <f>3.4706 * CHOOSE( CONTROL!$C$12, $D$4, 100%, $F$4)</f>
        <v>3.4706000000000001</v>
      </c>
      <c r="E48" s="12">
        <f>3.476 * CHOOSE( CONTROL!$C$12, $D$4, 100%, $F$4)</f>
        <v>3.476</v>
      </c>
      <c r="F48" s="4">
        <f>4.4763 * CHOOSE(CONTROL!$C$12, $D$4, 100%, $F$4)</f>
        <v>4.4763000000000002</v>
      </c>
      <c r="G48" s="8">
        <f>3.4392 * CHOOSE( CONTROL!$C$12, $D$4, 100%, $F$4)</f>
        <v>3.4392</v>
      </c>
      <c r="H48" s="4">
        <f>4.3299 * CHOOSE(CONTROL!$C$12, $D$4, 100%, $F$4)</f>
        <v>4.3299000000000003</v>
      </c>
      <c r="I48" s="8">
        <f>3.4291 * CHOOSE(CONTROL!$C$12, $D$4, 100%, $F$4)</f>
        <v>3.4291</v>
      </c>
      <c r="J48" s="4">
        <f>3.3693 * CHOOSE(CONTROL!$C$12, $D$4, 100%, $F$4)</f>
        <v>3.3693</v>
      </c>
      <c r="K48" s="4"/>
      <c r="L48" s="9">
        <v>28.933900000000001</v>
      </c>
      <c r="M48" s="9">
        <v>12.063700000000001</v>
      </c>
      <c r="N48" s="9">
        <v>4.9444999999999997</v>
      </c>
      <c r="O48" s="9">
        <v>0.37459999999999999</v>
      </c>
      <c r="P48" s="9">
        <v>1.2939000000000001</v>
      </c>
      <c r="Q48" s="9">
        <v>24.651199999999999</v>
      </c>
      <c r="R48" s="9">
        <f t="shared" si="1"/>
        <v>0.4</v>
      </c>
      <c r="S48" s="11"/>
    </row>
    <row r="49" spans="1:19" ht="15" customHeight="1">
      <c r="A49" s="13">
        <v>43556</v>
      </c>
      <c r="B49" s="8">
        <f>3.5309 * CHOOSE(CONTROL!$C$12, $D$4, 100%, $F$4)</f>
        <v>3.5308999999999999</v>
      </c>
      <c r="C49" s="8">
        <f>3.5413 * CHOOSE(CONTROL!$C$12, $D$4, 100%, $F$4)</f>
        <v>3.5413000000000001</v>
      </c>
      <c r="D49" s="8">
        <f>3.5463 * CHOOSE( CONTROL!$C$12, $D$4, 100%, $F$4)</f>
        <v>3.5463</v>
      </c>
      <c r="E49" s="12">
        <f>3.5435 * CHOOSE( CONTROL!$C$12, $D$4, 100%, $F$4)</f>
        <v>3.5434999999999999</v>
      </c>
      <c r="F49" s="4">
        <f>4.5374 * CHOOSE(CONTROL!$C$12, $D$4, 100%, $F$4)</f>
        <v>4.5373999999999999</v>
      </c>
      <c r="G49" s="8">
        <f>3.4792 * CHOOSE( CONTROL!$C$12, $D$4, 100%, $F$4)</f>
        <v>3.4792000000000001</v>
      </c>
      <c r="H49" s="4">
        <f>4.3901 * CHOOSE(CONTROL!$C$12, $D$4, 100%, $F$4)</f>
        <v>4.3901000000000003</v>
      </c>
      <c r="I49" s="8">
        <f>3.4705 * CHOOSE(CONTROL!$C$12, $D$4, 100%, $F$4)</f>
        <v>3.4704999999999999</v>
      </c>
      <c r="J49" s="4">
        <f>3.4205 * CHOOSE(CONTROL!$C$12, $D$4, 100%, $F$4)</f>
        <v>3.4205000000000001</v>
      </c>
      <c r="K49" s="4"/>
      <c r="L49" s="9">
        <v>29.665800000000001</v>
      </c>
      <c r="M49" s="9">
        <v>11.6745</v>
      </c>
      <c r="N49" s="9">
        <v>4.7850000000000001</v>
      </c>
      <c r="O49" s="9">
        <v>0.36249999999999999</v>
      </c>
      <c r="P49" s="9">
        <v>1.1798</v>
      </c>
      <c r="Q49" s="9">
        <v>23.856000000000002</v>
      </c>
      <c r="R49" s="9">
        <f t="shared" si="1"/>
        <v>0.4</v>
      </c>
      <c r="S49" s="11"/>
    </row>
    <row r="50" spans="1:19" ht="15" customHeight="1">
      <c r="A50" s="13">
        <v>43586</v>
      </c>
      <c r="B50" s="8">
        <f>CHOOSE( CONTROL!$C$29, 3.6318, 3.625) * CHOOSE(CONTROL!$C$12, $D$4, 100%, $F$4)</f>
        <v>3.625</v>
      </c>
      <c r="C50" s="8">
        <f>CHOOSE( CONTROL!$C$29, 3.6422, 3.6353) * CHOOSE(CONTROL!$C$12, $D$4, 100%, $F$4)</f>
        <v>3.6353</v>
      </c>
      <c r="D50" s="8">
        <f>CHOOSE( CONTROL!$C$29, 3.6224, 3.6156) * CHOOSE( CONTROL!$C$12, $D$4, 100%, $F$4)</f>
        <v>3.6156000000000001</v>
      </c>
      <c r="E50" s="12">
        <f>CHOOSE( CONTROL!$C$29, 3.628, 3.6212) * CHOOSE( CONTROL!$C$12, $D$4, 100%, $F$4)</f>
        <v>3.6212</v>
      </c>
      <c r="F50" s="4">
        <f>CHOOSE( CONTROL!$C$29, 4.6063, 4.5994) * CHOOSE(CONTROL!$C$12, $D$4, 100%, $F$4)</f>
        <v>4.5994000000000002</v>
      </c>
      <c r="G50" s="8">
        <f>CHOOSE( CONTROL!$C$29, 3.5604, 3.5537) * CHOOSE( CONTROL!$C$12, $D$4, 100%, $F$4)</f>
        <v>3.5537000000000001</v>
      </c>
      <c r="H50" s="4">
        <f>CHOOSE( CONTROL!$C$29, 4.458, 4.4513) * CHOOSE(CONTROL!$C$12, $D$4, 100%, $F$4)</f>
        <v>4.4512999999999998</v>
      </c>
      <c r="I50" s="8">
        <f>CHOOSE( CONTROL!$C$29, 3.5468, 3.5401) * CHOOSE(CONTROL!$C$12, $D$4, 100%, $F$4)</f>
        <v>3.5400999999999998</v>
      </c>
      <c r="J50" s="4">
        <f>CHOOSE( CONTROL!$C$29, 3.5183, 3.5117) * CHOOSE(CONTROL!$C$12, $D$4, 100%, $F$4)</f>
        <v>3.5116999999999998</v>
      </c>
      <c r="K50" s="4"/>
      <c r="L50" s="9">
        <v>30.896899999999999</v>
      </c>
      <c r="M50" s="9">
        <v>12.063700000000001</v>
      </c>
      <c r="N50" s="9">
        <v>4.9444999999999997</v>
      </c>
      <c r="O50" s="9">
        <v>0.37459999999999999</v>
      </c>
      <c r="P50" s="9">
        <v>1.2192000000000001</v>
      </c>
      <c r="Q50" s="9">
        <v>24.651199999999999</v>
      </c>
      <c r="R50" s="9">
        <f t="shared" si="1"/>
        <v>0.4</v>
      </c>
      <c r="S50" s="11"/>
    </row>
    <row r="51" spans="1:19" ht="15" customHeight="1">
      <c r="A51" s="13">
        <v>43617</v>
      </c>
      <c r="B51" s="8">
        <f>CHOOSE( CONTROL!$C$29, 3.5736, 3.5667) * CHOOSE(CONTROL!$C$12, $D$4, 100%, $F$4)</f>
        <v>3.5667</v>
      </c>
      <c r="C51" s="8">
        <f>CHOOSE( CONTROL!$C$29, 3.5839, 3.5771) * CHOOSE(CONTROL!$C$12, $D$4, 100%, $F$4)</f>
        <v>3.5771000000000002</v>
      </c>
      <c r="D51" s="8">
        <f>CHOOSE( CONTROL!$C$29, 3.5586, 3.5518) * CHOOSE( CONTROL!$C$12, $D$4, 100%, $F$4)</f>
        <v>3.5518000000000001</v>
      </c>
      <c r="E51" s="12">
        <f>CHOOSE( CONTROL!$C$29, 3.5662, 3.5594) * CHOOSE( CONTROL!$C$12, $D$4, 100%, $F$4)</f>
        <v>3.5594000000000001</v>
      </c>
      <c r="F51" s="4">
        <f>CHOOSE( CONTROL!$C$29, 4.5377, 4.5309) * CHOOSE(CONTROL!$C$12, $D$4, 100%, $F$4)</f>
        <v>4.5308999999999999</v>
      </c>
      <c r="G51" s="8">
        <f>CHOOSE( CONTROL!$C$29, 3.5017, 3.4949) * CHOOSE( CONTROL!$C$12, $D$4, 100%, $F$4)</f>
        <v>3.4948999999999999</v>
      </c>
      <c r="H51" s="4">
        <f>CHOOSE( CONTROL!$C$29, 4.3904, 4.3837) * CHOOSE(CONTROL!$C$12, $D$4, 100%, $F$4)</f>
        <v>4.3837000000000002</v>
      </c>
      <c r="I51" s="8">
        <f>CHOOSE( CONTROL!$C$29, 3.4924, 3.4858) * CHOOSE(CONTROL!$C$12, $D$4, 100%, $F$4)</f>
        <v>3.4857999999999998</v>
      </c>
      <c r="J51" s="4">
        <f>CHOOSE( CONTROL!$C$29, 3.4618, 3.4552) * CHOOSE(CONTROL!$C$12, $D$4, 100%, $F$4)</f>
        <v>3.4552</v>
      </c>
      <c r="K51" s="4"/>
      <c r="L51" s="9">
        <v>29.900200000000002</v>
      </c>
      <c r="M51" s="9">
        <v>11.6745</v>
      </c>
      <c r="N51" s="9">
        <v>4.7850000000000001</v>
      </c>
      <c r="O51" s="9">
        <v>0.36249999999999999</v>
      </c>
      <c r="P51" s="9">
        <v>1.1798</v>
      </c>
      <c r="Q51" s="9">
        <v>23.856000000000002</v>
      </c>
      <c r="R51" s="9">
        <f t="shared" si="1"/>
        <v>0.4</v>
      </c>
      <c r="S51" s="11"/>
    </row>
    <row r="52" spans="1:19" ht="15" customHeight="1">
      <c r="A52" s="13">
        <v>43647</v>
      </c>
      <c r="B52" s="8">
        <f>CHOOSE( CONTROL!$C$29, 3.727, 3.7202) * CHOOSE(CONTROL!$C$12, $D$4, 100%, $F$4)</f>
        <v>3.7202000000000002</v>
      </c>
      <c r="C52" s="8">
        <f>CHOOSE( CONTROL!$C$29, 3.7373, 3.7305) * CHOOSE(CONTROL!$C$12, $D$4, 100%, $F$4)</f>
        <v>3.7305000000000001</v>
      </c>
      <c r="D52" s="8">
        <f>CHOOSE( CONTROL!$C$29, 3.7455, 3.7386) * CHOOSE( CONTROL!$C$12, $D$4, 100%, $F$4)</f>
        <v>3.7385999999999999</v>
      </c>
      <c r="E52" s="12">
        <f>CHOOSE( CONTROL!$C$29, 3.741, 3.7341) * CHOOSE( CONTROL!$C$12, $D$4, 100%, $F$4)</f>
        <v>3.7341000000000002</v>
      </c>
      <c r="F52" s="4">
        <f>CHOOSE( CONTROL!$C$29, 4.736, 4.7292) * CHOOSE(CONTROL!$C$12, $D$4, 100%, $F$4)</f>
        <v>4.7291999999999996</v>
      </c>
      <c r="G52" s="8">
        <f>CHOOSE( CONTROL!$C$29, 3.679, 3.6722) * CHOOSE( CONTROL!$C$12, $D$4, 100%, $F$4)</f>
        <v>3.6722000000000001</v>
      </c>
      <c r="H52" s="4">
        <f>CHOOSE( CONTROL!$C$29, 4.5859, 4.5792) * CHOOSE(CONTROL!$C$12, $D$4, 100%, $F$4)</f>
        <v>4.5792000000000002</v>
      </c>
      <c r="I52" s="8">
        <f>CHOOSE( CONTROL!$C$29, 3.6965, 3.6898) * CHOOSE(CONTROL!$C$12, $D$4, 100%, $F$4)</f>
        <v>3.6898</v>
      </c>
      <c r="J52" s="4">
        <f>CHOOSE( CONTROL!$C$29, 3.6105, 3.6039) * CHOOSE(CONTROL!$C$12, $D$4, 100%, $F$4)</f>
        <v>3.6038999999999999</v>
      </c>
      <c r="K52" s="4"/>
      <c r="L52" s="9">
        <v>30.896899999999999</v>
      </c>
      <c r="M52" s="9">
        <v>12.063700000000001</v>
      </c>
      <c r="N52" s="9">
        <v>4.9444999999999997</v>
      </c>
      <c r="O52" s="9">
        <v>0.37459999999999999</v>
      </c>
      <c r="P52" s="9">
        <v>1.2192000000000001</v>
      </c>
      <c r="Q52" s="9">
        <v>24.651199999999999</v>
      </c>
      <c r="R52" s="9">
        <f t="shared" si="1"/>
        <v>0.4</v>
      </c>
      <c r="S52" s="11"/>
    </row>
    <row r="53" spans="1:19" ht="15" customHeight="1">
      <c r="A53" s="13">
        <v>43678</v>
      </c>
      <c r="B53" s="8">
        <f>CHOOSE( CONTROL!$C$29, 3.4399, 3.4331) * CHOOSE(CONTROL!$C$12, $D$4, 100%, $F$4)</f>
        <v>3.4331</v>
      </c>
      <c r="C53" s="8">
        <f>CHOOSE( CONTROL!$C$29, 3.4502, 3.4434) * CHOOSE(CONTROL!$C$12, $D$4, 100%, $F$4)</f>
        <v>3.4434</v>
      </c>
      <c r="D53" s="8">
        <f>CHOOSE( CONTROL!$C$29, 3.4517, 3.4449) * CHOOSE( CONTROL!$C$12, $D$4, 100%, $F$4)</f>
        <v>3.4449000000000001</v>
      </c>
      <c r="E53" s="12">
        <f>CHOOSE( CONTROL!$C$29, 3.4496, 3.4428) * CHOOSE( CONTROL!$C$12, $D$4, 100%, $F$4)</f>
        <v>3.4428000000000001</v>
      </c>
      <c r="F53" s="4">
        <f>CHOOSE( CONTROL!$C$29, 4.4464, 4.4395) * CHOOSE(CONTROL!$C$12, $D$4, 100%, $F$4)</f>
        <v>4.4394999999999998</v>
      </c>
      <c r="G53" s="8">
        <f>CHOOSE( CONTROL!$C$29, 3.3861, 3.3793) * CHOOSE( CONTROL!$C$12, $D$4, 100%, $F$4)</f>
        <v>3.3793000000000002</v>
      </c>
      <c r="H53" s="4">
        <f>CHOOSE( CONTROL!$C$29, 4.3004, 4.2937) * CHOOSE(CONTROL!$C$12, $D$4, 100%, $F$4)</f>
        <v>4.2937000000000003</v>
      </c>
      <c r="I53" s="8">
        <f>CHOOSE( CONTROL!$C$29, 3.3992, 3.3926) * CHOOSE(CONTROL!$C$12, $D$4, 100%, $F$4)</f>
        <v>3.3925999999999998</v>
      </c>
      <c r="J53" s="4">
        <f>CHOOSE( CONTROL!$C$29, 3.3323, 3.3257) * CHOOSE(CONTROL!$C$12, $D$4, 100%, $F$4)</f>
        <v>3.3256999999999999</v>
      </c>
      <c r="K53" s="4"/>
      <c r="L53" s="9">
        <v>30.896899999999999</v>
      </c>
      <c r="M53" s="9">
        <v>12.063700000000001</v>
      </c>
      <c r="N53" s="9">
        <v>4.9444999999999997</v>
      </c>
      <c r="O53" s="9">
        <v>0.37459999999999999</v>
      </c>
      <c r="P53" s="9">
        <v>1.2192000000000001</v>
      </c>
      <c r="Q53" s="9">
        <v>24.651199999999999</v>
      </c>
      <c r="R53" s="9">
        <f t="shared" si="1"/>
        <v>0.4</v>
      </c>
      <c r="S53" s="11"/>
    </row>
    <row r="54" spans="1:19" ht="15" customHeight="1">
      <c r="A54" s="13">
        <v>43709</v>
      </c>
      <c r="B54" s="8">
        <f>CHOOSE( CONTROL!$C$29, 3.368, 3.3612) * CHOOSE(CONTROL!$C$12, $D$4, 100%, $F$4)</f>
        <v>3.3612000000000002</v>
      </c>
      <c r="C54" s="8">
        <f>CHOOSE( CONTROL!$C$29, 3.3783, 3.3715) * CHOOSE(CONTROL!$C$12, $D$4, 100%, $F$4)</f>
        <v>3.3715000000000002</v>
      </c>
      <c r="D54" s="8">
        <f>CHOOSE( CONTROL!$C$29, 3.383, 3.3762) * CHOOSE( CONTROL!$C$12, $D$4, 100%, $F$4)</f>
        <v>3.3761999999999999</v>
      </c>
      <c r="E54" s="12">
        <f>CHOOSE( CONTROL!$C$29, 3.3797, 3.3729) * CHOOSE( CONTROL!$C$12, $D$4, 100%, $F$4)</f>
        <v>3.3729</v>
      </c>
      <c r="F54" s="4">
        <f>CHOOSE( CONTROL!$C$29, 4.3796, 4.3728) * CHOOSE(CONTROL!$C$12, $D$4, 100%, $F$4)</f>
        <v>4.3727999999999998</v>
      </c>
      <c r="G54" s="8">
        <f>CHOOSE( CONTROL!$C$29, 3.3172, 3.3105) * CHOOSE( CONTROL!$C$12, $D$4, 100%, $F$4)</f>
        <v>3.3105000000000002</v>
      </c>
      <c r="H54" s="4">
        <f>CHOOSE( CONTROL!$C$29, 4.2346, 4.2279) * CHOOSE(CONTROL!$C$12, $D$4, 100%, $F$4)</f>
        <v>4.2279</v>
      </c>
      <c r="I54" s="8">
        <f>CHOOSE( CONTROL!$C$29, 3.3373, 3.3307) * CHOOSE(CONTROL!$C$12, $D$4, 100%, $F$4)</f>
        <v>3.3307000000000002</v>
      </c>
      <c r="J54" s="4">
        <f>CHOOSE( CONTROL!$C$29, 3.2627, 3.256) * CHOOSE(CONTROL!$C$12, $D$4, 100%, $F$4)</f>
        <v>3.2559999999999998</v>
      </c>
      <c r="K54" s="4"/>
      <c r="L54" s="9">
        <v>29.900200000000002</v>
      </c>
      <c r="M54" s="9">
        <v>11.6745</v>
      </c>
      <c r="N54" s="9">
        <v>4.7850000000000001</v>
      </c>
      <c r="O54" s="9">
        <v>0.36249999999999999</v>
      </c>
      <c r="P54" s="9">
        <v>1.1798</v>
      </c>
      <c r="Q54" s="9">
        <v>23.856000000000002</v>
      </c>
      <c r="R54" s="9">
        <f t="shared" si="1"/>
        <v>0.4</v>
      </c>
      <c r="S54" s="11"/>
    </row>
    <row r="55" spans="1:19" ht="15" customHeight="1">
      <c r="A55" s="13">
        <v>43739</v>
      </c>
      <c r="B55" s="8">
        <f>3.5105 * CHOOSE(CONTROL!$C$12, $D$4, 100%, $F$4)</f>
        <v>3.5105</v>
      </c>
      <c r="C55" s="8">
        <f>3.5208 * CHOOSE(CONTROL!$C$12, $D$4, 100%, $F$4)</f>
        <v>3.5207999999999999</v>
      </c>
      <c r="D55" s="8">
        <f>3.5158 * CHOOSE( CONTROL!$C$12, $D$4, 100%, $F$4)</f>
        <v>3.5158</v>
      </c>
      <c r="E55" s="12">
        <f>3.5164 * CHOOSE( CONTROL!$C$12, $D$4, 100%, $F$4)</f>
        <v>3.5164</v>
      </c>
      <c r="F55" s="4">
        <f>4.5014 * CHOOSE(CONTROL!$C$12, $D$4, 100%, $F$4)</f>
        <v>4.5014000000000003</v>
      </c>
      <c r="G55" s="8">
        <f>3.4544 * CHOOSE( CONTROL!$C$12, $D$4, 100%, $F$4)</f>
        <v>3.4544000000000001</v>
      </c>
      <c r="H55" s="4">
        <f>4.3547 * CHOOSE(CONTROL!$C$12, $D$4, 100%, $F$4)</f>
        <v>4.3547000000000002</v>
      </c>
      <c r="I55" s="8">
        <f>3.4793 * CHOOSE(CONTROL!$C$12, $D$4, 100%, $F$4)</f>
        <v>3.4792999999999998</v>
      </c>
      <c r="J55" s="4">
        <f>3.4007 * CHOOSE(CONTROL!$C$12, $D$4, 100%, $F$4)</f>
        <v>3.4007000000000001</v>
      </c>
      <c r="K55" s="4"/>
      <c r="L55" s="9">
        <v>30.654699999999998</v>
      </c>
      <c r="M55" s="9">
        <v>12.063700000000001</v>
      </c>
      <c r="N55" s="9">
        <v>4.9444999999999997</v>
      </c>
      <c r="O55" s="9">
        <v>0.37459999999999999</v>
      </c>
      <c r="P55" s="9">
        <v>1.2192000000000001</v>
      </c>
      <c r="Q55" s="9">
        <v>24.651199999999999</v>
      </c>
      <c r="R55" s="9">
        <f t="shared" si="1"/>
        <v>0.4</v>
      </c>
      <c r="S55" s="11"/>
    </row>
    <row r="56" spans="1:19" ht="15" customHeight="1">
      <c r="A56" s="13">
        <v>43770</v>
      </c>
      <c r="B56" s="8">
        <f>3.786 * CHOOSE(CONTROL!$C$12, $D$4, 100%, $F$4)</f>
        <v>3.786</v>
      </c>
      <c r="C56" s="8">
        <f>3.7963 * CHOOSE(CONTROL!$C$12, $D$4, 100%, $F$4)</f>
        <v>3.7963</v>
      </c>
      <c r="D56" s="8">
        <f>3.7556 * CHOOSE( CONTROL!$C$12, $D$4, 100%, $F$4)</f>
        <v>3.7555999999999998</v>
      </c>
      <c r="E56" s="12">
        <f>3.7694 * CHOOSE( CONTROL!$C$12, $D$4, 100%, $F$4)</f>
        <v>3.7694000000000001</v>
      </c>
      <c r="F56" s="4">
        <f>4.763 * CHOOSE(CONTROL!$C$12, $D$4, 100%, $F$4)</f>
        <v>4.7629999999999999</v>
      </c>
      <c r="G56" s="8">
        <f>3.72 * CHOOSE( CONTROL!$C$12, $D$4, 100%, $F$4)</f>
        <v>3.72</v>
      </c>
      <c r="H56" s="4">
        <f>4.6125 * CHOOSE(CONTROL!$C$12, $D$4, 100%, $F$4)</f>
        <v>4.6124999999999998</v>
      </c>
      <c r="I56" s="8">
        <f>3.7307 * CHOOSE(CONTROL!$C$12, $D$4, 100%, $F$4)</f>
        <v>3.7307000000000001</v>
      </c>
      <c r="J56" s="4">
        <f>3.6677 * CHOOSE(CONTROL!$C$12, $D$4, 100%, $F$4)</f>
        <v>3.6677</v>
      </c>
      <c r="K56" s="4"/>
      <c r="L56" s="9">
        <v>28.000499999999999</v>
      </c>
      <c r="M56" s="9">
        <v>11.6745</v>
      </c>
      <c r="N56" s="9">
        <v>4.7850000000000001</v>
      </c>
      <c r="O56" s="9">
        <v>0.36249999999999999</v>
      </c>
      <c r="P56" s="9">
        <v>1.2522</v>
      </c>
      <c r="Q56" s="9">
        <v>23.856000000000002</v>
      </c>
      <c r="R56" s="9">
        <f t="shared" si="1"/>
        <v>0.4</v>
      </c>
      <c r="S56" s="11"/>
    </row>
    <row r="57" spans="1:19" ht="15.6">
      <c r="A57" s="13">
        <v>43800</v>
      </c>
      <c r="B57" s="8">
        <f>3.7791 * CHOOSE(CONTROL!$C$12, $D$4, 100%, $F$4)</f>
        <v>3.7791000000000001</v>
      </c>
      <c r="C57" s="8">
        <f>3.7894 * CHOOSE(CONTROL!$C$12, $D$4, 100%, $F$4)</f>
        <v>3.7894000000000001</v>
      </c>
      <c r="D57" s="8">
        <f>3.7506 * CHOOSE( CONTROL!$C$12, $D$4, 100%, $F$4)</f>
        <v>3.7505999999999999</v>
      </c>
      <c r="E57" s="12">
        <f>3.7637 * CHOOSE( CONTROL!$C$12, $D$4, 100%, $F$4)</f>
        <v>3.7637</v>
      </c>
      <c r="F57" s="4">
        <f>4.7494 * CHOOSE(CONTROL!$C$12, $D$4, 100%, $F$4)</f>
        <v>4.7493999999999996</v>
      </c>
      <c r="G57" s="8">
        <f>3.7156 * CHOOSE( CONTROL!$C$12, $D$4, 100%, $F$4)</f>
        <v>3.7155999999999998</v>
      </c>
      <c r="H57" s="4">
        <f>4.5991 * CHOOSE(CONTROL!$C$12, $D$4, 100%, $F$4)</f>
        <v>4.5991</v>
      </c>
      <c r="I57" s="8">
        <f>3.7348 * CHOOSE(CONTROL!$C$12, $D$4, 100%, $F$4)</f>
        <v>3.7347999999999999</v>
      </c>
      <c r="J57" s="4">
        <f>3.661 * CHOOSE(CONTROL!$C$12, $D$4, 100%, $F$4)</f>
        <v>3.661</v>
      </c>
      <c r="K57" s="4"/>
      <c r="L57" s="9">
        <v>28.933900000000001</v>
      </c>
      <c r="M57" s="9">
        <v>12.063700000000001</v>
      </c>
      <c r="N57" s="9">
        <v>4.9444999999999997</v>
      </c>
      <c r="O57" s="9">
        <v>0.37459999999999999</v>
      </c>
      <c r="P57" s="9">
        <v>1.2939000000000001</v>
      </c>
      <c r="Q57" s="9">
        <v>24.651199999999999</v>
      </c>
      <c r="R57" s="9">
        <f t="shared" si="1"/>
        <v>0.4</v>
      </c>
      <c r="S57" s="11"/>
    </row>
    <row r="58" spans="1:19" ht="15.6">
      <c r="A58" s="13">
        <v>43831</v>
      </c>
      <c r="B58" s="8">
        <f>3.7901 * CHOOSE(CONTROL!$C$12, $D$4, 100%, $F$4)</f>
        <v>3.7900999999999998</v>
      </c>
      <c r="C58" s="8">
        <f>3.8004 * CHOOSE(CONTROL!$C$12, $D$4, 100%, $F$4)</f>
        <v>3.8003999999999998</v>
      </c>
      <c r="D58" s="8">
        <f>3.8002 * CHOOSE( CONTROL!$C$12, $D$4, 100%, $F$4)</f>
        <v>3.8001999999999998</v>
      </c>
      <c r="E58" s="12">
        <f>3.7992 * CHOOSE( CONTROL!$C$12, $D$4, 100%, $F$4)</f>
        <v>3.7991999999999999</v>
      </c>
      <c r="F58" s="4">
        <f>4.812 * CHOOSE(CONTROL!$C$12, $D$4, 100%, $F$4)</f>
        <v>4.8120000000000003</v>
      </c>
      <c r="G58" s="8">
        <f>3.7674 * CHOOSE( CONTROL!$C$12, $D$4, 100%, $F$4)</f>
        <v>3.7673999999999999</v>
      </c>
      <c r="H58" s="4">
        <f>4.6608 * CHOOSE(CONTROL!$C$12, $D$4, 100%, $F$4)</f>
        <v>4.6608000000000001</v>
      </c>
      <c r="I58" s="8">
        <f>3.7821 * CHOOSE(CONTROL!$C$12, $D$4, 100%, $F$4)</f>
        <v>3.7820999999999998</v>
      </c>
      <c r="J58" s="4">
        <f>3.6716 * CHOOSE(CONTROL!$C$12, $D$4, 100%, $F$4)</f>
        <v>3.6716000000000002</v>
      </c>
      <c r="K58" s="4"/>
      <c r="L58" s="9">
        <v>28.933900000000001</v>
      </c>
      <c r="M58" s="9">
        <v>12.063700000000001</v>
      </c>
      <c r="N58" s="9">
        <v>4.9444999999999997</v>
      </c>
      <c r="O58" s="9">
        <v>0.37459999999999999</v>
      </c>
      <c r="P58" s="9">
        <v>1.2939000000000001</v>
      </c>
      <c r="Q58" s="9">
        <v>22.150099999999998</v>
      </c>
      <c r="R58" s="9">
        <f t="shared" si="1"/>
        <v>0.4</v>
      </c>
      <c r="S58" s="11"/>
    </row>
    <row r="59" spans="1:19" ht="15.6">
      <c r="A59" s="13">
        <v>43862</v>
      </c>
      <c r="B59" s="8">
        <f>3.5451 * CHOOSE(CONTROL!$C$12, $D$4, 100%, $F$4)</f>
        <v>3.5451000000000001</v>
      </c>
      <c r="C59" s="8">
        <f>3.5554 * CHOOSE(CONTROL!$C$12, $D$4, 100%, $F$4)</f>
        <v>3.5554000000000001</v>
      </c>
      <c r="D59" s="8">
        <f>3.5575 * CHOOSE( CONTROL!$C$12, $D$4, 100%, $F$4)</f>
        <v>3.5575000000000001</v>
      </c>
      <c r="E59" s="12">
        <f>3.5556 * CHOOSE( CONTROL!$C$12, $D$4, 100%, $F$4)</f>
        <v>3.5556000000000001</v>
      </c>
      <c r="F59" s="4">
        <f>4.5593 * CHOOSE(CONTROL!$C$12, $D$4, 100%, $F$4)</f>
        <v>4.5593000000000004</v>
      </c>
      <c r="G59" s="8">
        <f>3.5258 * CHOOSE( CONTROL!$C$12, $D$4, 100%, $F$4)</f>
        <v>3.5257999999999998</v>
      </c>
      <c r="H59" s="4">
        <f>4.4117 * CHOOSE(CONTROL!$C$12, $D$4, 100%, $F$4)</f>
        <v>4.4116999999999997</v>
      </c>
      <c r="I59" s="8">
        <f>3.5336 * CHOOSE(CONTROL!$C$12, $D$4, 100%, $F$4)</f>
        <v>3.5335999999999999</v>
      </c>
      <c r="J59" s="4">
        <f>3.4343 * CHOOSE(CONTROL!$C$12, $D$4, 100%, $F$4)</f>
        <v>3.4342999999999999</v>
      </c>
      <c r="K59" s="4"/>
      <c r="L59" s="9">
        <v>27.0672</v>
      </c>
      <c r="M59" s="9">
        <v>11.285299999999999</v>
      </c>
      <c r="N59" s="9">
        <v>4.6254999999999997</v>
      </c>
      <c r="O59" s="9">
        <v>0.35039999999999999</v>
      </c>
      <c r="P59" s="9">
        <v>1.2104999999999999</v>
      </c>
      <c r="Q59" s="9">
        <v>20.7211</v>
      </c>
      <c r="R59" s="9">
        <f t="shared" si="1"/>
        <v>0.4</v>
      </c>
      <c r="S59" s="11"/>
    </row>
    <row r="60" spans="1:19" ht="15.6">
      <c r="A60" s="13">
        <v>43891</v>
      </c>
      <c r="B60" s="8">
        <f>3.4697 * CHOOSE(CONTROL!$C$12, $D$4, 100%, $F$4)</f>
        <v>3.4697</v>
      </c>
      <c r="C60" s="8">
        <f>3.48 * CHOOSE(CONTROL!$C$12, $D$4, 100%, $F$4)</f>
        <v>3.48</v>
      </c>
      <c r="D60" s="8">
        <f>3.4622 * CHOOSE( CONTROL!$C$12, $D$4, 100%, $F$4)</f>
        <v>3.4622000000000002</v>
      </c>
      <c r="E60" s="12">
        <f>3.4676 * CHOOSE( CONTROL!$C$12, $D$4, 100%, $F$4)</f>
        <v>3.4676</v>
      </c>
      <c r="F60" s="4">
        <f>4.4679 * CHOOSE(CONTROL!$C$12, $D$4, 100%, $F$4)</f>
        <v>4.4679000000000002</v>
      </c>
      <c r="G60" s="8">
        <f>3.4309 * CHOOSE( CONTROL!$C$12, $D$4, 100%, $F$4)</f>
        <v>3.4308999999999998</v>
      </c>
      <c r="H60" s="4">
        <f>4.3216 * CHOOSE(CONTROL!$C$12, $D$4, 100%, $F$4)</f>
        <v>4.3216000000000001</v>
      </c>
      <c r="I60" s="8">
        <f>3.421 * CHOOSE(CONTROL!$C$12, $D$4, 100%, $F$4)</f>
        <v>3.4209999999999998</v>
      </c>
      <c r="J60" s="4">
        <f>3.3612 * CHOOSE(CONTROL!$C$12, $D$4, 100%, $F$4)</f>
        <v>3.3612000000000002</v>
      </c>
      <c r="K60" s="4"/>
      <c r="L60" s="9">
        <v>28.933900000000001</v>
      </c>
      <c r="M60" s="9">
        <v>12.063700000000001</v>
      </c>
      <c r="N60" s="9">
        <v>4.9444999999999997</v>
      </c>
      <c r="O60" s="9">
        <v>0.37459999999999999</v>
      </c>
      <c r="P60" s="9">
        <v>1.2939000000000001</v>
      </c>
      <c r="Q60" s="9">
        <v>22.150099999999998</v>
      </c>
      <c r="R60" s="9">
        <f t="shared" si="1"/>
        <v>0.4</v>
      </c>
      <c r="S60" s="11"/>
    </row>
    <row r="61" spans="1:19" ht="15.6">
      <c r="A61" s="13">
        <v>43922</v>
      </c>
      <c r="B61" s="8">
        <f>3.5224 * CHOOSE(CONTROL!$C$12, $D$4, 100%, $F$4)</f>
        <v>3.5224000000000002</v>
      </c>
      <c r="C61" s="8">
        <f>3.5327 * CHOOSE(CONTROL!$C$12, $D$4, 100%, $F$4)</f>
        <v>3.5327000000000002</v>
      </c>
      <c r="D61" s="8">
        <f>3.5377 * CHOOSE( CONTROL!$C$12, $D$4, 100%, $F$4)</f>
        <v>3.5377000000000001</v>
      </c>
      <c r="E61" s="12">
        <f>3.5349 * CHOOSE( CONTROL!$C$12, $D$4, 100%, $F$4)</f>
        <v>3.5348999999999999</v>
      </c>
      <c r="F61" s="4">
        <f>4.5288 * CHOOSE(CONTROL!$C$12, $D$4, 100%, $F$4)</f>
        <v>4.5288000000000004</v>
      </c>
      <c r="G61" s="8">
        <f>3.4707 * CHOOSE( CONTROL!$C$12, $D$4, 100%, $F$4)</f>
        <v>3.4706999999999999</v>
      </c>
      <c r="H61" s="4">
        <f>4.3817 * CHOOSE(CONTROL!$C$12, $D$4, 100%, $F$4)</f>
        <v>4.3817000000000004</v>
      </c>
      <c r="I61" s="8">
        <f>3.4622 * CHOOSE(CONTROL!$C$12, $D$4, 100%, $F$4)</f>
        <v>3.4622000000000002</v>
      </c>
      <c r="J61" s="4">
        <f>3.4123 * CHOOSE(CONTROL!$C$12, $D$4, 100%, $F$4)</f>
        <v>3.4123000000000001</v>
      </c>
      <c r="K61" s="4"/>
      <c r="L61" s="9">
        <v>29.665800000000001</v>
      </c>
      <c r="M61" s="9">
        <v>11.6745</v>
      </c>
      <c r="N61" s="9">
        <v>4.7850000000000001</v>
      </c>
      <c r="O61" s="9">
        <v>0.36249999999999999</v>
      </c>
      <c r="P61" s="9">
        <v>1.1798</v>
      </c>
      <c r="Q61" s="9">
        <v>21.435600000000001</v>
      </c>
      <c r="R61" s="9">
        <f t="shared" si="1"/>
        <v>0.4</v>
      </c>
      <c r="S61" s="11"/>
    </row>
    <row r="62" spans="1:19" ht="15.6">
      <c r="A62" s="13">
        <v>43952</v>
      </c>
      <c r="B62" s="8">
        <f>CHOOSE( CONTROL!$C$29, 3.6231, 3.6162) * CHOOSE(CONTROL!$C$12, $D$4, 100%, $F$4)</f>
        <v>3.6162000000000001</v>
      </c>
      <c r="C62" s="8">
        <f>CHOOSE( CONTROL!$C$29, 3.6334, 3.6265) * CHOOSE(CONTROL!$C$12, $D$4, 100%, $F$4)</f>
        <v>3.6265000000000001</v>
      </c>
      <c r="D62" s="8">
        <f>CHOOSE( CONTROL!$C$29, 3.6136, 3.6068) * CHOOSE( CONTROL!$C$12, $D$4, 100%, $F$4)</f>
        <v>3.6067999999999998</v>
      </c>
      <c r="E62" s="12">
        <f>CHOOSE( CONTROL!$C$29, 3.6192, 3.6124) * CHOOSE( CONTROL!$C$12, $D$4, 100%, $F$4)</f>
        <v>3.6124000000000001</v>
      </c>
      <c r="F62" s="4">
        <f>CHOOSE( CONTROL!$C$29, 4.5975, 4.5907) * CHOOSE(CONTROL!$C$12, $D$4, 100%, $F$4)</f>
        <v>4.5907</v>
      </c>
      <c r="G62" s="8">
        <f>CHOOSE( CONTROL!$C$29, 3.5517, 3.545) * CHOOSE( CONTROL!$C$12, $D$4, 100%, $F$4)</f>
        <v>3.5449999999999999</v>
      </c>
      <c r="H62" s="4">
        <f>CHOOSE( CONTROL!$C$29, 4.4494, 4.4427) * CHOOSE(CONTROL!$C$12, $D$4, 100%, $F$4)</f>
        <v>4.4427000000000003</v>
      </c>
      <c r="I62" s="8">
        <f>CHOOSE( CONTROL!$C$29, 3.5383, 3.5316) * CHOOSE(CONTROL!$C$12, $D$4, 100%, $F$4)</f>
        <v>3.5316000000000001</v>
      </c>
      <c r="J62" s="4">
        <f>CHOOSE( CONTROL!$C$29, 3.5098, 3.5032) * CHOOSE(CONTROL!$C$12, $D$4, 100%, $F$4)</f>
        <v>3.5032000000000001</v>
      </c>
      <c r="K62" s="4"/>
      <c r="L62" s="9">
        <v>30.896899999999999</v>
      </c>
      <c r="M62" s="9">
        <v>12.063700000000001</v>
      </c>
      <c r="N62" s="9">
        <v>4.9444999999999997</v>
      </c>
      <c r="O62" s="9">
        <v>0.37459999999999999</v>
      </c>
      <c r="P62" s="9">
        <v>1.2192000000000001</v>
      </c>
      <c r="Q62" s="9">
        <v>33.225200000000001</v>
      </c>
      <c r="R62" s="9">
        <f t="shared" si="1"/>
        <v>0.4</v>
      </c>
      <c r="S62" s="11"/>
    </row>
    <row r="63" spans="1:19" ht="15.6">
      <c r="A63" s="13">
        <v>43983</v>
      </c>
      <c r="B63" s="8">
        <f>CHOOSE( CONTROL!$C$29, 3.5649, 3.5581) * CHOOSE(CONTROL!$C$12, $D$4, 100%, $F$4)</f>
        <v>3.5581</v>
      </c>
      <c r="C63" s="8">
        <f>CHOOSE( CONTROL!$C$29, 3.5753, 3.5684) * CHOOSE(CONTROL!$C$12, $D$4, 100%, $F$4)</f>
        <v>3.5684</v>
      </c>
      <c r="D63" s="8">
        <f>CHOOSE( CONTROL!$C$29, 3.55, 3.5431) * CHOOSE( CONTROL!$C$12, $D$4, 100%, $F$4)</f>
        <v>3.5430999999999999</v>
      </c>
      <c r="E63" s="12">
        <f>CHOOSE( CONTROL!$C$29, 3.5576, 3.5507) * CHOOSE( CONTROL!$C$12, $D$4, 100%, $F$4)</f>
        <v>3.5507</v>
      </c>
      <c r="F63" s="4">
        <f>CHOOSE( CONTROL!$C$29, 4.5291, 4.5222) * CHOOSE(CONTROL!$C$12, $D$4, 100%, $F$4)</f>
        <v>4.5221999999999998</v>
      </c>
      <c r="G63" s="8">
        <f>CHOOSE( CONTROL!$C$29, 3.4932, 3.4864) * CHOOSE( CONTROL!$C$12, $D$4, 100%, $F$4)</f>
        <v>3.4864000000000002</v>
      </c>
      <c r="H63" s="4">
        <f>CHOOSE( CONTROL!$C$29, 4.3819, 4.3752) * CHOOSE(CONTROL!$C$12, $D$4, 100%, $F$4)</f>
        <v>4.3752000000000004</v>
      </c>
      <c r="I63" s="8">
        <f>CHOOSE( CONTROL!$C$29, 3.4841, 3.4774) * CHOOSE(CONTROL!$C$12, $D$4, 100%, $F$4)</f>
        <v>3.4773999999999998</v>
      </c>
      <c r="J63" s="4">
        <f>CHOOSE( CONTROL!$C$29, 3.4535, 3.4469) * CHOOSE(CONTROL!$C$12, $D$4, 100%, $F$4)</f>
        <v>3.4468999999999999</v>
      </c>
      <c r="K63" s="4"/>
      <c r="L63" s="9">
        <v>29.900200000000002</v>
      </c>
      <c r="M63" s="9">
        <v>11.6745</v>
      </c>
      <c r="N63" s="9">
        <v>4.7850000000000001</v>
      </c>
      <c r="O63" s="9">
        <v>0.36249999999999999</v>
      </c>
      <c r="P63" s="9">
        <v>1.1798</v>
      </c>
      <c r="Q63" s="9">
        <v>32.153399999999998</v>
      </c>
      <c r="R63" s="9">
        <f t="shared" si="1"/>
        <v>0.4</v>
      </c>
      <c r="S63" s="11"/>
    </row>
    <row r="64" spans="1:19" ht="15.6">
      <c r="A64" s="13">
        <v>44013</v>
      </c>
      <c r="B64" s="8">
        <f>CHOOSE( CONTROL!$C$29, 3.718, 3.7112) * CHOOSE(CONTROL!$C$12, $D$4, 100%, $F$4)</f>
        <v>3.7111999999999998</v>
      </c>
      <c r="C64" s="8">
        <f>CHOOSE( CONTROL!$C$29, 3.7283, 3.7215) * CHOOSE(CONTROL!$C$12, $D$4, 100%, $F$4)</f>
        <v>3.7214999999999998</v>
      </c>
      <c r="D64" s="8">
        <f>CHOOSE( CONTROL!$C$29, 3.7365, 3.7296) * CHOOSE( CONTROL!$C$12, $D$4, 100%, $F$4)</f>
        <v>3.7296</v>
      </c>
      <c r="E64" s="12">
        <f>CHOOSE( CONTROL!$C$29, 3.732, 3.7251) * CHOOSE( CONTROL!$C$12, $D$4, 100%, $F$4)</f>
        <v>3.7250999999999999</v>
      </c>
      <c r="F64" s="4">
        <f>CHOOSE( CONTROL!$C$29, 4.727, 4.7202) * CHOOSE(CONTROL!$C$12, $D$4, 100%, $F$4)</f>
        <v>4.7202000000000002</v>
      </c>
      <c r="G64" s="8">
        <f>CHOOSE( CONTROL!$C$29, 3.6701, 3.6634) * CHOOSE( CONTROL!$C$12, $D$4, 100%, $F$4)</f>
        <v>3.6634000000000002</v>
      </c>
      <c r="H64" s="4">
        <f>CHOOSE( CONTROL!$C$29, 4.5771, 4.5703) * CHOOSE(CONTROL!$C$12, $D$4, 100%, $F$4)</f>
        <v>4.5702999999999996</v>
      </c>
      <c r="I64" s="8">
        <f>CHOOSE( CONTROL!$C$29, 3.6877, 3.6811) * CHOOSE(CONTROL!$C$12, $D$4, 100%, $F$4)</f>
        <v>3.6810999999999998</v>
      </c>
      <c r="J64" s="4">
        <f>CHOOSE( CONTROL!$C$29, 3.6018, 3.5952) * CHOOSE(CONTROL!$C$12, $D$4, 100%, $F$4)</f>
        <v>3.5952000000000002</v>
      </c>
      <c r="K64" s="4"/>
      <c r="L64" s="9">
        <v>30.896899999999999</v>
      </c>
      <c r="M64" s="9">
        <v>12.063700000000001</v>
      </c>
      <c r="N64" s="9">
        <v>4.9444999999999997</v>
      </c>
      <c r="O64" s="9">
        <v>0.37459999999999999</v>
      </c>
      <c r="P64" s="9">
        <v>1.2192000000000001</v>
      </c>
      <c r="Q64" s="9">
        <v>33.225200000000001</v>
      </c>
      <c r="R64" s="9">
        <f t="shared" si="1"/>
        <v>0.4</v>
      </c>
      <c r="S64" s="11"/>
    </row>
    <row r="65" spans="1:19" ht="15.6">
      <c r="A65" s="13">
        <v>44044</v>
      </c>
      <c r="B65" s="8">
        <f>CHOOSE( CONTROL!$C$29, 3.4316, 3.4248) * CHOOSE(CONTROL!$C$12, $D$4, 100%, $F$4)</f>
        <v>3.4247999999999998</v>
      </c>
      <c r="C65" s="8">
        <f>CHOOSE( CONTROL!$C$29, 3.4419, 3.4351) * CHOOSE(CONTROL!$C$12, $D$4, 100%, $F$4)</f>
        <v>3.4350999999999998</v>
      </c>
      <c r="D65" s="8">
        <f>CHOOSE( CONTROL!$C$29, 3.4434, 3.4366) * CHOOSE( CONTROL!$C$12, $D$4, 100%, $F$4)</f>
        <v>3.4365999999999999</v>
      </c>
      <c r="E65" s="12">
        <f>CHOOSE( CONTROL!$C$29, 3.4413, 3.4345) * CHOOSE( CONTROL!$C$12, $D$4, 100%, $F$4)</f>
        <v>3.4344999999999999</v>
      </c>
      <c r="F65" s="4">
        <f>CHOOSE( CONTROL!$C$29, 4.438, 4.4312) * CHOOSE(CONTROL!$C$12, $D$4, 100%, $F$4)</f>
        <v>4.4311999999999996</v>
      </c>
      <c r="G65" s="8">
        <f>CHOOSE( CONTROL!$C$29, 3.3779, 3.3711) * CHOOSE( CONTROL!$C$12, $D$4, 100%, $F$4)</f>
        <v>3.3711000000000002</v>
      </c>
      <c r="H65" s="4">
        <f>CHOOSE( CONTROL!$C$29, 4.2922, 4.2855) * CHOOSE(CONTROL!$C$12, $D$4, 100%, $F$4)</f>
        <v>4.2854999999999999</v>
      </c>
      <c r="I65" s="8">
        <f>CHOOSE( CONTROL!$C$29, 3.3912, 3.3846) * CHOOSE(CONTROL!$C$12, $D$4, 100%, $F$4)</f>
        <v>3.3845999999999998</v>
      </c>
      <c r="J65" s="4">
        <f>CHOOSE( CONTROL!$C$29, 3.3243, 3.3176) * CHOOSE(CONTROL!$C$12, $D$4, 100%, $F$4)</f>
        <v>3.3176000000000001</v>
      </c>
      <c r="K65" s="4"/>
      <c r="L65" s="9">
        <v>30.896899999999999</v>
      </c>
      <c r="M65" s="9">
        <v>12.063700000000001</v>
      </c>
      <c r="N65" s="9">
        <v>4.9444999999999997</v>
      </c>
      <c r="O65" s="9">
        <v>0.37459999999999999</v>
      </c>
      <c r="P65" s="9">
        <v>1.2192000000000001</v>
      </c>
      <c r="Q65" s="9">
        <v>33.225200000000001</v>
      </c>
      <c r="R65" s="9">
        <f t="shared" si="1"/>
        <v>0.4</v>
      </c>
      <c r="S65" s="11"/>
    </row>
    <row r="66" spans="1:19" ht="15.6">
      <c r="A66" s="13">
        <v>44075</v>
      </c>
      <c r="B66" s="8">
        <f>CHOOSE( CONTROL!$C$29, 3.3599, 3.353) * CHOOSE(CONTROL!$C$12, $D$4, 100%, $F$4)</f>
        <v>3.3530000000000002</v>
      </c>
      <c r="C66" s="8">
        <f>CHOOSE( CONTROL!$C$29, 3.3702, 3.3634) * CHOOSE(CONTROL!$C$12, $D$4, 100%, $F$4)</f>
        <v>3.3633999999999999</v>
      </c>
      <c r="D66" s="8">
        <f>CHOOSE( CONTROL!$C$29, 3.3749, 3.3681) * CHOOSE( CONTROL!$C$12, $D$4, 100%, $F$4)</f>
        <v>3.3681000000000001</v>
      </c>
      <c r="E66" s="12">
        <f>CHOOSE( CONTROL!$C$29, 3.3716, 3.3648) * CHOOSE( CONTROL!$C$12, $D$4, 100%, $F$4)</f>
        <v>3.3647999999999998</v>
      </c>
      <c r="F66" s="4">
        <f>CHOOSE( CONTROL!$C$29, 4.3715, 4.3646) * CHOOSE(CONTROL!$C$12, $D$4, 100%, $F$4)</f>
        <v>4.3646000000000003</v>
      </c>
      <c r="G66" s="8">
        <f>CHOOSE( CONTROL!$C$29, 3.3092, 3.3025) * CHOOSE( CONTROL!$C$12, $D$4, 100%, $F$4)</f>
        <v>3.3025000000000002</v>
      </c>
      <c r="H66" s="4">
        <f>CHOOSE( CONTROL!$C$29, 4.2266, 4.2199) * CHOOSE(CONTROL!$C$12, $D$4, 100%, $F$4)</f>
        <v>4.2199</v>
      </c>
      <c r="I66" s="8">
        <f>CHOOSE( CONTROL!$C$29, 3.3295, 3.3228) * CHOOSE(CONTROL!$C$12, $D$4, 100%, $F$4)</f>
        <v>3.3228</v>
      </c>
      <c r="J66" s="4">
        <f>CHOOSE( CONTROL!$C$29, 3.2548, 3.2482) * CHOOSE(CONTROL!$C$12, $D$4, 100%, $F$4)</f>
        <v>3.2482000000000002</v>
      </c>
      <c r="K66" s="4"/>
      <c r="L66" s="9">
        <v>29.900200000000002</v>
      </c>
      <c r="M66" s="9">
        <v>11.6745</v>
      </c>
      <c r="N66" s="9">
        <v>4.7850000000000001</v>
      </c>
      <c r="O66" s="9">
        <v>0.36249999999999999</v>
      </c>
      <c r="P66" s="9">
        <v>1.1798</v>
      </c>
      <c r="Q66" s="9">
        <v>32.153399999999998</v>
      </c>
      <c r="R66" s="9">
        <f t="shared" si="1"/>
        <v>0.4</v>
      </c>
      <c r="S66" s="11"/>
    </row>
    <row r="67" spans="1:19" ht="15.6">
      <c r="A67" s="13">
        <v>44105</v>
      </c>
      <c r="B67" s="8">
        <f>3.502 * CHOOSE(CONTROL!$C$12, $D$4, 100%, $F$4)</f>
        <v>3.5019999999999998</v>
      </c>
      <c r="C67" s="8">
        <f>3.5123 * CHOOSE(CONTROL!$C$12, $D$4, 100%, $F$4)</f>
        <v>3.5123000000000002</v>
      </c>
      <c r="D67" s="8">
        <f>3.5073 * CHOOSE( CONTROL!$C$12, $D$4, 100%, $F$4)</f>
        <v>3.5072999999999999</v>
      </c>
      <c r="E67" s="12">
        <f>3.5079 * CHOOSE( CONTROL!$C$12, $D$4, 100%, $F$4)</f>
        <v>3.5078999999999998</v>
      </c>
      <c r="F67" s="4">
        <f>4.4929 * CHOOSE(CONTROL!$C$12, $D$4, 100%, $F$4)</f>
        <v>4.4928999999999997</v>
      </c>
      <c r="G67" s="8">
        <f>3.4461 * CHOOSE( CONTROL!$C$12, $D$4, 100%, $F$4)</f>
        <v>3.4460999999999999</v>
      </c>
      <c r="H67" s="4">
        <f>4.3463 * CHOOSE(CONTROL!$C$12, $D$4, 100%, $F$4)</f>
        <v>4.3463000000000003</v>
      </c>
      <c r="I67" s="8">
        <f>3.4711 * CHOOSE(CONTROL!$C$12, $D$4, 100%, $F$4)</f>
        <v>3.4710999999999999</v>
      </c>
      <c r="J67" s="4">
        <f>3.3924 * CHOOSE(CONTROL!$C$12, $D$4, 100%, $F$4)</f>
        <v>3.3923999999999999</v>
      </c>
      <c r="K67" s="4"/>
      <c r="L67" s="9">
        <v>30.654699999999998</v>
      </c>
      <c r="M67" s="9">
        <v>12.063700000000001</v>
      </c>
      <c r="N67" s="9">
        <v>4.9444999999999997</v>
      </c>
      <c r="O67" s="9">
        <v>0.37459999999999999</v>
      </c>
      <c r="P67" s="9">
        <v>1.2192000000000001</v>
      </c>
      <c r="Q67" s="9">
        <v>33.225200000000001</v>
      </c>
      <c r="R67" s="9">
        <f t="shared" si="1"/>
        <v>0.4</v>
      </c>
      <c r="S67" s="11"/>
    </row>
    <row r="68" spans="1:19" ht="15.6">
      <c r="A68" s="13">
        <v>44136</v>
      </c>
      <c r="B68" s="8">
        <f>3.7768 * CHOOSE(CONTROL!$C$12, $D$4, 100%, $F$4)</f>
        <v>3.7768000000000002</v>
      </c>
      <c r="C68" s="8">
        <f>3.7871 * CHOOSE(CONTROL!$C$12, $D$4, 100%, $F$4)</f>
        <v>3.7871000000000001</v>
      </c>
      <c r="D68" s="8">
        <f>3.7465 * CHOOSE( CONTROL!$C$12, $D$4, 100%, $F$4)</f>
        <v>3.7465000000000002</v>
      </c>
      <c r="E68" s="12">
        <f>3.7602 * CHOOSE( CONTROL!$C$12, $D$4, 100%, $F$4)</f>
        <v>3.7602000000000002</v>
      </c>
      <c r="F68" s="4">
        <f>4.7538 * CHOOSE(CONTROL!$C$12, $D$4, 100%, $F$4)</f>
        <v>4.7538</v>
      </c>
      <c r="G68" s="8">
        <f>3.711 * CHOOSE( CONTROL!$C$12, $D$4, 100%, $F$4)</f>
        <v>3.7109999999999999</v>
      </c>
      <c r="H68" s="4">
        <f>4.6035 * CHOOSE(CONTROL!$C$12, $D$4, 100%, $F$4)</f>
        <v>4.6035000000000004</v>
      </c>
      <c r="I68" s="8">
        <f>3.7218 * CHOOSE(CONTROL!$C$12, $D$4, 100%, $F$4)</f>
        <v>3.7218</v>
      </c>
      <c r="J68" s="4">
        <f>3.6588 * CHOOSE(CONTROL!$C$12, $D$4, 100%, $F$4)</f>
        <v>3.6587999999999998</v>
      </c>
      <c r="K68" s="4"/>
      <c r="L68" s="9">
        <v>28.000499999999999</v>
      </c>
      <c r="M68" s="9">
        <v>11.6745</v>
      </c>
      <c r="N68" s="9">
        <v>4.7850000000000001</v>
      </c>
      <c r="O68" s="9">
        <v>0.36249999999999999</v>
      </c>
      <c r="P68" s="9">
        <v>1.2522</v>
      </c>
      <c r="Q68" s="9">
        <v>32.153399999999998</v>
      </c>
      <c r="R68" s="9">
        <f t="shared" si="1"/>
        <v>0.4</v>
      </c>
      <c r="S68" s="11"/>
    </row>
    <row r="69" spans="1:19" ht="15.6">
      <c r="A69" s="13">
        <v>44166</v>
      </c>
      <c r="B69" s="8">
        <f>3.77 * CHOOSE(CONTROL!$C$12, $D$4, 100%, $F$4)</f>
        <v>3.77</v>
      </c>
      <c r="C69" s="8">
        <f>3.7803 * CHOOSE(CONTROL!$C$12, $D$4, 100%, $F$4)</f>
        <v>3.7803</v>
      </c>
      <c r="D69" s="8">
        <f>3.7415 * CHOOSE( CONTROL!$C$12, $D$4, 100%, $F$4)</f>
        <v>3.7414999999999998</v>
      </c>
      <c r="E69" s="12">
        <f>3.7546 * CHOOSE( CONTROL!$C$12, $D$4, 100%, $F$4)</f>
        <v>3.7545999999999999</v>
      </c>
      <c r="F69" s="4">
        <f>4.7403 * CHOOSE(CONTROL!$C$12, $D$4, 100%, $F$4)</f>
        <v>4.7403000000000004</v>
      </c>
      <c r="G69" s="8">
        <f>3.7065 * CHOOSE( CONTROL!$C$12, $D$4, 100%, $F$4)</f>
        <v>3.7065000000000001</v>
      </c>
      <c r="H69" s="4">
        <f>4.5901 * CHOOSE(CONTROL!$C$12, $D$4, 100%, $F$4)</f>
        <v>4.5900999999999996</v>
      </c>
      <c r="I69" s="8">
        <f>3.7259 * CHOOSE(CONTROL!$C$12, $D$4, 100%, $F$4)</f>
        <v>3.7259000000000002</v>
      </c>
      <c r="J69" s="4">
        <f>3.6521 * CHOOSE(CONTROL!$C$12, $D$4, 100%, $F$4)</f>
        <v>3.6520999999999999</v>
      </c>
      <c r="K69" s="4"/>
      <c r="L69" s="9">
        <v>28.933900000000001</v>
      </c>
      <c r="M69" s="9">
        <v>12.063700000000001</v>
      </c>
      <c r="N69" s="9">
        <v>4.9444999999999997</v>
      </c>
      <c r="O69" s="9">
        <v>0.37459999999999999</v>
      </c>
      <c r="P69" s="9">
        <v>1.2939000000000001</v>
      </c>
      <c r="Q69" s="9">
        <v>33.225200000000001</v>
      </c>
      <c r="R69" s="9">
        <f t="shared" si="1"/>
        <v>0.4</v>
      </c>
      <c r="S69" s="11"/>
    </row>
    <row r="70" spans="1:19" ht="15.6">
      <c r="A70" s="13">
        <v>44197</v>
      </c>
      <c r="B70" s="8">
        <f>4.1736 * CHOOSE(CONTROL!$C$12, $D$4, 100%, $F$4)</f>
        <v>4.1736000000000004</v>
      </c>
      <c r="C70" s="8">
        <f>4.1839 * CHOOSE(CONTROL!$C$12, $D$4, 100%, $F$4)</f>
        <v>4.1839000000000004</v>
      </c>
      <c r="D70" s="8">
        <f>4.1837 * CHOOSE( CONTROL!$C$12, $D$4, 100%, $F$4)</f>
        <v>4.1837</v>
      </c>
      <c r="E70" s="12">
        <f>4.1827 * CHOOSE( CONTROL!$C$12, $D$4, 100%, $F$4)</f>
        <v>4.1826999999999996</v>
      </c>
      <c r="F70" s="4">
        <f>5.1955 * CHOOSE(CONTROL!$C$12, $D$4, 100%, $F$4)</f>
        <v>5.1955</v>
      </c>
      <c r="G70" s="8">
        <f>4.1454 * CHOOSE( CONTROL!$C$12, $D$4, 100%, $F$4)</f>
        <v>4.1454000000000004</v>
      </c>
      <c r="H70" s="4">
        <f>5.0389 * CHOOSE(CONTROL!$C$12, $D$4, 100%, $F$4)</f>
        <v>5.0388999999999999</v>
      </c>
      <c r="I70" s="8">
        <f>4.1539 * CHOOSE(CONTROL!$C$12, $D$4, 100%, $F$4)</f>
        <v>4.1539000000000001</v>
      </c>
      <c r="J70" s="4">
        <f>4.0433 * CHOOSE(CONTROL!$C$12, $D$4, 100%, $F$4)</f>
        <v>4.0433000000000003</v>
      </c>
      <c r="K70" s="4"/>
      <c r="L70" s="9">
        <v>28.933900000000001</v>
      </c>
      <c r="M70" s="9">
        <v>12.063700000000001</v>
      </c>
      <c r="N70" s="9">
        <v>4.9444999999999997</v>
      </c>
      <c r="O70" s="9">
        <v>0.37459999999999999</v>
      </c>
      <c r="P70" s="9">
        <v>1.2939000000000001</v>
      </c>
      <c r="Q70" s="9">
        <v>33.011299999999999</v>
      </c>
      <c r="R70" s="9">
        <f t="shared" si="1"/>
        <v>0.4</v>
      </c>
      <c r="S70" s="11"/>
    </row>
    <row r="71" spans="1:19" ht="15.6">
      <c r="A71" s="13">
        <v>44228</v>
      </c>
      <c r="B71" s="8">
        <f>3.9038 * CHOOSE(CONTROL!$C$12, $D$4, 100%, $F$4)</f>
        <v>3.9037999999999999</v>
      </c>
      <c r="C71" s="8">
        <f>3.9142 * CHOOSE(CONTROL!$C$12, $D$4, 100%, $F$4)</f>
        <v>3.9142000000000001</v>
      </c>
      <c r="D71" s="8">
        <f>3.9163 * CHOOSE( CONTROL!$C$12, $D$4, 100%, $F$4)</f>
        <v>3.9163000000000001</v>
      </c>
      <c r="E71" s="12">
        <f>3.9144 * CHOOSE( CONTROL!$C$12, $D$4, 100%, $F$4)</f>
        <v>3.9144000000000001</v>
      </c>
      <c r="F71" s="4">
        <f>4.918 * CHOOSE(CONTROL!$C$12, $D$4, 100%, $F$4)</f>
        <v>4.9180000000000001</v>
      </c>
      <c r="G71" s="8">
        <f>3.8794 * CHOOSE( CONTROL!$C$12, $D$4, 100%, $F$4)</f>
        <v>3.8794</v>
      </c>
      <c r="H71" s="4">
        <f>4.7653 * CHOOSE(CONTROL!$C$12, $D$4, 100%, $F$4)</f>
        <v>4.7652999999999999</v>
      </c>
      <c r="I71" s="8">
        <f>3.8814 * CHOOSE(CONTROL!$C$12, $D$4, 100%, $F$4)</f>
        <v>3.8814000000000002</v>
      </c>
      <c r="J71" s="4">
        <f>3.7819 * CHOOSE(CONTROL!$C$12, $D$4, 100%, $F$4)</f>
        <v>3.7818999999999998</v>
      </c>
      <c r="K71" s="4"/>
      <c r="L71" s="9">
        <v>26.133800000000001</v>
      </c>
      <c r="M71" s="9">
        <v>10.8962</v>
      </c>
      <c r="N71" s="9">
        <v>4.4660000000000002</v>
      </c>
      <c r="O71" s="9">
        <v>0.33829999999999999</v>
      </c>
      <c r="P71" s="9">
        <v>1.1687000000000001</v>
      </c>
      <c r="Q71" s="9">
        <v>29.816600000000001</v>
      </c>
      <c r="R71" s="9">
        <f t="shared" si="1"/>
        <v>0.4</v>
      </c>
      <c r="S71" s="11"/>
    </row>
    <row r="72" spans="1:19" ht="15.6">
      <c r="A72" s="13">
        <v>44256</v>
      </c>
      <c r="B72" s="8">
        <f>3.8208 * CHOOSE(CONTROL!$C$12, $D$4, 100%, $F$4)</f>
        <v>3.8208000000000002</v>
      </c>
      <c r="C72" s="8">
        <f>3.8311 * CHOOSE(CONTROL!$C$12, $D$4, 100%, $F$4)</f>
        <v>3.8311000000000002</v>
      </c>
      <c r="D72" s="8">
        <f>3.8133 * CHOOSE( CONTROL!$C$12, $D$4, 100%, $F$4)</f>
        <v>3.8132999999999999</v>
      </c>
      <c r="E72" s="12">
        <f>3.8187 * CHOOSE( CONTROL!$C$12, $D$4, 100%, $F$4)</f>
        <v>3.8187000000000002</v>
      </c>
      <c r="F72" s="4">
        <f>4.8189 * CHOOSE(CONTROL!$C$12, $D$4, 100%, $F$4)</f>
        <v>4.8189000000000002</v>
      </c>
      <c r="G72" s="8">
        <f>3.777 * CHOOSE( CONTROL!$C$12, $D$4, 100%, $F$4)</f>
        <v>3.7770000000000001</v>
      </c>
      <c r="H72" s="4">
        <f>4.6677 * CHOOSE(CONTROL!$C$12, $D$4, 100%, $F$4)</f>
        <v>4.6677</v>
      </c>
      <c r="I72" s="8">
        <f>3.7614 * CHOOSE(CONTROL!$C$12, $D$4, 100%, $F$4)</f>
        <v>3.7614000000000001</v>
      </c>
      <c r="J72" s="4">
        <f>3.7014 * CHOOSE(CONTROL!$C$12, $D$4, 100%, $F$4)</f>
        <v>3.7014</v>
      </c>
      <c r="K72" s="4"/>
      <c r="L72" s="9">
        <v>28.933900000000001</v>
      </c>
      <c r="M72" s="9">
        <v>12.063700000000001</v>
      </c>
      <c r="N72" s="9">
        <v>4.9444999999999997</v>
      </c>
      <c r="O72" s="9">
        <v>0.37459999999999999</v>
      </c>
      <c r="P72" s="9">
        <v>1.2939000000000001</v>
      </c>
      <c r="Q72" s="9">
        <v>33.011299999999999</v>
      </c>
      <c r="R72" s="9">
        <f t="shared" si="1"/>
        <v>0.4</v>
      </c>
      <c r="S72" s="11"/>
    </row>
    <row r="73" spans="1:19" ht="15.6">
      <c r="A73" s="13">
        <v>44287</v>
      </c>
      <c r="B73" s="8">
        <f>3.8788 * CHOOSE(CONTROL!$C$12, $D$4, 100%, $F$4)</f>
        <v>3.8788</v>
      </c>
      <c r="C73" s="8">
        <f>3.8891 * CHOOSE(CONTROL!$C$12, $D$4, 100%, $F$4)</f>
        <v>3.8891</v>
      </c>
      <c r="D73" s="8">
        <f>3.8942 * CHOOSE( CONTROL!$C$12, $D$4, 100%, $F$4)</f>
        <v>3.8942000000000001</v>
      </c>
      <c r="E73" s="12">
        <f>3.8913 * CHOOSE( CONTROL!$C$12, $D$4, 100%, $F$4)</f>
        <v>3.8913000000000002</v>
      </c>
      <c r="F73" s="4">
        <f>4.8853 * CHOOSE(CONTROL!$C$12, $D$4, 100%, $F$4)</f>
        <v>4.8853</v>
      </c>
      <c r="G73" s="8">
        <f>3.8221 * CHOOSE( CONTROL!$C$12, $D$4, 100%, $F$4)</f>
        <v>3.8220999999999998</v>
      </c>
      <c r="H73" s="4">
        <f>4.7331 * CHOOSE(CONTROL!$C$12, $D$4, 100%, $F$4)</f>
        <v>4.7331000000000003</v>
      </c>
      <c r="I73" s="8">
        <f>3.8077 * CHOOSE(CONTROL!$C$12, $D$4, 100%, $F$4)</f>
        <v>3.8077000000000001</v>
      </c>
      <c r="J73" s="4">
        <f>3.7576 * CHOOSE(CONTROL!$C$12, $D$4, 100%, $F$4)</f>
        <v>3.7576000000000001</v>
      </c>
      <c r="K73" s="4"/>
      <c r="L73" s="9">
        <v>29.665800000000001</v>
      </c>
      <c r="M73" s="9">
        <v>11.6745</v>
      </c>
      <c r="N73" s="9">
        <v>4.7850000000000001</v>
      </c>
      <c r="O73" s="9">
        <v>0.36249999999999999</v>
      </c>
      <c r="P73" s="9">
        <v>1.1798</v>
      </c>
      <c r="Q73" s="9">
        <v>31.946400000000001</v>
      </c>
      <c r="R73" s="9">
        <f t="shared" si="1"/>
        <v>0.4</v>
      </c>
      <c r="S73" s="11"/>
    </row>
    <row r="74" spans="1:19" ht="15.6">
      <c r="A74" s="13">
        <v>44317</v>
      </c>
      <c r="B74" s="8">
        <f>CHOOSE( CONTROL!$C$29, 3.989, 3.9821) * CHOOSE(CONTROL!$C$12, $D$4, 100%, $F$4)</f>
        <v>3.9821</v>
      </c>
      <c r="C74" s="8">
        <f>CHOOSE( CONTROL!$C$29, 3.9993, 3.9925) * CHOOSE(CONTROL!$C$12, $D$4, 100%, $F$4)</f>
        <v>3.9925000000000002</v>
      </c>
      <c r="D74" s="8">
        <f>CHOOSE( CONTROL!$C$29, 3.9796, 3.9727) * CHOOSE( CONTROL!$C$12, $D$4, 100%, $F$4)</f>
        <v>3.9727000000000001</v>
      </c>
      <c r="E74" s="12">
        <f>CHOOSE( CONTROL!$C$29, 3.9852, 3.9783) * CHOOSE( CONTROL!$C$12, $D$4, 100%, $F$4)</f>
        <v>3.9782999999999999</v>
      </c>
      <c r="F74" s="4">
        <f>CHOOSE( CONTROL!$C$29, 4.9634, 4.9566) * CHOOSE(CONTROL!$C$12, $D$4, 100%, $F$4)</f>
        <v>4.9565999999999999</v>
      </c>
      <c r="G74" s="8">
        <f>CHOOSE( CONTROL!$C$29, 3.9125, 3.9057) * CHOOSE( CONTROL!$C$12, $D$4, 100%, $F$4)</f>
        <v>3.9056999999999999</v>
      </c>
      <c r="H74" s="4">
        <f>CHOOSE( CONTROL!$C$29, 4.8101, 4.8034) * CHOOSE(CONTROL!$C$12, $D$4, 100%, $F$4)</f>
        <v>4.8033999999999999</v>
      </c>
      <c r="I74" s="8">
        <f>CHOOSE( CONTROL!$C$29, 3.893, 3.8864) * CHOOSE(CONTROL!$C$12, $D$4, 100%, $F$4)</f>
        <v>3.8864000000000001</v>
      </c>
      <c r="J74" s="4">
        <f>CHOOSE( CONTROL!$C$29, 3.8644, 3.8578) * CHOOSE(CONTROL!$C$12, $D$4, 100%, $F$4)</f>
        <v>3.8578000000000001</v>
      </c>
      <c r="K74" s="4"/>
      <c r="L74" s="9">
        <v>30.896899999999999</v>
      </c>
      <c r="M74" s="9">
        <v>12.063700000000001</v>
      </c>
      <c r="N74" s="9">
        <v>4.9444999999999997</v>
      </c>
      <c r="O74" s="9">
        <v>0.37459999999999999</v>
      </c>
      <c r="P74" s="9">
        <v>1.2192000000000001</v>
      </c>
      <c r="Q74" s="9">
        <v>33.011299999999999</v>
      </c>
      <c r="R74" s="9">
        <f t="shared" ref="R74:R84" si="2">(0.1*4000000)/1000000</f>
        <v>0.4</v>
      </c>
      <c r="S74" s="11"/>
    </row>
    <row r="75" spans="1:19" ht="15.6">
      <c r="A75" s="13">
        <v>44348</v>
      </c>
      <c r="B75" s="8">
        <f>CHOOSE( CONTROL!$C$29, 3.925, 3.9181) * CHOOSE(CONTROL!$C$12, $D$4, 100%, $F$4)</f>
        <v>3.9180999999999999</v>
      </c>
      <c r="C75" s="8">
        <f>CHOOSE( CONTROL!$C$29, 3.9353, 3.9285) * CHOOSE(CONTROL!$C$12, $D$4, 100%, $F$4)</f>
        <v>3.9285000000000001</v>
      </c>
      <c r="D75" s="8">
        <f>CHOOSE( CONTROL!$C$29, 3.91, 3.9032) * CHOOSE( CONTROL!$C$12, $D$4, 100%, $F$4)</f>
        <v>3.9032</v>
      </c>
      <c r="E75" s="12">
        <f>CHOOSE( CONTROL!$C$29, 3.9176, 3.9108) * CHOOSE( CONTROL!$C$12, $D$4, 100%, $F$4)</f>
        <v>3.9108000000000001</v>
      </c>
      <c r="F75" s="4">
        <f>CHOOSE( CONTROL!$C$29, 4.8891, 4.8823) * CHOOSE(CONTROL!$C$12, $D$4, 100%, $F$4)</f>
        <v>4.8822999999999999</v>
      </c>
      <c r="G75" s="8">
        <f>CHOOSE( CONTROL!$C$29, 3.8481, 3.8414) * CHOOSE( CONTROL!$C$12, $D$4, 100%, $F$4)</f>
        <v>3.8414000000000001</v>
      </c>
      <c r="H75" s="4">
        <f>CHOOSE( CONTROL!$C$29, 4.7368, 4.7301) * CHOOSE(CONTROL!$C$12, $D$4, 100%, $F$4)</f>
        <v>4.7301000000000002</v>
      </c>
      <c r="I75" s="8">
        <f>CHOOSE( CONTROL!$C$29, 3.8331, 3.8265) * CHOOSE(CONTROL!$C$12, $D$4, 100%, $F$4)</f>
        <v>3.8264999999999998</v>
      </c>
      <c r="J75" s="4">
        <f>CHOOSE( CONTROL!$C$29, 3.8024, 3.7957) * CHOOSE(CONTROL!$C$12, $D$4, 100%, $F$4)</f>
        <v>3.7957000000000001</v>
      </c>
      <c r="K75" s="4"/>
      <c r="L75" s="9">
        <v>29.900200000000002</v>
      </c>
      <c r="M75" s="9">
        <v>11.6745</v>
      </c>
      <c r="N75" s="9">
        <v>4.7850000000000001</v>
      </c>
      <c r="O75" s="9">
        <v>0.36249999999999999</v>
      </c>
      <c r="P75" s="9">
        <v>1.1798</v>
      </c>
      <c r="Q75" s="9">
        <v>31.946400000000001</v>
      </c>
      <c r="R75" s="9">
        <f t="shared" si="2"/>
        <v>0.4</v>
      </c>
      <c r="S75" s="11"/>
    </row>
    <row r="76" spans="1:19" ht="15.6">
      <c r="A76" s="13">
        <v>44378</v>
      </c>
      <c r="B76" s="8">
        <f>CHOOSE( CONTROL!$C$29, 4.0935, 4.0867) * CHOOSE(CONTROL!$C$12, $D$4, 100%, $F$4)</f>
        <v>4.0867000000000004</v>
      </c>
      <c r="C76" s="8">
        <f>CHOOSE( CONTROL!$C$29, 4.1039, 4.097) * CHOOSE(CONTROL!$C$12, $D$4, 100%, $F$4)</f>
        <v>4.0970000000000004</v>
      </c>
      <c r="D76" s="8">
        <f>CHOOSE( CONTROL!$C$29, 4.112, 4.1052) * CHOOSE( CONTROL!$C$12, $D$4, 100%, $F$4)</f>
        <v>4.1052</v>
      </c>
      <c r="E76" s="12">
        <f>CHOOSE( CONTROL!$C$29, 4.1075, 4.1007) * CHOOSE( CONTROL!$C$12, $D$4, 100%, $F$4)</f>
        <v>4.1006999999999998</v>
      </c>
      <c r="F76" s="4">
        <f>CHOOSE( CONTROL!$C$29, 5.1026, 5.0957) * CHOOSE(CONTROL!$C$12, $D$4, 100%, $F$4)</f>
        <v>5.0956999999999999</v>
      </c>
      <c r="G76" s="8">
        <f>CHOOSE( CONTROL!$C$29, 4.0403, 4.0336) * CHOOSE( CONTROL!$C$12, $D$4, 100%, $F$4)</f>
        <v>4.0335999999999999</v>
      </c>
      <c r="H76" s="4">
        <f>CHOOSE( CONTROL!$C$29, 4.9473, 4.9405) * CHOOSE(CONTROL!$C$12, $D$4, 100%, $F$4)</f>
        <v>4.9405000000000001</v>
      </c>
      <c r="I76" s="8">
        <f>CHOOSE( CONTROL!$C$29, 4.0518, 4.0452) * CHOOSE(CONTROL!$C$12, $D$4, 100%, $F$4)</f>
        <v>4.0452000000000004</v>
      </c>
      <c r="J76" s="4">
        <f>CHOOSE( CONTROL!$C$29, 3.9657, 3.9591) * CHOOSE(CONTROL!$C$12, $D$4, 100%, $F$4)</f>
        <v>3.9590999999999998</v>
      </c>
      <c r="K76" s="4"/>
      <c r="L76" s="9">
        <v>30.896899999999999</v>
      </c>
      <c r="M76" s="9">
        <v>12.063700000000001</v>
      </c>
      <c r="N76" s="9">
        <v>4.9444999999999997</v>
      </c>
      <c r="O76" s="9">
        <v>0.37459999999999999</v>
      </c>
      <c r="P76" s="9">
        <v>1.2192000000000001</v>
      </c>
      <c r="Q76" s="9">
        <v>33.011299999999999</v>
      </c>
      <c r="R76" s="9">
        <f t="shared" si="2"/>
        <v>0.4</v>
      </c>
      <c r="S76" s="11"/>
    </row>
    <row r="77" spans="1:19" ht="15.6">
      <c r="A77" s="13">
        <v>44409</v>
      </c>
      <c r="B77" s="8">
        <f>CHOOSE( CONTROL!$C$29, 3.7781, 3.7713) * CHOOSE(CONTROL!$C$12, $D$4, 100%, $F$4)</f>
        <v>3.7713000000000001</v>
      </c>
      <c r="C77" s="8">
        <f>CHOOSE( CONTROL!$C$29, 3.7885, 3.7816) * CHOOSE(CONTROL!$C$12, $D$4, 100%, $F$4)</f>
        <v>3.7816000000000001</v>
      </c>
      <c r="D77" s="8">
        <f>CHOOSE( CONTROL!$C$29, 3.7899, 3.7831) * CHOOSE( CONTROL!$C$12, $D$4, 100%, $F$4)</f>
        <v>3.7831000000000001</v>
      </c>
      <c r="E77" s="12">
        <f>CHOOSE( CONTROL!$C$29, 3.7878, 3.781) * CHOOSE( CONTROL!$C$12, $D$4, 100%, $F$4)</f>
        <v>3.7810000000000001</v>
      </c>
      <c r="F77" s="4">
        <f>CHOOSE( CONTROL!$C$29, 4.7846, 4.7777) * CHOOSE(CONTROL!$C$12, $D$4, 100%, $F$4)</f>
        <v>4.7777000000000003</v>
      </c>
      <c r="G77" s="8">
        <f>CHOOSE( CONTROL!$C$29, 3.7195, 3.7127) * CHOOSE( CONTROL!$C$12, $D$4, 100%, $F$4)</f>
        <v>3.7126999999999999</v>
      </c>
      <c r="H77" s="4">
        <f>CHOOSE( CONTROL!$C$29, 4.6338, 4.6271) * CHOOSE(CONTROL!$C$12, $D$4, 100%, $F$4)</f>
        <v>4.6271000000000004</v>
      </c>
      <c r="I77" s="8">
        <f>CHOOSE( CONTROL!$C$29, 3.7272, 3.7205) * CHOOSE(CONTROL!$C$12, $D$4, 100%, $F$4)</f>
        <v>3.7204999999999999</v>
      </c>
      <c r="J77" s="4">
        <f>CHOOSE( CONTROL!$C$29, 3.6601, 3.6534) * CHOOSE(CONTROL!$C$12, $D$4, 100%, $F$4)</f>
        <v>3.6534</v>
      </c>
      <c r="K77" s="4"/>
      <c r="L77" s="9">
        <v>30.896899999999999</v>
      </c>
      <c r="M77" s="9">
        <v>12.063700000000001</v>
      </c>
      <c r="N77" s="9">
        <v>4.9444999999999997</v>
      </c>
      <c r="O77" s="9">
        <v>0.37459999999999999</v>
      </c>
      <c r="P77" s="9">
        <v>1.2192000000000001</v>
      </c>
      <c r="Q77" s="9">
        <v>33.011299999999999</v>
      </c>
      <c r="R77" s="9">
        <f t="shared" si="2"/>
        <v>0.4</v>
      </c>
      <c r="S77" s="11"/>
    </row>
    <row r="78" spans="1:19" ht="15.6">
      <c r="A78" s="13">
        <v>44440</v>
      </c>
      <c r="B78" s="8">
        <f>CHOOSE( CONTROL!$C$29, 3.6992, 3.6923) * CHOOSE(CONTROL!$C$12, $D$4, 100%, $F$4)</f>
        <v>3.6922999999999999</v>
      </c>
      <c r="C78" s="8">
        <f>CHOOSE( CONTROL!$C$29, 3.7095, 3.7027) * CHOOSE(CONTROL!$C$12, $D$4, 100%, $F$4)</f>
        <v>3.7027000000000001</v>
      </c>
      <c r="D78" s="8">
        <f>CHOOSE( CONTROL!$C$29, 3.7142, 3.7073) * CHOOSE( CONTROL!$C$12, $D$4, 100%, $F$4)</f>
        <v>3.7073</v>
      </c>
      <c r="E78" s="12">
        <f>CHOOSE( CONTROL!$C$29, 3.7109, 3.704) * CHOOSE( CONTROL!$C$12, $D$4, 100%, $F$4)</f>
        <v>3.7040000000000002</v>
      </c>
      <c r="F78" s="4">
        <f>CHOOSE( CONTROL!$C$29, 4.7108, 4.7039) * CHOOSE(CONTROL!$C$12, $D$4, 100%, $F$4)</f>
        <v>4.7039</v>
      </c>
      <c r="G78" s="8">
        <f>CHOOSE( CONTROL!$C$29, 3.6437, 3.6369) * CHOOSE( CONTROL!$C$12, $D$4, 100%, $F$4)</f>
        <v>3.6368999999999998</v>
      </c>
      <c r="H78" s="4">
        <f>CHOOSE( CONTROL!$C$29, 4.561, 4.5543) * CHOOSE(CONTROL!$C$12, $D$4, 100%, $F$4)</f>
        <v>4.5542999999999996</v>
      </c>
      <c r="I78" s="8">
        <f>CHOOSE( CONTROL!$C$29, 3.6584, 3.6518) * CHOOSE(CONTROL!$C$12, $D$4, 100%, $F$4)</f>
        <v>3.6518000000000002</v>
      </c>
      <c r="J78" s="4">
        <f>CHOOSE( CONTROL!$C$29, 3.5835, 3.5769) * CHOOSE(CONTROL!$C$12, $D$4, 100%, $F$4)</f>
        <v>3.5769000000000002</v>
      </c>
      <c r="K78" s="4"/>
      <c r="L78" s="9">
        <v>29.900200000000002</v>
      </c>
      <c r="M78" s="9">
        <v>11.6745</v>
      </c>
      <c r="N78" s="9">
        <v>4.7850000000000001</v>
      </c>
      <c r="O78" s="9">
        <v>0.36249999999999999</v>
      </c>
      <c r="P78" s="9">
        <v>1.1798</v>
      </c>
      <c r="Q78" s="9">
        <v>31.946400000000001</v>
      </c>
      <c r="R78" s="9">
        <f t="shared" si="2"/>
        <v>0.4</v>
      </c>
      <c r="S78" s="11"/>
    </row>
    <row r="79" spans="1:19" ht="15.6">
      <c r="A79" s="13">
        <v>44470</v>
      </c>
      <c r="B79" s="8">
        <f>3.8563 * CHOOSE(CONTROL!$C$12, $D$4, 100%, $F$4)</f>
        <v>3.8563000000000001</v>
      </c>
      <c r="C79" s="8">
        <f>3.8666 * CHOOSE(CONTROL!$C$12, $D$4, 100%, $F$4)</f>
        <v>3.8666</v>
      </c>
      <c r="D79" s="8">
        <f>3.8617 * CHOOSE( CONTROL!$C$12, $D$4, 100%, $F$4)</f>
        <v>3.8616999999999999</v>
      </c>
      <c r="E79" s="12">
        <f>3.8622 * CHOOSE( CONTROL!$C$12, $D$4, 100%, $F$4)</f>
        <v>3.8622000000000001</v>
      </c>
      <c r="F79" s="4">
        <f>4.8473 * CHOOSE(CONTROL!$C$12, $D$4, 100%, $F$4)</f>
        <v>4.8472999999999997</v>
      </c>
      <c r="G79" s="8">
        <f>3.7954 * CHOOSE( CONTROL!$C$12, $D$4, 100%, $F$4)</f>
        <v>3.7953999999999999</v>
      </c>
      <c r="H79" s="4">
        <f>4.6956 * CHOOSE(CONTROL!$C$12, $D$4, 100%, $F$4)</f>
        <v>4.6955999999999998</v>
      </c>
      <c r="I79" s="8">
        <f>3.8146 * CHOOSE(CONTROL!$C$12, $D$4, 100%, $F$4)</f>
        <v>3.8146</v>
      </c>
      <c r="J79" s="4">
        <f>3.7358 * CHOOSE(CONTROL!$C$12, $D$4, 100%, $F$4)</f>
        <v>3.7357999999999998</v>
      </c>
      <c r="K79" s="4"/>
      <c r="L79" s="9">
        <v>30.654699999999998</v>
      </c>
      <c r="M79" s="9">
        <v>12.063700000000001</v>
      </c>
      <c r="N79" s="9">
        <v>4.9444999999999997</v>
      </c>
      <c r="O79" s="9">
        <v>0.37459999999999999</v>
      </c>
      <c r="P79" s="9">
        <v>1.2192000000000001</v>
      </c>
      <c r="Q79" s="9">
        <v>33.011299999999999</v>
      </c>
      <c r="R79" s="9">
        <f t="shared" si="2"/>
        <v>0.4</v>
      </c>
      <c r="S79" s="11"/>
    </row>
    <row r="80" spans="1:19" ht="15.6">
      <c r="A80" s="13">
        <v>44501</v>
      </c>
      <c r="B80" s="8">
        <f>4.159 * CHOOSE(CONTROL!$C$12, $D$4, 100%, $F$4)</f>
        <v>4.1589999999999998</v>
      </c>
      <c r="C80" s="8">
        <f>4.1693 * CHOOSE(CONTROL!$C$12, $D$4, 100%, $F$4)</f>
        <v>4.1692999999999998</v>
      </c>
      <c r="D80" s="8">
        <f>4.1286 * CHOOSE( CONTROL!$C$12, $D$4, 100%, $F$4)</f>
        <v>4.1285999999999996</v>
      </c>
      <c r="E80" s="12">
        <f>4.1424 * CHOOSE( CONTROL!$C$12, $D$4, 100%, $F$4)</f>
        <v>4.1424000000000003</v>
      </c>
      <c r="F80" s="4">
        <f>5.136 * CHOOSE(CONTROL!$C$12, $D$4, 100%, $F$4)</f>
        <v>5.1360000000000001</v>
      </c>
      <c r="G80" s="8">
        <f>4.0877 * CHOOSE( CONTROL!$C$12, $D$4, 100%, $F$4)</f>
        <v>4.0876999999999999</v>
      </c>
      <c r="H80" s="4">
        <f>4.9802 * CHOOSE(CONTROL!$C$12, $D$4, 100%, $F$4)</f>
        <v>4.9802</v>
      </c>
      <c r="I80" s="8">
        <f>4.0923 * CHOOSE(CONTROL!$C$12, $D$4, 100%, $F$4)</f>
        <v>4.0922999999999998</v>
      </c>
      <c r="J80" s="4">
        <f>4.0291 * CHOOSE(CONTROL!$C$12, $D$4, 100%, $F$4)</f>
        <v>4.0290999999999997</v>
      </c>
      <c r="K80" s="4"/>
      <c r="L80" s="9">
        <v>28.000499999999999</v>
      </c>
      <c r="M80" s="9">
        <v>11.6745</v>
      </c>
      <c r="N80" s="9">
        <v>4.7850000000000001</v>
      </c>
      <c r="O80" s="9">
        <v>0.36249999999999999</v>
      </c>
      <c r="P80" s="9">
        <v>1.2522</v>
      </c>
      <c r="Q80" s="9">
        <v>31.946400000000001</v>
      </c>
      <c r="R80" s="9">
        <f t="shared" si="2"/>
        <v>0.4</v>
      </c>
      <c r="S80" s="11"/>
    </row>
    <row r="81" spans="1:19" ht="15.6">
      <c r="A81" s="13">
        <v>44531</v>
      </c>
      <c r="B81" s="8">
        <f>4.1514 * CHOOSE(CONTROL!$C$12, $D$4, 100%, $F$4)</f>
        <v>4.1513999999999998</v>
      </c>
      <c r="C81" s="8">
        <f>4.1618 * CHOOSE(CONTROL!$C$12, $D$4, 100%, $F$4)</f>
        <v>4.1618000000000004</v>
      </c>
      <c r="D81" s="8">
        <f>4.123 * CHOOSE( CONTROL!$C$12, $D$4, 100%, $F$4)</f>
        <v>4.1230000000000002</v>
      </c>
      <c r="E81" s="12">
        <f>4.1361 * CHOOSE( CONTROL!$C$12, $D$4, 100%, $F$4)</f>
        <v>4.1360999999999999</v>
      </c>
      <c r="F81" s="4">
        <f>5.1218 * CHOOSE(CONTROL!$C$12, $D$4, 100%, $F$4)</f>
        <v>5.1218000000000004</v>
      </c>
      <c r="G81" s="8">
        <f>4.0826 * CHOOSE( CONTROL!$C$12, $D$4, 100%, $F$4)</f>
        <v>4.0826000000000002</v>
      </c>
      <c r="H81" s="4">
        <f>4.9662 * CHOOSE(CONTROL!$C$12, $D$4, 100%, $F$4)</f>
        <v>4.9661999999999997</v>
      </c>
      <c r="I81" s="8">
        <f>4.0958 * CHOOSE(CONTROL!$C$12, $D$4, 100%, $F$4)</f>
        <v>4.0957999999999997</v>
      </c>
      <c r="J81" s="4">
        <f>4.0218 * CHOOSE(CONTROL!$C$12, $D$4, 100%, $F$4)</f>
        <v>4.0217999999999998</v>
      </c>
      <c r="K81" s="4"/>
      <c r="L81" s="9">
        <v>28.933900000000001</v>
      </c>
      <c r="M81" s="9">
        <v>12.063700000000001</v>
      </c>
      <c r="N81" s="9">
        <v>4.9444999999999997</v>
      </c>
      <c r="O81" s="9">
        <v>0.37459999999999999</v>
      </c>
      <c r="P81" s="9">
        <v>1.2939000000000001</v>
      </c>
      <c r="Q81" s="9">
        <v>33.011299999999999</v>
      </c>
      <c r="R81" s="9">
        <f t="shared" si="2"/>
        <v>0.4</v>
      </c>
      <c r="S81" s="11"/>
    </row>
    <row r="82" spans="1:19" ht="15.6">
      <c r="A82" s="13">
        <v>44562</v>
      </c>
      <c r="B82" s="8">
        <f>3.9486 * CHOOSE(CONTROL!$C$12, $D$4, 100%, $F$4)</f>
        <v>3.9485999999999999</v>
      </c>
      <c r="C82" s="8">
        <f>3.959 * CHOOSE(CONTROL!$C$12, $D$4, 100%, $F$4)</f>
        <v>3.9590000000000001</v>
      </c>
      <c r="D82" s="8">
        <f>3.9588 * CHOOSE( CONTROL!$C$12, $D$4, 100%, $F$4)</f>
        <v>3.9588000000000001</v>
      </c>
      <c r="E82" s="12">
        <f>3.9578 * CHOOSE( CONTROL!$C$12, $D$4, 100%, $F$4)</f>
        <v>3.9578000000000002</v>
      </c>
      <c r="F82" s="4">
        <f>4.9706 * CHOOSE(CONTROL!$C$12, $D$4, 100%, $F$4)</f>
        <v>4.9706000000000001</v>
      </c>
      <c r="G82" s="8">
        <f>3.9237 * CHOOSE( CONTROL!$C$12, $D$4, 100%, $F$4)</f>
        <v>3.9237000000000002</v>
      </c>
      <c r="H82" s="4">
        <f>4.8171 * CHOOSE(CONTROL!$C$12, $D$4, 100%, $F$4)</f>
        <v>4.8170999999999999</v>
      </c>
      <c r="I82" s="8">
        <f>3.9358 * CHOOSE(CONTROL!$C$12, $D$4, 100%, $F$4)</f>
        <v>3.9358</v>
      </c>
      <c r="J82" s="4">
        <f>3.8253 * CHOOSE(CONTROL!$C$12, $D$4, 100%, $F$4)</f>
        <v>3.8252999999999999</v>
      </c>
      <c r="K82" s="4"/>
      <c r="L82" s="9">
        <v>28.933900000000001</v>
      </c>
      <c r="M82" s="9">
        <v>12.063700000000001</v>
      </c>
      <c r="N82" s="9">
        <v>4.9444999999999997</v>
      </c>
      <c r="O82" s="9">
        <v>0.37459999999999999</v>
      </c>
      <c r="P82" s="9">
        <v>1.2939000000000001</v>
      </c>
      <c r="Q82" s="9">
        <v>32.8123</v>
      </c>
      <c r="R82" s="9">
        <f t="shared" si="2"/>
        <v>0.4</v>
      </c>
      <c r="S82" s="11"/>
    </row>
    <row r="83" spans="1:19" ht="15.6">
      <c r="A83" s="13">
        <v>44593</v>
      </c>
      <c r="B83" s="8">
        <f>3.6934 * CHOOSE(CONTROL!$C$12, $D$4, 100%, $F$4)</f>
        <v>3.6934</v>
      </c>
      <c r="C83" s="8">
        <f>3.7038 * CHOOSE(CONTROL!$C$12, $D$4, 100%, $F$4)</f>
        <v>3.7038000000000002</v>
      </c>
      <c r="D83" s="8">
        <f>3.7058 * CHOOSE( CONTROL!$C$12, $D$4, 100%, $F$4)</f>
        <v>3.7058</v>
      </c>
      <c r="E83" s="12">
        <f>3.704 * CHOOSE( CONTROL!$C$12, $D$4, 100%, $F$4)</f>
        <v>3.7040000000000002</v>
      </c>
      <c r="F83" s="4">
        <f>4.7076 * CHOOSE(CONTROL!$C$12, $D$4, 100%, $F$4)</f>
        <v>4.7076000000000002</v>
      </c>
      <c r="G83" s="8">
        <f>3.6719 * CHOOSE( CONTROL!$C$12, $D$4, 100%, $F$4)</f>
        <v>3.6718999999999999</v>
      </c>
      <c r="H83" s="4">
        <f>4.5579 * CHOOSE(CONTROL!$C$12, $D$4, 100%, $F$4)</f>
        <v>4.5579000000000001</v>
      </c>
      <c r="I83" s="8">
        <f>3.6774 * CHOOSE(CONTROL!$C$12, $D$4, 100%, $F$4)</f>
        <v>3.6774</v>
      </c>
      <c r="J83" s="4">
        <f>3.578 * CHOOSE(CONTROL!$C$12, $D$4, 100%, $F$4)</f>
        <v>3.5779999999999998</v>
      </c>
      <c r="K83" s="4"/>
      <c r="L83" s="9">
        <v>26.133800000000001</v>
      </c>
      <c r="M83" s="9">
        <v>10.8962</v>
      </c>
      <c r="N83" s="9">
        <v>4.4660000000000002</v>
      </c>
      <c r="O83" s="9">
        <v>0.33829999999999999</v>
      </c>
      <c r="P83" s="9">
        <v>1.1687000000000001</v>
      </c>
      <c r="Q83" s="9">
        <v>29.636900000000001</v>
      </c>
      <c r="R83" s="9">
        <f t="shared" si="2"/>
        <v>0.4</v>
      </c>
      <c r="S83" s="11"/>
    </row>
    <row r="84" spans="1:19" ht="15.6">
      <c r="A84" s="13">
        <v>44621</v>
      </c>
      <c r="B84" s="8">
        <f>3.6148 * CHOOSE(CONTROL!$C$12, $D$4, 100%, $F$4)</f>
        <v>3.6147999999999998</v>
      </c>
      <c r="C84" s="8">
        <f>3.6251 * CHOOSE(CONTROL!$C$12, $D$4, 100%, $F$4)</f>
        <v>3.6251000000000002</v>
      </c>
      <c r="D84" s="8">
        <f>3.6073 * CHOOSE( CONTROL!$C$12, $D$4, 100%, $F$4)</f>
        <v>3.6073</v>
      </c>
      <c r="E84" s="12">
        <f>3.6127 * CHOOSE( CONTROL!$C$12, $D$4, 100%, $F$4)</f>
        <v>3.6126999999999998</v>
      </c>
      <c r="F84" s="4">
        <f>4.613 * CHOOSE(CONTROL!$C$12, $D$4, 100%, $F$4)</f>
        <v>4.6130000000000004</v>
      </c>
      <c r="G84" s="8">
        <f>3.574 * CHOOSE( CONTROL!$C$12, $D$4, 100%, $F$4)</f>
        <v>3.5739999999999998</v>
      </c>
      <c r="H84" s="4">
        <f>4.4647 * CHOOSE(CONTROL!$C$12, $D$4, 100%, $F$4)</f>
        <v>4.4646999999999997</v>
      </c>
      <c r="I84" s="8">
        <f>3.5617 * CHOOSE(CONTROL!$C$12, $D$4, 100%, $F$4)</f>
        <v>3.5617000000000001</v>
      </c>
      <c r="J84" s="4">
        <f>3.5018 * CHOOSE(CONTROL!$C$12, $D$4, 100%, $F$4)</f>
        <v>3.5017999999999998</v>
      </c>
      <c r="K84" s="4"/>
      <c r="L84" s="9">
        <v>28.933900000000001</v>
      </c>
      <c r="M84" s="9">
        <v>12.063700000000001</v>
      </c>
      <c r="N84" s="9">
        <v>4.9444999999999997</v>
      </c>
      <c r="O84" s="9">
        <v>0.37459999999999999</v>
      </c>
      <c r="P84" s="9">
        <v>1.2939000000000001</v>
      </c>
      <c r="Q84" s="9">
        <v>32.8123</v>
      </c>
      <c r="R84" s="9">
        <f t="shared" si="2"/>
        <v>0.4</v>
      </c>
      <c r="S84" s="11"/>
    </row>
    <row r="85" spans="1:19" ht="15.6">
      <c r="A85" s="13">
        <v>44652</v>
      </c>
      <c r="B85" s="8">
        <f>3.6698 * CHOOSE(CONTROL!$C$12, $D$4, 100%, $F$4)</f>
        <v>3.6698</v>
      </c>
      <c r="C85" s="8">
        <f>3.6801 * CHOOSE(CONTROL!$C$12, $D$4, 100%, $F$4)</f>
        <v>3.6800999999999999</v>
      </c>
      <c r="D85" s="8">
        <f>3.6851 * CHOOSE( CONTROL!$C$12, $D$4, 100%, $F$4)</f>
        <v>3.6850999999999998</v>
      </c>
      <c r="E85" s="12">
        <f>3.6823 * CHOOSE( CONTROL!$C$12, $D$4, 100%, $F$4)</f>
        <v>3.6823000000000001</v>
      </c>
      <c r="F85" s="4">
        <f>4.6762 * CHOOSE(CONTROL!$C$12, $D$4, 100%, $F$4)</f>
        <v>4.6761999999999997</v>
      </c>
      <c r="G85" s="8">
        <f>3.616 * CHOOSE( CONTROL!$C$12, $D$4, 100%, $F$4)</f>
        <v>3.6160000000000001</v>
      </c>
      <c r="H85" s="4">
        <f>4.527 * CHOOSE(CONTROL!$C$12, $D$4, 100%, $F$4)</f>
        <v>4.5270000000000001</v>
      </c>
      <c r="I85" s="8">
        <f>3.6051 * CHOOSE(CONTROL!$C$12, $D$4, 100%, $F$4)</f>
        <v>3.6051000000000002</v>
      </c>
      <c r="J85" s="4">
        <f>3.555 * CHOOSE(CONTROL!$C$12, $D$4, 100%, $F$4)</f>
        <v>3.5550000000000002</v>
      </c>
      <c r="K85" s="4"/>
      <c r="L85" s="9">
        <v>29.665800000000001</v>
      </c>
      <c r="M85" s="9">
        <v>11.6745</v>
      </c>
      <c r="N85" s="9">
        <v>4.7850000000000001</v>
      </c>
      <c r="O85" s="9">
        <v>0.36249999999999999</v>
      </c>
      <c r="P85" s="9">
        <v>1.1798</v>
      </c>
      <c r="Q85" s="9">
        <v>31.753799999999998</v>
      </c>
      <c r="R85" s="9"/>
      <c r="S85" s="11"/>
    </row>
    <row r="86" spans="1:19" ht="15.6">
      <c r="A86" s="13">
        <v>44682</v>
      </c>
      <c r="B86" s="8">
        <f>CHOOSE( CONTROL!$C$29, 3.7744, 3.7675) * CHOOSE(CONTROL!$C$12, $D$4, 100%, $F$4)</f>
        <v>3.7675000000000001</v>
      </c>
      <c r="C86" s="8">
        <f>CHOOSE( CONTROL!$C$29, 3.7847, 3.7778) * CHOOSE(CONTROL!$C$12, $D$4, 100%, $F$4)</f>
        <v>3.7778</v>
      </c>
      <c r="D86" s="8">
        <f>CHOOSE( CONTROL!$C$29, 3.7649, 3.7581) * CHOOSE( CONTROL!$C$12, $D$4, 100%, $F$4)</f>
        <v>3.7581000000000002</v>
      </c>
      <c r="E86" s="12">
        <f>CHOOSE( CONTROL!$C$29, 3.7705, 3.7637) * CHOOSE( CONTROL!$C$12, $D$4, 100%, $F$4)</f>
        <v>3.7637</v>
      </c>
      <c r="F86" s="4">
        <f>CHOOSE( CONTROL!$C$29, 4.7488, 4.742) * CHOOSE(CONTROL!$C$12, $D$4, 100%, $F$4)</f>
        <v>4.742</v>
      </c>
      <c r="G86" s="8">
        <f>CHOOSE( CONTROL!$C$29, 3.7009, 3.6941) * CHOOSE( CONTROL!$C$12, $D$4, 100%, $F$4)</f>
        <v>3.6941000000000002</v>
      </c>
      <c r="H86" s="4">
        <f>CHOOSE( CONTROL!$C$29, 4.5985, 4.5918) * CHOOSE(CONTROL!$C$12, $D$4, 100%, $F$4)</f>
        <v>4.5918000000000001</v>
      </c>
      <c r="I86" s="8">
        <f>CHOOSE( CONTROL!$C$29, 3.6849, 3.6783) * CHOOSE(CONTROL!$C$12, $D$4, 100%, $F$4)</f>
        <v>3.6783000000000001</v>
      </c>
      <c r="J86" s="4">
        <f>CHOOSE( CONTROL!$C$29, 3.6564, 3.6498) * CHOOSE(CONTROL!$C$12, $D$4, 100%, $F$4)</f>
        <v>3.6497999999999999</v>
      </c>
      <c r="K86" s="4"/>
      <c r="L86" s="9">
        <v>30.896899999999999</v>
      </c>
      <c r="M86" s="9">
        <v>12.063700000000001</v>
      </c>
      <c r="N86" s="9">
        <v>4.9444999999999997</v>
      </c>
      <c r="O86" s="9">
        <v>0.37459999999999999</v>
      </c>
      <c r="P86" s="9">
        <v>1.2192000000000001</v>
      </c>
      <c r="Q86" s="9">
        <v>32.8123</v>
      </c>
      <c r="R86" s="9"/>
      <c r="S86" s="11"/>
    </row>
    <row r="87" spans="1:19" ht="15.6">
      <c r="A87" s="13">
        <v>44713</v>
      </c>
      <c r="B87" s="8">
        <f>CHOOSE( CONTROL!$C$29, 3.7138, 3.707) * CHOOSE(CONTROL!$C$12, $D$4, 100%, $F$4)</f>
        <v>3.7069999999999999</v>
      </c>
      <c r="C87" s="8">
        <f>CHOOSE( CONTROL!$C$29, 3.7241, 3.7173) * CHOOSE(CONTROL!$C$12, $D$4, 100%, $F$4)</f>
        <v>3.7172999999999998</v>
      </c>
      <c r="D87" s="8">
        <f>CHOOSE( CONTROL!$C$29, 3.6988, 3.692) * CHOOSE( CONTROL!$C$12, $D$4, 100%, $F$4)</f>
        <v>3.6920000000000002</v>
      </c>
      <c r="E87" s="12">
        <f>CHOOSE( CONTROL!$C$29, 3.7064, 3.6996) * CHOOSE( CONTROL!$C$12, $D$4, 100%, $F$4)</f>
        <v>3.6996000000000002</v>
      </c>
      <c r="F87" s="4">
        <f>CHOOSE( CONTROL!$C$29, 4.6779, 4.6711) * CHOOSE(CONTROL!$C$12, $D$4, 100%, $F$4)</f>
        <v>4.6711</v>
      </c>
      <c r="G87" s="8">
        <f>CHOOSE( CONTROL!$C$29, 3.6399, 3.6332) * CHOOSE( CONTROL!$C$12, $D$4, 100%, $F$4)</f>
        <v>3.6332</v>
      </c>
      <c r="H87" s="4">
        <f>CHOOSE( CONTROL!$C$29, 4.5287, 4.5219) * CHOOSE(CONTROL!$C$12, $D$4, 100%, $F$4)</f>
        <v>4.5218999999999996</v>
      </c>
      <c r="I87" s="8">
        <f>CHOOSE( CONTROL!$C$29, 3.6284, 3.6217) * CHOOSE(CONTROL!$C$12, $D$4, 100%, $F$4)</f>
        <v>3.6217000000000001</v>
      </c>
      <c r="J87" s="4">
        <f>CHOOSE( CONTROL!$C$29, 3.5977, 3.5911) * CHOOSE(CONTROL!$C$12, $D$4, 100%, $F$4)</f>
        <v>3.5911</v>
      </c>
      <c r="K87" s="4"/>
      <c r="L87" s="9">
        <v>29.900200000000002</v>
      </c>
      <c r="M87" s="9">
        <v>11.6745</v>
      </c>
      <c r="N87" s="9">
        <v>4.7850000000000001</v>
      </c>
      <c r="O87" s="9">
        <v>0.36249999999999999</v>
      </c>
      <c r="P87" s="9">
        <v>1.1798</v>
      </c>
      <c r="Q87" s="9">
        <v>31.753799999999998</v>
      </c>
      <c r="R87" s="9"/>
      <c r="S87" s="11"/>
    </row>
    <row r="88" spans="1:19" ht="15.6">
      <c r="A88" s="13">
        <v>44743</v>
      </c>
      <c r="B88" s="8">
        <f>CHOOSE( CONTROL!$C$29, 3.8733, 3.8664) * CHOOSE(CONTROL!$C$12, $D$4, 100%, $F$4)</f>
        <v>3.8664000000000001</v>
      </c>
      <c r="C88" s="8">
        <f>CHOOSE( CONTROL!$C$29, 3.8836, 3.8767) * CHOOSE(CONTROL!$C$12, $D$4, 100%, $F$4)</f>
        <v>3.8767</v>
      </c>
      <c r="D88" s="8">
        <f>CHOOSE( CONTROL!$C$29, 3.8917, 3.8849) * CHOOSE( CONTROL!$C$12, $D$4, 100%, $F$4)</f>
        <v>3.8849</v>
      </c>
      <c r="E88" s="12">
        <f>CHOOSE( CONTROL!$C$29, 3.8872, 3.8804) * CHOOSE( CONTROL!$C$12, $D$4, 100%, $F$4)</f>
        <v>3.8803999999999998</v>
      </c>
      <c r="F88" s="4">
        <f>CHOOSE( CONTROL!$C$29, 4.8823, 4.8754) * CHOOSE(CONTROL!$C$12, $D$4, 100%, $F$4)</f>
        <v>4.8754</v>
      </c>
      <c r="G88" s="8">
        <f>CHOOSE( CONTROL!$C$29, 3.8232, 3.8164) * CHOOSE( CONTROL!$C$12, $D$4, 100%, $F$4)</f>
        <v>3.8163999999999998</v>
      </c>
      <c r="H88" s="4">
        <f>CHOOSE( CONTROL!$C$29, 4.7301, 4.7234) * CHOOSE(CONTROL!$C$12, $D$4, 100%, $F$4)</f>
        <v>4.7233999999999998</v>
      </c>
      <c r="I88" s="8">
        <f>CHOOSE( CONTROL!$C$29, 3.8383, 3.8316) * CHOOSE(CONTROL!$C$12, $D$4, 100%, $F$4)</f>
        <v>3.8315999999999999</v>
      </c>
      <c r="J88" s="4">
        <f>CHOOSE( CONTROL!$C$29, 3.7522, 3.7456) * CHOOSE(CONTROL!$C$12, $D$4, 100%, $F$4)</f>
        <v>3.7456</v>
      </c>
      <c r="K88" s="4"/>
      <c r="L88" s="9">
        <v>30.896899999999999</v>
      </c>
      <c r="M88" s="9">
        <v>12.063700000000001</v>
      </c>
      <c r="N88" s="9">
        <v>4.9444999999999997</v>
      </c>
      <c r="O88" s="9">
        <v>0.37459999999999999</v>
      </c>
      <c r="P88" s="9">
        <v>1.2192000000000001</v>
      </c>
      <c r="Q88" s="9">
        <v>32.8123</v>
      </c>
      <c r="R88" s="9"/>
      <c r="S88" s="11"/>
    </row>
    <row r="89" spans="1:19" ht="15.6">
      <c r="A89" s="13">
        <v>44774</v>
      </c>
      <c r="B89" s="8">
        <f>CHOOSE( CONTROL!$C$29, 3.5749, 3.568) * CHOOSE(CONTROL!$C$12, $D$4, 100%, $F$4)</f>
        <v>3.5680000000000001</v>
      </c>
      <c r="C89" s="8">
        <f>CHOOSE( CONTROL!$C$29, 3.5852, 3.5784) * CHOOSE(CONTROL!$C$12, $D$4, 100%, $F$4)</f>
        <v>3.5783999999999998</v>
      </c>
      <c r="D89" s="8">
        <f>CHOOSE( CONTROL!$C$29, 3.5867, 3.5798) * CHOOSE( CONTROL!$C$12, $D$4, 100%, $F$4)</f>
        <v>3.5798000000000001</v>
      </c>
      <c r="E89" s="12">
        <f>CHOOSE( CONTROL!$C$29, 3.5846, 3.5777) * CHOOSE( CONTROL!$C$12, $D$4, 100%, $F$4)</f>
        <v>3.5777000000000001</v>
      </c>
      <c r="F89" s="4">
        <f>CHOOSE( CONTROL!$C$29, 4.5813, 4.5745) * CHOOSE(CONTROL!$C$12, $D$4, 100%, $F$4)</f>
        <v>4.5744999999999996</v>
      </c>
      <c r="G89" s="8">
        <f>CHOOSE( CONTROL!$C$29, 3.5191, 3.5124) * CHOOSE( CONTROL!$C$12, $D$4, 100%, $F$4)</f>
        <v>3.5124</v>
      </c>
      <c r="H89" s="4">
        <f>CHOOSE( CONTROL!$C$29, 4.4334, 4.4267) * CHOOSE(CONTROL!$C$12, $D$4, 100%, $F$4)</f>
        <v>4.4267000000000003</v>
      </c>
      <c r="I89" s="8">
        <f>CHOOSE( CONTROL!$C$29, 3.5301, 3.5235) * CHOOSE(CONTROL!$C$12, $D$4, 100%, $F$4)</f>
        <v>3.5234999999999999</v>
      </c>
      <c r="J89" s="4">
        <f>CHOOSE( CONTROL!$C$29, 3.4631, 3.4565) * CHOOSE(CONTROL!$C$12, $D$4, 100%, $F$4)</f>
        <v>3.4565000000000001</v>
      </c>
      <c r="K89" s="4"/>
      <c r="L89" s="9">
        <v>29.520499999999998</v>
      </c>
      <c r="M89" s="9">
        <v>12.063700000000001</v>
      </c>
      <c r="N89" s="9">
        <v>4.9444999999999997</v>
      </c>
      <c r="O89" s="9">
        <v>0.37459999999999999</v>
      </c>
      <c r="P89" s="9">
        <v>1.2192000000000001</v>
      </c>
      <c r="Q89" s="9">
        <v>32.8123</v>
      </c>
      <c r="R89" s="9"/>
      <c r="S89" s="11"/>
    </row>
    <row r="90" spans="1:19" ht="15.6">
      <c r="A90" s="13">
        <v>44805</v>
      </c>
      <c r="B90" s="8">
        <f>CHOOSE( CONTROL!$C$29, 3.5002, 3.4933) * CHOOSE(CONTROL!$C$12, $D$4, 100%, $F$4)</f>
        <v>3.4933000000000001</v>
      </c>
      <c r="C90" s="8">
        <f>CHOOSE( CONTROL!$C$29, 3.5105, 3.5036) * CHOOSE(CONTROL!$C$12, $D$4, 100%, $F$4)</f>
        <v>3.5036</v>
      </c>
      <c r="D90" s="8">
        <f>CHOOSE( CONTROL!$C$29, 3.5152, 3.5083) * CHOOSE( CONTROL!$C$12, $D$4, 100%, $F$4)</f>
        <v>3.5083000000000002</v>
      </c>
      <c r="E90" s="12">
        <f>CHOOSE( CONTROL!$C$29, 3.5119, 3.505) * CHOOSE( CONTROL!$C$12, $D$4, 100%, $F$4)</f>
        <v>3.5049999999999999</v>
      </c>
      <c r="F90" s="4">
        <f>CHOOSE( CONTROL!$C$29, 4.5118, 4.5049) * CHOOSE(CONTROL!$C$12, $D$4, 100%, $F$4)</f>
        <v>4.5049000000000001</v>
      </c>
      <c r="G90" s="8">
        <f>CHOOSE( CONTROL!$C$29, 3.4475, 3.4408) * CHOOSE( CONTROL!$C$12, $D$4, 100%, $F$4)</f>
        <v>3.4407999999999999</v>
      </c>
      <c r="H90" s="4">
        <f>CHOOSE( CONTROL!$C$29, 4.3649, 4.3581) * CHOOSE(CONTROL!$C$12, $D$4, 100%, $F$4)</f>
        <v>4.3581000000000003</v>
      </c>
      <c r="I90" s="8">
        <f>CHOOSE( CONTROL!$C$29, 3.4654, 3.4588) * CHOOSE(CONTROL!$C$12, $D$4, 100%, $F$4)</f>
        <v>3.4588000000000001</v>
      </c>
      <c r="J90" s="4">
        <f>CHOOSE( CONTROL!$C$29, 3.3907, 3.3841) * CHOOSE(CONTROL!$C$12, $D$4, 100%, $F$4)</f>
        <v>3.3841000000000001</v>
      </c>
      <c r="K90" s="4"/>
      <c r="L90" s="9">
        <v>28.568200000000001</v>
      </c>
      <c r="M90" s="9">
        <v>11.6745</v>
      </c>
      <c r="N90" s="9">
        <v>4.7850000000000001</v>
      </c>
      <c r="O90" s="9">
        <v>0.36249999999999999</v>
      </c>
      <c r="P90" s="9">
        <v>1.1798</v>
      </c>
      <c r="Q90" s="9">
        <v>31.753799999999998</v>
      </c>
      <c r="R90" s="9"/>
      <c r="S90" s="11"/>
    </row>
    <row r="91" spans="1:19" ht="15.6">
      <c r="A91" s="13">
        <v>44835</v>
      </c>
      <c r="B91" s="8">
        <f>3.6485 * CHOOSE(CONTROL!$C$12, $D$4, 100%, $F$4)</f>
        <v>3.6484999999999999</v>
      </c>
      <c r="C91" s="8">
        <f>3.6588 * CHOOSE(CONTROL!$C$12, $D$4, 100%, $F$4)</f>
        <v>3.6587999999999998</v>
      </c>
      <c r="D91" s="8">
        <f>3.6538 * CHOOSE( CONTROL!$C$12, $D$4, 100%, $F$4)</f>
        <v>3.6537999999999999</v>
      </c>
      <c r="E91" s="12">
        <f>3.6544 * CHOOSE( CONTROL!$C$12, $D$4, 100%, $F$4)</f>
        <v>3.6543999999999999</v>
      </c>
      <c r="F91" s="4">
        <f>4.6394 * CHOOSE(CONTROL!$C$12, $D$4, 100%, $F$4)</f>
        <v>4.6394000000000002</v>
      </c>
      <c r="G91" s="8">
        <f>3.5905 * CHOOSE( CONTROL!$C$12, $D$4, 100%, $F$4)</f>
        <v>3.5905</v>
      </c>
      <c r="H91" s="4">
        <f>4.4907 * CHOOSE(CONTROL!$C$12, $D$4, 100%, $F$4)</f>
        <v>4.4907000000000004</v>
      </c>
      <c r="I91" s="8">
        <f>3.6131 * CHOOSE(CONTROL!$C$12, $D$4, 100%, $F$4)</f>
        <v>3.6131000000000002</v>
      </c>
      <c r="J91" s="4">
        <f>3.5344 * CHOOSE(CONTROL!$C$12, $D$4, 100%, $F$4)</f>
        <v>3.5344000000000002</v>
      </c>
      <c r="K91" s="4"/>
      <c r="L91" s="9">
        <v>28.921800000000001</v>
      </c>
      <c r="M91" s="9">
        <v>12.063700000000001</v>
      </c>
      <c r="N91" s="9">
        <v>4.9444999999999997</v>
      </c>
      <c r="O91" s="9">
        <v>0.37459999999999999</v>
      </c>
      <c r="P91" s="9">
        <v>1.2192000000000001</v>
      </c>
      <c r="Q91" s="9">
        <v>32.8123</v>
      </c>
      <c r="R91" s="9"/>
      <c r="S91" s="11"/>
    </row>
    <row r="92" spans="1:19" ht="15.6">
      <c r="A92" s="13">
        <v>44866</v>
      </c>
      <c r="B92" s="8">
        <f>3.9348 * CHOOSE(CONTROL!$C$12, $D$4, 100%, $F$4)</f>
        <v>3.9348000000000001</v>
      </c>
      <c r="C92" s="8">
        <f>3.9451 * CHOOSE(CONTROL!$C$12, $D$4, 100%, $F$4)</f>
        <v>3.9451000000000001</v>
      </c>
      <c r="D92" s="8">
        <f>3.9045 * CHOOSE( CONTROL!$C$12, $D$4, 100%, $F$4)</f>
        <v>3.9045000000000001</v>
      </c>
      <c r="E92" s="12">
        <f>3.9182 * CHOOSE( CONTROL!$C$12, $D$4, 100%, $F$4)</f>
        <v>3.9182000000000001</v>
      </c>
      <c r="F92" s="4">
        <f>4.9119 * CHOOSE(CONTROL!$C$12, $D$4, 100%, $F$4)</f>
        <v>4.9119000000000002</v>
      </c>
      <c r="G92" s="8">
        <f>3.8667 * CHOOSE( CONTROL!$C$12, $D$4, 100%, $F$4)</f>
        <v>3.8666999999999998</v>
      </c>
      <c r="H92" s="4">
        <f>4.7593 * CHOOSE(CONTROL!$C$12, $D$4, 100%, $F$4)</f>
        <v>4.7592999999999996</v>
      </c>
      <c r="I92" s="8">
        <f>3.875 * CHOOSE(CONTROL!$C$12, $D$4, 100%, $F$4)</f>
        <v>3.875</v>
      </c>
      <c r="J92" s="4">
        <f>3.8119 * CHOOSE(CONTROL!$C$12, $D$4, 100%, $F$4)</f>
        <v>3.8119000000000001</v>
      </c>
      <c r="K92" s="4"/>
      <c r="L92" s="9">
        <v>26.515499999999999</v>
      </c>
      <c r="M92" s="9">
        <v>11.6745</v>
      </c>
      <c r="N92" s="9">
        <v>4.7850000000000001</v>
      </c>
      <c r="O92" s="9">
        <v>0.36249999999999999</v>
      </c>
      <c r="P92" s="9">
        <v>1.2522</v>
      </c>
      <c r="Q92" s="9">
        <v>31.753799999999998</v>
      </c>
      <c r="R92" s="9"/>
      <c r="S92" s="11"/>
    </row>
    <row r="93" spans="1:19" ht="15.6">
      <c r="A93" s="13">
        <v>44896</v>
      </c>
      <c r="B93" s="8">
        <f>3.9277 * CHOOSE(CONTROL!$C$12, $D$4, 100%, $F$4)</f>
        <v>3.9277000000000002</v>
      </c>
      <c r="C93" s="8">
        <f>3.938 * CHOOSE(CONTROL!$C$12, $D$4, 100%, $F$4)</f>
        <v>3.9380000000000002</v>
      </c>
      <c r="D93" s="8">
        <f>3.8992 * CHOOSE( CONTROL!$C$12, $D$4, 100%, $F$4)</f>
        <v>3.8992</v>
      </c>
      <c r="E93" s="12">
        <f>3.9123 * CHOOSE( CONTROL!$C$12, $D$4, 100%, $F$4)</f>
        <v>3.9123000000000001</v>
      </c>
      <c r="F93" s="4">
        <f>4.898 * CHOOSE(CONTROL!$C$12, $D$4, 100%, $F$4)</f>
        <v>4.8979999999999997</v>
      </c>
      <c r="G93" s="8">
        <f>3.862 * CHOOSE( CONTROL!$C$12, $D$4, 100%, $F$4)</f>
        <v>3.8620000000000001</v>
      </c>
      <c r="H93" s="4">
        <f>4.7456 * CHOOSE(CONTROL!$C$12, $D$4, 100%, $F$4)</f>
        <v>4.7455999999999996</v>
      </c>
      <c r="I93" s="8">
        <f>3.8788 * CHOOSE(CONTROL!$C$12, $D$4, 100%, $F$4)</f>
        <v>3.8788</v>
      </c>
      <c r="J93" s="4">
        <f>3.805 * CHOOSE(CONTROL!$C$12, $D$4, 100%, $F$4)</f>
        <v>3.8050000000000002</v>
      </c>
      <c r="K93" s="4"/>
      <c r="L93" s="9">
        <v>27.3993</v>
      </c>
      <c r="M93" s="9">
        <v>12.063700000000001</v>
      </c>
      <c r="N93" s="9">
        <v>4.9444999999999997</v>
      </c>
      <c r="O93" s="9">
        <v>0.37459999999999999</v>
      </c>
      <c r="P93" s="9">
        <v>1.2939000000000001</v>
      </c>
      <c r="Q93" s="9">
        <v>32.8123</v>
      </c>
      <c r="R93" s="9"/>
      <c r="S93" s="11"/>
    </row>
    <row r="94" spans="1:19" ht="15.6">
      <c r="A94" s="13">
        <v>44927</v>
      </c>
      <c r="B94" s="8">
        <f>4.199 * CHOOSE(CONTROL!$C$12, $D$4, 100%, $F$4)</f>
        <v>4.1989999999999998</v>
      </c>
      <c r="C94" s="8">
        <f>4.2094 * CHOOSE(CONTROL!$C$12, $D$4, 100%, $F$4)</f>
        <v>4.2093999999999996</v>
      </c>
      <c r="D94" s="8">
        <f>4.2092 * CHOOSE( CONTROL!$C$12, $D$4, 100%, $F$4)</f>
        <v>4.2092000000000001</v>
      </c>
      <c r="E94" s="12">
        <f>4.2082 * CHOOSE( CONTROL!$C$12, $D$4, 100%, $F$4)</f>
        <v>4.2081999999999997</v>
      </c>
      <c r="F94" s="4">
        <f>5.221 * CHOOSE(CONTROL!$C$12, $D$4, 100%, $F$4)</f>
        <v>5.2210000000000001</v>
      </c>
      <c r="G94" s="8">
        <f>4.1705 * CHOOSE( CONTROL!$C$12, $D$4, 100%, $F$4)</f>
        <v>4.1704999999999997</v>
      </c>
      <c r="H94" s="4">
        <f>5.064 * CHOOSE(CONTROL!$C$12, $D$4, 100%, $F$4)</f>
        <v>5.0640000000000001</v>
      </c>
      <c r="I94" s="8">
        <f>4.1785 * CHOOSE(CONTROL!$C$12, $D$4, 100%, $F$4)</f>
        <v>4.1784999999999997</v>
      </c>
      <c r="J94" s="4">
        <f>4.0679 * CHOOSE(CONTROL!$C$12, $D$4, 100%, $F$4)</f>
        <v>4.0678999999999998</v>
      </c>
      <c r="K94" s="4"/>
      <c r="L94" s="9">
        <v>27.3993</v>
      </c>
      <c r="M94" s="9">
        <v>12.063700000000001</v>
      </c>
      <c r="N94" s="9">
        <v>4.9444999999999997</v>
      </c>
      <c r="O94" s="9">
        <v>0.37459999999999999</v>
      </c>
      <c r="P94" s="9">
        <v>1.2939000000000001</v>
      </c>
      <c r="Q94" s="9">
        <v>32.624400000000001</v>
      </c>
      <c r="R94" s="9"/>
      <c r="S94" s="11"/>
    </row>
    <row r="95" spans="1:19" ht="15.6">
      <c r="A95" s="13">
        <v>44958</v>
      </c>
      <c r="B95" s="8">
        <f>3.9276 * CHOOSE(CONTROL!$C$12, $D$4, 100%, $F$4)</f>
        <v>3.9276</v>
      </c>
      <c r="C95" s="8">
        <f>3.938 * CHOOSE(CONTROL!$C$12, $D$4, 100%, $F$4)</f>
        <v>3.9380000000000002</v>
      </c>
      <c r="D95" s="8">
        <f>3.94 * CHOOSE( CONTROL!$C$12, $D$4, 100%, $F$4)</f>
        <v>3.94</v>
      </c>
      <c r="E95" s="12">
        <f>3.9382 * CHOOSE( CONTROL!$C$12, $D$4, 100%, $F$4)</f>
        <v>3.9382000000000001</v>
      </c>
      <c r="F95" s="4">
        <f>4.9418 * CHOOSE(CONTROL!$C$12, $D$4, 100%, $F$4)</f>
        <v>4.9417999999999997</v>
      </c>
      <c r="G95" s="8">
        <f>3.9028 * CHOOSE( CONTROL!$C$12, $D$4, 100%, $F$4)</f>
        <v>3.9028</v>
      </c>
      <c r="H95" s="4">
        <f>4.7888 * CHOOSE(CONTROL!$C$12, $D$4, 100%, $F$4)</f>
        <v>4.7888000000000002</v>
      </c>
      <c r="I95" s="8">
        <f>3.9045 * CHOOSE(CONTROL!$C$12, $D$4, 100%, $F$4)</f>
        <v>3.9045000000000001</v>
      </c>
      <c r="J95" s="4">
        <f>3.8049 * CHOOSE(CONTROL!$C$12, $D$4, 100%, $F$4)</f>
        <v>3.8048999999999999</v>
      </c>
      <c r="K95" s="4"/>
      <c r="L95" s="9">
        <v>24.747800000000002</v>
      </c>
      <c r="M95" s="9">
        <v>10.8962</v>
      </c>
      <c r="N95" s="9">
        <v>4.4660000000000002</v>
      </c>
      <c r="O95" s="9">
        <v>0.33829999999999999</v>
      </c>
      <c r="P95" s="9">
        <v>1.1687000000000001</v>
      </c>
      <c r="Q95" s="9">
        <v>29.467199999999998</v>
      </c>
      <c r="R95" s="9"/>
      <c r="S95" s="11"/>
    </row>
    <row r="96" spans="1:19" ht="15.6">
      <c r="A96" s="13">
        <v>44986</v>
      </c>
      <c r="B96" s="8">
        <f>3.8441 * CHOOSE(CONTROL!$C$12, $D$4, 100%, $F$4)</f>
        <v>3.8441000000000001</v>
      </c>
      <c r="C96" s="8">
        <f>3.8544 * CHOOSE(CONTROL!$C$12, $D$4, 100%, $F$4)</f>
        <v>3.8544</v>
      </c>
      <c r="D96" s="8">
        <f>3.8366 * CHOOSE( CONTROL!$C$12, $D$4, 100%, $F$4)</f>
        <v>3.8365999999999998</v>
      </c>
      <c r="E96" s="12">
        <f>3.842 * CHOOSE( CONTROL!$C$12, $D$4, 100%, $F$4)</f>
        <v>3.8420000000000001</v>
      </c>
      <c r="F96" s="4">
        <f>4.8422 * CHOOSE(CONTROL!$C$12, $D$4, 100%, $F$4)</f>
        <v>4.8422000000000001</v>
      </c>
      <c r="G96" s="8">
        <f>3.7999 * CHOOSE( CONTROL!$C$12, $D$4, 100%, $F$4)</f>
        <v>3.7999000000000001</v>
      </c>
      <c r="H96" s="4">
        <f>4.6906 * CHOOSE(CONTROL!$C$12, $D$4, 100%, $F$4)</f>
        <v>4.6905999999999999</v>
      </c>
      <c r="I96" s="8">
        <f>3.7839 * CHOOSE(CONTROL!$C$12, $D$4, 100%, $F$4)</f>
        <v>3.7839</v>
      </c>
      <c r="J96" s="4">
        <f>3.7239 * CHOOSE(CONTROL!$C$12, $D$4, 100%, $F$4)</f>
        <v>3.7239</v>
      </c>
      <c r="K96" s="4"/>
      <c r="L96" s="9">
        <v>27.3993</v>
      </c>
      <c r="M96" s="9">
        <v>12.063700000000001</v>
      </c>
      <c r="N96" s="9">
        <v>4.9444999999999997</v>
      </c>
      <c r="O96" s="9">
        <v>0.37459999999999999</v>
      </c>
      <c r="P96" s="9">
        <v>1.2939000000000001</v>
      </c>
      <c r="Q96" s="9">
        <v>32.624400000000001</v>
      </c>
      <c r="R96" s="9"/>
      <c r="S96" s="11"/>
    </row>
    <row r="97" spans="1:19" ht="15.6">
      <c r="A97" s="13">
        <v>45017</v>
      </c>
      <c r="B97" s="8">
        <f>3.9025 * CHOOSE(CONTROL!$C$12, $D$4, 100%, $F$4)</f>
        <v>3.9024999999999999</v>
      </c>
      <c r="C97" s="8">
        <f>3.9128 * CHOOSE(CONTROL!$C$12, $D$4, 100%, $F$4)</f>
        <v>3.9127999999999998</v>
      </c>
      <c r="D97" s="8">
        <f>3.9178 * CHOOSE( CONTROL!$C$12, $D$4, 100%, $F$4)</f>
        <v>3.9178000000000002</v>
      </c>
      <c r="E97" s="12">
        <f>3.915 * CHOOSE( CONTROL!$C$12, $D$4, 100%, $F$4)</f>
        <v>3.915</v>
      </c>
      <c r="F97" s="4">
        <f>4.9089 * CHOOSE(CONTROL!$C$12, $D$4, 100%, $F$4)</f>
        <v>4.9089</v>
      </c>
      <c r="G97" s="8">
        <f>3.8454 * CHOOSE( CONTROL!$C$12, $D$4, 100%, $F$4)</f>
        <v>3.8454000000000002</v>
      </c>
      <c r="H97" s="4">
        <f>4.7564 * CHOOSE(CONTROL!$C$12, $D$4, 100%, $F$4)</f>
        <v>4.7564000000000002</v>
      </c>
      <c r="I97" s="8">
        <f>3.8307 * CHOOSE(CONTROL!$C$12, $D$4, 100%, $F$4)</f>
        <v>3.8307000000000002</v>
      </c>
      <c r="J97" s="4">
        <f>3.7805 * CHOOSE(CONTROL!$C$12, $D$4, 100%, $F$4)</f>
        <v>3.7805</v>
      </c>
      <c r="K97" s="4"/>
      <c r="L97" s="9">
        <v>27.988800000000001</v>
      </c>
      <c r="M97" s="9">
        <v>11.6745</v>
      </c>
      <c r="N97" s="9">
        <v>4.7850000000000001</v>
      </c>
      <c r="O97" s="9">
        <v>0.36249999999999999</v>
      </c>
      <c r="P97" s="9">
        <v>1.1798</v>
      </c>
      <c r="Q97" s="9">
        <v>31.571999999999999</v>
      </c>
      <c r="R97" s="9"/>
      <c r="S97" s="11"/>
    </row>
    <row r="98" spans="1:19" ht="15.6">
      <c r="A98" s="13">
        <v>45047</v>
      </c>
      <c r="B98" s="8">
        <f>CHOOSE( CONTROL!$C$29, 4.0133, 4.0064) * CHOOSE(CONTROL!$C$12, $D$4, 100%, $F$4)</f>
        <v>4.0064000000000002</v>
      </c>
      <c r="C98" s="8">
        <f>CHOOSE( CONTROL!$C$29, 4.0236, 4.0167) * CHOOSE(CONTROL!$C$12, $D$4, 100%, $F$4)</f>
        <v>4.0167000000000002</v>
      </c>
      <c r="D98" s="8">
        <f>CHOOSE( CONTROL!$C$29, 4.0038, 3.997) * CHOOSE( CONTROL!$C$12, $D$4, 100%, $F$4)</f>
        <v>3.9969999999999999</v>
      </c>
      <c r="E98" s="12">
        <f>CHOOSE( CONTROL!$C$29, 4.0094, 4.0026) * CHOOSE( CONTROL!$C$12, $D$4, 100%, $F$4)</f>
        <v>4.0026000000000002</v>
      </c>
      <c r="F98" s="4">
        <f>CHOOSE( CONTROL!$C$29, 4.9877, 4.9809) * CHOOSE(CONTROL!$C$12, $D$4, 100%, $F$4)</f>
        <v>4.9809000000000001</v>
      </c>
      <c r="G98" s="8">
        <f>CHOOSE( CONTROL!$C$29, 3.9364, 3.9296) * CHOOSE( CONTROL!$C$12, $D$4, 100%, $F$4)</f>
        <v>3.9296000000000002</v>
      </c>
      <c r="H98" s="4">
        <f>CHOOSE( CONTROL!$C$29, 4.834, 4.8273) * CHOOSE(CONTROL!$C$12, $D$4, 100%, $F$4)</f>
        <v>4.8273000000000001</v>
      </c>
      <c r="I98" s="8">
        <f>CHOOSE( CONTROL!$C$29, 3.9165, 3.9099) * CHOOSE(CONTROL!$C$12, $D$4, 100%, $F$4)</f>
        <v>3.9098999999999999</v>
      </c>
      <c r="J98" s="4">
        <f>CHOOSE( CONTROL!$C$29, 3.8879, 3.8813) * CHOOSE(CONTROL!$C$12, $D$4, 100%, $F$4)</f>
        <v>3.8813</v>
      </c>
      <c r="K98" s="4"/>
      <c r="L98" s="9">
        <v>29.520499999999998</v>
      </c>
      <c r="M98" s="9">
        <v>12.063700000000001</v>
      </c>
      <c r="N98" s="9">
        <v>4.9444999999999997</v>
      </c>
      <c r="O98" s="9">
        <v>0.37459999999999999</v>
      </c>
      <c r="P98" s="9">
        <v>1.2192000000000001</v>
      </c>
      <c r="Q98" s="9">
        <v>32.624400000000001</v>
      </c>
      <c r="R98" s="9"/>
      <c r="S98" s="11"/>
    </row>
    <row r="99" spans="1:19" ht="15.6">
      <c r="A99" s="13">
        <v>45078</v>
      </c>
      <c r="B99" s="8">
        <f>CHOOSE( CONTROL!$C$29, 3.9489, 3.942) * CHOOSE(CONTROL!$C$12, $D$4, 100%, $F$4)</f>
        <v>3.9420000000000002</v>
      </c>
      <c r="C99" s="8">
        <f>CHOOSE( CONTROL!$C$29, 3.9592, 3.9523) * CHOOSE(CONTROL!$C$12, $D$4, 100%, $F$4)</f>
        <v>3.9523000000000001</v>
      </c>
      <c r="D99" s="8">
        <f>CHOOSE( CONTROL!$C$29, 3.9339, 3.9271) * CHOOSE( CONTROL!$C$12, $D$4, 100%, $F$4)</f>
        <v>3.9270999999999998</v>
      </c>
      <c r="E99" s="12">
        <f>CHOOSE( CONTROL!$C$29, 3.9415, 3.9347) * CHOOSE( CONTROL!$C$12, $D$4, 100%, $F$4)</f>
        <v>3.9346999999999999</v>
      </c>
      <c r="F99" s="4">
        <f>CHOOSE( CONTROL!$C$29, 4.913, 4.9062) * CHOOSE(CONTROL!$C$12, $D$4, 100%, $F$4)</f>
        <v>4.9062000000000001</v>
      </c>
      <c r="G99" s="8">
        <f>CHOOSE( CONTROL!$C$29, 3.8716, 3.8649) * CHOOSE( CONTROL!$C$12, $D$4, 100%, $F$4)</f>
        <v>3.8649</v>
      </c>
      <c r="H99" s="4">
        <f>CHOOSE( CONTROL!$C$29, 4.7604, 4.7536) * CHOOSE(CONTROL!$C$12, $D$4, 100%, $F$4)</f>
        <v>4.7535999999999996</v>
      </c>
      <c r="I99" s="8">
        <f>CHOOSE( CONTROL!$C$29, 3.8563, 3.8496) * CHOOSE(CONTROL!$C$12, $D$4, 100%, $F$4)</f>
        <v>3.8496000000000001</v>
      </c>
      <c r="J99" s="4">
        <f>CHOOSE( CONTROL!$C$29, 3.8255, 3.8189) * CHOOSE(CONTROL!$C$12, $D$4, 100%, $F$4)</f>
        <v>3.8189000000000002</v>
      </c>
      <c r="K99" s="4"/>
      <c r="L99" s="9">
        <v>28.568200000000001</v>
      </c>
      <c r="M99" s="9">
        <v>11.6745</v>
      </c>
      <c r="N99" s="9">
        <v>4.7850000000000001</v>
      </c>
      <c r="O99" s="9">
        <v>0.36249999999999999</v>
      </c>
      <c r="P99" s="9">
        <v>1.1798</v>
      </c>
      <c r="Q99" s="9">
        <v>31.571999999999999</v>
      </c>
      <c r="R99" s="9"/>
      <c r="S99" s="11"/>
    </row>
    <row r="100" spans="1:19" ht="15.6">
      <c r="A100" s="13">
        <v>45108</v>
      </c>
      <c r="B100" s="8">
        <f>CHOOSE( CONTROL!$C$29, 4.1184, 4.1116) * CHOOSE(CONTROL!$C$12, $D$4, 100%, $F$4)</f>
        <v>4.1116000000000001</v>
      </c>
      <c r="C100" s="8">
        <f>CHOOSE( CONTROL!$C$29, 4.1288, 4.1219) * CHOOSE(CONTROL!$C$12, $D$4, 100%, $F$4)</f>
        <v>4.1219000000000001</v>
      </c>
      <c r="D100" s="8">
        <f>CHOOSE( CONTROL!$C$29, 4.1369, 4.1301) * CHOOSE( CONTROL!$C$12, $D$4, 100%, $F$4)</f>
        <v>4.1300999999999997</v>
      </c>
      <c r="E100" s="12">
        <f>CHOOSE( CONTROL!$C$29, 4.1324, 4.1256) * CHOOSE( CONTROL!$C$12, $D$4, 100%, $F$4)</f>
        <v>4.1256000000000004</v>
      </c>
      <c r="F100" s="4">
        <f>CHOOSE( CONTROL!$C$29, 5.1275, 5.1206) * CHOOSE(CONTROL!$C$12, $D$4, 100%, $F$4)</f>
        <v>5.1205999999999996</v>
      </c>
      <c r="G100" s="8">
        <f>CHOOSE( CONTROL!$C$29, 4.0649, 4.0581) * CHOOSE( CONTROL!$C$12, $D$4, 100%, $F$4)</f>
        <v>4.0580999999999996</v>
      </c>
      <c r="H100" s="4">
        <f>CHOOSE( CONTROL!$C$29, 4.9718, 4.9651) * CHOOSE(CONTROL!$C$12, $D$4, 100%, $F$4)</f>
        <v>4.9650999999999996</v>
      </c>
      <c r="I100" s="8">
        <f>CHOOSE( CONTROL!$C$29, 4.076, 4.0693) * CHOOSE(CONTROL!$C$12, $D$4, 100%, $F$4)</f>
        <v>4.0693000000000001</v>
      </c>
      <c r="J100" s="4">
        <f>CHOOSE( CONTROL!$C$29, 3.9898, 3.9832) * CHOOSE(CONTROL!$C$12, $D$4, 100%, $F$4)</f>
        <v>3.9832000000000001</v>
      </c>
      <c r="K100" s="4"/>
      <c r="L100" s="9">
        <v>29.520499999999998</v>
      </c>
      <c r="M100" s="9">
        <v>12.063700000000001</v>
      </c>
      <c r="N100" s="9">
        <v>4.9444999999999997</v>
      </c>
      <c r="O100" s="9">
        <v>0.37459999999999999</v>
      </c>
      <c r="P100" s="9">
        <v>1.2192000000000001</v>
      </c>
      <c r="Q100" s="9">
        <v>32.624400000000001</v>
      </c>
      <c r="R100" s="9"/>
      <c r="S100" s="11"/>
    </row>
    <row r="101" spans="1:19" ht="15.6">
      <c r="A101" s="13">
        <v>45139</v>
      </c>
      <c r="B101" s="8">
        <f>CHOOSE( CONTROL!$C$29, 3.8011, 3.7943) * CHOOSE(CONTROL!$C$12, $D$4, 100%, $F$4)</f>
        <v>3.7942999999999998</v>
      </c>
      <c r="C101" s="8">
        <f>CHOOSE( CONTROL!$C$29, 3.8115, 3.8046) * CHOOSE(CONTROL!$C$12, $D$4, 100%, $F$4)</f>
        <v>3.8046000000000002</v>
      </c>
      <c r="D101" s="8">
        <f>CHOOSE( CONTROL!$C$29, 3.8129, 3.8061) * CHOOSE( CONTROL!$C$12, $D$4, 100%, $F$4)</f>
        <v>3.8060999999999998</v>
      </c>
      <c r="E101" s="12">
        <f>CHOOSE( CONTROL!$C$29, 3.8108, 3.804) * CHOOSE( CONTROL!$C$12, $D$4, 100%, $F$4)</f>
        <v>3.8039999999999998</v>
      </c>
      <c r="F101" s="4">
        <f>CHOOSE( CONTROL!$C$29, 4.8076, 4.8007) * CHOOSE(CONTROL!$C$12, $D$4, 100%, $F$4)</f>
        <v>4.8007</v>
      </c>
      <c r="G101" s="8">
        <f>CHOOSE( CONTROL!$C$29, 3.7421, 3.7354) * CHOOSE( CONTROL!$C$12, $D$4, 100%, $F$4)</f>
        <v>3.7353999999999998</v>
      </c>
      <c r="H101" s="4">
        <f>CHOOSE( CONTROL!$C$29, 4.6565, 4.6497) * CHOOSE(CONTROL!$C$12, $D$4, 100%, $F$4)</f>
        <v>4.6497000000000002</v>
      </c>
      <c r="I101" s="8">
        <f>CHOOSE( CONTROL!$C$29, 3.7494, 3.7428) * CHOOSE(CONTROL!$C$12, $D$4, 100%, $F$4)</f>
        <v>3.7427999999999999</v>
      </c>
      <c r="J101" s="4">
        <f>CHOOSE( CONTROL!$C$29, 3.6824, 3.6757) * CHOOSE(CONTROL!$C$12, $D$4, 100%, $F$4)</f>
        <v>3.6757</v>
      </c>
      <c r="K101" s="4"/>
      <c r="L101" s="9">
        <v>29.520499999999998</v>
      </c>
      <c r="M101" s="9">
        <v>12.063700000000001</v>
      </c>
      <c r="N101" s="9">
        <v>4.9444999999999997</v>
      </c>
      <c r="O101" s="9">
        <v>0.37459999999999999</v>
      </c>
      <c r="P101" s="9">
        <v>1.2192000000000001</v>
      </c>
      <c r="Q101" s="9">
        <v>32.624400000000001</v>
      </c>
      <c r="R101" s="9"/>
      <c r="S101" s="11"/>
    </row>
    <row r="102" spans="1:19" ht="15.6">
      <c r="A102" s="13">
        <v>45170</v>
      </c>
      <c r="B102" s="8">
        <f>CHOOSE( CONTROL!$C$29, 3.7217, 3.7148) * CHOOSE(CONTROL!$C$12, $D$4, 100%, $F$4)</f>
        <v>3.7147999999999999</v>
      </c>
      <c r="C102" s="8">
        <f>CHOOSE( CONTROL!$C$29, 3.732, 3.7252) * CHOOSE(CONTROL!$C$12, $D$4, 100%, $F$4)</f>
        <v>3.7252000000000001</v>
      </c>
      <c r="D102" s="8">
        <f>CHOOSE( CONTROL!$C$29, 3.7367, 3.7298) * CHOOSE( CONTROL!$C$12, $D$4, 100%, $F$4)</f>
        <v>3.7298</v>
      </c>
      <c r="E102" s="12">
        <f>CHOOSE( CONTROL!$C$29, 3.7334, 3.7265) * CHOOSE( CONTROL!$C$12, $D$4, 100%, $F$4)</f>
        <v>3.7265000000000001</v>
      </c>
      <c r="F102" s="4">
        <f>CHOOSE( CONTROL!$C$29, 4.7333, 4.7264) * CHOOSE(CONTROL!$C$12, $D$4, 100%, $F$4)</f>
        <v>4.7263999999999999</v>
      </c>
      <c r="G102" s="8">
        <f>CHOOSE( CONTROL!$C$29, 3.6659, 3.6591) * CHOOSE( CONTROL!$C$12, $D$4, 100%, $F$4)</f>
        <v>3.6591</v>
      </c>
      <c r="H102" s="4">
        <f>CHOOSE( CONTROL!$C$29, 4.5832, 4.5765) * CHOOSE(CONTROL!$C$12, $D$4, 100%, $F$4)</f>
        <v>4.5765000000000002</v>
      </c>
      <c r="I102" s="8">
        <f>CHOOSE( CONTROL!$C$29, 3.6802, 3.6736) * CHOOSE(CONTROL!$C$12, $D$4, 100%, $F$4)</f>
        <v>3.6736</v>
      </c>
      <c r="J102" s="4">
        <f>CHOOSE( CONTROL!$C$29, 3.6054, 3.5987) * CHOOSE(CONTROL!$C$12, $D$4, 100%, $F$4)</f>
        <v>3.5987</v>
      </c>
      <c r="K102" s="4"/>
      <c r="L102" s="9">
        <v>28.568200000000001</v>
      </c>
      <c r="M102" s="9">
        <v>11.6745</v>
      </c>
      <c r="N102" s="9">
        <v>4.7850000000000001</v>
      </c>
      <c r="O102" s="9">
        <v>0.36249999999999999</v>
      </c>
      <c r="P102" s="9">
        <v>1.1798</v>
      </c>
      <c r="Q102" s="9">
        <v>31.571999999999999</v>
      </c>
      <c r="R102" s="9"/>
      <c r="S102" s="11"/>
    </row>
    <row r="103" spans="1:19" ht="15.6">
      <c r="A103" s="13">
        <v>45200</v>
      </c>
      <c r="B103" s="8">
        <f>3.8798 * CHOOSE(CONTROL!$C$12, $D$4, 100%, $F$4)</f>
        <v>3.8797999999999999</v>
      </c>
      <c r="C103" s="8">
        <f>3.8901 * CHOOSE(CONTROL!$C$12, $D$4, 100%, $F$4)</f>
        <v>3.8900999999999999</v>
      </c>
      <c r="D103" s="8">
        <f>3.8852 * CHOOSE( CONTROL!$C$12, $D$4, 100%, $F$4)</f>
        <v>3.8852000000000002</v>
      </c>
      <c r="E103" s="12">
        <f>3.8857 * CHOOSE( CONTROL!$C$12, $D$4, 100%, $F$4)</f>
        <v>3.8856999999999999</v>
      </c>
      <c r="F103" s="4">
        <f>4.8708 * CHOOSE(CONTROL!$C$12, $D$4, 100%, $F$4)</f>
        <v>4.8708</v>
      </c>
      <c r="G103" s="8">
        <f>3.8186 * CHOOSE( CONTROL!$C$12, $D$4, 100%, $F$4)</f>
        <v>3.8186</v>
      </c>
      <c r="H103" s="4">
        <f>4.7188 * CHOOSE(CONTROL!$C$12, $D$4, 100%, $F$4)</f>
        <v>4.7187999999999999</v>
      </c>
      <c r="I103" s="8">
        <f>3.8374 * CHOOSE(CONTROL!$C$12, $D$4, 100%, $F$4)</f>
        <v>3.8374000000000001</v>
      </c>
      <c r="J103" s="4">
        <f>3.7586 * CHOOSE(CONTROL!$C$12, $D$4, 100%, $F$4)</f>
        <v>3.7585999999999999</v>
      </c>
      <c r="K103" s="4"/>
      <c r="L103" s="9">
        <v>28.921800000000001</v>
      </c>
      <c r="M103" s="9">
        <v>12.063700000000001</v>
      </c>
      <c r="N103" s="9">
        <v>4.9444999999999997</v>
      </c>
      <c r="O103" s="9">
        <v>0.37459999999999999</v>
      </c>
      <c r="P103" s="9">
        <v>1.2192000000000001</v>
      </c>
      <c r="Q103" s="9">
        <v>32.624400000000001</v>
      </c>
      <c r="R103" s="9"/>
      <c r="S103" s="11"/>
    </row>
    <row r="104" spans="1:19" ht="15.6">
      <c r="A104" s="13">
        <v>45231</v>
      </c>
      <c r="B104" s="8">
        <f>4.1843 * CHOOSE(CONTROL!$C$12, $D$4, 100%, $F$4)</f>
        <v>4.1843000000000004</v>
      </c>
      <c r="C104" s="8">
        <f>4.1947 * CHOOSE(CONTROL!$C$12, $D$4, 100%, $F$4)</f>
        <v>4.1947000000000001</v>
      </c>
      <c r="D104" s="8">
        <f>4.154 * CHOOSE( CONTROL!$C$12, $D$4, 100%, $F$4)</f>
        <v>4.1539999999999999</v>
      </c>
      <c r="E104" s="12">
        <f>4.1678 * CHOOSE( CONTROL!$C$12, $D$4, 100%, $F$4)</f>
        <v>4.1677999999999997</v>
      </c>
      <c r="F104" s="4">
        <f>5.1614 * CHOOSE(CONTROL!$C$12, $D$4, 100%, $F$4)</f>
        <v>5.1614000000000004</v>
      </c>
      <c r="G104" s="8">
        <f>4.1127 * CHOOSE( CONTROL!$C$12, $D$4, 100%, $F$4)</f>
        <v>4.1127000000000002</v>
      </c>
      <c r="H104" s="4">
        <f>5.0052 * CHOOSE(CONTROL!$C$12, $D$4, 100%, $F$4)</f>
        <v>5.0052000000000003</v>
      </c>
      <c r="I104" s="8">
        <f>4.1169 * CHOOSE(CONTROL!$C$12, $D$4, 100%, $F$4)</f>
        <v>4.1169000000000002</v>
      </c>
      <c r="J104" s="4">
        <f>4.0537 * CHOOSE(CONTROL!$C$12, $D$4, 100%, $F$4)</f>
        <v>4.0537000000000001</v>
      </c>
      <c r="K104" s="4"/>
      <c r="L104" s="9">
        <v>26.515499999999999</v>
      </c>
      <c r="M104" s="9">
        <v>11.6745</v>
      </c>
      <c r="N104" s="9">
        <v>4.7850000000000001</v>
      </c>
      <c r="O104" s="9">
        <v>0.36249999999999999</v>
      </c>
      <c r="P104" s="9">
        <v>1.2522</v>
      </c>
      <c r="Q104" s="9">
        <v>31.571999999999999</v>
      </c>
      <c r="R104" s="9"/>
      <c r="S104" s="11"/>
    </row>
    <row r="105" spans="1:19" ht="15.6">
      <c r="A105" s="13">
        <v>45261</v>
      </c>
      <c r="B105" s="8">
        <f>4.1767 * CHOOSE(CONTROL!$C$12, $D$4, 100%, $F$4)</f>
        <v>4.1767000000000003</v>
      </c>
      <c r="C105" s="8">
        <f>4.1871 * CHOOSE(CONTROL!$C$12, $D$4, 100%, $F$4)</f>
        <v>4.1871</v>
      </c>
      <c r="D105" s="8">
        <f>4.1483 * CHOOSE( CONTROL!$C$12, $D$4, 100%, $F$4)</f>
        <v>4.1482999999999999</v>
      </c>
      <c r="E105" s="12">
        <f>4.1614 * CHOOSE( CONTROL!$C$12, $D$4, 100%, $F$4)</f>
        <v>4.1614000000000004</v>
      </c>
      <c r="F105" s="4">
        <f>5.1471 * CHOOSE(CONTROL!$C$12, $D$4, 100%, $F$4)</f>
        <v>5.1471</v>
      </c>
      <c r="G105" s="8">
        <f>4.1075 * CHOOSE( CONTROL!$C$12, $D$4, 100%, $F$4)</f>
        <v>4.1074999999999999</v>
      </c>
      <c r="H105" s="4">
        <f>4.9911 * CHOOSE(CONTROL!$C$12, $D$4, 100%, $F$4)</f>
        <v>4.9911000000000003</v>
      </c>
      <c r="I105" s="8">
        <f>4.1203 * CHOOSE(CONTROL!$C$12, $D$4, 100%, $F$4)</f>
        <v>4.1203000000000003</v>
      </c>
      <c r="J105" s="4">
        <f>4.0463 * CHOOSE(CONTROL!$C$12, $D$4, 100%, $F$4)</f>
        <v>4.0462999999999996</v>
      </c>
      <c r="K105" s="4"/>
      <c r="L105" s="9">
        <v>27.3993</v>
      </c>
      <c r="M105" s="9">
        <v>12.063700000000001</v>
      </c>
      <c r="N105" s="9">
        <v>4.9444999999999997</v>
      </c>
      <c r="O105" s="9">
        <v>0.37459999999999999</v>
      </c>
      <c r="P105" s="9">
        <v>1.2939000000000001</v>
      </c>
      <c r="Q105" s="9">
        <v>32.624400000000001</v>
      </c>
      <c r="R105" s="9"/>
      <c r="S105" s="11"/>
    </row>
    <row r="106" spans="1:19" ht="15.6">
      <c r="A106" s="13">
        <v>45292</v>
      </c>
      <c r="B106" s="8">
        <f>4.426 * CHOOSE(CONTROL!$C$12, $D$4, 100%, $F$4)</f>
        <v>4.4260000000000002</v>
      </c>
      <c r="C106" s="8">
        <f>4.4363 * CHOOSE(CONTROL!$C$12, $D$4, 100%, $F$4)</f>
        <v>4.4363000000000001</v>
      </c>
      <c r="D106" s="8">
        <f>4.4361 * CHOOSE( CONTROL!$C$12, $D$4, 100%, $F$4)</f>
        <v>4.4360999999999997</v>
      </c>
      <c r="E106" s="12">
        <f>4.4351 * CHOOSE( CONTROL!$C$12, $D$4, 100%, $F$4)</f>
        <v>4.4351000000000003</v>
      </c>
      <c r="F106" s="4">
        <f>5.4479 * CHOOSE(CONTROL!$C$12, $D$4, 100%, $F$4)</f>
        <v>5.4478999999999997</v>
      </c>
      <c r="G106" s="8">
        <f>4.3942 * CHOOSE( CONTROL!$C$12, $D$4, 100%, $F$4)</f>
        <v>4.3941999999999997</v>
      </c>
      <c r="H106" s="4">
        <f>5.2877 * CHOOSE(CONTROL!$C$12, $D$4, 100%, $F$4)</f>
        <v>5.2877000000000001</v>
      </c>
      <c r="I106" s="8">
        <f>4.3985 * CHOOSE(CONTROL!$C$12, $D$4, 100%, $F$4)</f>
        <v>4.3985000000000003</v>
      </c>
      <c r="J106" s="4">
        <f>4.2878 * CHOOSE(CONTROL!$C$12, $D$4, 100%, $F$4)</f>
        <v>4.2877999999999998</v>
      </c>
      <c r="K106" s="4"/>
      <c r="L106" s="9">
        <v>27.3993</v>
      </c>
      <c r="M106" s="9">
        <v>12.063700000000001</v>
      </c>
      <c r="N106" s="9">
        <v>4.9444999999999997</v>
      </c>
      <c r="O106" s="9">
        <v>0.37459999999999999</v>
      </c>
      <c r="P106" s="9">
        <v>1.2939000000000001</v>
      </c>
      <c r="Q106" s="9">
        <v>32.440300000000001</v>
      </c>
      <c r="R106" s="9"/>
      <c r="S106" s="11"/>
    </row>
    <row r="107" spans="1:19" ht="15.6">
      <c r="A107" s="13">
        <v>45323</v>
      </c>
      <c r="B107" s="8">
        <f>4.1399 * CHOOSE(CONTROL!$C$12, $D$4, 100%, $F$4)</f>
        <v>4.1398999999999999</v>
      </c>
      <c r="C107" s="8">
        <f>4.1502 * CHOOSE(CONTROL!$C$12, $D$4, 100%, $F$4)</f>
        <v>4.1501999999999999</v>
      </c>
      <c r="D107" s="8">
        <f>4.1523 * CHOOSE( CONTROL!$C$12, $D$4, 100%, $F$4)</f>
        <v>4.1523000000000003</v>
      </c>
      <c r="E107" s="12">
        <f>4.1504 * CHOOSE( CONTROL!$C$12, $D$4, 100%, $F$4)</f>
        <v>4.1504000000000003</v>
      </c>
      <c r="F107" s="4">
        <f>5.1541 * CHOOSE(CONTROL!$C$12, $D$4, 100%, $F$4)</f>
        <v>5.1540999999999997</v>
      </c>
      <c r="G107" s="8">
        <f>4.1121 * CHOOSE( CONTROL!$C$12, $D$4, 100%, $F$4)</f>
        <v>4.1120999999999999</v>
      </c>
      <c r="H107" s="4">
        <f>4.998 * CHOOSE(CONTROL!$C$12, $D$4, 100%, $F$4)</f>
        <v>4.9980000000000002</v>
      </c>
      <c r="I107" s="8">
        <f>4.1103 * CHOOSE(CONTROL!$C$12, $D$4, 100%, $F$4)</f>
        <v>4.1102999999999996</v>
      </c>
      <c r="J107" s="4">
        <f>4.0106 * CHOOSE(CONTROL!$C$12, $D$4, 100%, $F$4)</f>
        <v>4.0106000000000002</v>
      </c>
      <c r="K107" s="4"/>
      <c r="L107" s="9">
        <v>25.631599999999999</v>
      </c>
      <c r="M107" s="9">
        <v>11.285299999999999</v>
      </c>
      <c r="N107" s="9">
        <v>4.6254999999999997</v>
      </c>
      <c r="O107" s="9">
        <v>0.35039999999999999</v>
      </c>
      <c r="P107" s="9">
        <v>1.2104999999999999</v>
      </c>
      <c r="Q107" s="9">
        <v>30.347300000000001</v>
      </c>
      <c r="R107" s="9"/>
      <c r="S107" s="11"/>
    </row>
    <row r="108" spans="1:19" ht="15.6">
      <c r="A108" s="13">
        <v>45352</v>
      </c>
      <c r="B108" s="8">
        <f>4.0518 * CHOOSE(CONTROL!$C$12, $D$4, 100%, $F$4)</f>
        <v>4.0518000000000001</v>
      </c>
      <c r="C108" s="8">
        <f>4.0621 * CHOOSE(CONTROL!$C$12, $D$4, 100%, $F$4)</f>
        <v>4.0621</v>
      </c>
      <c r="D108" s="8">
        <f>4.0443 * CHOOSE( CONTROL!$C$12, $D$4, 100%, $F$4)</f>
        <v>4.0442999999999998</v>
      </c>
      <c r="E108" s="12">
        <f>4.0497 * CHOOSE( CONTROL!$C$12, $D$4, 100%, $F$4)</f>
        <v>4.0496999999999996</v>
      </c>
      <c r="F108" s="4">
        <f>5.05 * CHOOSE(CONTROL!$C$12, $D$4, 100%, $F$4)</f>
        <v>5.05</v>
      </c>
      <c r="G108" s="8">
        <f>4.0047 * CHOOSE( CONTROL!$C$12, $D$4, 100%, $F$4)</f>
        <v>4.0046999999999997</v>
      </c>
      <c r="H108" s="4">
        <f>4.8954 * CHOOSE(CONTROL!$C$12, $D$4, 100%, $F$4)</f>
        <v>4.8954000000000004</v>
      </c>
      <c r="I108" s="8">
        <f>3.9853 * CHOOSE(CONTROL!$C$12, $D$4, 100%, $F$4)</f>
        <v>3.9853000000000001</v>
      </c>
      <c r="J108" s="4">
        <f>3.9252 * CHOOSE(CONTROL!$C$12, $D$4, 100%, $F$4)</f>
        <v>3.9251999999999998</v>
      </c>
      <c r="K108" s="4"/>
      <c r="L108" s="9">
        <v>27.3993</v>
      </c>
      <c r="M108" s="9">
        <v>12.063700000000001</v>
      </c>
      <c r="N108" s="9">
        <v>4.9444999999999997</v>
      </c>
      <c r="O108" s="9">
        <v>0.37459999999999999</v>
      </c>
      <c r="P108" s="9">
        <v>1.2939000000000001</v>
      </c>
      <c r="Q108" s="9">
        <v>32.440300000000001</v>
      </c>
      <c r="R108" s="9"/>
      <c r="S108" s="11"/>
    </row>
    <row r="109" spans="1:19" ht="15.6">
      <c r="A109" s="13">
        <v>45383</v>
      </c>
      <c r="B109" s="8">
        <f>4.1134 * CHOOSE(CONTROL!$C$12, $D$4, 100%, $F$4)</f>
        <v>4.1134000000000004</v>
      </c>
      <c r="C109" s="8">
        <f>4.1237 * CHOOSE(CONTROL!$C$12, $D$4, 100%, $F$4)</f>
        <v>4.1237000000000004</v>
      </c>
      <c r="D109" s="8">
        <f>4.1287 * CHOOSE( CONTROL!$C$12, $D$4, 100%, $F$4)</f>
        <v>4.1287000000000003</v>
      </c>
      <c r="E109" s="12">
        <f>4.1259 * CHOOSE( CONTROL!$C$12, $D$4, 100%, $F$4)</f>
        <v>4.1258999999999997</v>
      </c>
      <c r="F109" s="4">
        <f>5.1198 * CHOOSE(CONTROL!$C$12, $D$4, 100%, $F$4)</f>
        <v>5.1197999999999997</v>
      </c>
      <c r="G109" s="8">
        <f>4.0533 * CHOOSE( CONTROL!$C$12, $D$4, 100%, $F$4)</f>
        <v>4.0533000000000001</v>
      </c>
      <c r="H109" s="4">
        <f>4.9642 * CHOOSE(CONTROL!$C$12, $D$4, 100%, $F$4)</f>
        <v>4.9641999999999999</v>
      </c>
      <c r="I109" s="8">
        <f>4.0351 * CHOOSE(CONTROL!$C$12, $D$4, 100%, $F$4)</f>
        <v>4.0350999999999999</v>
      </c>
      <c r="J109" s="4">
        <f>3.9849 * CHOOSE(CONTROL!$C$12, $D$4, 100%, $F$4)</f>
        <v>3.9849000000000001</v>
      </c>
      <c r="K109" s="4"/>
      <c r="L109" s="9">
        <v>27.988800000000001</v>
      </c>
      <c r="M109" s="9">
        <v>11.6745</v>
      </c>
      <c r="N109" s="9">
        <v>4.7850000000000001</v>
      </c>
      <c r="O109" s="9">
        <v>0.36249999999999999</v>
      </c>
      <c r="P109" s="9">
        <v>1.1798</v>
      </c>
      <c r="Q109" s="9">
        <v>31.393799999999999</v>
      </c>
      <c r="R109" s="9"/>
      <c r="S109" s="11"/>
    </row>
    <row r="110" spans="1:19" ht="15.6">
      <c r="A110" s="13">
        <v>45413</v>
      </c>
      <c r="B110" s="8">
        <f>CHOOSE( CONTROL!$C$29, 4.2298, 4.2229) * CHOOSE(CONTROL!$C$12, $D$4, 100%, $F$4)</f>
        <v>4.2229000000000001</v>
      </c>
      <c r="C110" s="8">
        <f>CHOOSE( CONTROL!$C$29, 4.2401, 4.2333) * CHOOSE(CONTROL!$C$12, $D$4, 100%, $F$4)</f>
        <v>4.2332999999999998</v>
      </c>
      <c r="D110" s="8">
        <f>CHOOSE( CONTROL!$C$29, 4.2203, 4.2135) * CHOOSE( CONTROL!$C$12, $D$4, 100%, $F$4)</f>
        <v>4.2134999999999998</v>
      </c>
      <c r="E110" s="12">
        <f>CHOOSE( CONTROL!$C$29, 4.2259, 4.2191) * CHOOSE( CONTROL!$C$12, $D$4, 100%, $F$4)</f>
        <v>4.2191000000000001</v>
      </c>
      <c r="F110" s="4">
        <f>CHOOSE( CONTROL!$C$29, 5.2042, 5.1974) * CHOOSE(CONTROL!$C$12, $D$4, 100%, $F$4)</f>
        <v>5.1974</v>
      </c>
      <c r="G110" s="8">
        <f>CHOOSE( CONTROL!$C$29, 4.1498, 4.1431) * CHOOSE( CONTROL!$C$12, $D$4, 100%, $F$4)</f>
        <v>4.1430999999999996</v>
      </c>
      <c r="H110" s="4">
        <f>CHOOSE( CONTROL!$C$29, 5.0475, 5.0407) * CHOOSE(CONTROL!$C$12, $D$4, 100%, $F$4)</f>
        <v>5.0407000000000002</v>
      </c>
      <c r="I110" s="8">
        <f>CHOOSE( CONTROL!$C$29, 4.1264, 4.1198) * CHOOSE(CONTROL!$C$12, $D$4, 100%, $F$4)</f>
        <v>4.1197999999999997</v>
      </c>
      <c r="J110" s="4">
        <f>CHOOSE( CONTROL!$C$29, 4.0977, 4.0911) * CHOOSE(CONTROL!$C$12, $D$4, 100%, $F$4)</f>
        <v>4.0911</v>
      </c>
      <c r="K110" s="4"/>
      <c r="L110" s="9">
        <v>29.520499999999998</v>
      </c>
      <c r="M110" s="9">
        <v>12.063700000000001</v>
      </c>
      <c r="N110" s="9">
        <v>4.9444999999999997</v>
      </c>
      <c r="O110" s="9">
        <v>0.37459999999999999</v>
      </c>
      <c r="P110" s="9">
        <v>1.2192000000000001</v>
      </c>
      <c r="Q110" s="9">
        <v>32.440300000000001</v>
      </c>
      <c r="R110" s="9"/>
      <c r="S110" s="11"/>
    </row>
    <row r="111" spans="1:19" ht="15.6">
      <c r="A111" s="13">
        <v>45444</v>
      </c>
      <c r="B111" s="8">
        <f>CHOOSE( CONTROL!$C$29, 4.1619, 4.1551) * CHOOSE(CONTROL!$C$12, $D$4, 100%, $F$4)</f>
        <v>4.1551</v>
      </c>
      <c r="C111" s="8">
        <f>CHOOSE( CONTROL!$C$29, 4.1722, 4.1654) * CHOOSE(CONTROL!$C$12, $D$4, 100%, $F$4)</f>
        <v>4.1654</v>
      </c>
      <c r="D111" s="8">
        <f>CHOOSE( CONTROL!$C$29, 4.1469, 4.1401) * CHOOSE( CONTROL!$C$12, $D$4, 100%, $F$4)</f>
        <v>4.1401000000000003</v>
      </c>
      <c r="E111" s="12">
        <f>CHOOSE( CONTROL!$C$29, 4.1545, 4.1477) * CHOOSE( CONTROL!$C$12, $D$4, 100%, $F$4)</f>
        <v>4.1477000000000004</v>
      </c>
      <c r="F111" s="4">
        <f>CHOOSE( CONTROL!$C$29, 5.126, 5.1192) * CHOOSE(CONTROL!$C$12, $D$4, 100%, $F$4)</f>
        <v>5.1192000000000002</v>
      </c>
      <c r="G111" s="8">
        <f>CHOOSE( CONTROL!$C$29, 4.0816, 4.0749) * CHOOSE( CONTROL!$C$12, $D$4, 100%, $F$4)</f>
        <v>4.0749000000000004</v>
      </c>
      <c r="H111" s="4">
        <f>CHOOSE( CONTROL!$C$29, 4.9704, 4.9636) * CHOOSE(CONTROL!$C$12, $D$4, 100%, $F$4)</f>
        <v>4.9635999999999996</v>
      </c>
      <c r="I111" s="8">
        <f>CHOOSE( CONTROL!$C$29, 4.0628, 4.0562) * CHOOSE(CONTROL!$C$12, $D$4, 100%, $F$4)</f>
        <v>4.0561999999999996</v>
      </c>
      <c r="J111" s="4">
        <f>CHOOSE( CONTROL!$C$29, 4.0319, 4.0253) * CHOOSE(CONTROL!$C$12, $D$4, 100%, $F$4)</f>
        <v>4.0252999999999997</v>
      </c>
      <c r="K111" s="4"/>
      <c r="L111" s="9">
        <v>28.568200000000001</v>
      </c>
      <c r="M111" s="9">
        <v>11.6745</v>
      </c>
      <c r="N111" s="9">
        <v>4.7850000000000001</v>
      </c>
      <c r="O111" s="9">
        <v>0.36249999999999999</v>
      </c>
      <c r="P111" s="9">
        <v>1.1798</v>
      </c>
      <c r="Q111" s="9">
        <v>31.393799999999999</v>
      </c>
      <c r="R111" s="9"/>
      <c r="S111" s="11"/>
    </row>
    <row r="112" spans="1:19" ht="15.6">
      <c r="A112" s="13">
        <v>45474</v>
      </c>
      <c r="B112" s="8">
        <f>CHOOSE( CONTROL!$C$29, 4.3406, 4.3338) * CHOOSE(CONTROL!$C$12, $D$4, 100%, $F$4)</f>
        <v>4.3338000000000001</v>
      </c>
      <c r="C112" s="8">
        <f>CHOOSE( CONTROL!$C$29, 4.351, 4.3441) * CHOOSE(CONTROL!$C$12, $D$4, 100%, $F$4)</f>
        <v>4.3441000000000001</v>
      </c>
      <c r="D112" s="8">
        <f>CHOOSE( CONTROL!$C$29, 4.3591, 4.3523) * CHOOSE( CONTROL!$C$12, $D$4, 100%, $F$4)</f>
        <v>4.3522999999999996</v>
      </c>
      <c r="E112" s="12">
        <f>CHOOSE( CONTROL!$C$29, 4.3546, 4.3478) * CHOOSE( CONTROL!$C$12, $D$4, 100%, $F$4)</f>
        <v>4.3478000000000003</v>
      </c>
      <c r="F112" s="4">
        <f>CHOOSE( CONTROL!$C$29, 5.3497, 5.3428) * CHOOSE(CONTROL!$C$12, $D$4, 100%, $F$4)</f>
        <v>5.3428000000000004</v>
      </c>
      <c r="G112" s="8">
        <f>CHOOSE( CONTROL!$C$29, 4.2839, 4.2771) * CHOOSE( CONTROL!$C$12, $D$4, 100%, $F$4)</f>
        <v>4.2770999999999999</v>
      </c>
      <c r="H112" s="4">
        <f>CHOOSE( CONTROL!$C$29, 5.1908, 5.1841) * CHOOSE(CONTROL!$C$12, $D$4, 100%, $F$4)</f>
        <v>5.1840999999999999</v>
      </c>
      <c r="I112" s="8">
        <f>CHOOSE( CONTROL!$C$29, 4.2914, 4.2848) * CHOOSE(CONTROL!$C$12, $D$4, 100%, $F$4)</f>
        <v>4.2847999999999997</v>
      </c>
      <c r="J112" s="4">
        <f>CHOOSE( CONTROL!$C$29, 4.2051, 4.1985) * CHOOSE(CONTROL!$C$12, $D$4, 100%, $F$4)</f>
        <v>4.1985000000000001</v>
      </c>
      <c r="K112" s="4"/>
      <c r="L112" s="9">
        <v>29.520499999999998</v>
      </c>
      <c r="M112" s="9">
        <v>12.063700000000001</v>
      </c>
      <c r="N112" s="9">
        <v>4.9444999999999997</v>
      </c>
      <c r="O112" s="9">
        <v>0.37459999999999999</v>
      </c>
      <c r="P112" s="9">
        <v>1.2192000000000001</v>
      </c>
      <c r="Q112" s="9">
        <v>32.440300000000001</v>
      </c>
      <c r="R112" s="9"/>
      <c r="S112" s="11"/>
    </row>
    <row r="113" spans="1:19" ht="15.6">
      <c r="A113" s="13">
        <v>45505</v>
      </c>
      <c r="B113" s="8">
        <f>CHOOSE( CONTROL!$C$29, 4.0062, 3.9993) * CHOOSE(CONTROL!$C$12, $D$4, 100%, $F$4)</f>
        <v>3.9992999999999999</v>
      </c>
      <c r="C113" s="8">
        <f>CHOOSE( CONTROL!$C$29, 4.0165, 4.0097) * CHOOSE(CONTROL!$C$12, $D$4, 100%, $F$4)</f>
        <v>4.0096999999999996</v>
      </c>
      <c r="D113" s="8">
        <f>CHOOSE( CONTROL!$C$29, 4.018, 4.0111) * CHOOSE( CONTROL!$C$12, $D$4, 100%, $F$4)</f>
        <v>4.0110999999999999</v>
      </c>
      <c r="E113" s="12">
        <f>CHOOSE( CONTROL!$C$29, 4.0159, 4.009) * CHOOSE( CONTROL!$C$12, $D$4, 100%, $F$4)</f>
        <v>4.0090000000000003</v>
      </c>
      <c r="F113" s="4">
        <f>CHOOSE( CONTROL!$C$29, 5.0126, 5.0058) * CHOOSE(CONTROL!$C$12, $D$4, 100%, $F$4)</f>
        <v>5.0057999999999998</v>
      </c>
      <c r="G113" s="8">
        <f>CHOOSE( CONTROL!$C$29, 3.9443, 3.9375) * CHOOSE( CONTROL!$C$12, $D$4, 100%, $F$4)</f>
        <v>3.9375</v>
      </c>
      <c r="H113" s="4">
        <f>CHOOSE( CONTROL!$C$29, 4.8586, 4.8519) * CHOOSE(CONTROL!$C$12, $D$4, 100%, $F$4)</f>
        <v>4.8518999999999997</v>
      </c>
      <c r="I113" s="8">
        <f>CHOOSE( CONTROL!$C$29, 3.9482, 3.9416) * CHOOSE(CONTROL!$C$12, $D$4, 100%, $F$4)</f>
        <v>3.9416000000000002</v>
      </c>
      <c r="J113" s="4">
        <f>CHOOSE( CONTROL!$C$29, 3.881, 3.8744) * CHOOSE(CONTROL!$C$12, $D$4, 100%, $F$4)</f>
        <v>3.8744000000000001</v>
      </c>
      <c r="K113" s="4"/>
      <c r="L113" s="9">
        <v>29.520499999999998</v>
      </c>
      <c r="M113" s="9">
        <v>12.063700000000001</v>
      </c>
      <c r="N113" s="9">
        <v>4.9444999999999997</v>
      </c>
      <c r="O113" s="9">
        <v>0.37459999999999999</v>
      </c>
      <c r="P113" s="9">
        <v>1.2192000000000001</v>
      </c>
      <c r="Q113" s="9">
        <v>32.440300000000001</v>
      </c>
      <c r="R113" s="9"/>
      <c r="S113" s="11"/>
    </row>
    <row r="114" spans="1:19" ht="15.6">
      <c r="A114" s="13">
        <v>45536</v>
      </c>
      <c r="B114" s="8">
        <f>CHOOSE( CONTROL!$C$29, 3.9224, 3.9156) * CHOOSE(CONTROL!$C$12, $D$4, 100%, $F$4)</f>
        <v>3.9156</v>
      </c>
      <c r="C114" s="8">
        <f>CHOOSE( CONTROL!$C$29, 3.9327, 3.9259) * CHOOSE(CONTROL!$C$12, $D$4, 100%, $F$4)</f>
        <v>3.9258999999999999</v>
      </c>
      <c r="D114" s="8">
        <f>CHOOSE( CONTROL!$C$29, 3.9374, 3.9306) * CHOOSE( CONTROL!$C$12, $D$4, 100%, $F$4)</f>
        <v>3.9306000000000001</v>
      </c>
      <c r="E114" s="12">
        <f>CHOOSE( CONTROL!$C$29, 3.9341, 3.9273) * CHOOSE( CONTROL!$C$12, $D$4, 100%, $F$4)</f>
        <v>3.9272999999999998</v>
      </c>
      <c r="F114" s="4">
        <f>CHOOSE( CONTROL!$C$29, 4.934, 4.9272) * CHOOSE(CONTROL!$C$12, $D$4, 100%, $F$4)</f>
        <v>4.9272</v>
      </c>
      <c r="G114" s="8">
        <f>CHOOSE( CONTROL!$C$29, 3.8638, 3.857) * CHOOSE( CONTROL!$C$12, $D$4, 100%, $F$4)</f>
        <v>3.8570000000000002</v>
      </c>
      <c r="H114" s="4">
        <f>CHOOSE( CONTROL!$C$29, 4.7811, 4.7744) * CHOOSE(CONTROL!$C$12, $D$4, 100%, $F$4)</f>
        <v>4.7744</v>
      </c>
      <c r="I114" s="8">
        <f>CHOOSE( CONTROL!$C$29, 3.8748, 3.8682) * CHOOSE(CONTROL!$C$12, $D$4, 100%, $F$4)</f>
        <v>3.8681999999999999</v>
      </c>
      <c r="J114" s="4">
        <f>CHOOSE( CONTROL!$C$29, 3.7999, 3.7933) * CHOOSE(CONTROL!$C$12, $D$4, 100%, $F$4)</f>
        <v>3.7932999999999999</v>
      </c>
      <c r="K114" s="4"/>
      <c r="L114" s="9">
        <v>28.568200000000001</v>
      </c>
      <c r="M114" s="9">
        <v>11.6745</v>
      </c>
      <c r="N114" s="9">
        <v>4.7850000000000001</v>
      </c>
      <c r="O114" s="9">
        <v>0.36249999999999999</v>
      </c>
      <c r="P114" s="9">
        <v>1.1798</v>
      </c>
      <c r="Q114" s="9">
        <v>31.393799999999999</v>
      </c>
      <c r="R114" s="9"/>
      <c r="S114" s="11"/>
    </row>
    <row r="115" spans="1:19" ht="15.6">
      <c r="A115" s="13">
        <v>45566</v>
      </c>
      <c r="B115" s="8">
        <f>4.0895 * CHOOSE(CONTROL!$C$12, $D$4, 100%, $F$4)</f>
        <v>4.0895000000000001</v>
      </c>
      <c r="C115" s="8">
        <f>4.0998 * CHOOSE(CONTROL!$C$12, $D$4, 100%, $F$4)</f>
        <v>4.0998000000000001</v>
      </c>
      <c r="D115" s="8">
        <f>4.0949 * CHOOSE( CONTROL!$C$12, $D$4, 100%, $F$4)</f>
        <v>4.0949</v>
      </c>
      <c r="E115" s="12">
        <f>4.0954 * CHOOSE( CONTROL!$C$12, $D$4, 100%, $F$4)</f>
        <v>4.0953999999999997</v>
      </c>
      <c r="F115" s="4">
        <f>5.0804 * CHOOSE(CONTROL!$C$12, $D$4, 100%, $F$4)</f>
        <v>5.0804</v>
      </c>
      <c r="G115" s="8">
        <f>4.0252 * CHOOSE( CONTROL!$C$12, $D$4, 100%, $F$4)</f>
        <v>4.0251999999999999</v>
      </c>
      <c r="H115" s="4">
        <f>4.9255 * CHOOSE(CONTROL!$C$12, $D$4, 100%, $F$4)</f>
        <v>4.9255000000000004</v>
      </c>
      <c r="I115" s="8">
        <f>4.0407 * CHOOSE(CONTROL!$C$12, $D$4, 100%, $F$4)</f>
        <v>4.0407000000000002</v>
      </c>
      <c r="J115" s="4">
        <f>3.9618 * CHOOSE(CONTROL!$C$12, $D$4, 100%, $F$4)</f>
        <v>3.9618000000000002</v>
      </c>
      <c r="K115" s="4"/>
      <c r="L115" s="9">
        <v>28.921800000000001</v>
      </c>
      <c r="M115" s="9">
        <v>12.063700000000001</v>
      </c>
      <c r="N115" s="9">
        <v>4.9444999999999997</v>
      </c>
      <c r="O115" s="9">
        <v>0.37459999999999999</v>
      </c>
      <c r="P115" s="9">
        <v>1.2192000000000001</v>
      </c>
      <c r="Q115" s="9">
        <v>32.440300000000001</v>
      </c>
      <c r="R115" s="9"/>
      <c r="S115" s="11"/>
    </row>
    <row r="116" spans="1:19" ht="15.6">
      <c r="A116" s="13">
        <v>45597</v>
      </c>
      <c r="B116" s="8">
        <f>4.4105 * CHOOSE(CONTROL!$C$12, $D$4, 100%, $F$4)</f>
        <v>4.4104999999999999</v>
      </c>
      <c r="C116" s="8">
        <f>4.4208 * CHOOSE(CONTROL!$C$12, $D$4, 100%, $F$4)</f>
        <v>4.4207999999999998</v>
      </c>
      <c r="D116" s="8">
        <f>4.3801 * CHOOSE( CONTROL!$C$12, $D$4, 100%, $F$4)</f>
        <v>4.3800999999999997</v>
      </c>
      <c r="E116" s="12">
        <f>4.3939 * CHOOSE( CONTROL!$C$12, $D$4, 100%, $F$4)</f>
        <v>4.3939000000000004</v>
      </c>
      <c r="F116" s="4">
        <f>5.3875 * CHOOSE(CONTROL!$C$12, $D$4, 100%, $F$4)</f>
        <v>5.3875000000000002</v>
      </c>
      <c r="G116" s="8">
        <f>4.3356 * CHOOSE( CONTROL!$C$12, $D$4, 100%, $F$4)</f>
        <v>4.3356000000000003</v>
      </c>
      <c r="H116" s="4">
        <f>5.2281 * CHOOSE(CONTROL!$C$12, $D$4, 100%, $F$4)</f>
        <v>5.2281000000000004</v>
      </c>
      <c r="I116" s="8">
        <f>4.3361 * CHOOSE(CONTROL!$C$12, $D$4, 100%, $F$4)</f>
        <v>4.3361000000000001</v>
      </c>
      <c r="J116" s="4">
        <f>4.2728 * CHOOSE(CONTROL!$C$12, $D$4, 100%, $F$4)</f>
        <v>4.2728000000000002</v>
      </c>
      <c r="K116" s="4"/>
      <c r="L116" s="9">
        <v>26.515499999999999</v>
      </c>
      <c r="M116" s="9">
        <v>11.6745</v>
      </c>
      <c r="N116" s="9">
        <v>4.7850000000000001</v>
      </c>
      <c r="O116" s="9">
        <v>0.36249999999999999</v>
      </c>
      <c r="P116" s="9">
        <v>1.2522</v>
      </c>
      <c r="Q116" s="9">
        <v>31.393799999999999</v>
      </c>
      <c r="R116" s="9"/>
      <c r="S116" s="11"/>
    </row>
    <row r="117" spans="1:19" ht="15.6">
      <c r="A117" s="13">
        <v>45627</v>
      </c>
      <c r="B117" s="8">
        <f>4.4025 * CHOOSE(CONTROL!$C$12, $D$4, 100%, $F$4)</f>
        <v>4.4024999999999999</v>
      </c>
      <c r="C117" s="8">
        <f>4.4128 * CHOOSE(CONTROL!$C$12, $D$4, 100%, $F$4)</f>
        <v>4.4127999999999998</v>
      </c>
      <c r="D117" s="8">
        <f>4.374 * CHOOSE( CONTROL!$C$12, $D$4, 100%, $F$4)</f>
        <v>4.3739999999999997</v>
      </c>
      <c r="E117" s="12">
        <f>4.3871 * CHOOSE( CONTROL!$C$12, $D$4, 100%, $F$4)</f>
        <v>4.3871000000000002</v>
      </c>
      <c r="F117" s="4">
        <f>5.3728 * CHOOSE(CONTROL!$C$12, $D$4, 100%, $F$4)</f>
        <v>5.3727999999999998</v>
      </c>
      <c r="G117" s="8">
        <f>4.33 * CHOOSE( CONTROL!$C$12, $D$4, 100%, $F$4)</f>
        <v>4.33</v>
      </c>
      <c r="H117" s="4">
        <f>5.2136 * CHOOSE(CONTROL!$C$12, $D$4, 100%, $F$4)</f>
        <v>5.2135999999999996</v>
      </c>
      <c r="I117" s="8">
        <f>4.3391 * CHOOSE(CONTROL!$C$12, $D$4, 100%, $F$4)</f>
        <v>4.3391000000000002</v>
      </c>
      <c r="J117" s="4">
        <f>4.265 * CHOOSE(CONTROL!$C$12, $D$4, 100%, $F$4)</f>
        <v>4.2649999999999997</v>
      </c>
      <c r="K117" s="4"/>
      <c r="L117" s="9">
        <v>27.3993</v>
      </c>
      <c r="M117" s="9">
        <v>12.063700000000001</v>
      </c>
      <c r="N117" s="9">
        <v>4.9444999999999997</v>
      </c>
      <c r="O117" s="9">
        <v>0.37459999999999999</v>
      </c>
      <c r="P117" s="9">
        <v>1.2939000000000001</v>
      </c>
      <c r="Q117" s="9">
        <v>32.440300000000001</v>
      </c>
      <c r="R117" s="9"/>
      <c r="S117" s="11"/>
    </row>
    <row r="118" spans="1:19" ht="15.6">
      <c r="A118" s="13">
        <v>45658</v>
      </c>
      <c r="B118" s="8">
        <f>4.6337 * CHOOSE(CONTROL!$C$12, $D$4, 100%, $F$4)</f>
        <v>4.6337000000000002</v>
      </c>
      <c r="C118" s="8">
        <f>4.644 * CHOOSE(CONTROL!$C$12, $D$4, 100%, $F$4)</f>
        <v>4.6440000000000001</v>
      </c>
      <c r="D118" s="8">
        <f>4.6438 * CHOOSE( CONTROL!$C$12, $D$4, 100%, $F$4)</f>
        <v>4.6437999999999997</v>
      </c>
      <c r="E118" s="12">
        <f>4.6428 * CHOOSE( CONTROL!$C$12, $D$4, 100%, $F$4)</f>
        <v>4.6428000000000003</v>
      </c>
      <c r="F118" s="4">
        <f>5.6556 * CHOOSE(CONTROL!$C$12, $D$4, 100%, $F$4)</f>
        <v>5.6555999999999997</v>
      </c>
      <c r="G118" s="8">
        <f>4.5989 * CHOOSE( CONTROL!$C$12, $D$4, 100%, $F$4)</f>
        <v>4.5989000000000004</v>
      </c>
      <c r="H118" s="4">
        <f>5.4924 * CHOOSE(CONTROL!$C$12, $D$4, 100%, $F$4)</f>
        <v>5.4923999999999999</v>
      </c>
      <c r="I118" s="8">
        <f>4.5999 * CHOOSE(CONTROL!$C$12, $D$4, 100%, $F$4)</f>
        <v>4.5998999999999999</v>
      </c>
      <c r="J118" s="4">
        <f>4.4891 * CHOOSE(CONTROL!$C$12, $D$4, 100%, $F$4)</f>
        <v>4.4890999999999996</v>
      </c>
      <c r="K118" s="4"/>
      <c r="L118" s="9">
        <v>27.3993</v>
      </c>
      <c r="M118" s="9">
        <v>12.063700000000001</v>
      </c>
      <c r="N118" s="9">
        <v>4.9444999999999997</v>
      </c>
      <c r="O118" s="9">
        <v>0.37459999999999999</v>
      </c>
      <c r="P118" s="9">
        <v>1.2939000000000001</v>
      </c>
      <c r="Q118" s="9">
        <v>32.254300000000001</v>
      </c>
      <c r="R118" s="9"/>
      <c r="S118" s="11"/>
    </row>
    <row r="119" spans="1:19" ht="15.6">
      <c r="A119" s="13">
        <v>45689</v>
      </c>
      <c r="B119" s="8">
        <f>4.3342 * CHOOSE(CONTROL!$C$12, $D$4, 100%, $F$4)</f>
        <v>4.3342000000000001</v>
      </c>
      <c r="C119" s="8">
        <f>4.3445 * CHOOSE(CONTROL!$C$12, $D$4, 100%, $F$4)</f>
        <v>4.3445</v>
      </c>
      <c r="D119" s="8">
        <f>4.3466 * CHOOSE( CONTROL!$C$12, $D$4, 100%, $F$4)</f>
        <v>4.3465999999999996</v>
      </c>
      <c r="E119" s="12">
        <f>4.3447 * CHOOSE( CONTROL!$C$12, $D$4, 100%, $F$4)</f>
        <v>4.3446999999999996</v>
      </c>
      <c r="F119" s="4">
        <f>5.3484 * CHOOSE(CONTROL!$C$12, $D$4, 100%, $F$4)</f>
        <v>5.3483999999999998</v>
      </c>
      <c r="G119" s="8">
        <f>4.3036 * CHOOSE( CONTROL!$C$12, $D$4, 100%, $F$4)</f>
        <v>4.3036000000000003</v>
      </c>
      <c r="H119" s="4">
        <f>5.1895 * CHOOSE(CONTROL!$C$12, $D$4, 100%, $F$4)</f>
        <v>5.1894999999999998</v>
      </c>
      <c r="I119" s="8">
        <f>4.2986 * CHOOSE(CONTROL!$C$12, $D$4, 100%, $F$4)</f>
        <v>4.2986000000000004</v>
      </c>
      <c r="J119" s="4">
        <f>4.1989 * CHOOSE(CONTROL!$C$12, $D$4, 100%, $F$4)</f>
        <v>4.1989000000000001</v>
      </c>
      <c r="K119" s="4"/>
      <c r="L119" s="9">
        <v>24.747800000000002</v>
      </c>
      <c r="M119" s="9">
        <v>10.8962</v>
      </c>
      <c r="N119" s="9">
        <v>4.4660000000000002</v>
      </c>
      <c r="O119" s="9">
        <v>0.33829999999999999</v>
      </c>
      <c r="P119" s="9">
        <v>1.1687000000000001</v>
      </c>
      <c r="Q119" s="9">
        <v>29.132899999999999</v>
      </c>
      <c r="R119" s="9"/>
      <c r="S119" s="11"/>
    </row>
    <row r="120" spans="1:19" ht="15.6">
      <c r="A120" s="13">
        <v>45717</v>
      </c>
      <c r="B120" s="8">
        <f>4.2419 * CHOOSE(CONTROL!$C$12, $D$4, 100%, $F$4)</f>
        <v>4.2419000000000002</v>
      </c>
      <c r="C120" s="8">
        <f>4.2522 * CHOOSE(CONTROL!$C$12, $D$4, 100%, $F$4)</f>
        <v>4.2522000000000002</v>
      </c>
      <c r="D120" s="8">
        <f>4.2344 * CHOOSE( CONTROL!$C$12, $D$4, 100%, $F$4)</f>
        <v>4.2343999999999999</v>
      </c>
      <c r="E120" s="12">
        <f>4.2398 * CHOOSE( CONTROL!$C$12, $D$4, 100%, $F$4)</f>
        <v>4.2397999999999998</v>
      </c>
      <c r="F120" s="4">
        <f>5.2401 * CHOOSE(CONTROL!$C$12, $D$4, 100%, $F$4)</f>
        <v>5.2401</v>
      </c>
      <c r="G120" s="8">
        <f>4.1921 * CHOOSE( CONTROL!$C$12, $D$4, 100%, $F$4)</f>
        <v>4.1920999999999999</v>
      </c>
      <c r="H120" s="4">
        <f>5.0828 * CHOOSE(CONTROL!$C$12, $D$4, 100%, $F$4)</f>
        <v>5.0827999999999998</v>
      </c>
      <c r="I120" s="8">
        <f>4.1697 * CHOOSE(CONTROL!$C$12, $D$4, 100%, $F$4)</f>
        <v>4.1696999999999997</v>
      </c>
      <c r="J120" s="4">
        <f>4.1095 * CHOOSE(CONTROL!$C$12, $D$4, 100%, $F$4)</f>
        <v>4.1094999999999997</v>
      </c>
      <c r="K120" s="4"/>
      <c r="L120" s="9">
        <v>27.3993</v>
      </c>
      <c r="M120" s="9">
        <v>12.063700000000001</v>
      </c>
      <c r="N120" s="9">
        <v>4.9444999999999997</v>
      </c>
      <c r="O120" s="9">
        <v>0.37459999999999999</v>
      </c>
      <c r="P120" s="9">
        <v>1.2939000000000001</v>
      </c>
      <c r="Q120" s="9">
        <v>32.254300000000001</v>
      </c>
      <c r="R120" s="9"/>
      <c r="S120" s="11"/>
    </row>
    <row r="121" spans="1:19" ht="15.6">
      <c r="A121" s="13">
        <v>45748</v>
      </c>
      <c r="B121" s="8">
        <f>4.3064 * CHOOSE(CONTROL!$C$12, $D$4, 100%, $F$4)</f>
        <v>4.3064</v>
      </c>
      <c r="C121" s="8">
        <f>4.3167 * CHOOSE(CONTROL!$C$12, $D$4, 100%, $F$4)</f>
        <v>4.3167</v>
      </c>
      <c r="D121" s="8">
        <f>4.3217 * CHOOSE( CONTROL!$C$12, $D$4, 100%, $F$4)</f>
        <v>4.3216999999999999</v>
      </c>
      <c r="E121" s="12">
        <f>4.3189 * CHOOSE( CONTROL!$C$12, $D$4, 100%, $F$4)</f>
        <v>4.3189000000000002</v>
      </c>
      <c r="F121" s="4">
        <f>5.3128 * CHOOSE(CONTROL!$C$12, $D$4, 100%, $F$4)</f>
        <v>5.3128000000000002</v>
      </c>
      <c r="G121" s="8">
        <f>4.2436 * CHOOSE( CONTROL!$C$12, $D$4, 100%, $F$4)</f>
        <v>4.2435999999999998</v>
      </c>
      <c r="H121" s="4">
        <f>5.1545 * CHOOSE(CONTROL!$C$12, $D$4, 100%, $F$4)</f>
        <v>5.1544999999999996</v>
      </c>
      <c r="I121" s="8">
        <f>4.2223 * CHOOSE(CONTROL!$C$12, $D$4, 100%, $F$4)</f>
        <v>4.2222999999999997</v>
      </c>
      <c r="J121" s="4">
        <f>4.1719 * CHOOSE(CONTROL!$C$12, $D$4, 100%, $F$4)</f>
        <v>4.1718999999999999</v>
      </c>
      <c r="K121" s="4"/>
      <c r="L121" s="9">
        <v>27.988800000000001</v>
      </c>
      <c r="M121" s="9">
        <v>11.6745</v>
      </c>
      <c r="N121" s="9">
        <v>4.7850000000000001</v>
      </c>
      <c r="O121" s="9">
        <v>0.36249999999999999</v>
      </c>
      <c r="P121" s="9">
        <v>1.1798</v>
      </c>
      <c r="Q121" s="9">
        <v>31.213799999999999</v>
      </c>
      <c r="R121" s="9"/>
      <c r="S121" s="11"/>
    </row>
    <row r="122" spans="1:19" ht="15.6">
      <c r="A122" s="13">
        <v>45778</v>
      </c>
      <c r="B122" s="8">
        <f>CHOOSE( CONTROL!$C$29, 4.4279, 4.4211) * CHOOSE(CONTROL!$C$12, $D$4, 100%, $F$4)</f>
        <v>4.4211</v>
      </c>
      <c r="C122" s="8">
        <f>CHOOSE( CONTROL!$C$29, 4.4383, 4.4314) * CHOOSE(CONTROL!$C$12, $D$4, 100%, $F$4)</f>
        <v>4.4314</v>
      </c>
      <c r="D122" s="8">
        <f>CHOOSE( CONTROL!$C$29, 4.4185, 4.4117) * CHOOSE( CONTROL!$C$12, $D$4, 100%, $F$4)</f>
        <v>4.4116999999999997</v>
      </c>
      <c r="E122" s="12">
        <f>CHOOSE( CONTROL!$C$29, 4.4241, 4.4173) * CHOOSE( CONTROL!$C$12, $D$4, 100%, $F$4)</f>
        <v>4.4173</v>
      </c>
      <c r="F122" s="4">
        <f>CHOOSE( CONTROL!$C$29, 5.4024, 5.3956) * CHOOSE(CONTROL!$C$12, $D$4, 100%, $F$4)</f>
        <v>5.3956</v>
      </c>
      <c r="G122" s="8">
        <f>CHOOSE( CONTROL!$C$29, 4.3452, 4.3384) * CHOOSE( CONTROL!$C$12, $D$4, 100%, $F$4)</f>
        <v>4.3384</v>
      </c>
      <c r="H122" s="4">
        <f>CHOOSE( CONTROL!$C$29, 5.2428, 5.2361) * CHOOSE(CONTROL!$C$12, $D$4, 100%, $F$4)</f>
        <v>5.2361000000000004</v>
      </c>
      <c r="I122" s="8">
        <f>CHOOSE( CONTROL!$C$29, 4.3186, 4.3119) * CHOOSE(CONTROL!$C$12, $D$4, 100%, $F$4)</f>
        <v>4.3118999999999996</v>
      </c>
      <c r="J122" s="4">
        <f>CHOOSE( CONTROL!$C$29, 4.2897, 4.2831) * CHOOSE(CONTROL!$C$12, $D$4, 100%, $F$4)</f>
        <v>4.2831000000000001</v>
      </c>
      <c r="K122" s="4"/>
      <c r="L122" s="9">
        <v>29.520499999999998</v>
      </c>
      <c r="M122" s="9">
        <v>12.063700000000001</v>
      </c>
      <c r="N122" s="9">
        <v>4.9444999999999997</v>
      </c>
      <c r="O122" s="9">
        <v>0.37459999999999999</v>
      </c>
      <c r="P122" s="9">
        <v>1.2192000000000001</v>
      </c>
      <c r="Q122" s="9">
        <v>32.254300000000001</v>
      </c>
      <c r="R122" s="9"/>
      <c r="S122" s="11"/>
    </row>
    <row r="123" spans="1:19" ht="15.6">
      <c r="A123" s="13">
        <v>45809</v>
      </c>
      <c r="B123" s="8">
        <f>CHOOSE( CONTROL!$C$29, 4.3569, 4.35) * CHOOSE(CONTROL!$C$12, $D$4, 100%, $F$4)</f>
        <v>4.3499999999999996</v>
      </c>
      <c r="C123" s="8">
        <f>CHOOSE( CONTROL!$C$29, 4.3672, 4.3604) * CHOOSE(CONTROL!$C$12, $D$4, 100%, $F$4)</f>
        <v>4.3604000000000003</v>
      </c>
      <c r="D123" s="8">
        <f>CHOOSE( CONTROL!$C$29, 4.3419, 4.3351) * CHOOSE( CONTROL!$C$12, $D$4, 100%, $F$4)</f>
        <v>4.3350999999999997</v>
      </c>
      <c r="E123" s="12">
        <f>CHOOSE( CONTROL!$C$29, 4.3495, 4.3427) * CHOOSE( CONTROL!$C$12, $D$4, 100%, $F$4)</f>
        <v>4.3426999999999998</v>
      </c>
      <c r="F123" s="4">
        <f>CHOOSE( CONTROL!$C$29, 5.321, 5.3142) * CHOOSE(CONTROL!$C$12, $D$4, 100%, $F$4)</f>
        <v>5.3141999999999996</v>
      </c>
      <c r="G123" s="8">
        <f>CHOOSE( CONTROL!$C$29, 4.2738, 4.2671) * CHOOSE( CONTROL!$C$12, $D$4, 100%, $F$4)</f>
        <v>4.2671000000000001</v>
      </c>
      <c r="H123" s="4">
        <f>CHOOSE( CONTROL!$C$29, 5.1626, 5.1559) * CHOOSE(CONTROL!$C$12, $D$4, 100%, $F$4)</f>
        <v>5.1558999999999999</v>
      </c>
      <c r="I123" s="8">
        <f>CHOOSE( CONTROL!$C$29, 4.2518, 4.2452) * CHOOSE(CONTROL!$C$12, $D$4, 100%, $F$4)</f>
        <v>4.2451999999999996</v>
      </c>
      <c r="J123" s="4">
        <f>CHOOSE( CONTROL!$C$29, 4.2209, 4.2142) * CHOOSE(CONTROL!$C$12, $D$4, 100%, $F$4)</f>
        <v>4.2141999999999999</v>
      </c>
      <c r="K123" s="4"/>
      <c r="L123" s="9">
        <v>28.568200000000001</v>
      </c>
      <c r="M123" s="9">
        <v>11.6745</v>
      </c>
      <c r="N123" s="9">
        <v>4.7850000000000001</v>
      </c>
      <c r="O123" s="9">
        <v>0.36249999999999999</v>
      </c>
      <c r="P123" s="9">
        <v>1.1798</v>
      </c>
      <c r="Q123" s="9">
        <v>31.213799999999999</v>
      </c>
      <c r="R123" s="9"/>
      <c r="S123" s="11"/>
    </row>
    <row r="124" spans="1:19" ht="15.6">
      <c r="A124" s="13">
        <v>45839</v>
      </c>
      <c r="B124" s="8">
        <f>CHOOSE( CONTROL!$C$29, 4.544, 4.5372) * CHOOSE(CONTROL!$C$12, $D$4, 100%, $F$4)</f>
        <v>4.5372000000000003</v>
      </c>
      <c r="C124" s="8">
        <f>CHOOSE( CONTROL!$C$29, 4.5543, 4.5475) * CHOOSE(CONTROL!$C$12, $D$4, 100%, $F$4)</f>
        <v>4.5475000000000003</v>
      </c>
      <c r="D124" s="8">
        <f>CHOOSE( CONTROL!$C$29, 4.5625, 4.5556) * CHOOSE( CONTROL!$C$12, $D$4, 100%, $F$4)</f>
        <v>4.5556000000000001</v>
      </c>
      <c r="E124" s="12">
        <f>CHOOSE( CONTROL!$C$29, 4.558, 4.5511) * CHOOSE( CONTROL!$C$12, $D$4, 100%, $F$4)</f>
        <v>4.5510999999999999</v>
      </c>
      <c r="F124" s="4">
        <f>CHOOSE( CONTROL!$C$29, 5.553, 5.5462) * CHOOSE(CONTROL!$C$12, $D$4, 100%, $F$4)</f>
        <v>5.5461999999999998</v>
      </c>
      <c r="G124" s="8">
        <f>CHOOSE( CONTROL!$C$29, 4.4844, 4.4776) * CHOOSE( CONTROL!$C$12, $D$4, 100%, $F$4)</f>
        <v>4.4775999999999998</v>
      </c>
      <c r="H124" s="4">
        <f>CHOOSE( CONTROL!$C$29, 5.3913, 5.3846) * CHOOSE(CONTROL!$C$12, $D$4, 100%, $F$4)</f>
        <v>5.3845999999999998</v>
      </c>
      <c r="I124" s="8">
        <f>CHOOSE( CONTROL!$C$29, 4.4886, 4.4819) * CHOOSE(CONTROL!$C$12, $D$4, 100%, $F$4)</f>
        <v>4.4819000000000004</v>
      </c>
      <c r="J124" s="4">
        <f>CHOOSE( CONTROL!$C$29, 4.4022, 4.3956) * CHOOSE(CONTROL!$C$12, $D$4, 100%, $F$4)</f>
        <v>4.3956</v>
      </c>
      <c r="K124" s="4"/>
      <c r="L124" s="9">
        <v>29.520499999999998</v>
      </c>
      <c r="M124" s="9">
        <v>12.063700000000001</v>
      </c>
      <c r="N124" s="9">
        <v>4.9444999999999997</v>
      </c>
      <c r="O124" s="9">
        <v>0.37459999999999999</v>
      </c>
      <c r="P124" s="9">
        <v>1.2192000000000001</v>
      </c>
      <c r="Q124" s="9">
        <v>32.254300000000001</v>
      </c>
      <c r="R124" s="9"/>
      <c r="S124" s="11"/>
    </row>
    <row r="125" spans="1:19" ht="15.6">
      <c r="A125" s="13">
        <v>45870</v>
      </c>
      <c r="B125" s="8">
        <f>CHOOSE( CONTROL!$C$29, 4.1939, 4.187) * CHOOSE(CONTROL!$C$12, $D$4, 100%, $F$4)</f>
        <v>4.1870000000000003</v>
      </c>
      <c r="C125" s="8">
        <f>CHOOSE( CONTROL!$C$29, 4.2042, 4.1973) * CHOOSE(CONTROL!$C$12, $D$4, 100%, $F$4)</f>
        <v>4.1973000000000003</v>
      </c>
      <c r="D125" s="8">
        <f>CHOOSE( CONTROL!$C$29, 4.2057, 4.1988) * CHOOSE( CONTROL!$C$12, $D$4, 100%, $F$4)</f>
        <v>4.1988000000000003</v>
      </c>
      <c r="E125" s="12">
        <f>CHOOSE( CONTROL!$C$29, 4.2036, 4.1967) * CHOOSE( CONTROL!$C$12, $D$4, 100%, $F$4)</f>
        <v>4.1966999999999999</v>
      </c>
      <c r="F125" s="4">
        <f>CHOOSE( CONTROL!$C$29, 5.2003, 5.1935) * CHOOSE(CONTROL!$C$12, $D$4, 100%, $F$4)</f>
        <v>5.1935000000000002</v>
      </c>
      <c r="G125" s="8">
        <f>CHOOSE( CONTROL!$C$29, 4.1293, 4.1225) * CHOOSE( CONTROL!$C$12, $D$4, 100%, $F$4)</f>
        <v>4.1224999999999996</v>
      </c>
      <c r="H125" s="4">
        <f>CHOOSE( CONTROL!$C$29, 5.0436, 5.0369) * CHOOSE(CONTROL!$C$12, $D$4, 100%, $F$4)</f>
        <v>5.0369000000000002</v>
      </c>
      <c r="I125" s="8">
        <f>CHOOSE( CONTROL!$C$29, 4.1302, 4.1236) * CHOOSE(CONTROL!$C$12, $D$4, 100%, $F$4)</f>
        <v>4.1235999999999997</v>
      </c>
      <c r="J125" s="4">
        <f>CHOOSE( CONTROL!$C$29, 4.0629, 4.0563) * CHOOSE(CONTROL!$C$12, $D$4, 100%, $F$4)</f>
        <v>4.0563000000000002</v>
      </c>
      <c r="K125" s="4"/>
      <c r="L125" s="9">
        <v>29.520499999999998</v>
      </c>
      <c r="M125" s="9">
        <v>12.063700000000001</v>
      </c>
      <c r="N125" s="9">
        <v>4.9444999999999997</v>
      </c>
      <c r="O125" s="9">
        <v>0.37459999999999999</v>
      </c>
      <c r="P125" s="9">
        <v>1.2192000000000001</v>
      </c>
      <c r="Q125" s="9">
        <v>32.254300000000001</v>
      </c>
      <c r="R125" s="9"/>
      <c r="S125" s="11"/>
    </row>
    <row r="126" spans="1:19" ht="15.6">
      <c r="A126" s="13">
        <v>45901</v>
      </c>
      <c r="B126" s="8">
        <f>CHOOSE( CONTROL!$C$29, 4.1062, 4.0993) * CHOOSE(CONTROL!$C$12, $D$4, 100%, $F$4)</f>
        <v>4.0993000000000004</v>
      </c>
      <c r="C126" s="8">
        <f>CHOOSE( CONTROL!$C$29, 4.1165, 4.1097) * CHOOSE(CONTROL!$C$12, $D$4, 100%, $F$4)</f>
        <v>4.1097000000000001</v>
      </c>
      <c r="D126" s="8">
        <f>CHOOSE( CONTROL!$C$29, 4.1212, 4.1143) * CHOOSE( CONTROL!$C$12, $D$4, 100%, $F$4)</f>
        <v>4.1143000000000001</v>
      </c>
      <c r="E126" s="12">
        <f>CHOOSE( CONTROL!$C$29, 4.1179, 4.111) * CHOOSE( CONTROL!$C$12, $D$4, 100%, $F$4)</f>
        <v>4.1109999999999998</v>
      </c>
      <c r="F126" s="4">
        <f>CHOOSE( CONTROL!$C$29, 5.1178, 5.1109) * CHOOSE(CONTROL!$C$12, $D$4, 100%, $F$4)</f>
        <v>5.1109</v>
      </c>
      <c r="G126" s="8">
        <f>CHOOSE( CONTROL!$C$29, 4.0449, 4.0381) * CHOOSE( CONTROL!$C$12, $D$4, 100%, $F$4)</f>
        <v>4.0381</v>
      </c>
      <c r="H126" s="4">
        <f>CHOOSE( CONTROL!$C$29, 4.9623, 4.9555) * CHOOSE(CONTROL!$C$12, $D$4, 100%, $F$4)</f>
        <v>4.9554999999999998</v>
      </c>
      <c r="I126" s="8">
        <f>CHOOSE( CONTROL!$C$29, 4.053, 4.0463) * CHOOSE(CONTROL!$C$12, $D$4, 100%, $F$4)</f>
        <v>4.0462999999999996</v>
      </c>
      <c r="J126" s="4">
        <f>CHOOSE( CONTROL!$C$29, 3.9779, 3.9713) * CHOOSE(CONTROL!$C$12, $D$4, 100%, $F$4)</f>
        <v>3.9712999999999998</v>
      </c>
      <c r="K126" s="4"/>
      <c r="L126" s="9">
        <v>28.568200000000001</v>
      </c>
      <c r="M126" s="9">
        <v>11.6745</v>
      </c>
      <c r="N126" s="9">
        <v>4.7850000000000001</v>
      </c>
      <c r="O126" s="9">
        <v>0.36249999999999999</v>
      </c>
      <c r="P126" s="9">
        <v>1.1798</v>
      </c>
      <c r="Q126" s="9">
        <v>31.213799999999999</v>
      </c>
      <c r="R126" s="9"/>
      <c r="S126" s="11"/>
    </row>
    <row r="127" spans="1:19" ht="15.6">
      <c r="A127" s="13">
        <v>45931</v>
      </c>
      <c r="B127" s="8">
        <f>4.2814 * CHOOSE(CONTROL!$C$12, $D$4, 100%, $F$4)</f>
        <v>4.2813999999999997</v>
      </c>
      <c r="C127" s="8">
        <f>4.2917 * CHOOSE(CONTROL!$C$12, $D$4, 100%, $F$4)</f>
        <v>4.2916999999999996</v>
      </c>
      <c r="D127" s="8">
        <f>4.2868 * CHOOSE( CONTROL!$C$12, $D$4, 100%, $F$4)</f>
        <v>4.2868000000000004</v>
      </c>
      <c r="E127" s="12">
        <f>4.2873 * CHOOSE( CONTROL!$C$12, $D$4, 100%, $F$4)</f>
        <v>4.2873000000000001</v>
      </c>
      <c r="F127" s="4">
        <f>5.2724 * CHOOSE(CONTROL!$C$12, $D$4, 100%, $F$4)</f>
        <v>5.2724000000000002</v>
      </c>
      <c r="G127" s="8">
        <f>4.2144 * CHOOSE( CONTROL!$C$12, $D$4, 100%, $F$4)</f>
        <v>4.2144000000000004</v>
      </c>
      <c r="H127" s="4">
        <f>5.1146 * CHOOSE(CONTROL!$C$12, $D$4, 100%, $F$4)</f>
        <v>5.1146000000000003</v>
      </c>
      <c r="I127" s="8">
        <f>4.2267 * CHOOSE(CONTROL!$C$12, $D$4, 100%, $F$4)</f>
        <v>4.2267000000000001</v>
      </c>
      <c r="J127" s="4">
        <f>4.1477 * CHOOSE(CONTROL!$C$12, $D$4, 100%, $F$4)</f>
        <v>4.1477000000000004</v>
      </c>
      <c r="K127" s="4"/>
      <c r="L127" s="9">
        <v>28.921800000000001</v>
      </c>
      <c r="M127" s="9">
        <v>12.063700000000001</v>
      </c>
      <c r="N127" s="9">
        <v>4.9444999999999997</v>
      </c>
      <c r="O127" s="9">
        <v>0.37459999999999999</v>
      </c>
      <c r="P127" s="9">
        <v>1.2192000000000001</v>
      </c>
      <c r="Q127" s="9">
        <v>32.254300000000001</v>
      </c>
      <c r="R127" s="9"/>
      <c r="S127" s="11"/>
    </row>
    <row r="128" spans="1:19" ht="15.6">
      <c r="A128" s="13">
        <v>45962</v>
      </c>
      <c r="B128" s="8">
        <f>4.6175 * CHOOSE(CONTROL!$C$12, $D$4, 100%, $F$4)</f>
        <v>4.6174999999999997</v>
      </c>
      <c r="C128" s="8">
        <f>4.6278 * CHOOSE(CONTROL!$C$12, $D$4, 100%, $F$4)</f>
        <v>4.6277999999999997</v>
      </c>
      <c r="D128" s="8">
        <f>4.5871 * CHOOSE( CONTROL!$C$12, $D$4, 100%, $F$4)</f>
        <v>4.5871000000000004</v>
      </c>
      <c r="E128" s="12">
        <f>4.6009 * CHOOSE( CONTROL!$C$12, $D$4, 100%, $F$4)</f>
        <v>4.6009000000000002</v>
      </c>
      <c r="F128" s="4">
        <f>5.5945 * CHOOSE(CONTROL!$C$12, $D$4, 100%, $F$4)</f>
        <v>5.5945</v>
      </c>
      <c r="G128" s="8">
        <f>4.5396 * CHOOSE( CONTROL!$C$12, $D$4, 100%, $F$4)</f>
        <v>4.5396000000000001</v>
      </c>
      <c r="H128" s="4">
        <f>5.4322 * CHOOSE(CONTROL!$C$12, $D$4, 100%, $F$4)</f>
        <v>5.4321999999999999</v>
      </c>
      <c r="I128" s="8">
        <f>4.5368 * CHOOSE(CONTROL!$C$12, $D$4, 100%, $F$4)</f>
        <v>4.5368000000000004</v>
      </c>
      <c r="J128" s="4">
        <f>4.4734 * CHOOSE(CONTROL!$C$12, $D$4, 100%, $F$4)</f>
        <v>4.4733999999999998</v>
      </c>
      <c r="K128" s="4"/>
      <c r="L128" s="9">
        <v>26.515499999999999</v>
      </c>
      <c r="M128" s="9">
        <v>11.6745</v>
      </c>
      <c r="N128" s="9">
        <v>4.7850000000000001</v>
      </c>
      <c r="O128" s="9">
        <v>0.36249999999999999</v>
      </c>
      <c r="P128" s="9">
        <v>1.2522</v>
      </c>
      <c r="Q128" s="9">
        <v>31.213799999999999</v>
      </c>
      <c r="R128" s="9"/>
      <c r="S128" s="11"/>
    </row>
    <row r="129" spans="1:19" ht="15.6">
      <c r="A129" s="13">
        <v>45992</v>
      </c>
      <c r="B129" s="8">
        <f>4.6091 * CHOOSE(CONTROL!$C$12, $D$4, 100%, $F$4)</f>
        <v>4.6090999999999998</v>
      </c>
      <c r="C129" s="8">
        <f>4.6194 * CHOOSE(CONTROL!$C$12, $D$4, 100%, $F$4)</f>
        <v>4.6193999999999997</v>
      </c>
      <c r="D129" s="8">
        <f>4.5806 * CHOOSE( CONTROL!$C$12, $D$4, 100%, $F$4)</f>
        <v>4.5805999999999996</v>
      </c>
      <c r="E129" s="12">
        <f>4.5937 * CHOOSE( CONTROL!$C$12, $D$4, 100%, $F$4)</f>
        <v>4.5937000000000001</v>
      </c>
      <c r="F129" s="4">
        <f>5.5794 * CHOOSE(CONTROL!$C$12, $D$4, 100%, $F$4)</f>
        <v>5.5793999999999997</v>
      </c>
      <c r="G129" s="8">
        <f>4.5337 * CHOOSE( CONTROL!$C$12, $D$4, 100%, $F$4)</f>
        <v>4.5336999999999996</v>
      </c>
      <c r="H129" s="4">
        <f>5.4173 * CHOOSE(CONTROL!$C$12, $D$4, 100%, $F$4)</f>
        <v>5.4173</v>
      </c>
      <c r="I129" s="8">
        <f>4.5394 * CHOOSE(CONTROL!$C$12, $D$4, 100%, $F$4)</f>
        <v>4.5393999999999997</v>
      </c>
      <c r="J129" s="4">
        <f>4.4652 * CHOOSE(CONTROL!$C$12, $D$4, 100%, $F$4)</f>
        <v>4.4652000000000003</v>
      </c>
      <c r="K129" s="4"/>
      <c r="L129" s="9">
        <v>27.3993</v>
      </c>
      <c r="M129" s="9">
        <v>12.063700000000001</v>
      </c>
      <c r="N129" s="9">
        <v>4.9444999999999997</v>
      </c>
      <c r="O129" s="9">
        <v>0.37459999999999999</v>
      </c>
      <c r="P129" s="9">
        <v>1.2939000000000001</v>
      </c>
      <c r="Q129" s="9">
        <v>32.254300000000001</v>
      </c>
      <c r="R129" s="9"/>
      <c r="S129" s="11"/>
    </row>
    <row r="130" spans="1:19" ht="15.6">
      <c r="A130" s="13">
        <v>46023</v>
      </c>
      <c r="B130" s="8">
        <f>4.8257 * CHOOSE(CONTROL!$C$12, $D$4, 100%, $F$4)</f>
        <v>4.8257000000000003</v>
      </c>
      <c r="C130" s="8">
        <f>4.836 * CHOOSE(CONTROL!$C$12, $D$4, 100%, $F$4)</f>
        <v>4.8360000000000003</v>
      </c>
      <c r="D130" s="8">
        <f>4.8358 * CHOOSE( CONTROL!$C$12, $D$4, 100%, $F$4)</f>
        <v>4.8357999999999999</v>
      </c>
      <c r="E130" s="12">
        <f>4.8348 * CHOOSE( CONTROL!$C$12, $D$4, 100%, $F$4)</f>
        <v>4.8348000000000004</v>
      </c>
      <c r="F130" s="4">
        <f>5.8476 * CHOOSE(CONTROL!$C$12, $D$4, 100%, $F$4)</f>
        <v>5.8475999999999999</v>
      </c>
      <c r="G130" s="8">
        <f>4.7883 * CHOOSE( CONTROL!$C$12, $D$4, 100%, $F$4)</f>
        <v>4.7882999999999996</v>
      </c>
      <c r="H130" s="4">
        <f>5.6817 * CHOOSE(CONTROL!$C$12, $D$4, 100%, $F$4)</f>
        <v>5.6817000000000002</v>
      </c>
      <c r="I130" s="8">
        <f>4.7861 * CHOOSE(CONTROL!$C$12, $D$4, 100%, $F$4)</f>
        <v>4.7861000000000002</v>
      </c>
      <c r="J130" s="4">
        <f>4.6752 * CHOOSE(CONTROL!$C$12, $D$4, 100%, $F$4)</f>
        <v>4.6752000000000002</v>
      </c>
      <c r="K130" s="4"/>
      <c r="L130" s="9">
        <v>27.3993</v>
      </c>
      <c r="M130" s="9">
        <v>12.063700000000001</v>
      </c>
      <c r="N130" s="9">
        <v>4.9444999999999997</v>
      </c>
      <c r="O130" s="9">
        <v>0.37459999999999999</v>
      </c>
      <c r="P130" s="9">
        <v>1.2939000000000001</v>
      </c>
      <c r="Q130" s="9">
        <v>32.070099999999996</v>
      </c>
      <c r="R130" s="9"/>
      <c r="S130" s="11"/>
    </row>
    <row r="131" spans="1:19" ht="15.6">
      <c r="A131" s="13">
        <v>46054</v>
      </c>
      <c r="B131" s="8">
        <f>4.5138 * CHOOSE(CONTROL!$C$12, $D$4, 100%, $F$4)</f>
        <v>4.5137999999999998</v>
      </c>
      <c r="C131" s="8">
        <f>4.5241 * CHOOSE(CONTROL!$C$12, $D$4, 100%, $F$4)</f>
        <v>4.5240999999999998</v>
      </c>
      <c r="D131" s="8">
        <f>4.5262 * CHOOSE( CONTROL!$C$12, $D$4, 100%, $F$4)</f>
        <v>4.5262000000000002</v>
      </c>
      <c r="E131" s="12">
        <f>4.5243 * CHOOSE( CONTROL!$C$12, $D$4, 100%, $F$4)</f>
        <v>4.5243000000000002</v>
      </c>
      <c r="F131" s="4">
        <f>5.528 * CHOOSE(CONTROL!$C$12, $D$4, 100%, $F$4)</f>
        <v>5.5279999999999996</v>
      </c>
      <c r="G131" s="8">
        <f>4.4806 * CHOOSE( CONTROL!$C$12, $D$4, 100%, $F$4)</f>
        <v>4.4805999999999999</v>
      </c>
      <c r="H131" s="4">
        <f>5.3666 * CHOOSE(CONTROL!$C$12, $D$4, 100%, $F$4)</f>
        <v>5.3666</v>
      </c>
      <c r="I131" s="8">
        <f>4.4728 * CHOOSE(CONTROL!$C$12, $D$4, 100%, $F$4)</f>
        <v>4.4728000000000003</v>
      </c>
      <c r="J131" s="4">
        <f>4.3729 * CHOOSE(CONTROL!$C$12, $D$4, 100%, $F$4)</f>
        <v>4.3728999999999996</v>
      </c>
      <c r="K131" s="4"/>
      <c r="L131" s="9">
        <v>24.747800000000002</v>
      </c>
      <c r="M131" s="9">
        <v>10.8962</v>
      </c>
      <c r="N131" s="9">
        <v>4.4660000000000002</v>
      </c>
      <c r="O131" s="9">
        <v>0.33829999999999999</v>
      </c>
      <c r="P131" s="9">
        <v>1.1687000000000001</v>
      </c>
      <c r="Q131" s="9">
        <v>28.9666</v>
      </c>
      <c r="R131" s="9"/>
      <c r="S131" s="11"/>
    </row>
    <row r="132" spans="1:19" ht="15.6">
      <c r="A132" s="13">
        <v>46082</v>
      </c>
      <c r="B132" s="8">
        <f>4.4177 * CHOOSE(CONTROL!$C$12, $D$4, 100%, $F$4)</f>
        <v>4.4177</v>
      </c>
      <c r="C132" s="8">
        <f>4.4281 * CHOOSE(CONTROL!$C$12, $D$4, 100%, $F$4)</f>
        <v>4.4280999999999997</v>
      </c>
      <c r="D132" s="8">
        <f>4.4102 * CHOOSE( CONTROL!$C$12, $D$4, 100%, $F$4)</f>
        <v>4.4101999999999997</v>
      </c>
      <c r="E132" s="12">
        <f>4.4156 * CHOOSE( CONTROL!$C$12, $D$4, 100%, $F$4)</f>
        <v>4.4156000000000004</v>
      </c>
      <c r="F132" s="4">
        <f>5.4159 * CHOOSE(CONTROL!$C$12, $D$4, 100%, $F$4)</f>
        <v>5.4158999999999997</v>
      </c>
      <c r="G132" s="8">
        <f>4.3655 * CHOOSE( CONTROL!$C$12, $D$4, 100%, $F$4)</f>
        <v>4.3654999999999999</v>
      </c>
      <c r="H132" s="4">
        <f>5.2562 * CHOOSE(CONTROL!$C$12, $D$4, 100%, $F$4)</f>
        <v>5.2561999999999998</v>
      </c>
      <c r="I132" s="8">
        <f>4.3401 * CHOOSE(CONTROL!$C$12, $D$4, 100%, $F$4)</f>
        <v>4.3400999999999996</v>
      </c>
      <c r="J132" s="4">
        <f>4.2798 * CHOOSE(CONTROL!$C$12, $D$4, 100%, $F$4)</f>
        <v>4.2797999999999998</v>
      </c>
      <c r="K132" s="4"/>
      <c r="L132" s="9">
        <v>27.3993</v>
      </c>
      <c r="M132" s="9">
        <v>12.063700000000001</v>
      </c>
      <c r="N132" s="9">
        <v>4.9444999999999997</v>
      </c>
      <c r="O132" s="9">
        <v>0.37459999999999999</v>
      </c>
      <c r="P132" s="9">
        <v>1.2939000000000001</v>
      </c>
      <c r="Q132" s="9">
        <v>32.070099999999996</v>
      </c>
      <c r="R132" s="9"/>
      <c r="S132" s="11"/>
    </row>
    <row r="133" spans="1:19" ht="15.6">
      <c r="A133" s="13">
        <v>46113</v>
      </c>
      <c r="B133" s="8">
        <f>4.4849 * CHOOSE(CONTROL!$C$12, $D$4, 100%, $F$4)</f>
        <v>4.4848999999999997</v>
      </c>
      <c r="C133" s="8">
        <f>4.4952 * CHOOSE(CONTROL!$C$12, $D$4, 100%, $F$4)</f>
        <v>4.4951999999999996</v>
      </c>
      <c r="D133" s="8">
        <f>4.5002 * CHOOSE( CONTROL!$C$12, $D$4, 100%, $F$4)</f>
        <v>4.5002000000000004</v>
      </c>
      <c r="E133" s="12">
        <f>4.4974 * CHOOSE( CONTROL!$C$12, $D$4, 100%, $F$4)</f>
        <v>4.4973999999999998</v>
      </c>
      <c r="F133" s="4">
        <f>5.4913 * CHOOSE(CONTROL!$C$12, $D$4, 100%, $F$4)</f>
        <v>5.4912999999999998</v>
      </c>
      <c r="G133" s="8">
        <f>4.4195 * CHOOSE( CONTROL!$C$12, $D$4, 100%, $F$4)</f>
        <v>4.4195000000000002</v>
      </c>
      <c r="H133" s="4">
        <f>5.3305 * CHOOSE(CONTROL!$C$12, $D$4, 100%, $F$4)</f>
        <v>5.3304999999999998</v>
      </c>
      <c r="I133" s="8">
        <f>4.3953 * CHOOSE(CONTROL!$C$12, $D$4, 100%, $F$4)</f>
        <v>4.3952999999999998</v>
      </c>
      <c r="J133" s="4">
        <f>4.3449 * CHOOSE(CONTROL!$C$12, $D$4, 100%, $F$4)</f>
        <v>4.3449</v>
      </c>
      <c r="K133" s="4"/>
      <c r="L133" s="9">
        <v>27.988800000000001</v>
      </c>
      <c r="M133" s="9">
        <v>11.6745</v>
      </c>
      <c r="N133" s="9">
        <v>4.7850000000000001</v>
      </c>
      <c r="O133" s="9">
        <v>0.36249999999999999</v>
      </c>
      <c r="P133" s="9">
        <v>1.1798</v>
      </c>
      <c r="Q133" s="9">
        <v>31.035599999999999</v>
      </c>
      <c r="R133" s="9"/>
      <c r="S133" s="11"/>
    </row>
    <row r="134" spans="1:19" ht="15.6">
      <c r="A134" s="13">
        <v>46143</v>
      </c>
      <c r="B134" s="8">
        <f>CHOOSE( CONTROL!$C$29, 4.6112, 4.6044) * CHOOSE(CONTROL!$C$12, $D$4, 100%, $F$4)</f>
        <v>4.6044</v>
      </c>
      <c r="C134" s="8">
        <f>CHOOSE( CONTROL!$C$29, 4.6215, 4.6147) * CHOOSE(CONTROL!$C$12, $D$4, 100%, $F$4)</f>
        <v>4.6147</v>
      </c>
      <c r="D134" s="8">
        <f>CHOOSE( CONTROL!$C$29, 4.6018, 4.5949) * CHOOSE( CONTROL!$C$12, $D$4, 100%, $F$4)</f>
        <v>4.5949</v>
      </c>
      <c r="E134" s="12">
        <f>CHOOSE( CONTROL!$C$29, 4.6074, 4.6005) * CHOOSE( CONTROL!$C$12, $D$4, 100%, $F$4)</f>
        <v>4.6005000000000003</v>
      </c>
      <c r="F134" s="4">
        <f>CHOOSE( CONTROL!$C$29, 5.5856, 5.5788) * CHOOSE(CONTROL!$C$12, $D$4, 100%, $F$4)</f>
        <v>5.5788000000000002</v>
      </c>
      <c r="G134" s="8">
        <f>CHOOSE( CONTROL!$C$29, 4.5258, 4.5191) * CHOOSE( CONTROL!$C$12, $D$4, 100%, $F$4)</f>
        <v>4.5190999999999999</v>
      </c>
      <c r="H134" s="4">
        <f>CHOOSE( CONTROL!$C$29, 5.4235, 5.4167) * CHOOSE(CONTROL!$C$12, $D$4, 100%, $F$4)</f>
        <v>5.4166999999999996</v>
      </c>
      <c r="I134" s="8">
        <f>CHOOSE( CONTROL!$C$29, 4.4962, 4.4896) * CHOOSE(CONTROL!$C$12, $D$4, 100%, $F$4)</f>
        <v>4.4896000000000003</v>
      </c>
      <c r="J134" s="4">
        <f>CHOOSE( CONTROL!$C$29, 4.4673, 4.4607) * CHOOSE(CONTROL!$C$12, $D$4, 100%, $F$4)</f>
        <v>4.4607000000000001</v>
      </c>
      <c r="K134" s="4"/>
      <c r="L134" s="9">
        <v>29.520499999999998</v>
      </c>
      <c r="M134" s="9">
        <v>12.063700000000001</v>
      </c>
      <c r="N134" s="9">
        <v>4.9444999999999997</v>
      </c>
      <c r="O134" s="9">
        <v>0.37459999999999999</v>
      </c>
      <c r="P134" s="9">
        <v>1.2192000000000001</v>
      </c>
      <c r="Q134" s="9">
        <v>32.070099999999996</v>
      </c>
      <c r="R134" s="9"/>
      <c r="S134" s="11"/>
    </row>
    <row r="135" spans="1:19" ht="15.6">
      <c r="A135" s="13">
        <v>46174</v>
      </c>
      <c r="B135" s="8">
        <f>CHOOSE( CONTROL!$C$29, 4.5372, 4.5303) * CHOOSE(CONTROL!$C$12, $D$4, 100%, $F$4)</f>
        <v>4.5303000000000004</v>
      </c>
      <c r="C135" s="8">
        <f>CHOOSE( CONTROL!$C$29, 4.5475, 4.5407) * CHOOSE(CONTROL!$C$12, $D$4, 100%, $F$4)</f>
        <v>4.5407000000000002</v>
      </c>
      <c r="D135" s="8">
        <f>CHOOSE( CONTROL!$C$29, 4.5222, 4.5154) * CHOOSE( CONTROL!$C$12, $D$4, 100%, $F$4)</f>
        <v>4.5153999999999996</v>
      </c>
      <c r="E135" s="12">
        <f>CHOOSE( CONTROL!$C$29, 4.5298, 4.523) * CHOOSE( CONTROL!$C$12, $D$4, 100%, $F$4)</f>
        <v>4.5229999999999997</v>
      </c>
      <c r="F135" s="4">
        <f>CHOOSE( CONTROL!$C$29, 5.5013, 5.4945) * CHOOSE(CONTROL!$C$12, $D$4, 100%, $F$4)</f>
        <v>5.4945000000000004</v>
      </c>
      <c r="G135" s="8">
        <f>CHOOSE( CONTROL!$C$29, 4.4516, 4.4448) * CHOOSE( CONTROL!$C$12, $D$4, 100%, $F$4)</f>
        <v>4.4447999999999999</v>
      </c>
      <c r="H135" s="4">
        <f>CHOOSE( CONTROL!$C$29, 5.3403, 5.3336) * CHOOSE(CONTROL!$C$12, $D$4, 100%, $F$4)</f>
        <v>5.3335999999999997</v>
      </c>
      <c r="I135" s="8">
        <f>CHOOSE( CONTROL!$C$29, 4.4266, 4.42) * CHOOSE(CONTROL!$C$12, $D$4, 100%, $F$4)</f>
        <v>4.42</v>
      </c>
      <c r="J135" s="4">
        <f>CHOOSE( CONTROL!$C$29, 4.3956, 4.3889) * CHOOSE(CONTROL!$C$12, $D$4, 100%, $F$4)</f>
        <v>4.3888999999999996</v>
      </c>
      <c r="K135" s="4"/>
      <c r="L135" s="9">
        <v>28.568200000000001</v>
      </c>
      <c r="M135" s="9">
        <v>11.6745</v>
      </c>
      <c r="N135" s="9">
        <v>4.7850000000000001</v>
      </c>
      <c r="O135" s="9">
        <v>0.36249999999999999</v>
      </c>
      <c r="P135" s="9">
        <v>1.1798</v>
      </c>
      <c r="Q135" s="9">
        <v>31.035599999999999</v>
      </c>
      <c r="R135" s="9"/>
      <c r="S135" s="11"/>
    </row>
    <row r="136" spans="1:19" ht="15.6">
      <c r="A136" s="13">
        <v>46204</v>
      </c>
      <c r="B136" s="8">
        <f>CHOOSE( CONTROL!$C$29, 4.7321, 4.7252) * CHOOSE(CONTROL!$C$12, $D$4, 100%, $F$4)</f>
        <v>4.7252000000000001</v>
      </c>
      <c r="C136" s="8">
        <f>CHOOSE( CONTROL!$C$29, 4.7424, 4.7356) * CHOOSE(CONTROL!$C$12, $D$4, 100%, $F$4)</f>
        <v>4.7355999999999998</v>
      </c>
      <c r="D136" s="8">
        <f>CHOOSE( CONTROL!$C$29, 4.7505, 4.7437) * CHOOSE( CONTROL!$C$12, $D$4, 100%, $F$4)</f>
        <v>4.7436999999999996</v>
      </c>
      <c r="E136" s="12">
        <f>CHOOSE( CONTROL!$C$29, 4.746, 4.7392) * CHOOSE( CONTROL!$C$12, $D$4, 100%, $F$4)</f>
        <v>4.7392000000000003</v>
      </c>
      <c r="F136" s="4">
        <f>CHOOSE( CONTROL!$C$29, 5.7411, 5.7343) * CHOOSE(CONTROL!$C$12, $D$4, 100%, $F$4)</f>
        <v>5.7343000000000002</v>
      </c>
      <c r="G136" s="8">
        <f>CHOOSE( CONTROL!$C$29, 4.6697, 4.663) * CHOOSE( CONTROL!$C$12, $D$4, 100%, $F$4)</f>
        <v>4.6630000000000003</v>
      </c>
      <c r="H136" s="4">
        <f>CHOOSE( CONTROL!$C$29, 5.5767, 5.57) * CHOOSE(CONTROL!$C$12, $D$4, 100%, $F$4)</f>
        <v>5.57</v>
      </c>
      <c r="I136" s="8">
        <f>CHOOSE( CONTROL!$C$29, 4.6709, 4.6642) * CHOOSE(CONTROL!$C$12, $D$4, 100%, $F$4)</f>
        <v>4.6642000000000001</v>
      </c>
      <c r="J136" s="4">
        <f>CHOOSE( CONTROL!$C$29, 4.5844, 4.5778) * CHOOSE(CONTROL!$C$12, $D$4, 100%, $F$4)</f>
        <v>4.5777999999999999</v>
      </c>
      <c r="K136" s="4"/>
      <c r="L136" s="9">
        <v>29.520499999999998</v>
      </c>
      <c r="M136" s="9">
        <v>12.063700000000001</v>
      </c>
      <c r="N136" s="9">
        <v>4.9444999999999997</v>
      </c>
      <c r="O136" s="9">
        <v>0.37459999999999999</v>
      </c>
      <c r="P136" s="9">
        <v>1.2192000000000001</v>
      </c>
      <c r="Q136" s="9">
        <v>32.070099999999996</v>
      </c>
      <c r="R136" s="9"/>
      <c r="S136" s="11"/>
    </row>
    <row r="137" spans="1:19" ht="15.6">
      <c r="A137" s="13">
        <v>46235</v>
      </c>
      <c r="B137" s="8">
        <f>CHOOSE( CONTROL!$C$29, 4.3674, 4.3606) * CHOOSE(CONTROL!$C$12, $D$4, 100%, $F$4)</f>
        <v>4.3605999999999998</v>
      </c>
      <c r="C137" s="8">
        <f>CHOOSE( CONTROL!$C$29, 4.3777, 4.3709) * CHOOSE(CONTROL!$C$12, $D$4, 100%, $F$4)</f>
        <v>4.3708999999999998</v>
      </c>
      <c r="D137" s="8">
        <f>CHOOSE( CONTROL!$C$29, 4.3792, 4.3724) * CHOOSE( CONTROL!$C$12, $D$4, 100%, $F$4)</f>
        <v>4.3723999999999998</v>
      </c>
      <c r="E137" s="12">
        <f>CHOOSE( CONTROL!$C$29, 4.3771, 4.3703) * CHOOSE( CONTROL!$C$12, $D$4, 100%, $F$4)</f>
        <v>4.3703000000000003</v>
      </c>
      <c r="F137" s="4">
        <f>CHOOSE( CONTROL!$C$29, 5.3738, 5.367) * CHOOSE(CONTROL!$C$12, $D$4, 100%, $F$4)</f>
        <v>5.367</v>
      </c>
      <c r="G137" s="8">
        <f>CHOOSE( CONTROL!$C$29, 4.3003, 4.2936) * CHOOSE( CONTROL!$C$12, $D$4, 100%, $F$4)</f>
        <v>4.2935999999999996</v>
      </c>
      <c r="H137" s="4">
        <f>CHOOSE( CONTROL!$C$29, 5.2147, 5.2079) * CHOOSE(CONTROL!$C$12, $D$4, 100%, $F$4)</f>
        <v>5.2079000000000004</v>
      </c>
      <c r="I137" s="8">
        <f>CHOOSE( CONTROL!$C$29, 4.2984, 4.2918) * CHOOSE(CONTROL!$C$12, $D$4, 100%, $F$4)</f>
        <v>4.2918000000000003</v>
      </c>
      <c r="J137" s="4">
        <f>CHOOSE( CONTROL!$C$29, 4.2311, 4.2244) * CHOOSE(CONTROL!$C$12, $D$4, 100%, $F$4)</f>
        <v>4.2244000000000002</v>
      </c>
      <c r="K137" s="4"/>
      <c r="L137" s="9">
        <v>29.520499999999998</v>
      </c>
      <c r="M137" s="9">
        <v>12.063700000000001</v>
      </c>
      <c r="N137" s="9">
        <v>4.9444999999999997</v>
      </c>
      <c r="O137" s="9">
        <v>0.37459999999999999</v>
      </c>
      <c r="P137" s="9">
        <v>1.2192000000000001</v>
      </c>
      <c r="Q137" s="9">
        <v>32.070099999999996</v>
      </c>
      <c r="R137" s="9"/>
      <c r="S137" s="11"/>
    </row>
    <row r="138" spans="1:19" ht="15.6">
      <c r="A138" s="13">
        <v>46266</v>
      </c>
      <c r="B138" s="8">
        <f>CHOOSE( CONTROL!$C$29, 4.2761, 4.2692) * CHOOSE(CONTROL!$C$12, $D$4, 100%, $F$4)</f>
        <v>4.2691999999999997</v>
      </c>
      <c r="C138" s="8">
        <f>CHOOSE( CONTROL!$C$29, 4.2864, 4.2796) * CHOOSE(CONTROL!$C$12, $D$4, 100%, $F$4)</f>
        <v>4.2796000000000003</v>
      </c>
      <c r="D138" s="8">
        <f>CHOOSE( CONTROL!$C$29, 4.2911, 4.2842) * CHOOSE( CONTROL!$C$12, $D$4, 100%, $F$4)</f>
        <v>4.2842000000000002</v>
      </c>
      <c r="E138" s="12">
        <f>CHOOSE( CONTROL!$C$29, 4.2878, 4.2809) * CHOOSE( CONTROL!$C$12, $D$4, 100%, $F$4)</f>
        <v>4.2808999999999999</v>
      </c>
      <c r="F138" s="4">
        <f>CHOOSE( CONTROL!$C$29, 5.2877, 5.2808) * CHOOSE(CONTROL!$C$12, $D$4, 100%, $F$4)</f>
        <v>5.2808000000000002</v>
      </c>
      <c r="G138" s="8">
        <f>CHOOSE( CONTROL!$C$29, 4.2124, 4.2056) * CHOOSE( CONTROL!$C$12, $D$4, 100%, $F$4)</f>
        <v>4.2055999999999996</v>
      </c>
      <c r="H138" s="4">
        <f>CHOOSE( CONTROL!$C$29, 5.1297, 5.123) * CHOOSE(CONTROL!$C$12, $D$4, 100%, $F$4)</f>
        <v>5.1230000000000002</v>
      </c>
      <c r="I138" s="8">
        <f>CHOOSE( CONTROL!$C$29, 4.2177, 4.2111) * CHOOSE(CONTROL!$C$12, $D$4, 100%, $F$4)</f>
        <v>4.2111000000000001</v>
      </c>
      <c r="J138" s="4">
        <f>CHOOSE( CONTROL!$C$29, 4.1426, 4.1359) * CHOOSE(CONTROL!$C$12, $D$4, 100%, $F$4)</f>
        <v>4.1359000000000004</v>
      </c>
      <c r="K138" s="4"/>
      <c r="L138" s="9">
        <v>28.568200000000001</v>
      </c>
      <c r="M138" s="9">
        <v>11.6745</v>
      </c>
      <c r="N138" s="9">
        <v>4.7850000000000001</v>
      </c>
      <c r="O138" s="9">
        <v>0.36249999999999999</v>
      </c>
      <c r="P138" s="9">
        <v>1.1798</v>
      </c>
      <c r="Q138" s="9">
        <v>31.035599999999999</v>
      </c>
      <c r="R138" s="9"/>
      <c r="S138" s="11"/>
    </row>
    <row r="139" spans="1:19" ht="15.6">
      <c r="A139" s="13">
        <v>46296</v>
      </c>
      <c r="B139" s="8">
        <f>4.4589 * CHOOSE(CONTROL!$C$12, $D$4, 100%, $F$4)</f>
        <v>4.4588999999999999</v>
      </c>
      <c r="C139" s="8">
        <f>4.4692 * CHOOSE(CONTROL!$C$12, $D$4, 100%, $F$4)</f>
        <v>4.4691999999999998</v>
      </c>
      <c r="D139" s="8">
        <f>4.4642 * CHOOSE( CONTROL!$C$12, $D$4, 100%, $F$4)</f>
        <v>4.4641999999999999</v>
      </c>
      <c r="E139" s="12">
        <f>4.4648 * CHOOSE( CONTROL!$C$12, $D$4, 100%, $F$4)</f>
        <v>4.4648000000000003</v>
      </c>
      <c r="F139" s="4">
        <f>5.4498 * CHOOSE(CONTROL!$C$12, $D$4, 100%, $F$4)</f>
        <v>5.4497999999999998</v>
      </c>
      <c r="G139" s="8">
        <f>4.3893 * CHOOSE( CONTROL!$C$12, $D$4, 100%, $F$4)</f>
        <v>4.3893000000000004</v>
      </c>
      <c r="H139" s="4">
        <f>5.2896 * CHOOSE(CONTROL!$C$12, $D$4, 100%, $F$4)</f>
        <v>5.2896000000000001</v>
      </c>
      <c r="I139" s="8">
        <f>4.3988 * CHOOSE(CONTROL!$C$12, $D$4, 100%, $F$4)</f>
        <v>4.3987999999999996</v>
      </c>
      <c r="J139" s="4">
        <f>4.3197 * CHOOSE(CONTROL!$C$12, $D$4, 100%, $F$4)</f>
        <v>4.3197000000000001</v>
      </c>
      <c r="K139" s="4"/>
      <c r="L139" s="9">
        <v>28.921800000000001</v>
      </c>
      <c r="M139" s="9">
        <v>12.063700000000001</v>
      </c>
      <c r="N139" s="9">
        <v>4.9444999999999997</v>
      </c>
      <c r="O139" s="9">
        <v>0.37459999999999999</v>
      </c>
      <c r="P139" s="9">
        <v>1.2192000000000001</v>
      </c>
      <c r="Q139" s="9">
        <v>32.070099999999996</v>
      </c>
      <c r="R139" s="9"/>
      <c r="S139" s="11"/>
    </row>
    <row r="140" spans="1:19" ht="15.6">
      <c r="A140" s="13">
        <v>46327</v>
      </c>
      <c r="B140" s="8">
        <f>4.8088 * CHOOSE(CONTROL!$C$12, $D$4, 100%, $F$4)</f>
        <v>4.8087999999999997</v>
      </c>
      <c r="C140" s="8">
        <f>4.8192 * CHOOSE(CONTROL!$C$12, $D$4, 100%, $F$4)</f>
        <v>4.8192000000000004</v>
      </c>
      <c r="D140" s="8">
        <f>4.7785 * CHOOSE( CONTROL!$C$12, $D$4, 100%, $F$4)</f>
        <v>4.7785000000000002</v>
      </c>
      <c r="E140" s="12">
        <f>4.7923 * CHOOSE( CONTROL!$C$12, $D$4, 100%, $F$4)</f>
        <v>4.7923</v>
      </c>
      <c r="F140" s="4">
        <f>5.7859 * CHOOSE(CONTROL!$C$12, $D$4, 100%, $F$4)</f>
        <v>5.7858999999999998</v>
      </c>
      <c r="G140" s="8">
        <f>4.7283 * CHOOSE( CONTROL!$C$12, $D$4, 100%, $F$4)</f>
        <v>4.7282999999999999</v>
      </c>
      <c r="H140" s="4">
        <f>5.6208 * CHOOSE(CONTROL!$C$12, $D$4, 100%, $F$4)</f>
        <v>5.6208</v>
      </c>
      <c r="I140" s="8">
        <f>4.7224 * CHOOSE(CONTROL!$C$12, $D$4, 100%, $F$4)</f>
        <v>4.7224000000000004</v>
      </c>
      <c r="J140" s="4">
        <f>4.6588 * CHOOSE(CONTROL!$C$12, $D$4, 100%, $F$4)</f>
        <v>4.6588000000000003</v>
      </c>
      <c r="K140" s="4"/>
      <c r="L140" s="9">
        <v>26.515499999999999</v>
      </c>
      <c r="M140" s="9">
        <v>11.6745</v>
      </c>
      <c r="N140" s="9">
        <v>4.7850000000000001</v>
      </c>
      <c r="O140" s="9">
        <v>0.36249999999999999</v>
      </c>
      <c r="P140" s="9">
        <v>1.2522</v>
      </c>
      <c r="Q140" s="9">
        <v>31.035599999999999</v>
      </c>
      <c r="R140" s="9"/>
      <c r="S140" s="11"/>
    </row>
    <row r="141" spans="1:19" ht="15.6">
      <c r="A141" s="13">
        <v>46357</v>
      </c>
      <c r="B141" s="8">
        <f>4.8001 * CHOOSE(CONTROL!$C$12, $D$4, 100%, $F$4)</f>
        <v>4.8000999999999996</v>
      </c>
      <c r="C141" s="8">
        <f>4.8104 * CHOOSE(CONTROL!$C$12, $D$4, 100%, $F$4)</f>
        <v>4.8103999999999996</v>
      </c>
      <c r="D141" s="8">
        <f>4.7716 * CHOOSE( CONTROL!$C$12, $D$4, 100%, $F$4)</f>
        <v>4.7716000000000003</v>
      </c>
      <c r="E141" s="12">
        <f>4.7847 * CHOOSE( CONTROL!$C$12, $D$4, 100%, $F$4)</f>
        <v>4.7847</v>
      </c>
      <c r="F141" s="4">
        <f>5.7704 * CHOOSE(CONTROL!$C$12, $D$4, 100%, $F$4)</f>
        <v>5.7704000000000004</v>
      </c>
      <c r="G141" s="8">
        <f>4.722 * CHOOSE( CONTROL!$C$12, $D$4, 100%, $F$4)</f>
        <v>4.7220000000000004</v>
      </c>
      <c r="H141" s="4">
        <f>5.6056 * CHOOSE(CONTROL!$C$12, $D$4, 100%, $F$4)</f>
        <v>5.6055999999999999</v>
      </c>
      <c r="I141" s="8">
        <f>4.7246 * CHOOSE(CONTROL!$C$12, $D$4, 100%, $F$4)</f>
        <v>4.7245999999999997</v>
      </c>
      <c r="J141" s="4">
        <f>4.6503 * CHOOSE(CONTROL!$C$12, $D$4, 100%, $F$4)</f>
        <v>4.6502999999999997</v>
      </c>
      <c r="K141" s="4"/>
      <c r="L141" s="9">
        <v>27.3993</v>
      </c>
      <c r="M141" s="9">
        <v>12.063700000000001</v>
      </c>
      <c r="N141" s="9">
        <v>4.9444999999999997</v>
      </c>
      <c r="O141" s="9">
        <v>0.37459999999999999</v>
      </c>
      <c r="P141" s="9">
        <v>1.2939000000000001</v>
      </c>
      <c r="Q141" s="9">
        <v>32.070099999999996</v>
      </c>
      <c r="R141" s="9"/>
      <c r="S141" s="11"/>
    </row>
    <row r="142" spans="1:19" ht="15.6">
      <c r="A142" s="13">
        <v>46388</v>
      </c>
      <c r="B142" s="8">
        <f>5.0051 * CHOOSE(CONTROL!$C$12, $D$4, 100%, $F$4)</f>
        <v>5.0050999999999997</v>
      </c>
      <c r="C142" s="8">
        <f>5.0154 * CHOOSE(CONTROL!$C$12, $D$4, 100%, $F$4)</f>
        <v>5.0153999999999996</v>
      </c>
      <c r="D142" s="8">
        <f>5.0152 * CHOOSE( CONTROL!$C$12, $D$4, 100%, $F$4)</f>
        <v>5.0152000000000001</v>
      </c>
      <c r="E142" s="12">
        <f>5.0142 * CHOOSE( CONTROL!$C$12, $D$4, 100%, $F$4)</f>
        <v>5.0141999999999998</v>
      </c>
      <c r="F142" s="4">
        <f>6.027 * CHOOSE(CONTROL!$C$12, $D$4, 100%, $F$4)</f>
        <v>6.0270000000000001</v>
      </c>
      <c r="G142" s="8">
        <f>4.9651 * CHOOSE( CONTROL!$C$12, $D$4, 100%, $F$4)</f>
        <v>4.9650999999999996</v>
      </c>
      <c r="H142" s="4">
        <f>5.8586 * CHOOSE(CONTROL!$C$12, $D$4, 100%, $F$4)</f>
        <v>5.8586</v>
      </c>
      <c r="I142" s="8">
        <f>4.96 * CHOOSE(CONTROL!$C$12, $D$4, 100%, $F$4)</f>
        <v>4.96</v>
      </c>
      <c r="J142" s="4">
        <f>4.849 * CHOOSE(CONTROL!$C$12, $D$4, 100%, $F$4)</f>
        <v>4.8490000000000002</v>
      </c>
      <c r="K142" s="4"/>
      <c r="L142" s="9">
        <v>27.3993</v>
      </c>
      <c r="M142" s="9">
        <v>12.063700000000001</v>
      </c>
      <c r="N142" s="9">
        <v>4.9444999999999997</v>
      </c>
      <c r="O142" s="9">
        <v>0.37459999999999999</v>
      </c>
      <c r="P142" s="9">
        <v>1.2939000000000001</v>
      </c>
      <c r="Q142" s="9">
        <v>31.885999999999999</v>
      </c>
      <c r="R142" s="9"/>
      <c r="S142" s="11"/>
    </row>
    <row r="143" spans="1:19" ht="15.6">
      <c r="A143" s="13">
        <v>46419</v>
      </c>
      <c r="B143" s="8">
        <f>4.6816 * CHOOSE(CONTROL!$C$12, $D$4, 100%, $F$4)</f>
        <v>4.6816000000000004</v>
      </c>
      <c r="C143" s="8">
        <f>4.6919 * CHOOSE(CONTROL!$C$12, $D$4, 100%, $F$4)</f>
        <v>4.6919000000000004</v>
      </c>
      <c r="D143" s="8">
        <f>4.694 * CHOOSE( CONTROL!$C$12, $D$4, 100%, $F$4)</f>
        <v>4.694</v>
      </c>
      <c r="E143" s="12">
        <f>4.6921 * CHOOSE( CONTROL!$C$12, $D$4, 100%, $F$4)</f>
        <v>4.6920999999999999</v>
      </c>
      <c r="F143" s="4">
        <f>5.6958 * CHOOSE(CONTROL!$C$12, $D$4, 100%, $F$4)</f>
        <v>5.6958000000000002</v>
      </c>
      <c r="G143" s="8">
        <f>4.646 * CHOOSE( CONTROL!$C$12, $D$4, 100%, $F$4)</f>
        <v>4.6459999999999999</v>
      </c>
      <c r="H143" s="4">
        <f>5.532 * CHOOSE(CONTROL!$C$12, $D$4, 100%, $F$4)</f>
        <v>5.532</v>
      </c>
      <c r="I143" s="8">
        <f>4.6354 * CHOOSE(CONTROL!$C$12, $D$4, 100%, $F$4)</f>
        <v>4.6353999999999997</v>
      </c>
      <c r="J143" s="4">
        <f>4.5355 * CHOOSE(CONTROL!$C$12, $D$4, 100%, $F$4)</f>
        <v>4.5354999999999999</v>
      </c>
      <c r="K143" s="4"/>
      <c r="L143" s="9">
        <v>24.747800000000002</v>
      </c>
      <c r="M143" s="9">
        <v>10.8962</v>
      </c>
      <c r="N143" s="9">
        <v>4.4660000000000002</v>
      </c>
      <c r="O143" s="9">
        <v>0.33829999999999999</v>
      </c>
      <c r="P143" s="9">
        <v>1.1687000000000001</v>
      </c>
      <c r="Q143" s="9">
        <v>28.8002</v>
      </c>
      <c r="R143" s="9"/>
      <c r="S143" s="11"/>
    </row>
    <row r="144" spans="1:19" ht="15.6">
      <c r="A144" s="13">
        <v>46447</v>
      </c>
      <c r="B144" s="8">
        <f>4.582 * CHOOSE(CONTROL!$C$12, $D$4, 100%, $F$4)</f>
        <v>4.5819999999999999</v>
      </c>
      <c r="C144" s="8">
        <f>4.5923 * CHOOSE(CONTROL!$C$12, $D$4, 100%, $F$4)</f>
        <v>4.5922999999999998</v>
      </c>
      <c r="D144" s="8">
        <f>4.5745 * CHOOSE( CONTROL!$C$12, $D$4, 100%, $F$4)</f>
        <v>4.5744999999999996</v>
      </c>
      <c r="E144" s="12">
        <f>4.5799 * CHOOSE( CONTROL!$C$12, $D$4, 100%, $F$4)</f>
        <v>4.5799000000000003</v>
      </c>
      <c r="F144" s="4">
        <f>5.5801 * CHOOSE(CONTROL!$C$12, $D$4, 100%, $F$4)</f>
        <v>5.5800999999999998</v>
      </c>
      <c r="G144" s="8">
        <f>4.5273 * CHOOSE( CONTROL!$C$12, $D$4, 100%, $F$4)</f>
        <v>4.5273000000000003</v>
      </c>
      <c r="H144" s="4">
        <f>5.418 * CHOOSE(CONTROL!$C$12, $D$4, 100%, $F$4)</f>
        <v>5.4180000000000001</v>
      </c>
      <c r="I144" s="8">
        <f>4.4993 * CHOOSE(CONTROL!$C$12, $D$4, 100%, $F$4)</f>
        <v>4.4992999999999999</v>
      </c>
      <c r="J144" s="4">
        <f>4.439 * CHOOSE(CONTROL!$C$12, $D$4, 100%, $F$4)</f>
        <v>4.4390000000000001</v>
      </c>
      <c r="K144" s="4"/>
      <c r="L144" s="9">
        <v>27.3993</v>
      </c>
      <c r="M144" s="9">
        <v>12.063700000000001</v>
      </c>
      <c r="N144" s="9">
        <v>4.9444999999999997</v>
      </c>
      <c r="O144" s="9">
        <v>0.37459999999999999</v>
      </c>
      <c r="P144" s="9">
        <v>1.2939000000000001</v>
      </c>
      <c r="Q144" s="9">
        <v>31.885999999999999</v>
      </c>
      <c r="R144" s="9"/>
      <c r="S144" s="11"/>
    </row>
    <row r="145" spans="1:19" ht="15.6">
      <c r="A145" s="13">
        <v>46478</v>
      </c>
      <c r="B145" s="8">
        <f>4.6516 * CHOOSE(CONTROL!$C$12, $D$4, 100%, $F$4)</f>
        <v>4.6516000000000002</v>
      </c>
      <c r="C145" s="8">
        <f>4.6619 * CHOOSE(CONTROL!$C$12, $D$4, 100%, $F$4)</f>
        <v>4.6619000000000002</v>
      </c>
      <c r="D145" s="8">
        <f>4.6669 * CHOOSE( CONTROL!$C$12, $D$4, 100%, $F$4)</f>
        <v>4.6669</v>
      </c>
      <c r="E145" s="12">
        <f>4.6641 * CHOOSE( CONTROL!$C$12, $D$4, 100%, $F$4)</f>
        <v>4.6641000000000004</v>
      </c>
      <c r="F145" s="4">
        <f>5.658 * CHOOSE(CONTROL!$C$12, $D$4, 100%, $F$4)</f>
        <v>5.6580000000000004</v>
      </c>
      <c r="G145" s="8">
        <f>4.5838 * CHOOSE( CONTROL!$C$12, $D$4, 100%, $F$4)</f>
        <v>4.5838000000000001</v>
      </c>
      <c r="H145" s="4">
        <f>5.4948 * CHOOSE(CONTROL!$C$12, $D$4, 100%, $F$4)</f>
        <v>5.4947999999999997</v>
      </c>
      <c r="I145" s="8">
        <f>4.5569 * CHOOSE(CONTROL!$C$12, $D$4, 100%, $F$4)</f>
        <v>4.5568999999999997</v>
      </c>
      <c r="J145" s="4">
        <f>4.5064 * CHOOSE(CONTROL!$C$12, $D$4, 100%, $F$4)</f>
        <v>4.5064000000000002</v>
      </c>
      <c r="K145" s="4"/>
      <c r="L145" s="9">
        <v>27.988800000000001</v>
      </c>
      <c r="M145" s="9">
        <v>11.6745</v>
      </c>
      <c r="N145" s="9">
        <v>4.7850000000000001</v>
      </c>
      <c r="O145" s="9">
        <v>0.36249999999999999</v>
      </c>
      <c r="P145" s="9">
        <v>1.1798</v>
      </c>
      <c r="Q145" s="9">
        <v>30.857399999999998</v>
      </c>
      <c r="R145" s="9"/>
      <c r="S145" s="11"/>
    </row>
    <row r="146" spans="1:19" ht="15.6">
      <c r="A146" s="13">
        <v>46508</v>
      </c>
      <c r="B146" s="8">
        <f>CHOOSE( CONTROL!$C$29, 4.7823, 4.7755) * CHOOSE(CONTROL!$C$12, $D$4, 100%, $F$4)</f>
        <v>4.7755000000000001</v>
      </c>
      <c r="C146" s="8">
        <f>CHOOSE( CONTROL!$C$29, 4.7927, 4.7858) * CHOOSE(CONTROL!$C$12, $D$4, 100%, $F$4)</f>
        <v>4.7858000000000001</v>
      </c>
      <c r="D146" s="8">
        <f>CHOOSE( CONTROL!$C$29, 4.7729, 4.7661) * CHOOSE( CONTROL!$C$12, $D$4, 100%, $F$4)</f>
        <v>4.7660999999999998</v>
      </c>
      <c r="E146" s="12">
        <f>CHOOSE( CONTROL!$C$29, 4.7785, 4.7717) * CHOOSE( CONTROL!$C$12, $D$4, 100%, $F$4)</f>
        <v>4.7717000000000001</v>
      </c>
      <c r="F146" s="4">
        <f>CHOOSE( CONTROL!$C$29, 5.7568, 5.7499) * CHOOSE(CONTROL!$C$12, $D$4, 100%, $F$4)</f>
        <v>5.7499000000000002</v>
      </c>
      <c r="G146" s="8">
        <f>CHOOSE( CONTROL!$C$29, 4.6945, 4.6878) * CHOOSE( CONTROL!$C$12, $D$4, 100%, $F$4)</f>
        <v>4.6878000000000002</v>
      </c>
      <c r="H146" s="4">
        <f>CHOOSE( CONTROL!$C$29, 5.5922, 5.5854) * CHOOSE(CONTROL!$C$12, $D$4, 100%, $F$4)</f>
        <v>5.5853999999999999</v>
      </c>
      <c r="I146" s="8">
        <f>CHOOSE( CONTROL!$C$29, 4.6622, 4.6555) * CHOOSE(CONTROL!$C$12, $D$4, 100%, $F$4)</f>
        <v>4.6555</v>
      </c>
      <c r="J146" s="4">
        <f>CHOOSE( CONTROL!$C$29, 4.6331, 4.6265) * CHOOSE(CONTROL!$C$12, $D$4, 100%, $F$4)</f>
        <v>4.6265000000000001</v>
      </c>
      <c r="K146" s="4"/>
      <c r="L146" s="9">
        <v>29.520499999999998</v>
      </c>
      <c r="M146" s="9">
        <v>12.063700000000001</v>
      </c>
      <c r="N146" s="9">
        <v>4.9444999999999997</v>
      </c>
      <c r="O146" s="9">
        <v>0.37459999999999999</v>
      </c>
      <c r="P146" s="9">
        <v>1.2192000000000001</v>
      </c>
      <c r="Q146" s="9">
        <v>31.885999999999999</v>
      </c>
      <c r="R146" s="9"/>
      <c r="S146" s="11"/>
    </row>
    <row r="147" spans="1:19" ht="15.6">
      <c r="A147" s="13">
        <v>46539</v>
      </c>
      <c r="B147" s="8">
        <f>CHOOSE( CONTROL!$C$29, 4.7056, 4.6987) * CHOOSE(CONTROL!$C$12, $D$4, 100%, $F$4)</f>
        <v>4.6986999999999997</v>
      </c>
      <c r="C147" s="8">
        <f>CHOOSE( CONTROL!$C$29, 4.7159, 4.7091) * CHOOSE(CONTROL!$C$12, $D$4, 100%, $F$4)</f>
        <v>4.7091000000000003</v>
      </c>
      <c r="D147" s="8">
        <f>CHOOSE( CONTROL!$C$29, 4.6906, 4.6838) * CHOOSE( CONTROL!$C$12, $D$4, 100%, $F$4)</f>
        <v>4.6837999999999997</v>
      </c>
      <c r="E147" s="12">
        <f>CHOOSE( CONTROL!$C$29, 4.6982, 4.6914) * CHOOSE( CONTROL!$C$12, $D$4, 100%, $F$4)</f>
        <v>4.6913999999999998</v>
      </c>
      <c r="F147" s="4">
        <f>CHOOSE( CONTROL!$C$29, 5.6697, 5.6629) * CHOOSE(CONTROL!$C$12, $D$4, 100%, $F$4)</f>
        <v>5.6628999999999996</v>
      </c>
      <c r="G147" s="8">
        <f>CHOOSE( CONTROL!$C$29, 4.6176, 4.6108) * CHOOSE( CONTROL!$C$12, $D$4, 100%, $F$4)</f>
        <v>4.6108000000000002</v>
      </c>
      <c r="H147" s="4">
        <f>CHOOSE( CONTROL!$C$29, 5.5063, 5.4996) * CHOOSE(CONTROL!$C$12, $D$4, 100%, $F$4)</f>
        <v>5.4996</v>
      </c>
      <c r="I147" s="8">
        <f>CHOOSE( CONTROL!$C$29, 4.5899, 4.5833) * CHOOSE(CONTROL!$C$12, $D$4, 100%, $F$4)</f>
        <v>4.5833000000000004</v>
      </c>
      <c r="J147" s="4">
        <f>CHOOSE( CONTROL!$C$29, 4.5588, 4.5521) * CHOOSE(CONTROL!$C$12, $D$4, 100%, $F$4)</f>
        <v>4.5521000000000003</v>
      </c>
      <c r="K147" s="4"/>
      <c r="L147" s="9">
        <v>28.568200000000001</v>
      </c>
      <c r="M147" s="9">
        <v>11.6745</v>
      </c>
      <c r="N147" s="9">
        <v>4.7850000000000001</v>
      </c>
      <c r="O147" s="9">
        <v>0.36249999999999999</v>
      </c>
      <c r="P147" s="9">
        <v>1.1798</v>
      </c>
      <c r="Q147" s="9">
        <v>30.857399999999998</v>
      </c>
      <c r="R147" s="9"/>
      <c r="S147" s="11"/>
    </row>
    <row r="148" spans="1:19" ht="15.6">
      <c r="A148" s="13">
        <v>46569</v>
      </c>
      <c r="B148" s="8">
        <f>CHOOSE( CONTROL!$C$29, 4.9077, 4.9009) * CHOOSE(CONTROL!$C$12, $D$4, 100%, $F$4)</f>
        <v>4.9009</v>
      </c>
      <c r="C148" s="8">
        <f>CHOOSE( CONTROL!$C$29, 4.918, 4.9112) * CHOOSE(CONTROL!$C$12, $D$4, 100%, $F$4)</f>
        <v>4.9112</v>
      </c>
      <c r="D148" s="8">
        <f>CHOOSE( CONTROL!$C$29, 4.9262, 4.9193) * CHOOSE( CONTROL!$C$12, $D$4, 100%, $F$4)</f>
        <v>4.9192999999999998</v>
      </c>
      <c r="E148" s="12">
        <f>CHOOSE( CONTROL!$C$29, 4.9217, 4.9148) * CHOOSE( CONTROL!$C$12, $D$4, 100%, $F$4)</f>
        <v>4.9147999999999996</v>
      </c>
      <c r="F148" s="4">
        <f>CHOOSE( CONTROL!$C$29, 5.9167, 5.9099) * CHOOSE(CONTROL!$C$12, $D$4, 100%, $F$4)</f>
        <v>5.9099000000000004</v>
      </c>
      <c r="G148" s="8">
        <f>CHOOSE( CONTROL!$C$29, 4.8429, 4.8361) * CHOOSE( CONTROL!$C$12, $D$4, 100%, $F$4)</f>
        <v>4.8361000000000001</v>
      </c>
      <c r="H148" s="4">
        <f>CHOOSE( CONTROL!$C$29, 5.7498, 5.7431) * CHOOSE(CONTROL!$C$12, $D$4, 100%, $F$4)</f>
        <v>5.7431000000000001</v>
      </c>
      <c r="I148" s="8">
        <f>CHOOSE( CONTROL!$C$29, 4.8412, 4.8345) * CHOOSE(CONTROL!$C$12, $D$4, 100%, $F$4)</f>
        <v>4.8345000000000002</v>
      </c>
      <c r="J148" s="4">
        <f>CHOOSE( CONTROL!$C$29, 4.7546, 4.748) * CHOOSE(CONTROL!$C$12, $D$4, 100%, $F$4)</f>
        <v>4.7480000000000002</v>
      </c>
      <c r="K148" s="4"/>
      <c r="L148" s="9">
        <v>29.520499999999998</v>
      </c>
      <c r="M148" s="9">
        <v>12.063700000000001</v>
      </c>
      <c r="N148" s="9">
        <v>4.9444999999999997</v>
      </c>
      <c r="O148" s="9">
        <v>0.37459999999999999</v>
      </c>
      <c r="P148" s="9">
        <v>1.2192000000000001</v>
      </c>
      <c r="Q148" s="9">
        <v>31.885999999999999</v>
      </c>
      <c r="R148" s="9"/>
      <c r="S148" s="11"/>
    </row>
    <row r="149" spans="1:19" ht="15.6">
      <c r="A149" s="13">
        <v>46600</v>
      </c>
      <c r="B149" s="8">
        <f>CHOOSE( CONTROL!$C$29, 4.5295, 4.5226) * CHOOSE(CONTROL!$C$12, $D$4, 100%, $F$4)</f>
        <v>4.5225999999999997</v>
      </c>
      <c r="C149" s="8">
        <f>CHOOSE( CONTROL!$C$29, 4.5398, 4.533) * CHOOSE(CONTROL!$C$12, $D$4, 100%, $F$4)</f>
        <v>4.5330000000000004</v>
      </c>
      <c r="D149" s="8">
        <f>CHOOSE( CONTROL!$C$29, 4.5413, 4.5344) * CHOOSE( CONTROL!$C$12, $D$4, 100%, $F$4)</f>
        <v>4.5343999999999998</v>
      </c>
      <c r="E149" s="12">
        <f>CHOOSE( CONTROL!$C$29, 4.5392, 4.5323) * CHOOSE( CONTROL!$C$12, $D$4, 100%, $F$4)</f>
        <v>4.5323000000000002</v>
      </c>
      <c r="F149" s="4">
        <f>CHOOSE( CONTROL!$C$29, 5.5359, 5.5291) * CHOOSE(CONTROL!$C$12, $D$4, 100%, $F$4)</f>
        <v>5.5290999999999997</v>
      </c>
      <c r="G149" s="8">
        <f>CHOOSE( CONTROL!$C$29, 4.4601, 4.4534) * CHOOSE( CONTROL!$C$12, $D$4, 100%, $F$4)</f>
        <v>4.4534000000000002</v>
      </c>
      <c r="H149" s="4">
        <f>CHOOSE( CONTROL!$C$29, 5.3744, 5.3677) * CHOOSE(CONTROL!$C$12, $D$4, 100%, $F$4)</f>
        <v>5.3677000000000001</v>
      </c>
      <c r="I149" s="8">
        <f>CHOOSE( CONTROL!$C$29, 4.4556, 4.4489) * CHOOSE(CONTROL!$C$12, $D$4, 100%, $F$4)</f>
        <v>4.4489000000000001</v>
      </c>
      <c r="J149" s="4">
        <f>CHOOSE( CONTROL!$C$29, 4.3881, 4.3815) * CHOOSE(CONTROL!$C$12, $D$4, 100%, $F$4)</f>
        <v>4.3815</v>
      </c>
      <c r="K149" s="4"/>
      <c r="L149" s="9">
        <v>29.520499999999998</v>
      </c>
      <c r="M149" s="9">
        <v>12.063700000000001</v>
      </c>
      <c r="N149" s="9">
        <v>4.9444999999999997</v>
      </c>
      <c r="O149" s="9">
        <v>0.37459999999999999</v>
      </c>
      <c r="P149" s="9">
        <v>1.2192000000000001</v>
      </c>
      <c r="Q149" s="9">
        <v>31.885999999999999</v>
      </c>
      <c r="R149" s="9"/>
      <c r="S149" s="11"/>
    </row>
    <row r="150" spans="1:19" ht="15.6">
      <c r="A150" s="13">
        <v>46631</v>
      </c>
      <c r="B150" s="8">
        <f>CHOOSE( CONTROL!$C$29, 4.4348, 4.4279) * CHOOSE(CONTROL!$C$12, $D$4, 100%, $F$4)</f>
        <v>4.4279000000000002</v>
      </c>
      <c r="C150" s="8">
        <f>CHOOSE( CONTROL!$C$29, 4.4451, 4.4383) * CHOOSE(CONTROL!$C$12, $D$4, 100%, $F$4)</f>
        <v>4.4382999999999999</v>
      </c>
      <c r="D150" s="8">
        <f>CHOOSE( CONTROL!$C$29, 4.4498, 4.4429) * CHOOSE( CONTROL!$C$12, $D$4, 100%, $F$4)</f>
        <v>4.4428999999999998</v>
      </c>
      <c r="E150" s="12">
        <f>CHOOSE( CONTROL!$C$29, 4.4465, 4.4396) * CHOOSE( CONTROL!$C$12, $D$4, 100%, $F$4)</f>
        <v>4.4396000000000004</v>
      </c>
      <c r="F150" s="4">
        <f>CHOOSE( CONTROL!$C$29, 5.4464, 5.4395) * CHOOSE(CONTROL!$C$12, $D$4, 100%, $F$4)</f>
        <v>5.4394999999999998</v>
      </c>
      <c r="G150" s="8">
        <f>CHOOSE( CONTROL!$C$29, 4.3688, 4.3621) * CHOOSE( CONTROL!$C$12, $D$4, 100%, $F$4)</f>
        <v>4.3620999999999999</v>
      </c>
      <c r="H150" s="4">
        <f>CHOOSE( CONTROL!$C$29, 5.2862, 5.2794) * CHOOSE(CONTROL!$C$12, $D$4, 100%, $F$4)</f>
        <v>5.2793999999999999</v>
      </c>
      <c r="I150" s="8">
        <f>CHOOSE( CONTROL!$C$29, 4.3715, 4.3649) * CHOOSE(CONTROL!$C$12, $D$4, 100%, $F$4)</f>
        <v>4.3648999999999996</v>
      </c>
      <c r="J150" s="4">
        <f>CHOOSE( CONTROL!$C$29, 4.2963, 4.2897) * CHOOSE(CONTROL!$C$12, $D$4, 100%, $F$4)</f>
        <v>4.2896999999999998</v>
      </c>
      <c r="K150" s="4"/>
      <c r="L150" s="9">
        <v>28.568200000000001</v>
      </c>
      <c r="M150" s="9">
        <v>11.6745</v>
      </c>
      <c r="N150" s="9">
        <v>4.7850000000000001</v>
      </c>
      <c r="O150" s="9">
        <v>0.36249999999999999</v>
      </c>
      <c r="P150" s="9">
        <v>1.1798</v>
      </c>
      <c r="Q150" s="9">
        <v>30.857399999999998</v>
      </c>
      <c r="R150" s="9"/>
      <c r="S150" s="11"/>
    </row>
    <row r="151" spans="1:19" ht="15.6">
      <c r="A151" s="13">
        <v>46661</v>
      </c>
      <c r="B151" s="8">
        <f>4.6246 * CHOOSE(CONTROL!$C$12, $D$4, 100%, $F$4)</f>
        <v>4.6246</v>
      </c>
      <c r="C151" s="8">
        <f>4.6349 * CHOOSE(CONTROL!$C$12, $D$4, 100%, $F$4)</f>
        <v>4.6349</v>
      </c>
      <c r="D151" s="8">
        <f>4.63 * CHOOSE( CONTROL!$C$12, $D$4, 100%, $F$4)</f>
        <v>4.63</v>
      </c>
      <c r="E151" s="12">
        <f>4.6305 * CHOOSE( CONTROL!$C$12, $D$4, 100%, $F$4)</f>
        <v>4.6304999999999996</v>
      </c>
      <c r="F151" s="4">
        <f>5.6156 * CHOOSE(CONTROL!$C$12, $D$4, 100%, $F$4)</f>
        <v>5.6155999999999997</v>
      </c>
      <c r="G151" s="8">
        <f>4.5527 * CHOOSE( CONTROL!$C$12, $D$4, 100%, $F$4)</f>
        <v>4.5526999999999997</v>
      </c>
      <c r="H151" s="4">
        <f>5.4529 * CHOOSE(CONTROL!$C$12, $D$4, 100%, $F$4)</f>
        <v>5.4528999999999996</v>
      </c>
      <c r="I151" s="8">
        <f>4.5594 * CHOOSE(CONTROL!$C$12, $D$4, 100%, $F$4)</f>
        <v>4.5594000000000001</v>
      </c>
      <c r="J151" s="4">
        <f>4.4803 * CHOOSE(CONTROL!$C$12, $D$4, 100%, $F$4)</f>
        <v>4.4802999999999997</v>
      </c>
      <c r="K151" s="4"/>
      <c r="L151" s="9">
        <v>28.921800000000001</v>
      </c>
      <c r="M151" s="9">
        <v>12.063700000000001</v>
      </c>
      <c r="N151" s="9">
        <v>4.9444999999999997</v>
      </c>
      <c r="O151" s="9">
        <v>0.37459999999999999</v>
      </c>
      <c r="P151" s="9">
        <v>1.2192000000000001</v>
      </c>
      <c r="Q151" s="9">
        <v>31.885999999999999</v>
      </c>
      <c r="R151" s="9"/>
      <c r="S151" s="11"/>
    </row>
    <row r="152" spans="1:19" ht="15.6">
      <c r="A152" s="13">
        <v>46692</v>
      </c>
      <c r="B152" s="8">
        <f>4.9876 * CHOOSE(CONTROL!$C$12, $D$4, 100%, $F$4)</f>
        <v>4.9875999999999996</v>
      </c>
      <c r="C152" s="8">
        <f>4.9979 * CHOOSE(CONTROL!$C$12, $D$4, 100%, $F$4)</f>
        <v>4.9978999999999996</v>
      </c>
      <c r="D152" s="8">
        <f>4.9572 * CHOOSE( CONTROL!$C$12, $D$4, 100%, $F$4)</f>
        <v>4.9572000000000003</v>
      </c>
      <c r="E152" s="12">
        <f>4.971 * CHOOSE( CONTROL!$C$12, $D$4, 100%, $F$4)</f>
        <v>4.9710000000000001</v>
      </c>
      <c r="F152" s="4">
        <f>5.9646 * CHOOSE(CONTROL!$C$12, $D$4, 100%, $F$4)</f>
        <v>5.9645999999999999</v>
      </c>
      <c r="G152" s="8">
        <f>4.9045 * CHOOSE( CONTROL!$C$12, $D$4, 100%, $F$4)</f>
        <v>4.9044999999999996</v>
      </c>
      <c r="H152" s="4">
        <f>5.797 * CHOOSE(CONTROL!$C$12, $D$4, 100%, $F$4)</f>
        <v>5.7969999999999997</v>
      </c>
      <c r="I152" s="8">
        <f>4.8957 * CHOOSE(CONTROL!$C$12, $D$4, 100%, $F$4)</f>
        <v>4.8956999999999997</v>
      </c>
      <c r="J152" s="4">
        <f>4.832 * CHOOSE(CONTROL!$C$12, $D$4, 100%, $F$4)</f>
        <v>4.8319999999999999</v>
      </c>
      <c r="K152" s="4"/>
      <c r="L152" s="9">
        <v>26.515499999999999</v>
      </c>
      <c r="M152" s="9">
        <v>11.6745</v>
      </c>
      <c r="N152" s="9">
        <v>4.7850000000000001</v>
      </c>
      <c r="O152" s="9">
        <v>0.36249999999999999</v>
      </c>
      <c r="P152" s="9">
        <v>1.2522</v>
      </c>
      <c r="Q152" s="9">
        <v>30.857399999999998</v>
      </c>
      <c r="R152" s="9"/>
      <c r="S152" s="11"/>
    </row>
    <row r="153" spans="1:19" ht="15.6">
      <c r="A153" s="13">
        <v>46722</v>
      </c>
      <c r="B153" s="8">
        <f>4.9785 * CHOOSE(CONTROL!$C$12, $D$4, 100%, $F$4)</f>
        <v>4.9785000000000004</v>
      </c>
      <c r="C153" s="8">
        <f>4.9888 * CHOOSE(CONTROL!$C$12, $D$4, 100%, $F$4)</f>
        <v>4.9888000000000003</v>
      </c>
      <c r="D153" s="8">
        <f>4.95 * CHOOSE( CONTROL!$C$12, $D$4, 100%, $F$4)</f>
        <v>4.95</v>
      </c>
      <c r="E153" s="12">
        <f>4.9631 * CHOOSE( CONTROL!$C$12, $D$4, 100%, $F$4)</f>
        <v>4.9630999999999998</v>
      </c>
      <c r="F153" s="4">
        <f>5.9488 * CHOOSE(CONTROL!$C$12, $D$4, 100%, $F$4)</f>
        <v>5.9488000000000003</v>
      </c>
      <c r="G153" s="8">
        <f>4.8979 * CHOOSE( CONTROL!$C$12, $D$4, 100%, $F$4)</f>
        <v>4.8978999999999999</v>
      </c>
      <c r="H153" s="4">
        <f>5.7815 * CHOOSE(CONTROL!$C$12, $D$4, 100%, $F$4)</f>
        <v>5.7815000000000003</v>
      </c>
      <c r="I153" s="8">
        <f>4.8976 * CHOOSE(CONTROL!$C$12, $D$4, 100%, $F$4)</f>
        <v>4.8975999999999997</v>
      </c>
      <c r="J153" s="4">
        <f>4.8232 * CHOOSE(CONTROL!$C$12, $D$4, 100%, $F$4)</f>
        <v>4.8231999999999999</v>
      </c>
      <c r="K153" s="4"/>
      <c r="L153" s="9">
        <v>27.3993</v>
      </c>
      <c r="M153" s="9">
        <v>12.063700000000001</v>
      </c>
      <c r="N153" s="9">
        <v>4.9444999999999997</v>
      </c>
      <c r="O153" s="9">
        <v>0.37459999999999999</v>
      </c>
      <c r="P153" s="9">
        <v>1.2939000000000001</v>
      </c>
      <c r="Q153" s="9">
        <v>31.885999999999999</v>
      </c>
      <c r="R153" s="9"/>
      <c r="S153" s="11"/>
    </row>
    <row r="154" spans="1:19" ht="15.6">
      <c r="A154" s="13">
        <v>46753</v>
      </c>
      <c r="B154" s="8">
        <f>5.1743 * CHOOSE(CONTROL!$C$12, $D$4, 100%, $F$4)</f>
        <v>5.1742999999999997</v>
      </c>
      <c r="C154" s="8">
        <f>5.1846 * CHOOSE(CONTROL!$C$12, $D$4, 100%, $F$4)</f>
        <v>5.1845999999999997</v>
      </c>
      <c r="D154" s="8">
        <f>5.1844 * CHOOSE( CONTROL!$C$12, $D$4, 100%, $F$4)</f>
        <v>5.1844000000000001</v>
      </c>
      <c r="E154" s="12">
        <f>5.1834 * CHOOSE( CONTROL!$C$12, $D$4, 100%, $F$4)</f>
        <v>5.1833999999999998</v>
      </c>
      <c r="F154" s="4">
        <f>6.1962 * CHOOSE(CONTROL!$C$12, $D$4, 100%, $F$4)</f>
        <v>6.1962000000000002</v>
      </c>
      <c r="G154" s="8">
        <f>5.1319 * CHOOSE( CONTROL!$C$12, $D$4, 100%, $F$4)</f>
        <v>5.1318999999999999</v>
      </c>
      <c r="H154" s="4">
        <f>6.0253 * CHOOSE(CONTROL!$C$12, $D$4, 100%, $F$4)</f>
        <v>6.0252999999999997</v>
      </c>
      <c r="I154" s="8">
        <f>5.124 * CHOOSE(CONTROL!$C$12, $D$4, 100%, $F$4)</f>
        <v>5.1239999999999997</v>
      </c>
      <c r="J154" s="4">
        <f>5.0129 * CHOOSE(CONTROL!$C$12, $D$4, 100%, $F$4)</f>
        <v>5.0129000000000001</v>
      </c>
      <c r="K154" s="4"/>
      <c r="L154" s="9">
        <v>27.3993</v>
      </c>
      <c r="M154" s="9">
        <v>12.063700000000001</v>
      </c>
      <c r="N154" s="9">
        <v>4.9444999999999997</v>
      </c>
      <c r="O154" s="9">
        <v>0.37459999999999999</v>
      </c>
      <c r="P154" s="9">
        <v>1.2939000000000001</v>
      </c>
      <c r="Q154" s="9">
        <v>31.701799999999999</v>
      </c>
      <c r="R154" s="9"/>
      <c r="S154" s="11"/>
    </row>
    <row r="155" spans="1:19" ht="15.6">
      <c r="A155" s="13">
        <v>46784</v>
      </c>
      <c r="B155" s="8">
        <f>4.8399 * CHOOSE(CONTROL!$C$12, $D$4, 100%, $F$4)</f>
        <v>4.8399000000000001</v>
      </c>
      <c r="C155" s="8">
        <f>4.8502 * CHOOSE(CONTROL!$C$12, $D$4, 100%, $F$4)</f>
        <v>4.8502000000000001</v>
      </c>
      <c r="D155" s="8">
        <f>4.8523 * CHOOSE( CONTROL!$C$12, $D$4, 100%, $F$4)</f>
        <v>4.8522999999999996</v>
      </c>
      <c r="E155" s="12">
        <f>4.8504 * CHOOSE( CONTROL!$C$12, $D$4, 100%, $F$4)</f>
        <v>4.8503999999999996</v>
      </c>
      <c r="F155" s="4">
        <f>5.854 * CHOOSE(CONTROL!$C$12, $D$4, 100%, $F$4)</f>
        <v>5.8540000000000001</v>
      </c>
      <c r="G155" s="8">
        <f>4.802 * CHOOSE( CONTROL!$C$12, $D$4, 100%, $F$4)</f>
        <v>4.8019999999999996</v>
      </c>
      <c r="H155" s="4">
        <f>5.688 * CHOOSE(CONTROL!$C$12, $D$4, 100%, $F$4)</f>
        <v>5.6879999999999997</v>
      </c>
      <c r="I155" s="8">
        <f>4.7889 * CHOOSE(CONTROL!$C$12, $D$4, 100%, $F$4)</f>
        <v>4.7888999999999999</v>
      </c>
      <c r="J155" s="4">
        <f>4.6889 * CHOOSE(CONTROL!$C$12, $D$4, 100%, $F$4)</f>
        <v>4.6889000000000003</v>
      </c>
      <c r="K155" s="4"/>
      <c r="L155" s="9">
        <v>25.631599999999999</v>
      </c>
      <c r="M155" s="9">
        <v>11.285299999999999</v>
      </c>
      <c r="N155" s="9">
        <v>4.6254999999999997</v>
      </c>
      <c r="O155" s="9">
        <v>0.35039999999999999</v>
      </c>
      <c r="P155" s="9">
        <v>1.2104999999999999</v>
      </c>
      <c r="Q155" s="9">
        <v>29.656600000000001</v>
      </c>
      <c r="R155" s="9"/>
      <c r="S155" s="11"/>
    </row>
    <row r="156" spans="1:19" ht="15.6">
      <c r="A156" s="13">
        <v>46813</v>
      </c>
      <c r="B156" s="8">
        <f>4.7368 * CHOOSE(CONTROL!$C$12, $D$4, 100%, $F$4)</f>
        <v>4.7367999999999997</v>
      </c>
      <c r="C156" s="8">
        <f>4.7472 * CHOOSE(CONTROL!$C$12, $D$4, 100%, $F$4)</f>
        <v>4.7472000000000003</v>
      </c>
      <c r="D156" s="8">
        <f>4.7294 * CHOOSE( CONTROL!$C$12, $D$4, 100%, $F$4)</f>
        <v>4.7294</v>
      </c>
      <c r="E156" s="12">
        <f>4.7348 * CHOOSE( CONTROL!$C$12, $D$4, 100%, $F$4)</f>
        <v>4.7347999999999999</v>
      </c>
      <c r="F156" s="4">
        <f>5.735 * CHOOSE(CONTROL!$C$12, $D$4, 100%, $F$4)</f>
        <v>5.7350000000000003</v>
      </c>
      <c r="G156" s="8">
        <f>4.68 * CHOOSE( CONTROL!$C$12, $D$4, 100%, $F$4)</f>
        <v>4.68</v>
      </c>
      <c r="H156" s="4">
        <f>5.5707 * CHOOSE(CONTROL!$C$12, $D$4, 100%, $F$4)</f>
        <v>5.5707000000000004</v>
      </c>
      <c r="I156" s="8">
        <f>4.6495 * CHOOSE(CONTROL!$C$12, $D$4, 100%, $F$4)</f>
        <v>4.6494999999999997</v>
      </c>
      <c r="J156" s="4">
        <f>4.5891 * CHOOSE(CONTROL!$C$12, $D$4, 100%, $F$4)</f>
        <v>4.5891000000000002</v>
      </c>
      <c r="K156" s="4"/>
      <c r="L156" s="9">
        <v>27.3993</v>
      </c>
      <c r="M156" s="9">
        <v>12.063700000000001</v>
      </c>
      <c r="N156" s="9">
        <v>4.9444999999999997</v>
      </c>
      <c r="O156" s="9">
        <v>0.37459999999999999</v>
      </c>
      <c r="P156" s="9">
        <v>1.2939000000000001</v>
      </c>
      <c r="Q156" s="9">
        <v>31.701799999999999</v>
      </c>
      <c r="R156" s="9"/>
      <c r="S156" s="11"/>
    </row>
    <row r="157" spans="1:19" ht="15.6">
      <c r="A157" s="13">
        <v>46844</v>
      </c>
      <c r="B157" s="8">
        <f>4.8088 * CHOOSE(CONTROL!$C$12, $D$4, 100%, $F$4)</f>
        <v>4.8087999999999997</v>
      </c>
      <c r="C157" s="8">
        <f>4.8191 * CHOOSE(CONTROL!$C$12, $D$4, 100%, $F$4)</f>
        <v>4.8190999999999997</v>
      </c>
      <c r="D157" s="8">
        <f>4.8242 * CHOOSE( CONTROL!$C$12, $D$4, 100%, $F$4)</f>
        <v>4.8242000000000003</v>
      </c>
      <c r="E157" s="12">
        <f>4.8213 * CHOOSE( CONTROL!$C$12, $D$4, 100%, $F$4)</f>
        <v>4.8212999999999999</v>
      </c>
      <c r="F157" s="4">
        <f>5.8153 * CHOOSE(CONTROL!$C$12, $D$4, 100%, $F$4)</f>
        <v>5.8152999999999997</v>
      </c>
      <c r="G157" s="8">
        <f>4.7388 * CHOOSE( CONTROL!$C$12, $D$4, 100%, $F$4)</f>
        <v>4.7388000000000003</v>
      </c>
      <c r="H157" s="4">
        <f>5.6498 * CHOOSE(CONTROL!$C$12, $D$4, 100%, $F$4)</f>
        <v>5.6497999999999999</v>
      </c>
      <c r="I157" s="8">
        <f>4.7094 * CHOOSE(CONTROL!$C$12, $D$4, 100%, $F$4)</f>
        <v>4.7093999999999996</v>
      </c>
      <c r="J157" s="4">
        <f>4.6588 * CHOOSE(CONTROL!$C$12, $D$4, 100%, $F$4)</f>
        <v>4.6588000000000003</v>
      </c>
      <c r="K157" s="4"/>
      <c r="L157" s="9">
        <v>27.988800000000001</v>
      </c>
      <c r="M157" s="9">
        <v>11.6745</v>
      </c>
      <c r="N157" s="9">
        <v>4.7850000000000001</v>
      </c>
      <c r="O157" s="9">
        <v>0.36249999999999999</v>
      </c>
      <c r="P157" s="9">
        <v>1.1798</v>
      </c>
      <c r="Q157" s="9">
        <v>30.679200000000002</v>
      </c>
      <c r="R157" s="9"/>
      <c r="S157" s="11"/>
    </row>
    <row r="158" spans="1:19" ht="15.6">
      <c r="A158" s="13">
        <v>46874</v>
      </c>
      <c r="B158" s="8">
        <f>CHOOSE( CONTROL!$C$29, 4.9438, 4.9369) * CHOOSE(CONTROL!$C$12, $D$4, 100%, $F$4)</f>
        <v>4.9368999999999996</v>
      </c>
      <c r="C158" s="8">
        <f>CHOOSE( CONTROL!$C$29, 4.9541, 4.9473) * CHOOSE(CONTROL!$C$12, $D$4, 100%, $F$4)</f>
        <v>4.9473000000000003</v>
      </c>
      <c r="D158" s="8">
        <f>CHOOSE( CONTROL!$C$29, 4.9343, 4.9275) * CHOOSE( CONTROL!$C$12, $D$4, 100%, $F$4)</f>
        <v>4.9275000000000002</v>
      </c>
      <c r="E158" s="12">
        <f>CHOOSE( CONTROL!$C$29, 4.9399, 4.9331) * CHOOSE( CONTROL!$C$12, $D$4, 100%, $F$4)</f>
        <v>4.9330999999999996</v>
      </c>
      <c r="F158" s="4">
        <f>CHOOSE( CONTROL!$C$29, 5.9182, 5.9114) * CHOOSE(CONTROL!$C$12, $D$4, 100%, $F$4)</f>
        <v>5.9114000000000004</v>
      </c>
      <c r="G158" s="8">
        <f>CHOOSE( CONTROL!$C$29, 4.8536, 4.8469) * CHOOSE( CONTROL!$C$12, $D$4, 100%, $F$4)</f>
        <v>4.8468999999999998</v>
      </c>
      <c r="H158" s="4">
        <f>CHOOSE( CONTROL!$C$29, 5.7513, 5.7446) * CHOOSE(CONTROL!$C$12, $D$4, 100%, $F$4)</f>
        <v>5.7446000000000002</v>
      </c>
      <c r="I158" s="8">
        <f>CHOOSE( CONTROL!$C$29, 4.8187, 4.812) * CHOOSE(CONTROL!$C$12, $D$4, 100%, $F$4)</f>
        <v>4.8120000000000003</v>
      </c>
      <c r="J158" s="4">
        <f>CHOOSE( CONTROL!$C$29, 4.7896, 4.7829) * CHOOSE(CONTROL!$C$12, $D$4, 100%, $F$4)</f>
        <v>4.7828999999999997</v>
      </c>
      <c r="K158" s="4"/>
      <c r="L158" s="9">
        <v>29.520499999999998</v>
      </c>
      <c r="M158" s="9">
        <v>12.063700000000001</v>
      </c>
      <c r="N158" s="9">
        <v>4.9444999999999997</v>
      </c>
      <c r="O158" s="9">
        <v>0.37459999999999999</v>
      </c>
      <c r="P158" s="9">
        <v>1.2192000000000001</v>
      </c>
      <c r="Q158" s="9">
        <v>31.701799999999999</v>
      </c>
      <c r="R158" s="9"/>
      <c r="S158" s="11"/>
    </row>
    <row r="159" spans="1:19" ht="15.6">
      <c r="A159" s="13">
        <v>46905</v>
      </c>
      <c r="B159" s="8">
        <f>CHOOSE( CONTROL!$C$29, 4.8644, 4.8576) * CHOOSE(CONTROL!$C$12, $D$4, 100%, $F$4)</f>
        <v>4.8575999999999997</v>
      </c>
      <c r="C159" s="8">
        <f>CHOOSE( CONTROL!$C$29, 4.8747, 4.8679) * CHOOSE(CONTROL!$C$12, $D$4, 100%, $F$4)</f>
        <v>4.8678999999999997</v>
      </c>
      <c r="D159" s="8">
        <f>CHOOSE( CONTROL!$C$29, 4.8495, 4.8426) * CHOOSE( CONTROL!$C$12, $D$4, 100%, $F$4)</f>
        <v>4.8426</v>
      </c>
      <c r="E159" s="12">
        <f>CHOOSE( CONTROL!$C$29, 4.8571, 4.8502) * CHOOSE( CONTROL!$C$12, $D$4, 100%, $F$4)</f>
        <v>4.8502000000000001</v>
      </c>
      <c r="F159" s="4">
        <f>CHOOSE( CONTROL!$C$29, 5.8285, 5.8217) * CHOOSE(CONTROL!$C$12, $D$4, 100%, $F$4)</f>
        <v>5.8216999999999999</v>
      </c>
      <c r="G159" s="8">
        <f>CHOOSE( CONTROL!$C$29, 4.7741, 4.7674) * CHOOSE( CONTROL!$C$12, $D$4, 100%, $F$4)</f>
        <v>4.7674000000000003</v>
      </c>
      <c r="H159" s="4">
        <f>CHOOSE( CONTROL!$C$29, 5.6629, 5.6562) * CHOOSE(CONTROL!$C$12, $D$4, 100%, $F$4)</f>
        <v>5.6562000000000001</v>
      </c>
      <c r="I159" s="8">
        <f>CHOOSE( CONTROL!$C$29, 4.7439, 4.7373) * CHOOSE(CONTROL!$C$12, $D$4, 100%, $F$4)</f>
        <v>4.7373000000000003</v>
      </c>
      <c r="J159" s="4">
        <f>CHOOSE( CONTROL!$C$29, 4.7127, 4.706) * CHOOSE(CONTROL!$C$12, $D$4, 100%, $F$4)</f>
        <v>4.7060000000000004</v>
      </c>
      <c r="K159" s="4"/>
      <c r="L159" s="9">
        <v>28.568200000000001</v>
      </c>
      <c r="M159" s="9">
        <v>11.6745</v>
      </c>
      <c r="N159" s="9">
        <v>4.7850000000000001</v>
      </c>
      <c r="O159" s="9">
        <v>0.36249999999999999</v>
      </c>
      <c r="P159" s="9">
        <v>1.1798</v>
      </c>
      <c r="Q159" s="9">
        <v>30.679200000000002</v>
      </c>
      <c r="R159" s="9"/>
      <c r="S159" s="11"/>
    </row>
    <row r="160" spans="1:19" ht="15.6">
      <c r="A160" s="13">
        <v>46935</v>
      </c>
      <c r="B160" s="8">
        <f>CHOOSE( CONTROL!$C$29, 5.0734, 5.0666) * CHOOSE(CONTROL!$C$12, $D$4, 100%, $F$4)</f>
        <v>5.0666000000000002</v>
      </c>
      <c r="C160" s="8">
        <f>CHOOSE( CONTROL!$C$29, 5.0837, 5.0769) * CHOOSE(CONTROL!$C$12, $D$4, 100%, $F$4)</f>
        <v>5.0769000000000002</v>
      </c>
      <c r="D160" s="8">
        <f>CHOOSE( CONTROL!$C$29, 5.0919, 5.085) * CHOOSE( CONTROL!$C$12, $D$4, 100%, $F$4)</f>
        <v>5.085</v>
      </c>
      <c r="E160" s="12">
        <f>CHOOSE( CONTROL!$C$29, 5.0874, 5.0805) * CHOOSE( CONTROL!$C$12, $D$4, 100%, $F$4)</f>
        <v>5.0804999999999998</v>
      </c>
      <c r="F160" s="4">
        <f>CHOOSE( CONTROL!$C$29, 6.0824, 6.0756) * CHOOSE(CONTROL!$C$12, $D$4, 100%, $F$4)</f>
        <v>6.0755999999999997</v>
      </c>
      <c r="G160" s="8">
        <f>CHOOSE( CONTROL!$C$29, 5.0062, 4.9995) * CHOOSE( CONTROL!$C$12, $D$4, 100%, $F$4)</f>
        <v>4.9995000000000003</v>
      </c>
      <c r="H160" s="4">
        <f>CHOOSE( CONTROL!$C$29, 5.9132, 5.9064) * CHOOSE(CONTROL!$C$12, $D$4, 100%, $F$4)</f>
        <v>5.9063999999999997</v>
      </c>
      <c r="I160" s="8">
        <f>CHOOSE( CONTROL!$C$29, 5.0018, 4.9951) * CHOOSE(CONTROL!$C$12, $D$4, 100%, $F$4)</f>
        <v>4.9950999999999999</v>
      </c>
      <c r="J160" s="4">
        <f>CHOOSE( CONTROL!$C$29, 4.9152, 4.9085) * CHOOSE(CONTROL!$C$12, $D$4, 100%, $F$4)</f>
        <v>4.9085000000000001</v>
      </c>
      <c r="K160" s="4"/>
      <c r="L160" s="9">
        <v>29.520499999999998</v>
      </c>
      <c r="M160" s="9">
        <v>12.063700000000001</v>
      </c>
      <c r="N160" s="9">
        <v>4.9444999999999997</v>
      </c>
      <c r="O160" s="9">
        <v>0.37459999999999999</v>
      </c>
      <c r="P160" s="9">
        <v>1.2192000000000001</v>
      </c>
      <c r="Q160" s="9">
        <v>31.701799999999999</v>
      </c>
      <c r="R160" s="9"/>
      <c r="S160" s="11"/>
    </row>
    <row r="161" spans="1:19" ht="15.6">
      <c r="A161" s="13">
        <v>46966</v>
      </c>
      <c r="B161" s="8">
        <f>CHOOSE( CONTROL!$C$29, 4.6824, 4.6755) * CHOOSE(CONTROL!$C$12, $D$4, 100%, $F$4)</f>
        <v>4.6755000000000004</v>
      </c>
      <c r="C161" s="8">
        <f>CHOOSE( CONTROL!$C$29, 4.6927, 4.6859) * CHOOSE(CONTROL!$C$12, $D$4, 100%, $F$4)</f>
        <v>4.6859000000000002</v>
      </c>
      <c r="D161" s="8">
        <f>CHOOSE( CONTROL!$C$29, 4.6942, 4.6873) * CHOOSE( CONTROL!$C$12, $D$4, 100%, $F$4)</f>
        <v>4.6872999999999996</v>
      </c>
      <c r="E161" s="12">
        <f>CHOOSE( CONTROL!$C$29, 4.6921, 4.6852) * CHOOSE( CONTROL!$C$12, $D$4, 100%, $F$4)</f>
        <v>4.6852</v>
      </c>
      <c r="F161" s="4">
        <f>CHOOSE( CONTROL!$C$29, 5.6888, 5.682) * CHOOSE(CONTROL!$C$12, $D$4, 100%, $F$4)</f>
        <v>5.6820000000000004</v>
      </c>
      <c r="G161" s="8">
        <f>CHOOSE( CONTROL!$C$29, 4.6108, 4.6041) * CHOOSE( CONTROL!$C$12, $D$4, 100%, $F$4)</f>
        <v>4.6040999999999999</v>
      </c>
      <c r="H161" s="4">
        <f>CHOOSE( CONTROL!$C$29, 5.5252, 5.5184) * CHOOSE(CONTROL!$C$12, $D$4, 100%, $F$4)</f>
        <v>5.5183999999999997</v>
      </c>
      <c r="I161" s="8">
        <f>CHOOSE( CONTROL!$C$29, 4.6038, 4.5972) * CHOOSE(CONTROL!$C$12, $D$4, 100%, $F$4)</f>
        <v>4.5972</v>
      </c>
      <c r="J161" s="4">
        <f>CHOOSE( CONTROL!$C$29, 4.5363, 4.5296) * CHOOSE(CONTROL!$C$12, $D$4, 100%, $F$4)</f>
        <v>4.5296000000000003</v>
      </c>
      <c r="K161" s="4"/>
      <c r="L161" s="9">
        <v>29.520499999999998</v>
      </c>
      <c r="M161" s="9">
        <v>12.063700000000001</v>
      </c>
      <c r="N161" s="9">
        <v>4.9444999999999997</v>
      </c>
      <c r="O161" s="9">
        <v>0.37459999999999999</v>
      </c>
      <c r="P161" s="9">
        <v>1.2192000000000001</v>
      </c>
      <c r="Q161" s="9">
        <v>31.701799999999999</v>
      </c>
      <c r="R161" s="9"/>
      <c r="S161" s="11"/>
    </row>
    <row r="162" spans="1:19" ht="15.6">
      <c r="A162" s="13">
        <v>46997</v>
      </c>
      <c r="B162" s="8">
        <f>CHOOSE( CONTROL!$C$29, 4.5845, 4.5776) * CHOOSE(CONTROL!$C$12, $D$4, 100%, $F$4)</f>
        <v>4.5776000000000003</v>
      </c>
      <c r="C162" s="8">
        <f>CHOOSE( CONTROL!$C$29, 4.5948, 4.5879) * CHOOSE(CONTROL!$C$12, $D$4, 100%, $F$4)</f>
        <v>4.5879000000000003</v>
      </c>
      <c r="D162" s="8">
        <f>CHOOSE( CONTROL!$C$29, 4.5995, 4.5926) * CHOOSE( CONTROL!$C$12, $D$4, 100%, $F$4)</f>
        <v>4.5926</v>
      </c>
      <c r="E162" s="12">
        <f>CHOOSE( CONTROL!$C$29, 4.5962, 4.5893) * CHOOSE( CONTROL!$C$12, $D$4, 100%, $F$4)</f>
        <v>4.5892999999999997</v>
      </c>
      <c r="F162" s="4">
        <f>CHOOSE( CONTROL!$C$29, 5.5961, 5.5892) * CHOOSE(CONTROL!$C$12, $D$4, 100%, $F$4)</f>
        <v>5.5891999999999999</v>
      </c>
      <c r="G162" s="8">
        <f>CHOOSE( CONTROL!$C$29, 4.5164, 4.5096) * CHOOSE( CONTROL!$C$12, $D$4, 100%, $F$4)</f>
        <v>4.5095999999999998</v>
      </c>
      <c r="H162" s="4">
        <f>CHOOSE( CONTROL!$C$29, 5.4337, 5.427) * CHOOSE(CONTROL!$C$12, $D$4, 100%, $F$4)</f>
        <v>5.4269999999999996</v>
      </c>
      <c r="I162" s="8">
        <f>CHOOSE( CONTROL!$C$29, 4.5166, 4.51) * CHOOSE(CONTROL!$C$12, $D$4, 100%, $F$4)</f>
        <v>4.51</v>
      </c>
      <c r="J162" s="4">
        <f>CHOOSE( CONTROL!$C$29, 4.4414, 4.4348) * CHOOSE(CONTROL!$C$12, $D$4, 100%, $F$4)</f>
        <v>4.4348000000000001</v>
      </c>
      <c r="K162" s="4"/>
      <c r="L162" s="9">
        <v>28.568200000000001</v>
      </c>
      <c r="M162" s="9">
        <v>11.6745</v>
      </c>
      <c r="N162" s="9">
        <v>4.7850000000000001</v>
      </c>
      <c r="O162" s="9">
        <v>0.36249999999999999</v>
      </c>
      <c r="P162" s="9">
        <v>1.1798</v>
      </c>
      <c r="Q162" s="9">
        <v>30.679200000000002</v>
      </c>
      <c r="R162" s="9"/>
      <c r="S162" s="11"/>
    </row>
    <row r="163" spans="1:19" ht="15.6">
      <c r="A163" s="13">
        <v>47027</v>
      </c>
      <c r="B163" s="8">
        <f>4.7809 * CHOOSE(CONTROL!$C$12, $D$4, 100%, $F$4)</f>
        <v>4.7808999999999999</v>
      </c>
      <c r="C163" s="8">
        <f>4.7912 * CHOOSE(CONTROL!$C$12, $D$4, 100%, $F$4)</f>
        <v>4.7911999999999999</v>
      </c>
      <c r="D163" s="8">
        <f>4.7863 * CHOOSE( CONTROL!$C$12, $D$4, 100%, $F$4)</f>
        <v>4.7862999999999998</v>
      </c>
      <c r="E163" s="12">
        <f>4.7868 * CHOOSE( CONTROL!$C$12, $D$4, 100%, $F$4)</f>
        <v>4.7868000000000004</v>
      </c>
      <c r="F163" s="4">
        <f>5.7719 * CHOOSE(CONTROL!$C$12, $D$4, 100%, $F$4)</f>
        <v>5.7718999999999996</v>
      </c>
      <c r="G163" s="8">
        <f>4.7068 * CHOOSE( CONTROL!$C$12, $D$4, 100%, $F$4)</f>
        <v>4.7068000000000003</v>
      </c>
      <c r="H163" s="4">
        <f>5.607 * CHOOSE(CONTROL!$C$12, $D$4, 100%, $F$4)</f>
        <v>5.6070000000000002</v>
      </c>
      <c r="I163" s="8">
        <f>4.711 * CHOOSE(CONTROL!$C$12, $D$4, 100%, $F$4)</f>
        <v>4.7110000000000003</v>
      </c>
      <c r="J163" s="4">
        <f>4.6318 * CHOOSE(CONTROL!$C$12, $D$4, 100%, $F$4)</f>
        <v>4.6318000000000001</v>
      </c>
      <c r="K163" s="4"/>
      <c r="L163" s="9">
        <v>28.921800000000001</v>
      </c>
      <c r="M163" s="9">
        <v>12.063700000000001</v>
      </c>
      <c r="N163" s="9">
        <v>4.9444999999999997</v>
      </c>
      <c r="O163" s="9">
        <v>0.37459999999999999</v>
      </c>
      <c r="P163" s="9">
        <v>1.2192000000000001</v>
      </c>
      <c r="Q163" s="9">
        <v>31.701799999999999</v>
      </c>
      <c r="R163" s="9"/>
      <c r="S163" s="11"/>
    </row>
    <row r="164" spans="1:19" ht="15.6">
      <c r="A164" s="13">
        <v>47058</v>
      </c>
      <c r="B164" s="8">
        <f>5.1562 * CHOOSE(CONTROL!$C$12, $D$4, 100%, $F$4)</f>
        <v>5.1562000000000001</v>
      </c>
      <c r="C164" s="8">
        <f>5.1665 * CHOOSE(CONTROL!$C$12, $D$4, 100%, $F$4)</f>
        <v>5.1665000000000001</v>
      </c>
      <c r="D164" s="8">
        <f>5.1258 * CHOOSE( CONTROL!$C$12, $D$4, 100%, $F$4)</f>
        <v>5.1257999999999999</v>
      </c>
      <c r="E164" s="12">
        <f>5.1396 * CHOOSE( CONTROL!$C$12, $D$4, 100%, $F$4)</f>
        <v>5.1395999999999997</v>
      </c>
      <c r="F164" s="4">
        <f>6.1332 * CHOOSE(CONTROL!$C$12, $D$4, 100%, $F$4)</f>
        <v>6.1332000000000004</v>
      </c>
      <c r="G164" s="8">
        <f>5.0707 * CHOOSE( CONTROL!$C$12, $D$4, 100%, $F$4)</f>
        <v>5.0707000000000004</v>
      </c>
      <c r="H164" s="4">
        <f>5.9632 * CHOOSE(CONTROL!$C$12, $D$4, 100%, $F$4)</f>
        <v>5.9631999999999996</v>
      </c>
      <c r="I164" s="8">
        <f>5.0591 * CHOOSE(CONTROL!$C$12, $D$4, 100%, $F$4)</f>
        <v>5.0590999999999999</v>
      </c>
      <c r="J164" s="4">
        <f>4.9954 * CHOOSE(CONTROL!$C$12, $D$4, 100%, $F$4)</f>
        <v>4.9954000000000001</v>
      </c>
      <c r="K164" s="4"/>
      <c r="L164" s="9">
        <v>26.515499999999999</v>
      </c>
      <c r="M164" s="9">
        <v>11.6745</v>
      </c>
      <c r="N164" s="9">
        <v>4.7850000000000001</v>
      </c>
      <c r="O164" s="9">
        <v>0.36249999999999999</v>
      </c>
      <c r="P164" s="9">
        <v>1.2522</v>
      </c>
      <c r="Q164" s="9">
        <v>30.679200000000002</v>
      </c>
      <c r="R164" s="9"/>
      <c r="S164" s="11"/>
    </row>
    <row r="165" spans="1:19" ht="15.6">
      <c r="A165" s="13">
        <v>47088</v>
      </c>
      <c r="B165" s="8">
        <f>5.1468 * CHOOSE(CONTROL!$C$12, $D$4, 100%, $F$4)</f>
        <v>5.1467999999999998</v>
      </c>
      <c r="C165" s="8">
        <f>5.1571 * CHOOSE(CONTROL!$C$12, $D$4, 100%, $F$4)</f>
        <v>5.1570999999999998</v>
      </c>
      <c r="D165" s="8">
        <f>5.1183 * CHOOSE( CONTROL!$C$12, $D$4, 100%, $F$4)</f>
        <v>5.1182999999999996</v>
      </c>
      <c r="E165" s="12">
        <f>5.1314 * CHOOSE( CONTROL!$C$12, $D$4, 100%, $F$4)</f>
        <v>5.1314000000000002</v>
      </c>
      <c r="F165" s="4">
        <f>6.1171 * CHOOSE(CONTROL!$C$12, $D$4, 100%, $F$4)</f>
        <v>6.1170999999999998</v>
      </c>
      <c r="G165" s="8">
        <f>5.0638 * CHOOSE( CONTROL!$C$12, $D$4, 100%, $F$4)</f>
        <v>5.0637999999999996</v>
      </c>
      <c r="H165" s="4">
        <f>5.9474 * CHOOSE(CONTROL!$C$12, $D$4, 100%, $F$4)</f>
        <v>5.9474</v>
      </c>
      <c r="I165" s="8">
        <f>5.0608 * CHOOSE(CONTROL!$C$12, $D$4, 100%, $F$4)</f>
        <v>5.0608000000000004</v>
      </c>
      <c r="J165" s="4">
        <f>4.9863 * CHOOSE(CONTROL!$C$12, $D$4, 100%, $F$4)</f>
        <v>4.9863</v>
      </c>
      <c r="K165" s="4"/>
      <c r="L165" s="9">
        <v>27.3993</v>
      </c>
      <c r="M165" s="9">
        <v>12.063700000000001</v>
      </c>
      <c r="N165" s="9">
        <v>4.9444999999999997</v>
      </c>
      <c r="O165" s="9">
        <v>0.37459999999999999</v>
      </c>
      <c r="P165" s="9">
        <v>1.2939000000000001</v>
      </c>
      <c r="Q165" s="9">
        <v>31.701799999999999</v>
      </c>
      <c r="R165" s="9"/>
      <c r="S165" s="11"/>
    </row>
    <row r="166" spans="1:19" ht="15.6">
      <c r="A166" s="13">
        <v>47119</v>
      </c>
      <c r="B166" s="8">
        <f>5.3354 * CHOOSE(CONTROL!$C$12, $D$4, 100%, $F$4)</f>
        <v>5.3353999999999999</v>
      </c>
      <c r="C166" s="8">
        <f>5.3457 * CHOOSE(CONTROL!$C$12, $D$4, 100%, $F$4)</f>
        <v>5.3456999999999999</v>
      </c>
      <c r="D166" s="8">
        <f>5.3455 * CHOOSE( CONTROL!$C$12, $D$4, 100%, $F$4)</f>
        <v>5.3455000000000004</v>
      </c>
      <c r="E166" s="12">
        <f>5.3445 * CHOOSE( CONTROL!$C$12, $D$4, 100%, $F$4)</f>
        <v>5.3445</v>
      </c>
      <c r="F166" s="4">
        <f>6.3573 * CHOOSE(CONTROL!$C$12, $D$4, 100%, $F$4)</f>
        <v>6.3573000000000004</v>
      </c>
      <c r="G166" s="8">
        <f>5.2907 * CHOOSE( CONTROL!$C$12, $D$4, 100%, $F$4)</f>
        <v>5.2907000000000002</v>
      </c>
      <c r="H166" s="4">
        <f>6.1841 * CHOOSE(CONTROL!$C$12, $D$4, 100%, $F$4)</f>
        <v>6.1840999999999999</v>
      </c>
      <c r="I166" s="8">
        <f>5.2802 * CHOOSE(CONTROL!$C$12, $D$4, 100%, $F$4)</f>
        <v>5.2801999999999998</v>
      </c>
      <c r="J166" s="4">
        <f>5.1691 * CHOOSE(CONTROL!$C$12, $D$4, 100%, $F$4)</f>
        <v>5.1691000000000003</v>
      </c>
      <c r="K166" s="4"/>
      <c r="L166" s="9">
        <v>27.3993</v>
      </c>
      <c r="M166" s="9">
        <v>12.063700000000001</v>
      </c>
      <c r="N166" s="9">
        <v>4.9444999999999997</v>
      </c>
      <c r="O166" s="9">
        <v>0.37459999999999999</v>
      </c>
      <c r="P166" s="9">
        <v>1.2939000000000001</v>
      </c>
      <c r="Q166" s="9">
        <v>31.517700000000001</v>
      </c>
      <c r="R166" s="9"/>
      <c r="S166" s="11"/>
    </row>
    <row r="167" spans="1:19" ht="15.6">
      <c r="A167" s="13">
        <v>47150</v>
      </c>
      <c r="B167" s="8">
        <f>4.9905 * CHOOSE(CONTROL!$C$12, $D$4, 100%, $F$4)</f>
        <v>4.9904999999999999</v>
      </c>
      <c r="C167" s="8">
        <f>5.0009 * CHOOSE(CONTROL!$C$12, $D$4, 100%, $F$4)</f>
        <v>5.0008999999999997</v>
      </c>
      <c r="D167" s="8">
        <f>5.0029 * CHOOSE( CONTROL!$C$12, $D$4, 100%, $F$4)</f>
        <v>5.0029000000000003</v>
      </c>
      <c r="E167" s="12">
        <f>5.0011 * CHOOSE( CONTROL!$C$12, $D$4, 100%, $F$4)</f>
        <v>5.0011000000000001</v>
      </c>
      <c r="F167" s="4">
        <f>6.0047 * CHOOSE(CONTROL!$C$12, $D$4, 100%, $F$4)</f>
        <v>6.0046999999999997</v>
      </c>
      <c r="G167" s="8">
        <f>4.9506 * CHOOSE( CONTROL!$C$12, $D$4, 100%, $F$4)</f>
        <v>4.9505999999999997</v>
      </c>
      <c r="H167" s="4">
        <f>5.8366 * CHOOSE(CONTROL!$C$12, $D$4, 100%, $F$4)</f>
        <v>5.8365999999999998</v>
      </c>
      <c r="I167" s="8">
        <f>4.9349 * CHOOSE(CONTROL!$C$12, $D$4, 100%, $F$4)</f>
        <v>4.9348999999999998</v>
      </c>
      <c r="J167" s="4">
        <f>4.8349 * CHOOSE(CONTROL!$C$12, $D$4, 100%, $F$4)</f>
        <v>4.8349000000000002</v>
      </c>
      <c r="K167" s="4"/>
      <c r="L167" s="9">
        <v>24.747800000000002</v>
      </c>
      <c r="M167" s="9">
        <v>10.8962</v>
      </c>
      <c r="N167" s="9">
        <v>4.4660000000000002</v>
      </c>
      <c r="O167" s="9">
        <v>0.33829999999999999</v>
      </c>
      <c r="P167" s="9">
        <v>1.1687000000000001</v>
      </c>
      <c r="Q167" s="9">
        <v>28.467600000000001</v>
      </c>
      <c r="R167" s="9"/>
      <c r="S167" s="11"/>
    </row>
    <row r="168" spans="1:19" ht="15.6">
      <c r="A168" s="13">
        <v>47178</v>
      </c>
      <c r="B168" s="8">
        <f>4.8843 * CHOOSE(CONTROL!$C$12, $D$4, 100%, $F$4)</f>
        <v>4.8842999999999996</v>
      </c>
      <c r="C168" s="8">
        <f>4.8946 * CHOOSE(CONTROL!$C$12, $D$4, 100%, $F$4)</f>
        <v>4.8945999999999996</v>
      </c>
      <c r="D168" s="8">
        <f>4.8768 * CHOOSE( CONTROL!$C$12, $D$4, 100%, $F$4)</f>
        <v>4.8768000000000002</v>
      </c>
      <c r="E168" s="12">
        <f>4.8822 * CHOOSE( CONTROL!$C$12, $D$4, 100%, $F$4)</f>
        <v>4.8822000000000001</v>
      </c>
      <c r="F168" s="4">
        <f>5.8825 * CHOOSE(CONTROL!$C$12, $D$4, 100%, $F$4)</f>
        <v>5.8825000000000003</v>
      </c>
      <c r="G168" s="8">
        <f>4.8254 * CHOOSE( CONTROL!$C$12, $D$4, 100%, $F$4)</f>
        <v>4.8254000000000001</v>
      </c>
      <c r="H168" s="4">
        <f>5.7161 * CHOOSE(CONTROL!$C$12, $D$4, 100%, $F$4)</f>
        <v>5.7161</v>
      </c>
      <c r="I168" s="8">
        <f>4.7925 * CHOOSE(CONTROL!$C$12, $D$4, 100%, $F$4)</f>
        <v>4.7925000000000004</v>
      </c>
      <c r="J168" s="4">
        <f>4.732 * CHOOSE(CONTROL!$C$12, $D$4, 100%, $F$4)</f>
        <v>4.7320000000000002</v>
      </c>
      <c r="K168" s="4"/>
      <c r="L168" s="9">
        <v>27.3993</v>
      </c>
      <c r="M168" s="9">
        <v>12.063700000000001</v>
      </c>
      <c r="N168" s="9">
        <v>4.9444999999999997</v>
      </c>
      <c r="O168" s="9">
        <v>0.37459999999999999</v>
      </c>
      <c r="P168" s="9">
        <v>1.2939000000000001</v>
      </c>
      <c r="Q168" s="9">
        <v>31.517700000000001</v>
      </c>
      <c r="R168" s="9"/>
      <c r="S168" s="11"/>
    </row>
    <row r="169" spans="1:19" ht="15.6">
      <c r="A169" s="13">
        <v>47209</v>
      </c>
      <c r="B169" s="8">
        <f>4.9585 * CHOOSE(CONTROL!$C$12, $D$4, 100%, $F$4)</f>
        <v>4.9584999999999999</v>
      </c>
      <c r="C169" s="8">
        <f>4.9689 * CHOOSE(CONTROL!$C$12, $D$4, 100%, $F$4)</f>
        <v>4.9688999999999997</v>
      </c>
      <c r="D169" s="8">
        <f>4.9739 * CHOOSE( CONTROL!$C$12, $D$4, 100%, $F$4)</f>
        <v>4.9739000000000004</v>
      </c>
      <c r="E169" s="12">
        <f>4.9711 * CHOOSE( CONTROL!$C$12, $D$4, 100%, $F$4)</f>
        <v>4.9710999999999999</v>
      </c>
      <c r="F169" s="4">
        <f>5.965 * CHOOSE(CONTROL!$C$12, $D$4, 100%, $F$4)</f>
        <v>5.9649999999999999</v>
      </c>
      <c r="G169" s="8">
        <f>4.8864 * CHOOSE( CONTROL!$C$12, $D$4, 100%, $F$4)</f>
        <v>4.8864000000000001</v>
      </c>
      <c r="H169" s="4">
        <f>5.7974 * CHOOSE(CONTROL!$C$12, $D$4, 100%, $F$4)</f>
        <v>5.7973999999999997</v>
      </c>
      <c r="I169" s="8">
        <f>4.8545 * CHOOSE(CONTROL!$C$12, $D$4, 100%, $F$4)</f>
        <v>4.8544999999999998</v>
      </c>
      <c r="J169" s="4">
        <f>4.8039 * CHOOSE(CONTROL!$C$12, $D$4, 100%, $F$4)</f>
        <v>4.8038999999999996</v>
      </c>
      <c r="K169" s="4"/>
      <c r="L169" s="9">
        <v>27.988800000000001</v>
      </c>
      <c r="M169" s="9">
        <v>11.6745</v>
      </c>
      <c r="N169" s="9">
        <v>4.7850000000000001</v>
      </c>
      <c r="O169" s="9">
        <v>0.36249999999999999</v>
      </c>
      <c r="P169" s="9">
        <v>1.1798</v>
      </c>
      <c r="Q169" s="9">
        <v>30.501000000000001</v>
      </c>
      <c r="R169" s="9"/>
      <c r="S169" s="11"/>
    </row>
    <row r="170" spans="1:19" ht="15.6">
      <c r="A170" s="13">
        <v>47239</v>
      </c>
      <c r="B170" s="8">
        <f>CHOOSE( CONTROL!$C$29, 5.0975, 5.0906) * CHOOSE(CONTROL!$C$12, $D$4, 100%, $F$4)</f>
        <v>5.0906000000000002</v>
      </c>
      <c r="C170" s="8">
        <f>CHOOSE( CONTROL!$C$29, 5.1078, 5.101) * CHOOSE(CONTROL!$C$12, $D$4, 100%, $F$4)</f>
        <v>5.101</v>
      </c>
      <c r="D170" s="8">
        <f>CHOOSE( CONTROL!$C$29, 5.088, 5.0812) * CHOOSE( CONTROL!$C$12, $D$4, 100%, $F$4)</f>
        <v>5.0811999999999999</v>
      </c>
      <c r="E170" s="12">
        <f>CHOOSE( CONTROL!$C$29, 5.0936, 5.0868) * CHOOSE( CONTROL!$C$12, $D$4, 100%, $F$4)</f>
        <v>5.0868000000000002</v>
      </c>
      <c r="F170" s="4">
        <f>CHOOSE( CONTROL!$C$29, 6.0719, 6.0651) * CHOOSE(CONTROL!$C$12, $D$4, 100%, $F$4)</f>
        <v>6.0651000000000002</v>
      </c>
      <c r="G170" s="8">
        <f>CHOOSE( CONTROL!$C$29, 5.0052, 4.9984) * CHOOSE( CONTROL!$C$12, $D$4, 100%, $F$4)</f>
        <v>4.9984000000000002</v>
      </c>
      <c r="H170" s="4">
        <f>CHOOSE( CONTROL!$C$29, 5.9028, 5.8961) * CHOOSE(CONTROL!$C$12, $D$4, 100%, $F$4)</f>
        <v>5.8960999999999997</v>
      </c>
      <c r="I170" s="8">
        <f>CHOOSE( CONTROL!$C$29, 4.9677, 4.961) * CHOOSE(CONTROL!$C$12, $D$4, 100%, $F$4)</f>
        <v>4.9610000000000003</v>
      </c>
      <c r="J170" s="4">
        <f>CHOOSE( CONTROL!$C$29, 4.9385, 4.9319) * CHOOSE(CONTROL!$C$12, $D$4, 100%, $F$4)</f>
        <v>4.9318999999999997</v>
      </c>
      <c r="K170" s="4"/>
      <c r="L170" s="9">
        <v>29.520499999999998</v>
      </c>
      <c r="M170" s="9">
        <v>12.063700000000001</v>
      </c>
      <c r="N170" s="9">
        <v>4.9444999999999997</v>
      </c>
      <c r="O170" s="9">
        <v>0.37459999999999999</v>
      </c>
      <c r="P170" s="9">
        <v>1.2192000000000001</v>
      </c>
      <c r="Q170" s="9">
        <v>31.517700000000001</v>
      </c>
      <c r="R170" s="9"/>
      <c r="S170" s="11"/>
    </row>
    <row r="171" spans="1:19" ht="15.6">
      <c r="A171" s="13">
        <v>47270</v>
      </c>
      <c r="B171" s="8">
        <f>CHOOSE( CONTROL!$C$29, 5.0156, 5.0088) * CHOOSE(CONTROL!$C$12, $D$4, 100%, $F$4)</f>
        <v>5.0087999999999999</v>
      </c>
      <c r="C171" s="8">
        <f>CHOOSE( CONTROL!$C$29, 5.026, 5.0191) * CHOOSE(CONTROL!$C$12, $D$4, 100%, $F$4)</f>
        <v>5.0190999999999999</v>
      </c>
      <c r="D171" s="8">
        <f>CHOOSE( CONTROL!$C$29, 5.0007, 4.9939) * CHOOSE( CONTROL!$C$12, $D$4, 100%, $F$4)</f>
        <v>4.9939</v>
      </c>
      <c r="E171" s="12">
        <f>CHOOSE( CONTROL!$C$29, 5.0083, 5.0015) * CHOOSE( CONTROL!$C$12, $D$4, 100%, $F$4)</f>
        <v>5.0015000000000001</v>
      </c>
      <c r="F171" s="4">
        <f>CHOOSE( CONTROL!$C$29, 5.9798, 5.9729) * CHOOSE(CONTROL!$C$12, $D$4, 100%, $F$4)</f>
        <v>5.9729000000000001</v>
      </c>
      <c r="G171" s="8">
        <f>CHOOSE( CONTROL!$C$29, 4.9232, 4.9165) * CHOOSE( CONTROL!$C$12, $D$4, 100%, $F$4)</f>
        <v>4.9165000000000001</v>
      </c>
      <c r="H171" s="4">
        <f>CHOOSE( CONTROL!$C$29, 5.812, 5.8052) * CHOOSE(CONTROL!$C$12, $D$4, 100%, $F$4)</f>
        <v>5.8052000000000001</v>
      </c>
      <c r="I171" s="8">
        <f>CHOOSE( CONTROL!$C$29, 4.8905, 4.8839) * CHOOSE(CONTROL!$C$12, $D$4, 100%, $F$4)</f>
        <v>4.8838999999999997</v>
      </c>
      <c r="J171" s="4">
        <f>CHOOSE( CONTROL!$C$29, 4.8592, 4.8526) * CHOOSE(CONTROL!$C$12, $D$4, 100%, $F$4)</f>
        <v>4.8525999999999998</v>
      </c>
      <c r="K171" s="4"/>
      <c r="L171" s="9">
        <v>28.568200000000001</v>
      </c>
      <c r="M171" s="9">
        <v>11.6745</v>
      </c>
      <c r="N171" s="9">
        <v>4.7850000000000001</v>
      </c>
      <c r="O171" s="9">
        <v>0.36249999999999999</v>
      </c>
      <c r="P171" s="9">
        <v>1.1798</v>
      </c>
      <c r="Q171" s="9">
        <v>30.501000000000001</v>
      </c>
      <c r="R171" s="9"/>
      <c r="S171" s="11"/>
    </row>
    <row r="172" spans="1:19" ht="15.6">
      <c r="A172" s="13">
        <v>47300</v>
      </c>
      <c r="B172" s="8">
        <f>CHOOSE( CONTROL!$C$29, 5.2311, 5.2243) * CHOOSE(CONTROL!$C$12, $D$4, 100%, $F$4)</f>
        <v>5.2243000000000004</v>
      </c>
      <c r="C172" s="8">
        <f>CHOOSE( CONTROL!$C$29, 5.2415, 5.2346) * CHOOSE(CONTROL!$C$12, $D$4, 100%, $F$4)</f>
        <v>5.2346000000000004</v>
      </c>
      <c r="D172" s="8">
        <f>CHOOSE( CONTROL!$C$29, 5.2496, 5.2428) * CHOOSE( CONTROL!$C$12, $D$4, 100%, $F$4)</f>
        <v>5.2427999999999999</v>
      </c>
      <c r="E172" s="12">
        <f>CHOOSE( CONTROL!$C$29, 5.2451, 5.2383) * CHOOSE( CONTROL!$C$12, $D$4, 100%, $F$4)</f>
        <v>5.2382999999999997</v>
      </c>
      <c r="F172" s="4">
        <f>CHOOSE( CONTROL!$C$29, 6.2402, 6.2333) * CHOOSE(CONTROL!$C$12, $D$4, 100%, $F$4)</f>
        <v>6.2332999999999998</v>
      </c>
      <c r="G172" s="8">
        <f>CHOOSE( CONTROL!$C$29, 5.1617, 5.155) * CHOOSE( CONTROL!$C$12, $D$4, 100%, $F$4)</f>
        <v>5.1550000000000002</v>
      </c>
      <c r="H172" s="4">
        <f>CHOOSE( CONTROL!$C$29, 6.0686, 6.0619) * CHOOSE(CONTROL!$C$12, $D$4, 100%, $F$4)</f>
        <v>6.0618999999999996</v>
      </c>
      <c r="I172" s="8">
        <f>CHOOSE( CONTROL!$C$29, 5.1547, 5.1481) * CHOOSE(CONTROL!$C$12, $D$4, 100%, $F$4)</f>
        <v>5.1481000000000003</v>
      </c>
      <c r="J172" s="4">
        <f>CHOOSE( CONTROL!$C$29, 5.068, 5.0614) * CHOOSE(CONTROL!$C$12, $D$4, 100%, $F$4)</f>
        <v>5.0613999999999999</v>
      </c>
      <c r="K172" s="4"/>
      <c r="L172" s="9">
        <v>29.520499999999998</v>
      </c>
      <c r="M172" s="9">
        <v>12.063700000000001</v>
      </c>
      <c r="N172" s="9">
        <v>4.9444999999999997</v>
      </c>
      <c r="O172" s="9">
        <v>0.37459999999999999</v>
      </c>
      <c r="P172" s="9">
        <v>1.2192000000000001</v>
      </c>
      <c r="Q172" s="9">
        <v>31.517700000000001</v>
      </c>
      <c r="R172" s="9"/>
      <c r="S172" s="11"/>
    </row>
    <row r="173" spans="1:19" ht="15.6">
      <c r="A173" s="13">
        <v>47331</v>
      </c>
      <c r="B173" s="8">
        <f>CHOOSE( CONTROL!$C$29, 4.8279, 4.8211) * CHOOSE(CONTROL!$C$12, $D$4, 100%, $F$4)</f>
        <v>4.8211000000000004</v>
      </c>
      <c r="C173" s="8">
        <f>CHOOSE( CONTROL!$C$29, 4.8383, 4.8314) * CHOOSE(CONTROL!$C$12, $D$4, 100%, $F$4)</f>
        <v>4.8314000000000004</v>
      </c>
      <c r="D173" s="8">
        <f>CHOOSE( CONTROL!$C$29, 4.8397, 4.8329) * CHOOSE( CONTROL!$C$12, $D$4, 100%, $F$4)</f>
        <v>4.8329000000000004</v>
      </c>
      <c r="E173" s="12">
        <f>CHOOSE( CONTROL!$C$29, 4.8376, 4.8308) * CHOOSE( CONTROL!$C$12, $D$4, 100%, $F$4)</f>
        <v>4.8308</v>
      </c>
      <c r="F173" s="4">
        <f>CHOOSE( CONTROL!$C$29, 5.8344, 5.8275) * CHOOSE(CONTROL!$C$12, $D$4, 100%, $F$4)</f>
        <v>5.8274999999999997</v>
      </c>
      <c r="G173" s="8">
        <f>CHOOSE( CONTROL!$C$29, 4.7543, 4.7476) * CHOOSE( CONTROL!$C$12, $D$4, 100%, $F$4)</f>
        <v>4.7476000000000003</v>
      </c>
      <c r="H173" s="4">
        <f>CHOOSE( CONTROL!$C$29, 5.6686, 5.6619) * CHOOSE(CONTROL!$C$12, $D$4, 100%, $F$4)</f>
        <v>5.6619000000000002</v>
      </c>
      <c r="I173" s="8">
        <f>CHOOSE( CONTROL!$C$29, 4.7449, 4.7383) * CHOOSE(CONTROL!$C$12, $D$4, 100%, $F$4)</f>
        <v>4.7382999999999997</v>
      </c>
      <c r="J173" s="4">
        <f>CHOOSE( CONTROL!$C$29, 4.6773, 4.6707) * CHOOSE(CONTROL!$C$12, $D$4, 100%, $F$4)</f>
        <v>4.6707000000000001</v>
      </c>
      <c r="K173" s="4"/>
      <c r="L173" s="9">
        <v>29.520499999999998</v>
      </c>
      <c r="M173" s="9">
        <v>12.063700000000001</v>
      </c>
      <c r="N173" s="9">
        <v>4.9444999999999997</v>
      </c>
      <c r="O173" s="9">
        <v>0.37459999999999999</v>
      </c>
      <c r="P173" s="9">
        <v>1.2192000000000001</v>
      </c>
      <c r="Q173" s="9">
        <v>31.517700000000001</v>
      </c>
      <c r="R173" s="9"/>
      <c r="S173" s="11"/>
    </row>
    <row r="174" spans="1:19" ht="15.6">
      <c r="A174" s="13">
        <v>47362</v>
      </c>
      <c r="B174" s="8">
        <f>CHOOSE( CONTROL!$C$29, 4.727, 4.7201) * CHOOSE(CONTROL!$C$12, $D$4, 100%, $F$4)</f>
        <v>4.7201000000000004</v>
      </c>
      <c r="C174" s="8">
        <f>CHOOSE( CONTROL!$C$29, 4.7373, 4.7304) * CHOOSE(CONTROL!$C$12, $D$4, 100%, $F$4)</f>
        <v>4.7304000000000004</v>
      </c>
      <c r="D174" s="8">
        <f>CHOOSE( CONTROL!$C$29, 4.742, 4.7351) * CHOOSE( CONTROL!$C$12, $D$4, 100%, $F$4)</f>
        <v>4.7351000000000001</v>
      </c>
      <c r="E174" s="12">
        <f>CHOOSE( CONTROL!$C$29, 4.7387, 4.7318) * CHOOSE( CONTROL!$C$12, $D$4, 100%, $F$4)</f>
        <v>4.7317999999999998</v>
      </c>
      <c r="F174" s="4">
        <f>CHOOSE( CONTROL!$C$29, 5.7386, 5.7317) * CHOOSE(CONTROL!$C$12, $D$4, 100%, $F$4)</f>
        <v>5.7317</v>
      </c>
      <c r="G174" s="8">
        <f>CHOOSE( CONTROL!$C$29, 4.6568, 4.6501) * CHOOSE( CONTROL!$C$12, $D$4, 100%, $F$4)</f>
        <v>4.6501000000000001</v>
      </c>
      <c r="H174" s="4">
        <f>CHOOSE( CONTROL!$C$29, 5.5742, 5.5675) * CHOOSE(CONTROL!$C$12, $D$4, 100%, $F$4)</f>
        <v>5.5674999999999999</v>
      </c>
      <c r="I174" s="8">
        <f>CHOOSE( CONTROL!$C$29, 4.6548, 4.6482) * CHOOSE(CONTROL!$C$12, $D$4, 100%, $F$4)</f>
        <v>4.6482000000000001</v>
      </c>
      <c r="J174" s="4">
        <f>CHOOSE( CONTROL!$C$29, 4.5795, 4.5729) * CHOOSE(CONTROL!$C$12, $D$4, 100%, $F$4)</f>
        <v>4.5728999999999997</v>
      </c>
      <c r="K174" s="4"/>
      <c r="L174" s="9">
        <v>28.568200000000001</v>
      </c>
      <c r="M174" s="9">
        <v>11.6745</v>
      </c>
      <c r="N174" s="9">
        <v>4.7850000000000001</v>
      </c>
      <c r="O174" s="9">
        <v>0.36249999999999999</v>
      </c>
      <c r="P174" s="9">
        <v>1.1798</v>
      </c>
      <c r="Q174" s="9">
        <v>30.501000000000001</v>
      </c>
      <c r="R174" s="9"/>
      <c r="S174" s="11"/>
    </row>
    <row r="175" spans="1:19" ht="15.6">
      <c r="A175" s="13">
        <v>47392</v>
      </c>
      <c r="B175" s="8">
        <f>4.9298 * CHOOSE(CONTROL!$C$12, $D$4, 100%, $F$4)</f>
        <v>4.9298000000000002</v>
      </c>
      <c r="C175" s="8">
        <f>4.9401 * CHOOSE(CONTROL!$C$12, $D$4, 100%, $F$4)</f>
        <v>4.9401000000000002</v>
      </c>
      <c r="D175" s="8">
        <f>4.9351 * CHOOSE( CONTROL!$C$12, $D$4, 100%, $F$4)</f>
        <v>4.9351000000000003</v>
      </c>
      <c r="E175" s="12">
        <f>4.9357 * CHOOSE( CONTROL!$C$12, $D$4, 100%, $F$4)</f>
        <v>4.9356999999999998</v>
      </c>
      <c r="F175" s="4">
        <f>5.9207 * CHOOSE(CONTROL!$C$12, $D$4, 100%, $F$4)</f>
        <v>5.9207000000000001</v>
      </c>
      <c r="G175" s="8">
        <f>4.8535 * CHOOSE( CONTROL!$C$12, $D$4, 100%, $F$4)</f>
        <v>4.8535000000000004</v>
      </c>
      <c r="H175" s="4">
        <f>5.7538 * CHOOSE(CONTROL!$C$12, $D$4, 100%, $F$4)</f>
        <v>5.7538</v>
      </c>
      <c r="I175" s="8">
        <f>4.8553 * CHOOSE(CONTROL!$C$12, $D$4, 100%, $F$4)</f>
        <v>4.8552999999999997</v>
      </c>
      <c r="J175" s="4">
        <f>4.776 * CHOOSE(CONTROL!$C$12, $D$4, 100%, $F$4)</f>
        <v>4.7759999999999998</v>
      </c>
      <c r="K175" s="4"/>
      <c r="L175" s="9">
        <v>28.921800000000001</v>
      </c>
      <c r="M175" s="9">
        <v>12.063700000000001</v>
      </c>
      <c r="N175" s="9">
        <v>4.9444999999999997</v>
      </c>
      <c r="O175" s="9">
        <v>0.37459999999999999</v>
      </c>
      <c r="P175" s="9">
        <v>1.2192000000000001</v>
      </c>
      <c r="Q175" s="9">
        <v>31.517700000000001</v>
      </c>
      <c r="R175" s="9"/>
      <c r="S175" s="11"/>
    </row>
    <row r="176" spans="1:19" ht="15.6">
      <c r="A176" s="13">
        <v>47423</v>
      </c>
      <c r="B176" s="8">
        <f>5.3167 * CHOOSE(CONTROL!$C$12, $D$4, 100%, $F$4)</f>
        <v>5.3167</v>
      </c>
      <c r="C176" s="8">
        <f>5.327 * CHOOSE(CONTROL!$C$12, $D$4, 100%, $F$4)</f>
        <v>5.327</v>
      </c>
      <c r="D176" s="8">
        <f>5.2864 * CHOOSE( CONTROL!$C$12, $D$4, 100%, $F$4)</f>
        <v>5.2864000000000004</v>
      </c>
      <c r="E176" s="12">
        <f>5.3001 * CHOOSE( CONTROL!$C$12, $D$4, 100%, $F$4)</f>
        <v>5.3000999999999996</v>
      </c>
      <c r="F176" s="4">
        <f>6.2938 * CHOOSE(CONTROL!$C$12, $D$4, 100%, $F$4)</f>
        <v>6.2938000000000001</v>
      </c>
      <c r="G176" s="8">
        <f>5.2289 * CHOOSE( CONTROL!$C$12, $D$4, 100%, $F$4)</f>
        <v>5.2289000000000003</v>
      </c>
      <c r="H176" s="4">
        <f>6.1215 * CHOOSE(CONTROL!$C$12, $D$4, 100%, $F$4)</f>
        <v>6.1215000000000002</v>
      </c>
      <c r="I176" s="8">
        <f>5.2147 * CHOOSE(CONTROL!$C$12, $D$4, 100%, $F$4)</f>
        <v>5.2146999999999997</v>
      </c>
      <c r="J176" s="4">
        <f>5.151 * CHOOSE(CONTROL!$C$12, $D$4, 100%, $F$4)</f>
        <v>5.1509999999999998</v>
      </c>
      <c r="K176" s="4"/>
      <c r="L176" s="9">
        <v>26.515499999999999</v>
      </c>
      <c r="M176" s="9">
        <v>11.6745</v>
      </c>
      <c r="N176" s="9">
        <v>4.7850000000000001</v>
      </c>
      <c r="O176" s="9">
        <v>0.36249999999999999</v>
      </c>
      <c r="P176" s="9">
        <v>1.2522</v>
      </c>
      <c r="Q176" s="9">
        <v>30.501000000000001</v>
      </c>
      <c r="R176" s="9"/>
      <c r="S176" s="11"/>
    </row>
    <row r="177" spans="1:19" ht="15.6">
      <c r="A177" s="13">
        <v>47453</v>
      </c>
      <c r="B177" s="8">
        <f>5.3071 * CHOOSE(CONTROL!$C$12, $D$4, 100%, $F$4)</f>
        <v>5.3071000000000002</v>
      </c>
      <c r="C177" s="8">
        <f>5.3174 * CHOOSE(CONTROL!$C$12, $D$4, 100%, $F$4)</f>
        <v>5.3174000000000001</v>
      </c>
      <c r="D177" s="8">
        <f>5.2786 * CHOOSE( CONTROL!$C$12, $D$4, 100%, $F$4)</f>
        <v>5.2786</v>
      </c>
      <c r="E177" s="12">
        <f>5.2917 * CHOOSE( CONTROL!$C$12, $D$4, 100%, $F$4)</f>
        <v>5.2916999999999996</v>
      </c>
      <c r="F177" s="4">
        <f>6.2774 * CHOOSE(CONTROL!$C$12, $D$4, 100%, $F$4)</f>
        <v>6.2774000000000001</v>
      </c>
      <c r="G177" s="8">
        <f>5.2218 * CHOOSE( CONTROL!$C$12, $D$4, 100%, $F$4)</f>
        <v>5.2218</v>
      </c>
      <c r="H177" s="4">
        <f>6.1053 * CHOOSE(CONTROL!$C$12, $D$4, 100%, $F$4)</f>
        <v>6.1052999999999997</v>
      </c>
      <c r="I177" s="8">
        <f>5.2161 * CHOOSE(CONTROL!$C$12, $D$4, 100%, $F$4)</f>
        <v>5.2161</v>
      </c>
      <c r="J177" s="4">
        <f>5.1416 * CHOOSE(CONTROL!$C$12, $D$4, 100%, $F$4)</f>
        <v>5.1416000000000004</v>
      </c>
      <c r="K177" s="4"/>
      <c r="L177" s="9">
        <v>27.3993</v>
      </c>
      <c r="M177" s="9">
        <v>12.063700000000001</v>
      </c>
      <c r="N177" s="9">
        <v>4.9444999999999997</v>
      </c>
      <c r="O177" s="9">
        <v>0.37459999999999999</v>
      </c>
      <c r="P177" s="9">
        <v>1.2939000000000001</v>
      </c>
      <c r="Q177" s="9">
        <v>31.517700000000001</v>
      </c>
      <c r="R177" s="9"/>
      <c r="S177" s="11"/>
    </row>
    <row r="178" spans="1:19" ht="15.6">
      <c r="A178" s="13">
        <v>47484</v>
      </c>
      <c r="B178" s="8">
        <f>5.4901 * CHOOSE(CONTROL!$C$12, $D$4, 100%, $F$4)</f>
        <v>5.4901</v>
      </c>
      <c r="C178" s="8">
        <f>5.5005 * CHOOSE(CONTROL!$C$12, $D$4, 100%, $F$4)</f>
        <v>5.5004999999999997</v>
      </c>
      <c r="D178" s="8">
        <f>5.5003 * CHOOSE( CONTROL!$C$12, $D$4, 100%, $F$4)</f>
        <v>5.5003000000000002</v>
      </c>
      <c r="E178" s="12">
        <f>5.4993 * CHOOSE( CONTROL!$C$12, $D$4, 100%, $F$4)</f>
        <v>5.4992999999999999</v>
      </c>
      <c r="F178" s="4">
        <f>6.5121 * CHOOSE(CONTROL!$C$12, $D$4, 100%, $F$4)</f>
        <v>6.5121000000000002</v>
      </c>
      <c r="G178" s="8">
        <f>5.4432 * CHOOSE( CONTROL!$C$12, $D$4, 100%, $F$4)</f>
        <v>5.4432</v>
      </c>
      <c r="H178" s="4">
        <f>6.3367 * CHOOSE(CONTROL!$C$12, $D$4, 100%, $F$4)</f>
        <v>6.3367000000000004</v>
      </c>
      <c r="I178" s="8">
        <f>5.4302 * CHOOSE(CONTROL!$C$12, $D$4, 100%, $F$4)</f>
        <v>5.4302000000000001</v>
      </c>
      <c r="J178" s="4">
        <f>5.319 * CHOOSE(CONTROL!$C$12, $D$4, 100%, $F$4)</f>
        <v>5.319</v>
      </c>
      <c r="K178" s="4"/>
      <c r="L178" s="9">
        <v>27.3993</v>
      </c>
      <c r="M178" s="9">
        <v>12.063700000000001</v>
      </c>
      <c r="N178" s="9">
        <v>4.9444999999999997</v>
      </c>
      <c r="O178" s="9">
        <v>0.37459999999999999</v>
      </c>
      <c r="P178" s="9">
        <v>1.2939000000000001</v>
      </c>
      <c r="Q178" s="9">
        <v>31.333600000000001</v>
      </c>
      <c r="R178" s="9"/>
      <c r="S178" s="11"/>
    </row>
    <row r="179" spans="1:19" ht="15.6">
      <c r="A179" s="13">
        <v>47515</v>
      </c>
      <c r="B179" s="8">
        <f>5.1353 * CHOOSE(CONTROL!$C$12, $D$4, 100%, $F$4)</f>
        <v>5.1353</v>
      </c>
      <c r="C179" s="8">
        <f>5.1456 * CHOOSE(CONTROL!$C$12, $D$4, 100%, $F$4)</f>
        <v>5.1456</v>
      </c>
      <c r="D179" s="8">
        <f>5.1477 * CHOOSE( CONTROL!$C$12, $D$4, 100%, $F$4)</f>
        <v>5.1477000000000004</v>
      </c>
      <c r="E179" s="12">
        <f>5.1458 * CHOOSE( CONTROL!$C$12, $D$4, 100%, $F$4)</f>
        <v>5.1458000000000004</v>
      </c>
      <c r="F179" s="4">
        <f>6.1495 * CHOOSE(CONTROL!$C$12, $D$4, 100%, $F$4)</f>
        <v>6.1494999999999997</v>
      </c>
      <c r="G179" s="8">
        <f>5.0933 * CHOOSE( CONTROL!$C$12, $D$4, 100%, $F$4)</f>
        <v>5.0933000000000002</v>
      </c>
      <c r="H179" s="4">
        <f>5.9792 * CHOOSE(CONTROL!$C$12, $D$4, 100%, $F$4)</f>
        <v>5.9791999999999996</v>
      </c>
      <c r="I179" s="8">
        <f>5.0753 * CHOOSE(CONTROL!$C$12, $D$4, 100%, $F$4)</f>
        <v>5.0753000000000004</v>
      </c>
      <c r="J179" s="4">
        <f>4.9751 * CHOOSE(CONTROL!$C$12, $D$4, 100%, $F$4)</f>
        <v>4.9751000000000003</v>
      </c>
      <c r="K179" s="4"/>
      <c r="L179" s="9">
        <v>24.747800000000002</v>
      </c>
      <c r="M179" s="9">
        <v>10.8962</v>
      </c>
      <c r="N179" s="9">
        <v>4.4660000000000002</v>
      </c>
      <c r="O179" s="9">
        <v>0.33829999999999999</v>
      </c>
      <c r="P179" s="9">
        <v>1.1687000000000001</v>
      </c>
      <c r="Q179" s="9">
        <v>28.301300000000001</v>
      </c>
      <c r="R179" s="9"/>
      <c r="S179" s="11"/>
    </row>
    <row r="180" spans="1:19" ht="15.6">
      <c r="A180" s="13">
        <v>47543</v>
      </c>
      <c r="B180" s="8">
        <f>5.026 * CHOOSE(CONTROL!$C$12, $D$4, 100%, $F$4)</f>
        <v>5.0259999999999998</v>
      </c>
      <c r="C180" s="8">
        <f>5.0363 * CHOOSE(CONTROL!$C$12, $D$4, 100%, $F$4)</f>
        <v>5.0362999999999998</v>
      </c>
      <c r="D180" s="8">
        <f>5.0185 * CHOOSE( CONTROL!$C$12, $D$4, 100%, $F$4)</f>
        <v>5.0185000000000004</v>
      </c>
      <c r="E180" s="12">
        <f>5.0239 * CHOOSE( CONTROL!$C$12, $D$4, 100%, $F$4)</f>
        <v>5.0239000000000003</v>
      </c>
      <c r="F180" s="4">
        <f>6.0242 * CHOOSE(CONTROL!$C$12, $D$4, 100%, $F$4)</f>
        <v>6.0242000000000004</v>
      </c>
      <c r="G180" s="8">
        <f>4.965 * CHOOSE( CONTROL!$C$12, $D$4, 100%, $F$4)</f>
        <v>4.9649999999999999</v>
      </c>
      <c r="H180" s="4">
        <f>5.8557 * CHOOSE(CONTROL!$C$12, $D$4, 100%, $F$4)</f>
        <v>5.8556999999999997</v>
      </c>
      <c r="I180" s="8">
        <f>4.9298 * CHOOSE(CONTROL!$C$12, $D$4, 100%, $F$4)</f>
        <v>4.9298000000000002</v>
      </c>
      <c r="J180" s="4">
        <f>4.8692 * CHOOSE(CONTROL!$C$12, $D$4, 100%, $F$4)</f>
        <v>4.8692000000000002</v>
      </c>
      <c r="K180" s="4"/>
      <c r="L180" s="9">
        <v>27.3993</v>
      </c>
      <c r="M180" s="9">
        <v>12.063700000000001</v>
      </c>
      <c r="N180" s="9">
        <v>4.9444999999999997</v>
      </c>
      <c r="O180" s="9">
        <v>0.37459999999999999</v>
      </c>
      <c r="P180" s="9">
        <v>1.2939000000000001</v>
      </c>
      <c r="Q180" s="9">
        <v>31.333600000000001</v>
      </c>
      <c r="R180" s="9"/>
      <c r="S180" s="11"/>
    </row>
    <row r="181" spans="1:19" ht="15.6">
      <c r="A181" s="13">
        <v>47574</v>
      </c>
      <c r="B181" s="8">
        <f>5.1024 * CHOOSE(CONTROL!$C$12, $D$4, 100%, $F$4)</f>
        <v>5.1024000000000003</v>
      </c>
      <c r="C181" s="8">
        <f>5.1127 * CHOOSE(CONTROL!$C$12, $D$4, 100%, $F$4)</f>
        <v>5.1127000000000002</v>
      </c>
      <c r="D181" s="8">
        <f>5.1177 * CHOOSE( CONTROL!$C$12, $D$4, 100%, $F$4)</f>
        <v>5.1177000000000001</v>
      </c>
      <c r="E181" s="12">
        <f>5.1149 * CHOOSE( CONTROL!$C$12, $D$4, 100%, $F$4)</f>
        <v>5.1148999999999996</v>
      </c>
      <c r="F181" s="4">
        <f>6.1088 * CHOOSE(CONTROL!$C$12, $D$4, 100%, $F$4)</f>
        <v>6.1087999999999996</v>
      </c>
      <c r="G181" s="8">
        <f>5.0282 * CHOOSE( CONTROL!$C$12, $D$4, 100%, $F$4)</f>
        <v>5.0282</v>
      </c>
      <c r="H181" s="4">
        <f>5.9392 * CHOOSE(CONTROL!$C$12, $D$4, 100%, $F$4)</f>
        <v>5.9391999999999996</v>
      </c>
      <c r="I181" s="8">
        <f>4.9939 * CHOOSE(CONTROL!$C$12, $D$4, 100%, $F$4)</f>
        <v>4.9939</v>
      </c>
      <c r="J181" s="4">
        <f>4.9432 * CHOOSE(CONTROL!$C$12, $D$4, 100%, $F$4)</f>
        <v>4.9432</v>
      </c>
      <c r="K181" s="4"/>
      <c r="L181" s="9">
        <v>27.988800000000001</v>
      </c>
      <c r="M181" s="9">
        <v>11.6745</v>
      </c>
      <c r="N181" s="9">
        <v>4.7850000000000001</v>
      </c>
      <c r="O181" s="9">
        <v>0.36249999999999999</v>
      </c>
      <c r="P181" s="9">
        <v>1.1798</v>
      </c>
      <c r="Q181" s="9">
        <v>30.322800000000001</v>
      </c>
      <c r="R181" s="9"/>
      <c r="S181" s="11"/>
    </row>
    <row r="182" spans="1:19" ht="15.6">
      <c r="A182" s="13">
        <v>47604</v>
      </c>
      <c r="B182" s="8">
        <f>CHOOSE( CONTROL!$C$29, 5.2451, 5.2383) * CHOOSE(CONTROL!$C$12, $D$4, 100%, $F$4)</f>
        <v>5.2382999999999997</v>
      </c>
      <c r="C182" s="8">
        <f>CHOOSE( CONTROL!$C$29, 5.2554, 5.2486) * CHOOSE(CONTROL!$C$12, $D$4, 100%, $F$4)</f>
        <v>5.2485999999999997</v>
      </c>
      <c r="D182" s="8">
        <f>CHOOSE( CONTROL!$C$29, 5.2357, 5.2289) * CHOOSE( CONTROL!$C$12, $D$4, 100%, $F$4)</f>
        <v>5.2289000000000003</v>
      </c>
      <c r="E182" s="12">
        <f>CHOOSE( CONTROL!$C$29, 5.2413, 5.2345) * CHOOSE( CONTROL!$C$12, $D$4, 100%, $F$4)</f>
        <v>5.2344999999999997</v>
      </c>
      <c r="F182" s="4">
        <f>CHOOSE( CONTROL!$C$29, 6.2196, 6.2127) * CHOOSE(CONTROL!$C$12, $D$4, 100%, $F$4)</f>
        <v>6.2126999999999999</v>
      </c>
      <c r="G182" s="8">
        <f>CHOOSE( CONTROL!$C$29, 5.1507, 5.144) * CHOOSE( CONTROL!$C$12, $D$4, 100%, $F$4)</f>
        <v>5.1440000000000001</v>
      </c>
      <c r="H182" s="4">
        <f>CHOOSE( CONTROL!$C$29, 6.0484, 6.0416) * CHOOSE(CONTROL!$C$12, $D$4, 100%, $F$4)</f>
        <v>6.0415999999999999</v>
      </c>
      <c r="I182" s="8">
        <f>CHOOSE( CONTROL!$C$29, 5.1108, 5.1042) * CHOOSE(CONTROL!$C$12, $D$4, 100%, $F$4)</f>
        <v>5.1041999999999996</v>
      </c>
      <c r="J182" s="4">
        <f>CHOOSE( CONTROL!$C$29, 5.0816, 5.0749) * CHOOSE(CONTROL!$C$12, $D$4, 100%, $F$4)</f>
        <v>5.0749000000000004</v>
      </c>
      <c r="K182" s="4"/>
      <c r="L182" s="9">
        <v>29.520499999999998</v>
      </c>
      <c r="M182" s="9">
        <v>12.063700000000001</v>
      </c>
      <c r="N182" s="9">
        <v>4.9444999999999997</v>
      </c>
      <c r="O182" s="9">
        <v>0.37459999999999999</v>
      </c>
      <c r="P182" s="9">
        <v>1.2192000000000001</v>
      </c>
      <c r="Q182" s="9">
        <v>31.333600000000001</v>
      </c>
      <c r="R182" s="9"/>
      <c r="S182" s="11"/>
    </row>
    <row r="183" spans="1:19" ht="15.6">
      <c r="A183" s="13">
        <v>47635</v>
      </c>
      <c r="B183" s="8">
        <f>CHOOSE( CONTROL!$C$29, 5.1609, 5.1541) * CHOOSE(CONTROL!$C$12, $D$4, 100%, $F$4)</f>
        <v>5.1540999999999997</v>
      </c>
      <c r="C183" s="8">
        <f>CHOOSE( CONTROL!$C$29, 5.1712, 5.1644) * CHOOSE(CONTROL!$C$12, $D$4, 100%, $F$4)</f>
        <v>5.1643999999999997</v>
      </c>
      <c r="D183" s="8">
        <f>CHOOSE( CONTROL!$C$29, 5.146, 5.1391) * CHOOSE( CONTROL!$C$12, $D$4, 100%, $F$4)</f>
        <v>5.1391</v>
      </c>
      <c r="E183" s="12">
        <f>CHOOSE( CONTROL!$C$29, 5.1536, 5.1467) * CHOOSE( CONTROL!$C$12, $D$4, 100%, $F$4)</f>
        <v>5.1467000000000001</v>
      </c>
      <c r="F183" s="4">
        <f>CHOOSE( CONTROL!$C$29, 6.125, 6.1182) * CHOOSE(CONTROL!$C$12, $D$4, 100%, $F$4)</f>
        <v>6.1181999999999999</v>
      </c>
      <c r="G183" s="8">
        <f>CHOOSE( CONTROL!$C$29, 5.0664, 5.0597) * CHOOSE( CONTROL!$C$12, $D$4, 100%, $F$4)</f>
        <v>5.0597000000000003</v>
      </c>
      <c r="H183" s="4">
        <f>CHOOSE( CONTROL!$C$29, 5.9552, 5.9484) * CHOOSE(CONTROL!$C$12, $D$4, 100%, $F$4)</f>
        <v>5.9484000000000004</v>
      </c>
      <c r="I183" s="8">
        <f>CHOOSE( CONTROL!$C$29, 5.0313, 5.0247) * CHOOSE(CONTROL!$C$12, $D$4, 100%, $F$4)</f>
        <v>5.0247000000000002</v>
      </c>
      <c r="J183" s="4">
        <f>CHOOSE( CONTROL!$C$29, 5, 4.9934) * CHOOSE(CONTROL!$C$12, $D$4, 100%, $F$4)</f>
        <v>4.9934000000000003</v>
      </c>
      <c r="K183" s="4"/>
      <c r="L183" s="9">
        <v>28.568200000000001</v>
      </c>
      <c r="M183" s="9">
        <v>11.6745</v>
      </c>
      <c r="N183" s="9">
        <v>4.7850000000000001</v>
      </c>
      <c r="O183" s="9">
        <v>0.36249999999999999</v>
      </c>
      <c r="P183" s="9">
        <v>1.1798</v>
      </c>
      <c r="Q183" s="9">
        <v>30.322800000000001</v>
      </c>
      <c r="R183" s="9"/>
      <c r="S183" s="11"/>
    </row>
    <row r="184" spans="1:19" ht="15.6">
      <c r="A184" s="13">
        <v>47665</v>
      </c>
      <c r="B184" s="8">
        <f>CHOOSE( CONTROL!$C$29, 5.3827, 5.3758) * CHOOSE(CONTROL!$C$12, $D$4, 100%, $F$4)</f>
        <v>5.3757999999999999</v>
      </c>
      <c r="C184" s="8">
        <f>CHOOSE( CONTROL!$C$29, 5.393, 5.3861) * CHOOSE(CONTROL!$C$12, $D$4, 100%, $F$4)</f>
        <v>5.3860999999999999</v>
      </c>
      <c r="D184" s="8">
        <f>CHOOSE( CONTROL!$C$29, 5.4011, 5.3943) * CHOOSE( CONTROL!$C$12, $D$4, 100%, $F$4)</f>
        <v>5.3943000000000003</v>
      </c>
      <c r="E184" s="12">
        <f>CHOOSE( CONTROL!$C$29, 5.3966, 5.3898) * CHOOSE( CONTROL!$C$12, $D$4, 100%, $F$4)</f>
        <v>5.3898000000000001</v>
      </c>
      <c r="F184" s="4">
        <f>CHOOSE( CONTROL!$C$29, 6.3917, 6.3848) * CHOOSE(CONTROL!$C$12, $D$4, 100%, $F$4)</f>
        <v>6.3848000000000003</v>
      </c>
      <c r="G184" s="8">
        <f>CHOOSE( CONTROL!$C$29, 5.3111, 5.3043) * CHOOSE( CONTROL!$C$12, $D$4, 100%, $F$4)</f>
        <v>5.3042999999999996</v>
      </c>
      <c r="H184" s="4">
        <f>CHOOSE( CONTROL!$C$29, 6.218, 6.2113) * CHOOSE(CONTROL!$C$12, $D$4, 100%, $F$4)</f>
        <v>6.2112999999999996</v>
      </c>
      <c r="I184" s="8">
        <f>CHOOSE( CONTROL!$C$29, 5.3016, 5.295) * CHOOSE(CONTROL!$C$12, $D$4, 100%, $F$4)</f>
        <v>5.2949999999999999</v>
      </c>
      <c r="J184" s="4">
        <f>CHOOSE( CONTROL!$C$29, 5.2148, 5.2082) * CHOOSE(CONTROL!$C$12, $D$4, 100%, $F$4)</f>
        <v>5.2081999999999997</v>
      </c>
      <c r="K184" s="4"/>
      <c r="L184" s="9">
        <v>29.520499999999998</v>
      </c>
      <c r="M184" s="9">
        <v>12.063700000000001</v>
      </c>
      <c r="N184" s="9">
        <v>4.9444999999999997</v>
      </c>
      <c r="O184" s="9">
        <v>0.37459999999999999</v>
      </c>
      <c r="P184" s="9">
        <v>1.2192000000000001</v>
      </c>
      <c r="Q184" s="9">
        <v>31.333600000000001</v>
      </c>
      <c r="R184" s="9"/>
      <c r="S184" s="11"/>
    </row>
    <row r="185" spans="1:19" ht="15.6">
      <c r="A185" s="13">
        <v>47696</v>
      </c>
      <c r="B185" s="8">
        <f>CHOOSE( CONTROL!$C$29, 4.9678, 4.9609) * CHOOSE(CONTROL!$C$12, $D$4, 100%, $F$4)</f>
        <v>4.9608999999999996</v>
      </c>
      <c r="C185" s="8">
        <f>CHOOSE( CONTROL!$C$29, 4.9781, 4.9712) * CHOOSE(CONTROL!$C$12, $D$4, 100%, $F$4)</f>
        <v>4.9711999999999996</v>
      </c>
      <c r="D185" s="8">
        <f>CHOOSE( CONTROL!$C$29, 4.9796, 4.9727) * CHOOSE( CONTROL!$C$12, $D$4, 100%, $F$4)</f>
        <v>4.9726999999999997</v>
      </c>
      <c r="E185" s="12">
        <f>CHOOSE( CONTROL!$C$29, 4.9775, 4.9706) * CHOOSE( CONTROL!$C$12, $D$4, 100%, $F$4)</f>
        <v>4.9706000000000001</v>
      </c>
      <c r="F185" s="4">
        <f>CHOOSE( CONTROL!$C$29, 5.9742, 5.9674) * CHOOSE(CONTROL!$C$12, $D$4, 100%, $F$4)</f>
        <v>5.9673999999999996</v>
      </c>
      <c r="G185" s="8">
        <f>CHOOSE( CONTROL!$C$29, 4.8922, 4.8854) * CHOOSE( CONTROL!$C$12, $D$4, 100%, $F$4)</f>
        <v>4.8853999999999997</v>
      </c>
      <c r="H185" s="4">
        <f>CHOOSE( CONTROL!$C$29, 5.8065, 5.7997) * CHOOSE(CONTROL!$C$12, $D$4, 100%, $F$4)</f>
        <v>5.7996999999999996</v>
      </c>
      <c r="I185" s="8">
        <f>CHOOSE( CONTROL!$C$29, 4.8805, 4.8738) * CHOOSE(CONTROL!$C$12, $D$4, 100%, $F$4)</f>
        <v>4.8738000000000001</v>
      </c>
      <c r="J185" s="4">
        <f>CHOOSE( CONTROL!$C$29, 4.8128, 4.8062) * CHOOSE(CONTROL!$C$12, $D$4, 100%, $F$4)</f>
        <v>4.8061999999999996</v>
      </c>
      <c r="K185" s="4"/>
      <c r="L185" s="9">
        <v>29.520499999999998</v>
      </c>
      <c r="M185" s="9">
        <v>12.063700000000001</v>
      </c>
      <c r="N185" s="9">
        <v>4.9444999999999997</v>
      </c>
      <c r="O185" s="9">
        <v>0.37459999999999999</v>
      </c>
      <c r="P185" s="9">
        <v>1.2192000000000001</v>
      </c>
      <c r="Q185" s="9">
        <v>31.333600000000001</v>
      </c>
      <c r="R185" s="9"/>
      <c r="S185" s="11"/>
    </row>
    <row r="186" spans="1:19" ht="15.6">
      <c r="A186" s="13">
        <v>47727</v>
      </c>
      <c r="B186" s="8">
        <f>CHOOSE( CONTROL!$C$29, 4.8639, 4.857) * CHOOSE(CONTROL!$C$12, $D$4, 100%, $F$4)</f>
        <v>4.8570000000000002</v>
      </c>
      <c r="C186" s="8">
        <f>CHOOSE( CONTROL!$C$29, 4.8742, 4.8673) * CHOOSE(CONTROL!$C$12, $D$4, 100%, $F$4)</f>
        <v>4.8673000000000002</v>
      </c>
      <c r="D186" s="8">
        <f>CHOOSE( CONTROL!$C$29, 4.8789, 4.872) * CHOOSE( CONTROL!$C$12, $D$4, 100%, $F$4)</f>
        <v>4.8719999999999999</v>
      </c>
      <c r="E186" s="12">
        <f>CHOOSE( CONTROL!$C$29, 4.8756, 4.8687) * CHOOSE( CONTROL!$C$12, $D$4, 100%, $F$4)</f>
        <v>4.8686999999999996</v>
      </c>
      <c r="F186" s="4">
        <f>CHOOSE( CONTROL!$C$29, 5.8755, 5.8686) * CHOOSE(CONTROL!$C$12, $D$4, 100%, $F$4)</f>
        <v>5.8685999999999998</v>
      </c>
      <c r="G186" s="8">
        <f>CHOOSE( CONTROL!$C$29, 4.7918, 4.785) * CHOOSE( CONTROL!$C$12, $D$4, 100%, $F$4)</f>
        <v>4.7850000000000001</v>
      </c>
      <c r="H186" s="4">
        <f>CHOOSE( CONTROL!$C$29, 5.7092, 5.7024) * CHOOSE(CONTROL!$C$12, $D$4, 100%, $F$4)</f>
        <v>5.7023999999999999</v>
      </c>
      <c r="I186" s="8">
        <f>CHOOSE( CONTROL!$C$29, 4.7875, 4.7809) * CHOOSE(CONTROL!$C$12, $D$4, 100%, $F$4)</f>
        <v>4.7808999999999999</v>
      </c>
      <c r="J186" s="4">
        <f>CHOOSE( CONTROL!$C$29, 4.7121, 4.7055) * CHOOSE(CONTROL!$C$12, $D$4, 100%, $F$4)</f>
        <v>4.7054999999999998</v>
      </c>
      <c r="K186" s="4"/>
      <c r="L186" s="9">
        <v>28.568200000000001</v>
      </c>
      <c r="M186" s="9">
        <v>11.6745</v>
      </c>
      <c r="N186" s="9">
        <v>4.7850000000000001</v>
      </c>
      <c r="O186" s="9">
        <v>0.36249999999999999</v>
      </c>
      <c r="P186" s="9">
        <v>1.1798</v>
      </c>
      <c r="Q186" s="9">
        <v>30.322800000000001</v>
      </c>
      <c r="R186" s="9"/>
      <c r="S186" s="11"/>
    </row>
    <row r="187" spans="1:19" ht="15.6">
      <c r="A187" s="13">
        <v>47757</v>
      </c>
      <c r="B187" s="8">
        <f>5.0727 * CHOOSE(CONTROL!$C$12, $D$4, 100%, $F$4)</f>
        <v>5.0727000000000002</v>
      </c>
      <c r="C187" s="8">
        <f>5.0831 * CHOOSE(CONTROL!$C$12, $D$4, 100%, $F$4)</f>
        <v>5.0831</v>
      </c>
      <c r="D187" s="8">
        <f>5.0781 * CHOOSE( CONTROL!$C$12, $D$4, 100%, $F$4)</f>
        <v>5.0781000000000001</v>
      </c>
      <c r="E187" s="12">
        <f>5.0786 * CHOOSE( CONTROL!$C$12, $D$4, 100%, $F$4)</f>
        <v>5.0785999999999998</v>
      </c>
      <c r="F187" s="4">
        <f>6.0637 * CHOOSE(CONTROL!$C$12, $D$4, 100%, $F$4)</f>
        <v>6.0636999999999999</v>
      </c>
      <c r="G187" s="8">
        <f>4.9945 * CHOOSE( CONTROL!$C$12, $D$4, 100%, $F$4)</f>
        <v>4.9945000000000004</v>
      </c>
      <c r="H187" s="4">
        <f>5.8947 * CHOOSE(CONTROL!$C$12, $D$4, 100%, $F$4)</f>
        <v>5.8947000000000003</v>
      </c>
      <c r="I187" s="8">
        <f>4.9939 * CHOOSE(CONTROL!$C$12, $D$4, 100%, $F$4)</f>
        <v>4.9939</v>
      </c>
      <c r="J187" s="4">
        <f>4.9145 * CHOOSE(CONTROL!$C$12, $D$4, 100%, $F$4)</f>
        <v>4.9145000000000003</v>
      </c>
      <c r="K187" s="4"/>
      <c r="L187" s="9">
        <v>28.921800000000001</v>
      </c>
      <c r="M187" s="9">
        <v>12.063700000000001</v>
      </c>
      <c r="N187" s="9">
        <v>4.9444999999999997</v>
      </c>
      <c r="O187" s="9">
        <v>0.37459999999999999</v>
      </c>
      <c r="P187" s="9">
        <v>1.2192000000000001</v>
      </c>
      <c r="Q187" s="9">
        <v>31.333600000000001</v>
      </c>
      <c r="R187" s="9"/>
      <c r="S187" s="11"/>
    </row>
    <row r="188" spans="1:19" ht="15.6">
      <c r="A188" s="13">
        <v>47788</v>
      </c>
      <c r="B188" s="8">
        <f>5.4709 * CHOOSE(CONTROL!$C$12, $D$4, 100%, $F$4)</f>
        <v>5.4709000000000003</v>
      </c>
      <c r="C188" s="8">
        <f>5.4812 * CHOOSE(CONTROL!$C$12, $D$4, 100%, $F$4)</f>
        <v>5.4812000000000003</v>
      </c>
      <c r="D188" s="8">
        <f>5.4406 * CHOOSE( CONTROL!$C$12, $D$4, 100%, $F$4)</f>
        <v>5.4405999999999999</v>
      </c>
      <c r="E188" s="12">
        <f>5.4543 * CHOOSE( CONTROL!$C$12, $D$4, 100%, $F$4)</f>
        <v>5.4542999999999999</v>
      </c>
      <c r="F188" s="4">
        <f>6.448 * CHOOSE(CONTROL!$C$12, $D$4, 100%, $F$4)</f>
        <v>6.4480000000000004</v>
      </c>
      <c r="G188" s="8">
        <f>5.3809 * CHOOSE( CONTROL!$C$12, $D$4, 100%, $F$4)</f>
        <v>5.3808999999999996</v>
      </c>
      <c r="H188" s="4">
        <f>6.2735 * CHOOSE(CONTROL!$C$12, $D$4, 100%, $F$4)</f>
        <v>6.2735000000000003</v>
      </c>
      <c r="I188" s="8">
        <f>5.3642 * CHOOSE(CONTROL!$C$12, $D$4, 100%, $F$4)</f>
        <v>5.3642000000000003</v>
      </c>
      <c r="J188" s="4">
        <f>5.3004 * CHOOSE(CONTROL!$C$12, $D$4, 100%, $F$4)</f>
        <v>5.3003999999999998</v>
      </c>
      <c r="K188" s="4"/>
      <c r="L188" s="9">
        <v>26.515499999999999</v>
      </c>
      <c r="M188" s="9">
        <v>11.6745</v>
      </c>
      <c r="N188" s="9">
        <v>4.7850000000000001</v>
      </c>
      <c r="O188" s="9">
        <v>0.36249999999999999</v>
      </c>
      <c r="P188" s="9">
        <v>1.2522</v>
      </c>
      <c r="Q188" s="9">
        <v>30.322800000000001</v>
      </c>
      <c r="R188" s="9"/>
      <c r="S188" s="11"/>
    </row>
    <row r="189" spans="1:19" ht="15.6">
      <c r="A189" s="13">
        <v>47818</v>
      </c>
      <c r="B189" s="8">
        <f>5.461 * CHOOSE(CONTROL!$C$12, $D$4, 100%, $F$4)</f>
        <v>5.4610000000000003</v>
      </c>
      <c r="C189" s="8">
        <f>5.4713 * CHOOSE(CONTROL!$C$12, $D$4, 100%, $F$4)</f>
        <v>5.4713000000000003</v>
      </c>
      <c r="D189" s="8">
        <f>5.4325 * CHOOSE( CONTROL!$C$12, $D$4, 100%, $F$4)</f>
        <v>5.4325000000000001</v>
      </c>
      <c r="E189" s="12">
        <f>5.4456 * CHOOSE( CONTROL!$C$12, $D$4, 100%, $F$4)</f>
        <v>5.4455999999999998</v>
      </c>
      <c r="F189" s="4">
        <f>6.4313 * CHOOSE(CONTROL!$C$12, $D$4, 100%, $F$4)</f>
        <v>6.4313000000000002</v>
      </c>
      <c r="G189" s="8">
        <f>5.3735 * CHOOSE( CONTROL!$C$12, $D$4, 100%, $F$4)</f>
        <v>5.3734999999999999</v>
      </c>
      <c r="H189" s="4">
        <f>6.2571 * CHOOSE(CONTROL!$C$12, $D$4, 100%, $F$4)</f>
        <v>6.2571000000000003</v>
      </c>
      <c r="I189" s="8">
        <f>5.3654 * CHOOSE(CONTROL!$C$12, $D$4, 100%, $F$4)</f>
        <v>5.3654000000000002</v>
      </c>
      <c r="J189" s="4">
        <f>5.2907 * CHOOSE(CONTROL!$C$12, $D$4, 100%, $F$4)</f>
        <v>5.2907000000000002</v>
      </c>
      <c r="K189" s="4"/>
      <c r="L189" s="9">
        <v>27.3993</v>
      </c>
      <c r="M189" s="9">
        <v>12.063700000000001</v>
      </c>
      <c r="N189" s="9">
        <v>4.9444999999999997</v>
      </c>
      <c r="O189" s="9">
        <v>0.37459999999999999</v>
      </c>
      <c r="P189" s="9">
        <v>1.2939000000000001</v>
      </c>
      <c r="Q189" s="9">
        <v>31.333600000000001</v>
      </c>
      <c r="R189" s="9"/>
      <c r="S189" s="11"/>
    </row>
    <row r="190" spans="1:19" ht="15.6">
      <c r="A190" s="13">
        <v>47849</v>
      </c>
      <c r="B190" s="8">
        <f>5.64 * CHOOSE(CONTROL!$C$12, $D$4, 100%, $F$4)</f>
        <v>5.64</v>
      </c>
      <c r="C190" s="8">
        <f>5.6503 * CHOOSE(CONTROL!$C$12, $D$4, 100%, $F$4)</f>
        <v>5.6502999999999997</v>
      </c>
      <c r="D190" s="8">
        <f>5.6501 * CHOOSE( CONTROL!$C$12, $D$4, 100%, $F$4)</f>
        <v>5.6501000000000001</v>
      </c>
      <c r="E190" s="12">
        <f>5.6491 * CHOOSE( CONTROL!$C$12, $D$4, 100%, $F$4)</f>
        <v>5.6490999999999998</v>
      </c>
      <c r="F190" s="4">
        <f>6.6619 * CHOOSE(CONTROL!$C$12, $D$4, 100%, $F$4)</f>
        <v>6.6619000000000002</v>
      </c>
      <c r="G190" s="8">
        <f>5.5909 * CHOOSE( CONTROL!$C$12, $D$4, 100%, $F$4)</f>
        <v>5.5909000000000004</v>
      </c>
      <c r="H190" s="4">
        <f>6.4844 * CHOOSE(CONTROL!$C$12, $D$4, 100%, $F$4)</f>
        <v>6.4843999999999999</v>
      </c>
      <c r="I190" s="8">
        <f>5.5755 * CHOOSE(CONTROL!$C$12, $D$4, 100%, $F$4)</f>
        <v>5.5754999999999999</v>
      </c>
      <c r="J190" s="4">
        <f>5.4642 * CHOOSE(CONTROL!$C$12, $D$4, 100%, $F$4)</f>
        <v>5.4641999999999999</v>
      </c>
      <c r="K190" s="4"/>
      <c r="L190" s="9">
        <v>27.3993</v>
      </c>
      <c r="M190" s="9">
        <v>12.063700000000001</v>
      </c>
      <c r="N190" s="9">
        <v>4.9444999999999997</v>
      </c>
      <c r="O190" s="9">
        <v>0.37459999999999999</v>
      </c>
      <c r="P190" s="9">
        <v>1.2939000000000001</v>
      </c>
      <c r="Q190" s="9">
        <v>31.026700000000002</v>
      </c>
      <c r="R190" s="9"/>
      <c r="S190" s="11"/>
    </row>
    <row r="191" spans="1:19" ht="15.6">
      <c r="A191" s="13">
        <v>47880</v>
      </c>
      <c r="B191" s="8">
        <f>5.2754 * CHOOSE(CONTROL!$C$12, $D$4, 100%, $F$4)</f>
        <v>5.2754000000000003</v>
      </c>
      <c r="C191" s="8">
        <f>5.2858 * CHOOSE(CONTROL!$C$12, $D$4, 100%, $F$4)</f>
        <v>5.2858000000000001</v>
      </c>
      <c r="D191" s="8">
        <f>5.2878 * CHOOSE( CONTROL!$C$12, $D$4, 100%, $F$4)</f>
        <v>5.2877999999999998</v>
      </c>
      <c r="E191" s="12">
        <f>5.286 * CHOOSE( CONTROL!$C$12, $D$4, 100%, $F$4)</f>
        <v>5.2859999999999996</v>
      </c>
      <c r="F191" s="4">
        <f>6.2896 * CHOOSE(CONTROL!$C$12, $D$4, 100%, $F$4)</f>
        <v>6.2896000000000001</v>
      </c>
      <c r="G191" s="8">
        <f>5.2314 * CHOOSE( CONTROL!$C$12, $D$4, 100%, $F$4)</f>
        <v>5.2313999999999998</v>
      </c>
      <c r="H191" s="4">
        <f>6.1174 * CHOOSE(CONTROL!$C$12, $D$4, 100%, $F$4)</f>
        <v>6.1173999999999999</v>
      </c>
      <c r="I191" s="8">
        <f>5.2112 * CHOOSE(CONTROL!$C$12, $D$4, 100%, $F$4)</f>
        <v>5.2111999999999998</v>
      </c>
      <c r="J191" s="4">
        <f>5.111 * CHOOSE(CONTROL!$C$12, $D$4, 100%, $F$4)</f>
        <v>5.1109999999999998</v>
      </c>
      <c r="K191" s="4"/>
      <c r="L191" s="9">
        <v>24.747800000000002</v>
      </c>
      <c r="M191" s="9">
        <v>10.8962</v>
      </c>
      <c r="N191" s="9">
        <v>4.4660000000000002</v>
      </c>
      <c r="O191" s="9">
        <v>0.33829999999999999</v>
      </c>
      <c r="P191" s="9">
        <v>1.1687000000000001</v>
      </c>
      <c r="Q191" s="9">
        <v>28.024100000000001</v>
      </c>
      <c r="R191" s="9"/>
      <c r="S191" s="11"/>
    </row>
    <row r="192" spans="1:19" ht="15.6">
      <c r="A192" s="13">
        <v>47908</v>
      </c>
      <c r="B192" s="8">
        <f>5.1632 * CHOOSE(CONTROL!$C$12, $D$4, 100%, $F$4)</f>
        <v>5.1631999999999998</v>
      </c>
      <c r="C192" s="8">
        <f>5.1735 * CHOOSE(CONTROL!$C$12, $D$4, 100%, $F$4)</f>
        <v>5.1734999999999998</v>
      </c>
      <c r="D192" s="8">
        <f>5.1557 * CHOOSE( CONTROL!$C$12, $D$4, 100%, $F$4)</f>
        <v>5.1557000000000004</v>
      </c>
      <c r="E192" s="12">
        <f>5.1611 * CHOOSE( CONTROL!$C$12, $D$4, 100%, $F$4)</f>
        <v>5.1611000000000002</v>
      </c>
      <c r="F192" s="4">
        <f>6.1613 * CHOOSE(CONTROL!$C$12, $D$4, 100%, $F$4)</f>
        <v>6.1612999999999998</v>
      </c>
      <c r="G192" s="8">
        <f>5.1003 * CHOOSE( CONTROL!$C$12, $D$4, 100%, $F$4)</f>
        <v>5.1002999999999998</v>
      </c>
      <c r="H192" s="4">
        <f>5.991 * CHOOSE(CONTROL!$C$12, $D$4, 100%, $F$4)</f>
        <v>5.9909999999999997</v>
      </c>
      <c r="I192" s="8">
        <f>5.0628 * CHOOSE(CONTROL!$C$12, $D$4, 100%, $F$4)</f>
        <v>5.0628000000000002</v>
      </c>
      <c r="J192" s="4">
        <f>5.0022 * CHOOSE(CONTROL!$C$12, $D$4, 100%, $F$4)</f>
        <v>5.0022000000000002</v>
      </c>
      <c r="K192" s="4"/>
      <c r="L192" s="9">
        <v>27.3993</v>
      </c>
      <c r="M192" s="9">
        <v>12.063700000000001</v>
      </c>
      <c r="N192" s="9">
        <v>4.9444999999999997</v>
      </c>
      <c r="O192" s="9">
        <v>0.37459999999999999</v>
      </c>
      <c r="P192" s="9">
        <v>1.2939000000000001</v>
      </c>
      <c r="Q192" s="9">
        <v>31.026700000000002</v>
      </c>
      <c r="R192" s="9"/>
      <c r="S192" s="11"/>
    </row>
    <row r="193" spans="1:19" ht="15.6">
      <c r="A193" s="13">
        <v>47939</v>
      </c>
      <c r="B193" s="8">
        <f>5.2416 * CHOOSE(CONTROL!$C$12, $D$4, 100%, $F$4)</f>
        <v>5.2416</v>
      </c>
      <c r="C193" s="8">
        <f>5.2519 * CHOOSE(CONTROL!$C$12, $D$4, 100%, $F$4)</f>
        <v>5.2519</v>
      </c>
      <c r="D193" s="8">
        <f>5.257 * CHOOSE( CONTROL!$C$12, $D$4, 100%, $F$4)</f>
        <v>5.2569999999999997</v>
      </c>
      <c r="E193" s="12">
        <f>5.2541 * CHOOSE( CONTROL!$C$12, $D$4, 100%, $F$4)</f>
        <v>5.2541000000000002</v>
      </c>
      <c r="F193" s="4">
        <f>6.2481 * CHOOSE(CONTROL!$C$12, $D$4, 100%, $F$4)</f>
        <v>6.2481</v>
      </c>
      <c r="G193" s="8">
        <f>5.1655 * CHOOSE( CONTROL!$C$12, $D$4, 100%, $F$4)</f>
        <v>5.1654999999999998</v>
      </c>
      <c r="H193" s="4">
        <f>6.0764 * CHOOSE(CONTROL!$C$12, $D$4, 100%, $F$4)</f>
        <v>6.0763999999999996</v>
      </c>
      <c r="I193" s="8">
        <f>5.129 * CHOOSE(CONTROL!$C$12, $D$4, 100%, $F$4)</f>
        <v>5.1289999999999996</v>
      </c>
      <c r="J193" s="4">
        <f>5.0782 * CHOOSE(CONTROL!$C$12, $D$4, 100%, $F$4)</f>
        <v>5.0781999999999998</v>
      </c>
      <c r="K193" s="4"/>
      <c r="L193" s="9">
        <v>27.988800000000001</v>
      </c>
      <c r="M193" s="9">
        <v>11.6745</v>
      </c>
      <c r="N193" s="9">
        <v>4.7850000000000001</v>
      </c>
      <c r="O193" s="9">
        <v>0.36249999999999999</v>
      </c>
      <c r="P193" s="9">
        <v>1.1798</v>
      </c>
      <c r="Q193" s="9">
        <v>30.0258</v>
      </c>
      <c r="R193" s="9"/>
      <c r="S193" s="11"/>
    </row>
    <row r="194" spans="1:19" ht="15.6">
      <c r="A194" s="13">
        <v>47969</v>
      </c>
      <c r="B194" s="8">
        <f>CHOOSE( CONTROL!$C$29, 5.3881, 5.3813) * CHOOSE(CONTROL!$C$12, $D$4, 100%, $F$4)</f>
        <v>5.3813000000000004</v>
      </c>
      <c r="C194" s="8">
        <f>CHOOSE( CONTROL!$C$29, 5.3984, 5.3916) * CHOOSE(CONTROL!$C$12, $D$4, 100%, $F$4)</f>
        <v>5.3916000000000004</v>
      </c>
      <c r="D194" s="8">
        <f>CHOOSE( CONTROL!$C$29, 5.3787, 5.3718) * CHOOSE( CONTROL!$C$12, $D$4, 100%, $F$4)</f>
        <v>5.3718000000000004</v>
      </c>
      <c r="E194" s="12">
        <f>CHOOSE( CONTROL!$C$29, 5.3843, 5.3774) * CHOOSE( CONTROL!$C$12, $D$4, 100%, $F$4)</f>
        <v>5.3773999999999997</v>
      </c>
      <c r="F194" s="4">
        <f>CHOOSE( CONTROL!$C$29, 6.3625, 6.3557) * CHOOSE(CONTROL!$C$12, $D$4, 100%, $F$4)</f>
        <v>6.3556999999999997</v>
      </c>
      <c r="G194" s="8">
        <f>CHOOSE( CONTROL!$C$29, 5.2916, 5.2849) * CHOOSE( CONTROL!$C$12, $D$4, 100%, $F$4)</f>
        <v>5.2849000000000004</v>
      </c>
      <c r="H194" s="4">
        <f>CHOOSE( CONTROL!$C$29, 6.1893, 6.1826) * CHOOSE(CONTROL!$C$12, $D$4, 100%, $F$4)</f>
        <v>6.1825999999999999</v>
      </c>
      <c r="I194" s="8">
        <f>CHOOSE( CONTROL!$C$29, 5.2494, 5.2428) * CHOOSE(CONTROL!$C$12, $D$4, 100%, $F$4)</f>
        <v>5.2427999999999999</v>
      </c>
      <c r="J194" s="4">
        <f>CHOOSE( CONTROL!$C$29, 5.2201, 5.2135) * CHOOSE(CONTROL!$C$12, $D$4, 100%, $F$4)</f>
        <v>5.2134999999999998</v>
      </c>
      <c r="K194" s="4"/>
      <c r="L194" s="9">
        <v>29.520499999999998</v>
      </c>
      <c r="M194" s="9">
        <v>12.063700000000001</v>
      </c>
      <c r="N194" s="9">
        <v>4.9444999999999997</v>
      </c>
      <c r="O194" s="9">
        <v>0.37459999999999999</v>
      </c>
      <c r="P194" s="9">
        <v>1.2192000000000001</v>
      </c>
      <c r="Q194" s="9">
        <v>31.026700000000002</v>
      </c>
      <c r="R194" s="9"/>
      <c r="S194" s="11"/>
    </row>
    <row r="195" spans="1:19" ht="15.6">
      <c r="A195" s="13">
        <v>48000</v>
      </c>
      <c r="B195" s="8">
        <f>CHOOSE( CONTROL!$C$29, 5.3016, 5.2948) * CHOOSE(CONTROL!$C$12, $D$4, 100%, $F$4)</f>
        <v>5.2948000000000004</v>
      </c>
      <c r="C195" s="8">
        <f>CHOOSE( CONTROL!$C$29, 5.3119, 5.3051) * CHOOSE(CONTROL!$C$12, $D$4, 100%, $F$4)</f>
        <v>5.3051000000000004</v>
      </c>
      <c r="D195" s="8">
        <f>CHOOSE( CONTROL!$C$29, 5.2866, 5.2798) * CHOOSE( CONTROL!$C$12, $D$4, 100%, $F$4)</f>
        <v>5.2797999999999998</v>
      </c>
      <c r="E195" s="12">
        <f>CHOOSE( CONTROL!$C$29, 5.2942, 5.2874) * CHOOSE( CONTROL!$C$12, $D$4, 100%, $F$4)</f>
        <v>5.2873999999999999</v>
      </c>
      <c r="F195" s="4">
        <f>CHOOSE( CONTROL!$C$29, 6.2657, 6.2589) * CHOOSE(CONTROL!$C$12, $D$4, 100%, $F$4)</f>
        <v>6.2588999999999997</v>
      </c>
      <c r="G195" s="8">
        <f>CHOOSE( CONTROL!$C$29, 5.2051, 5.1984) * CHOOSE( CONTROL!$C$12, $D$4, 100%, $F$4)</f>
        <v>5.1984000000000004</v>
      </c>
      <c r="H195" s="4">
        <f>CHOOSE( CONTROL!$C$29, 6.0939, 6.0871) * CHOOSE(CONTROL!$C$12, $D$4, 100%, $F$4)</f>
        <v>6.0871000000000004</v>
      </c>
      <c r="I195" s="8">
        <f>CHOOSE( CONTROL!$C$29, 5.1677, 5.1611) * CHOOSE(CONTROL!$C$12, $D$4, 100%, $F$4)</f>
        <v>5.1611000000000002</v>
      </c>
      <c r="J195" s="4">
        <f>CHOOSE( CONTROL!$C$29, 5.1363, 5.1297) * CHOOSE(CONTROL!$C$12, $D$4, 100%, $F$4)</f>
        <v>5.1296999999999997</v>
      </c>
      <c r="K195" s="4"/>
      <c r="L195" s="9">
        <v>28.568200000000001</v>
      </c>
      <c r="M195" s="9">
        <v>11.6745</v>
      </c>
      <c r="N195" s="9">
        <v>4.7850000000000001</v>
      </c>
      <c r="O195" s="9">
        <v>0.36249999999999999</v>
      </c>
      <c r="P195" s="9">
        <v>1.1798</v>
      </c>
      <c r="Q195" s="9">
        <v>30.0258</v>
      </c>
      <c r="R195" s="9"/>
      <c r="S195" s="11"/>
    </row>
    <row r="196" spans="1:19" ht="15.6">
      <c r="A196" s="13">
        <v>48030</v>
      </c>
      <c r="B196" s="8">
        <f>CHOOSE( CONTROL!$C$29, 5.5294, 5.5226) * CHOOSE(CONTROL!$C$12, $D$4, 100%, $F$4)</f>
        <v>5.5225999999999997</v>
      </c>
      <c r="C196" s="8">
        <f>CHOOSE( CONTROL!$C$29, 5.5397, 5.5329) * CHOOSE(CONTROL!$C$12, $D$4, 100%, $F$4)</f>
        <v>5.5328999999999997</v>
      </c>
      <c r="D196" s="8">
        <f>CHOOSE( CONTROL!$C$29, 5.5479, 5.541) * CHOOSE( CONTROL!$C$12, $D$4, 100%, $F$4)</f>
        <v>5.5410000000000004</v>
      </c>
      <c r="E196" s="12">
        <f>CHOOSE( CONTROL!$C$29, 5.5434, 5.5365) * CHOOSE( CONTROL!$C$12, $D$4, 100%, $F$4)</f>
        <v>5.5365000000000002</v>
      </c>
      <c r="F196" s="4">
        <f>CHOOSE( CONTROL!$C$29, 6.5384, 6.5316) * CHOOSE(CONTROL!$C$12, $D$4, 100%, $F$4)</f>
        <v>6.5316000000000001</v>
      </c>
      <c r="G196" s="8">
        <f>CHOOSE( CONTROL!$C$29, 5.4557, 5.449) * CHOOSE( CONTROL!$C$12, $D$4, 100%, $F$4)</f>
        <v>5.4489999999999998</v>
      </c>
      <c r="H196" s="4">
        <f>CHOOSE( CONTROL!$C$29, 6.3627, 6.3559) * CHOOSE(CONTROL!$C$12, $D$4, 100%, $F$4)</f>
        <v>6.3559000000000001</v>
      </c>
      <c r="I196" s="8">
        <f>CHOOSE( CONTROL!$C$29, 5.4439, 5.4372) * CHOOSE(CONTROL!$C$12, $D$4, 100%, $F$4)</f>
        <v>5.4371999999999998</v>
      </c>
      <c r="J196" s="4">
        <f>CHOOSE( CONTROL!$C$29, 5.357, 5.3504) * CHOOSE(CONTROL!$C$12, $D$4, 100%, $F$4)</f>
        <v>5.3503999999999996</v>
      </c>
      <c r="K196" s="4"/>
      <c r="L196" s="9">
        <v>29.520499999999998</v>
      </c>
      <c r="M196" s="9">
        <v>12.063700000000001</v>
      </c>
      <c r="N196" s="9">
        <v>4.9444999999999997</v>
      </c>
      <c r="O196" s="9">
        <v>0.37459999999999999</v>
      </c>
      <c r="P196" s="9">
        <v>1.2192000000000001</v>
      </c>
      <c r="Q196" s="9">
        <v>31.026700000000002</v>
      </c>
      <c r="R196" s="9"/>
      <c r="S196" s="11"/>
    </row>
    <row r="197" spans="1:19" ht="15.6">
      <c r="A197" s="13">
        <v>48061</v>
      </c>
      <c r="B197" s="8">
        <f>CHOOSE( CONTROL!$C$29, 5.1032, 5.0963) * CHOOSE(CONTROL!$C$12, $D$4, 100%, $F$4)</f>
        <v>5.0963000000000003</v>
      </c>
      <c r="C197" s="8">
        <f>CHOOSE( CONTROL!$C$29, 5.1135, 5.1066) * CHOOSE(CONTROL!$C$12, $D$4, 100%, $F$4)</f>
        <v>5.1066000000000003</v>
      </c>
      <c r="D197" s="8">
        <f>CHOOSE( CONTROL!$C$29, 5.115, 5.1081) * CHOOSE( CONTROL!$C$12, $D$4, 100%, $F$4)</f>
        <v>5.1081000000000003</v>
      </c>
      <c r="E197" s="12">
        <f>CHOOSE( CONTROL!$C$29, 5.1129, 5.106) * CHOOSE( CONTROL!$C$12, $D$4, 100%, $F$4)</f>
        <v>5.1059999999999999</v>
      </c>
      <c r="F197" s="4">
        <f>CHOOSE( CONTROL!$C$29, 6.1096, 6.1028) * CHOOSE(CONTROL!$C$12, $D$4, 100%, $F$4)</f>
        <v>6.1028000000000002</v>
      </c>
      <c r="G197" s="8">
        <f>CHOOSE( CONTROL!$C$29, 5.0256, 5.0189) * CHOOSE( CONTROL!$C$12, $D$4, 100%, $F$4)</f>
        <v>5.0189000000000004</v>
      </c>
      <c r="H197" s="4">
        <f>CHOOSE( CONTROL!$C$29, 5.94, 5.9332) * CHOOSE(CONTROL!$C$12, $D$4, 100%, $F$4)</f>
        <v>5.9332000000000003</v>
      </c>
      <c r="I197" s="8">
        <f>CHOOSE( CONTROL!$C$29, 5.0117, 5.0051) * CHOOSE(CONTROL!$C$12, $D$4, 100%, $F$4)</f>
        <v>5.0050999999999997</v>
      </c>
      <c r="J197" s="4">
        <f>CHOOSE( CONTROL!$C$29, 4.944, 4.9374) * CHOOSE(CONTROL!$C$12, $D$4, 100%, $F$4)</f>
        <v>4.9374000000000002</v>
      </c>
      <c r="K197" s="4"/>
      <c r="L197" s="9">
        <v>29.520499999999998</v>
      </c>
      <c r="M197" s="9">
        <v>12.063700000000001</v>
      </c>
      <c r="N197" s="9">
        <v>4.9444999999999997</v>
      </c>
      <c r="O197" s="9">
        <v>0.37459999999999999</v>
      </c>
      <c r="P197" s="9">
        <v>1.2192000000000001</v>
      </c>
      <c r="Q197" s="9">
        <v>31.026700000000002</v>
      </c>
      <c r="R197" s="9"/>
      <c r="S197" s="11"/>
    </row>
    <row r="198" spans="1:19" ht="15.6">
      <c r="A198" s="13">
        <v>48092</v>
      </c>
      <c r="B198" s="8">
        <f>CHOOSE( CONTROL!$C$29, 4.9964, 4.9896) * CHOOSE(CONTROL!$C$12, $D$4, 100%, $F$4)</f>
        <v>4.9896000000000003</v>
      </c>
      <c r="C198" s="8">
        <f>CHOOSE( CONTROL!$C$29, 5.0068, 4.9999) * CHOOSE(CONTROL!$C$12, $D$4, 100%, $F$4)</f>
        <v>4.9999000000000002</v>
      </c>
      <c r="D198" s="8">
        <f>CHOOSE( CONTROL!$C$29, 5.0114, 5.0046) * CHOOSE( CONTROL!$C$12, $D$4, 100%, $F$4)</f>
        <v>5.0045999999999999</v>
      </c>
      <c r="E198" s="12">
        <f>CHOOSE( CONTROL!$C$29, 5.0081, 5.0013) * CHOOSE( CONTROL!$C$12, $D$4, 100%, $F$4)</f>
        <v>5.0012999999999996</v>
      </c>
      <c r="F198" s="4">
        <f>CHOOSE( CONTROL!$C$29, 6.008, 6.0012) * CHOOSE(CONTROL!$C$12, $D$4, 100%, $F$4)</f>
        <v>6.0011999999999999</v>
      </c>
      <c r="G198" s="8">
        <f>CHOOSE( CONTROL!$C$29, 4.9225, 4.9157) * CHOOSE( CONTROL!$C$12, $D$4, 100%, $F$4)</f>
        <v>4.9157000000000002</v>
      </c>
      <c r="H198" s="4">
        <f>CHOOSE( CONTROL!$C$29, 5.8398, 5.8331) * CHOOSE(CONTROL!$C$12, $D$4, 100%, $F$4)</f>
        <v>5.8331</v>
      </c>
      <c r="I198" s="8">
        <f>CHOOSE( CONTROL!$C$29, 4.9161, 4.9094) * CHOOSE(CONTROL!$C$12, $D$4, 100%, $F$4)</f>
        <v>4.9093999999999998</v>
      </c>
      <c r="J198" s="4">
        <f>CHOOSE( CONTROL!$C$29, 4.8406, 4.834) * CHOOSE(CONTROL!$C$12, $D$4, 100%, $F$4)</f>
        <v>4.8339999999999996</v>
      </c>
      <c r="K198" s="4"/>
      <c r="L198" s="9">
        <v>28.568200000000001</v>
      </c>
      <c r="M198" s="9">
        <v>11.6745</v>
      </c>
      <c r="N198" s="9">
        <v>4.7850000000000001</v>
      </c>
      <c r="O198" s="9">
        <v>0.36249999999999999</v>
      </c>
      <c r="P198" s="9">
        <v>1.1798</v>
      </c>
      <c r="Q198" s="9">
        <v>30.0258</v>
      </c>
      <c r="R198" s="9"/>
      <c r="S198" s="11"/>
    </row>
    <row r="199" spans="1:19" ht="15.6">
      <c r="A199" s="13">
        <v>48122</v>
      </c>
      <c r="B199" s="8">
        <f>5.2112 * CHOOSE(CONTROL!$C$12, $D$4, 100%, $F$4)</f>
        <v>5.2111999999999998</v>
      </c>
      <c r="C199" s="8">
        <f>5.2215 * CHOOSE(CONTROL!$C$12, $D$4, 100%, $F$4)</f>
        <v>5.2214999999999998</v>
      </c>
      <c r="D199" s="8">
        <f>5.2166 * CHOOSE( CONTROL!$C$12, $D$4, 100%, $F$4)</f>
        <v>5.2165999999999997</v>
      </c>
      <c r="E199" s="12">
        <f>5.2171 * CHOOSE( CONTROL!$C$12, $D$4, 100%, $F$4)</f>
        <v>5.2171000000000003</v>
      </c>
      <c r="F199" s="4">
        <f>6.2022 * CHOOSE(CONTROL!$C$12, $D$4, 100%, $F$4)</f>
        <v>6.2022000000000004</v>
      </c>
      <c r="G199" s="8">
        <f>5.131 * CHOOSE( CONTROL!$C$12, $D$4, 100%, $F$4)</f>
        <v>5.1310000000000002</v>
      </c>
      <c r="H199" s="4">
        <f>6.0312 * CHOOSE(CONTROL!$C$12, $D$4, 100%, $F$4)</f>
        <v>6.0312000000000001</v>
      </c>
      <c r="I199" s="8">
        <f>5.1282 * CHOOSE(CONTROL!$C$12, $D$4, 100%, $F$4)</f>
        <v>5.1281999999999996</v>
      </c>
      <c r="J199" s="4">
        <f>5.0487 * CHOOSE(CONTROL!$C$12, $D$4, 100%, $F$4)</f>
        <v>5.0487000000000002</v>
      </c>
      <c r="K199" s="4"/>
      <c r="L199" s="9">
        <v>28.921800000000001</v>
      </c>
      <c r="M199" s="9">
        <v>12.063700000000001</v>
      </c>
      <c r="N199" s="9">
        <v>4.9444999999999997</v>
      </c>
      <c r="O199" s="9">
        <v>0.37459999999999999</v>
      </c>
      <c r="P199" s="9">
        <v>1.2192000000000001</v>
      </c>
      <c r="Q199" s="9">
        <v>31.026700000000002</v>
      </c>
      <c r="R199" s="9"/>
      <c r="S199" s="11"/>
    </row>
    <row r="200" spans="1:19" ht="15.6">
      <c r="A200" s="13">
        <v>48153</v>
      </c>
      <c r="B200" s="8">
        <f>5.6203 * CHOOSE(CONTROL!$C$12, $D$4, 100%, $F$4)</f>
        <v>5.6203000000000003</v>
      </c>
      <c r="C200" s="8">
        <f>5.6306 * CHOOSE(CONTROL!$C$12, $D$4, 100%, $F$4)</f>
        <v>5.6306000000000003</v>
      </c>
      <c r="D200" s="8">
        <f>5.5899 * CHOOSE( CONTROL!$C$12, $D$4, 100%, $F$4)</f>
        <v>5.5899000000000001</v>
      </c>
      <c r="E200" s="12">
        <f>5.6037 * CHOOSE( CONTROL!$C$12, $D$4, 100%, $F$4)</f>
        <v>5.6036999999999999</v>
      </c>
      <c r="F200" s="4">
        <f>6.5973 * CHOOSE(CONTROL!$C$12, $D$4, 100%, $F$4)</f>
        <v>6.5972999999999997</v>
      </c>
      <c r="G200" s="8">
        <f>5.5281 * CHOOSE( CONTROL!$C$12, $D$4, 100%, $F$4)</f>
        <v>5.5281000000000002</v>
      </c>
      <c r="H200" s="4">
        <f>6.4207 * CHOOSE(CONTROL!$C$12, $D$4, 100%, $F$4)</f>
        <v>6.4207000000000001</v>
      </c>
      <c r="I200" s="8">
        <f>5.509 * CHOOSE(CONTROL!$C$12, $D$4, 100%, $F$4)</f>
        <v>5.5090000000000003</v>
      </c>
      <c r="J200" s="4">
        <f>5.4451 * CHOOSE(CONTROL!$C$12, $D$4, 100%, $F$4)</f>
        <v>5.4451000000000001</v>
      </c>
      <c r="K200" s="4"/>
      <c r="L200" s="9">
        <v>26.515499999999999</v>
      </c>
      <c r="M200" s="9">
        <v>11.6745</v>
      </c>
      <c r="N200" s="9">
        <v>4.7850000000000001</v>
      </c>
      <c r="O200" s="9">
        <v>0.36249999999999999</v>
      </c>
      <c r="P200" s="9">
        <v>1.2522</v>
      </c>
      <c r="Q200" s="9">
        <v>30.0258</v>
      </c>
      <c r="R200" s="9"/>
      <c r="S200" s="11"/>
    </row>
    <row r="201" spans="1:19" ht="15.6">
      <c r="A201" s="13">
        <v>48183</v>
      </c>
      <c r="B201" s="8">
        <f>5.61 * CHOOSE(CONTROL!$C$12, $D$4, 100%, $F$4)</f>
        <v>5.61</v>
      </c>
      <c r="C201" s="8">
        <f>5.6204 * CHOOSE(CONTROL!$C$12, $D$4, 100%, $F$4)</f>
        <v>5.6204000000000001</v>
      </c>
      <c r="D201" s="8">
        <f>5.5816 * CHOOSE( CONTROL!$C$12, $D$4, 100%, $F$4)</f>
        <v>5.5815999999999999</v>
      </c>
      <c r="E201" s="12">
        <f>5.5947 * CHOOSE( CONTROL!$C$12, $D$4, 100%, $F$4)</f>
        <v>5.5946999999999996</v>
      </c>
      <c r="F201" s="4">
        <f>6.5804 * CHOOSE(CONTROL!$C$12, $D$4, 100%, $F$4)</f>
        <v>6.5804</v>
      </c>
      <c r="G201" s="8">
        <f>5.5204 * CHOOSE( CONTROL!$C$12, $D$4, 100%, $F$4)</f>
        <v>5.5204000000000004</v>
      </c>
      <c r="H201" s="4">
        <f>6.404 * CHOOSE(CONTROL!$C$12, $D$4, 100%, $F$4)</f>
        <v>6.4039999999999999</v>
      </c>
      <c r="I201" s="8">
        <f>5.5099 * CHOOSE(CONTROL!$C$12, $D$4, 100%, $F$4)</f>
        <v>5.5099</v>
      </c>
      <c r="J201" s="4">
        <f>5.4352 * CHOOSE(CONTROL!$C$12, $D$4, 100%, $F$4)</f>
        <v>5.4352</v>
      </c>
      <c r="K201" s="4"/>
      <c r="L201" s="9">
        <v>27.3993</v>
      </c>
      <c r="M201" s="9">
        <v>12.063700000000001</v>
      </c>
      <c r="N201" s="9">
        <v>4.9444999999999997</v>
      </c>
      <c r="O201" s="9">
        <v>0.37459999999999999</v>
      </c>
      <c r="P201" s="9">
        <v>1.2939000000000001</v>
      </c>
      <c r="Q201" s="9">
        <v>31.026700000000002</v>
      </c>
      <c r="R201" s="9"/>
      <c r="S201" s="11"/>
    </row>
    <row r="202" spans="1:19" ht="15.6">
      <c r="A202" s="13">
        <v>48214</v>
      </c>
      <c r="B202" s="8">
        <f>5.7862 * CHOOSE(CONTROL!$C$12, $D$4, 100%, $F$4)</f>
        <v>5.7862</v>
      </c>
      <c r="C202" s="8">
        <f>5.7965 * CHOOSE(CONTROL!$C$12, $D$4, 100%, $F$4)</f>
        <v>5.7965</v>
      </c>
      <c r="D202" s="8">
        <f>5.7963 * CHOOSE( CONTROL!$C$12, $D$4, 100%, $F$4)</f>
        <v>5.7962999999999996</v>
      </c>
      <c r="E202" s="12">
        <f>5.7953 * CHOOSE( CONTROL!$C$12, $D$4, 100%, $F$4)</f>
        <v>5.7953000000000001</v>
      </c>
      <c r="F202" s="4">
        <f>6.8081 * CHOOSE(CONTROL!$C$12, $D$4, 100%, $F$4)</f>
        <v>6.8080999999999996</v>
      </c>
      <c r="G202" s="8">
        <f>5.735 * CHOOSE( CONTROL!$C$12, $D$4, 100%, $F$4)</f>
        <v>5.7350000000000003</v>
      </c>
      <c r="H202" s="4">
        <f>6.6285 * CHOOSE(CONTROL!$C$12, $D$4, 100%, $F$4)</f>
        <v>6.6284999999999998</v>
      </c>
      <c r="I202" s="8">
        <f>5.7173 * CHOOSE(CONTROL!$C$12, $D$4, 100%, $F$4)</f>
        <v>5.7172999999999998</v>
      </c>
      <c r="J202" s="4">
        <f>5.6059 * CHOOSE(CONTROL!$C$12, $D$4, 100%, $F$4)</f>
        <v>5.6059000000000001</v>
      </c>
      <c r="K202" s="4"/>
      <c r="L202" s="9">
        <v>27.3993</v>
      </c>
      <c r="M202" s="9">
        <v>12.063700000000001</v>
      </c>
      <c r="N202" s="9">
        <v>4.9444999999999997</v>
      </c>
      <c r="O202" s="9">
        <v>0.37459999999999999</v>
      </c>
      <c r="P202" s="9">
        <v>1.2939000000000001</v>
      </c>
      <c r="Q202" s="9">
        <v>30.8704</v>
      </c>
      <c r="R202" s="9"/>
      <c r="S202" s="11"/>
    </row>
    <row r="203" spans="1:19" ht="15.6">
      <c r="A203" s="13">
        <v>48245</v>
      </c>
      <c r="B203" s="8">
        <f>5.4122 * CHOOSE(CONTROL!$C$12, $D$4, 100%, $F$4)</f>
        <v>5.4122000000000003</v>
      </c>
      <c r="C203" s="8">
        <f>5.4225 * CHOOSE(CONTROL!$C$12, $D$4, 100%, $F$4)</f>
        <v>5.4225000000000003</v>
      </c>
      <c r="D203" s="8">
        <f>5.4246 * CHOOSE( CONTROL!$C$12, $D$4, 100%, $F$4)</f>
        <v>5.4245999999999999</v>
      </c>
      <c r="E203" s="12">
        <f>5.4227 * CHOOSE( CONTROL!$C$12, $D$4, 100%, $F$4)</f>
        <v>5.4226999999999999</v>
      </c>
      <c r="F203" s="4">
        <f>6.4264 * CHOOSE(CONTROL!$C$12, $D$4, 100%, $F$4)</f>
        <v>6.4264000000000001</v>
      </c>
      <c r="G203" s="8">
        <f>5.3662 * CHOOSE( CONTROL!$C$12, $D$4, 100%, $F$4)</f>
        <v>5.3662000000000001</v>
      </c>
      <c r="H203" s="4">
        <f>6.2522 * CHOOSE(CONTROL!$C$12, $D$4, 100%, $F$4)</f>
        <v>6.2522000000000002</v>
      </c>
      <c r="I203" s="8">
        <f>5.3437 * CHOOSE(CONTROL!$C$12, $D$4, 100%, $F$4)</f>
        <v>5.3437000000000001</v>
      </c>
      <c r="J203" s="4">
        <f>5.2435 * CHOOSE(CONTROL!$C$12, $D$4, 100%, $F$4)</f>
        <v>5.2435</v>
      </c>
      <c r="K203" s="4"/>
      <c r="L203" s="9">
        <v>25.631599999999999</v>
      </c>
      <c r="M203" s="9">
        <v>11.285299999999999</v>
      </c>
      <c r="N203" s="9">
        <v>4.6254999999999997</v>
      </c>
      <c r="O203" s="9">
        <v>0.35039999999999999</v>
      </c>
      <c r="P203" s="9">
        <v>1.2104999999999999</v>
      </c>
      <c r="Q203" s="9">
        <v>28.878799999999998</v>
      </c>
      <c r="R203" s="9"/>
      <c r="S203" s="11"/>
    </row>
    <row r="204" spans="1:19" ht="15.6">
      <c r="A204" s="13">
        <v>48274</v>
      </c>
      <c r="B204" s="8">
        <f>5.297 * CHOOSE(CONTROL!$C$12, $D$4, 100%, $F$4)</f>
        <v>5.2969999999999997</v>
      </c>
      <c r="C204" s="8">
        <f>5.3073 * CHOOSE(CONTROL!$C$12, $D$4, 100%, $F$4)</f>
        <v>5.3072999999999997</v>
      </c>
      <c r="D204" s="8">
        <f>5.2895 * CHOOSE( CONTROL!$C$12, $D$4, 100%, $F$4)</f>
        <v>5.2895000000000003</v>
      </c>
      <c r="E204" s="12">
        <f>5.2949 * CHOOSE( CONTROL!$C$12, $D$4, 100%, $F$4)</f>
        <v>5.2949000000000002</v>
      </c>
      <c r="F204" s="4">
        <f>6.2952 * CHOOSE(CONTROL!$C$12, $D$4, 100%, $F$4)</f>
        <v>6.2952000000000004</v>
      </c>
      <c r="G204" s="8">
        <f>5.2322 * CHOOSE( CONTROL!$C$12, $D$4, 100%, $F$4)</f>
        <v>5.2321999999999997</v>
      </c>
      <c r="H204" s="4">
        <f>6.1229 * CHOOSE(CONTROL!$C$12, $D$4, 100%, $F$4)</f>
        <v>6.1228999999999996</v>
      </c>
      <c r="I204" s="8">
        <f>5.1925 * CHOOSE(CONTROL!$C$12, $D$4, 100%, $F$4)</f>
        <v>5.1924999999999999</v>
      </c>
      <c r="J204" s="4">
        <f>5.1318 * CHOOSE(CONTROL!$C$12, $D$4, 100%, $F$4)</f>
        <v>5.1318000000000001</v>
      </c>
      <c r="K204" s="4"/>
      <c r="L204" s="9">
        <v>27.3993</v>
      </c>
      <c r="M204" s="9">
        <v>12.063700000000001</v>
      </c>
      <c r="N204" s="9">
        <v>4.9444999999999997</v>
      </c>
      <c r="O204" s="9">
        <v>0.37459999999999999</v>
      </c>
      <c r="P204" s="9">
        <v>1.2939000000000001</v>
      </c>
      <c r="Q204" s="9">
        <v>30.8704</v>
      </c>
      <c r="R204" s="9"/>
      <c r="S204" s="11"/>
    </row>
    <row r="205" spans="1:19" ht="15.6">
      <c r="A205" s="13">
        <v>48305</v>
      </c>
      <c r="B205" s="8">
        <f>5.3775 * CHOOSE(CONTROL!$C$12, $D$4, 100%, $F$4)</f>
        <v>5.3775000000000004</v>
      </c>
      <c r="C205" s="8">
        <f>5.3878 * CHOOSE(CONTROL!$C$12, $D$4, 100%, $F$4)</f>
        <v>5.3878000000000004</v>
      </c>
      <c r="D205" s="8">
        <f>5.3928 * CHOOSE( CONTROL!$C$12, $D$4, 100%, $F$4)</f>
        <v>5.3928000000000003</v>
      </c>
      <c r="E205" s="12">
        <f>5.39 * CHOOSE( CONTROL!$C$12, $D$4, 100%, $F$4)</f>
        <v>5.39</v>
      </c>
      <c r="F205" s="4">
        <f>6.3839 * CHOOSE(CONTROL!$C$12, $D$4, 100%, $F$4)</f>
        <v>6.3838999999999997</v>
      </c>
      <c r="G205" s="8">
        <f>5.2994 * CHOOSE( CONTROL!$C$12, $D$4, 100%, $F$4)</f>
        <v>5.2994000000000003</v>
      </c>
      <c r="H205" s="4">
        <f>6.2104 * CHOOSE(CONTROL!$C$12, $D$4, 100%, $F$4)</f>
        <v>6.2103999999999999</v>
      </c>
      <c r="I205" s="8">
        <f>5.2607 * CHOOSE(CONTROL!$C$12, $D$4, 100%, $F$4)</f>
        <v>5.2606999999999999</v>
      </c>
      <c r="J205" s="4">
        <f>5.2098 * CHOOSE(CONTROL!$C$12, $D$4, 100%, $F$4)</f>
        <v>5.2098000000000004</v>
      </c>
      <c r="K205" s="4"/>
      <c r="L205" s="9">
        <v>27.988800000000001</v>
      </c>
      <c r="M205" s="9">
        <v>11.6745</v>
      </c>
      <c r="N205" s="9">
        <v>4.7850000000000001</v>
      </c>
      <c r="O205" s="9">
        <v>0.36249999999999999</v>
      </c>
      <c r="P205" s="9">
        <v>1.1798</v>
      </c>
      <c r="Q205" s="9">
        <v>29.874600000000001</v>
      </c>
      <c r="R205" s="9"/>
      <c r="S205" s="11"/>
    </row>
    <row r="206" spans="1:19" ht="15.6">
      <c r="A206" s="13">
        <v>48335</v>
      </c>
      <c r="B206" s="8">
        <f>CHOOSE( CONTROL!$C$29, 5.5276, 5.5207) * CHOOSE(CONTROL!$C$12, $D$4, 100%, $F$4)</f>
        <v>5.5206999999999997</v>
      </c>
      <c r="C206" s="8">
        <f>CHOOSE( CONTROL!$C$29, 5.5379, 5.5311) * CHOOSE(CONTROL!$C$12, $D$4, 100%, $F$4)</f>
        <v>5.5311000000000003</v>
      </c>
      <c r="D206" s="8">
        <f>CHOOSE( CONTROL!$C$29, 5.5182, 5.5113) * CHOOSE( CONTROL!$C$12, $D$4, 100%, $F$4)</f>
        <v>5.5113000000000003</v>
      </c>
      <c r="E206" s="12">
        <f>CHOOSE( CONTROL!$C$29, 5.5238, 5.5169) * CHOOSE( CONTROL!$C$12, $D$4, 100%, $F$4)</f>
        <v>5.5168999999999997</v>
      </c>
      <c r="F206" s="4">
        <f>CHOOSE( CONTROL!$C$29, 6.502, 6.4952) * CHOOSE(CONTROL!$C$12, $D$4, 100%, $F$4)</f>
        <v>6.4951999999999996</v>
      </c>
      <c r="G206" s="8">
        <f>CHOOSE( CONTROL!$C$29, 5.4291, 5.4224) * CHOOSE( CONTROL!$C$12, $D$4, 100%, $F$4)</f>
        <v>5.4223999999999997</v>
      </c>
      <c r="H206" s="4">
        <f>CHOOSE( CONTROL!$C$29, 6.3268, 6.3201) * CHOOSE(CONTROL!$C$12, $D$4, 100%, $F$4)</f>
        <v>6.3201000000000001</v>
      </c>
      <c r="I206" s="8">
        <f>CHOOSE( CONTROL!$C$29, 5.3847, 5.378) * CHOOSE(CONTROL!$C$12, $D$4, 100%, $F$4)</f>
        <v>5.3780000000000001</v>
      </c>
      <c r="J206" s="4">
        <f>CHOOSE( CONTROL!$C$29, 5.3553, 5.3487) * CHOOSE(CONTROL!$C$12, $D$4, 100%, $F$4)</f>
        <v>5.3487</v>
      </c>
      <c r="K206" s="4"/>
      <c r="L206" s="9">
        <v>29.520499999999998</v>
      </c>
      <c r="M206" s="9">
        <v>12.063700000000001</v>
      </c>
      <c r="N206" s="9">
        <v>4.9444999999999997</v>
      </c>
      <c r="O206" s="9">
        <v>0.37459999999999999</v>
      </c>
      <c r="P206" s="9">
        <v>1.2192000000000001</v>
      </c>
      <c r="Q206" s="9">
        <v>30.8704</v>
      </c>
      <c r="R206" s="9"/>
      <c r="S206" s="11"/>
    </row>
    <row r="207" spans="1:19" ht="15.6">
      <c r="A207" s="13">
        <v>48366</v>
      </c>
      <c r="B207" s="8">
        <f>CHOOSE( CONTROL!$C$29, 5.4388, 5.432) * CHOOSE(CONTROL!$C$12, $D$4, 100%, $F$4)</f>
        <v>5.4320000000000004</v>
      </c>
      <c r="C207" s="8">
        <f>CHOOSE( CONTROL!$C$29, 5.4492, 5.4423) * CHOOSE(CONTROL!$C$12, $D$4, 100%, $F$4)</f>
        <v>5.4423000000000004</v>
      </c>
      <c r="D207" s="8">
        <f>CHOOSE( CONTROL!$C$29, 5.4239, 5.417) * CHOOSE( CONTROL!$C$12, $D$4, 100%, $F$4)</f>
        <v>5.4169999999999998</v>
      </c>
      <c r="E207" s="12">
        <f>CHOOSE( CONTROL!$C$29, 5.4315, 5.4246) * CHOOSE( CONTROL!$C$12, $D$4, 100%, $F$4)</f>
        <v>5.4245999999999999</v>
      </c>
      <c r="F207" s="4">
        <f>CHOOSE( CONTROL!$C$29, 6.403, 6.3961) * CHOOSE(CONTROL!$C$12, $D$4, 100%, $F$4)</f>
        <v>6.3960999999999997</v>
      </c>
      <c r="G207" s="8">
        <f>CHOOSE( CONTROL!$C$29, 5.3404, 5.3337) * CHOOSE( CONTROL!$C$12, $D$4, 100%, $F$4)</f>
        <v>5.3337000000000003</v>
      </c>
      <c r="H207" s="4">
        <f>CHOOSE( CONTROL!$C$29, 6.2291, 6.2224) * CHOOSE(CONTROL!$C$12, $D$4, 100%, $F$4)</f>
        <v>6.2224000000000004</v>
      </c>
      <c r="I207" s="8">
        <f>CHOOSE( CONTROL!$C$29, 5.3008, 5.2942) * CHOOSE(CONTROL!$C$12, $D$4, 100%, $F$4)</f>
        <v>5.2942</v>
      </c>
      <c r="J207" s="4">
        <f>CHOOSE( CONTROL!$C$29, 5.2693, 5.2627) * CHOOSE(CONTROL!$C$12, $D$4, 100%, $F$4)</f>
        <v>5.2626999999999997</v>
      </c>
      <c r="K207" s="4"/>
      <c r="L207" s="9">
        <v>28.568200000000001</v>
      </c>
      <c r="M207" s="9">
        <v>11.6745</v>
      </c>
      <c r="N207" s="9">
        <v>4.7850000000000001</v>
      </c>
      <c r="O207" s="9">
        <v>0.36249999999999999</v>
      </c>
      <c r="P207" s="9">
        <v>1.1798</v>
      </c>
      <c r="Q207" s="9">
        <v>29.874600000000001</v>
      </c>
      <c r="R207" s="9"/>
      <c r="S207" s="11"/>
    </row>
    <row r="208" spans="1:19" ht="15.6">
      <c r="A208" s="13">
        <v>48396</v>
      </c>
      <c r="B208" s="8">
        <f>CHOOSE( CONTROL!$C$29, 5.6725, 5.6657) * CHOOSE(CONTROL!$C$12, $D$4, 100%, $F$4)</f>
        <v>5.6657000000000002</v>
      </c>
      <c r="C208" s="8">
        <f>CHOOSE( CONTROL!$C$29, 5.6829, 5.676) * CHOOSE(CONTROL!$C$12, $D$4, 100%, $F$4)</f>
        <v>5.6760000000000002</v>
      </c>
      <c r="D208" s="8">
        <f>CHOOSE( CONTROL!$C$29, 5.691, 5.6842) * CHOOSE( CONTROL!$C$12, $D$4, 100%, $F$4)</f>
        <v>5.6841999999999997</v>
      </c>
      <c r="E208" s="12">
        <f>CHOOSE( CONTROL!$C$29, 5.6865, 5.6797) * CHOOSE( CONTROL!$C$12, $D$4, 100%, $F$4)</f>
        <v>5.6797000000000004</v>
      </c>
      <c r="F208" s="4">
        <f>CHOOSE( CONTROL!$C$29, 6.6816, 6.6747) * CHOOSE(CONTROL!$C$12, $D$4, 100%, $F$4)</f>
        <v>6.6746999999999996</v>
      </c>
      <c r="G208" s="8">
        <f>CHOOSE( CONTROL!$C$29, 5.5968, 5.5901) * CHOOSE( CONTROL!$C$12, $D$4, 100%, $F$4)</f>
        <v>5.5900999999999996</v>
      </c>
      <c r="H208" s="4">
        <f>CHOOSE( CONTROL!$C$29, 6.5038, 6.497) * CHOOSE(CONTROL!$C$12, $D$4, 100%, $F$4)</f>
        <v>6.4969999999999999</v>
      </c>
      <c r="I208" s="8">
        <f>CHOOSE( CONTROL!$C$29, 5.5826, 5.576) * CHOOSE(CONTROL!$C$12, $D$4, 100%, $F$4)</f>
        <v>5.5759999999999996</v>
      </c>
      <c r="J208" s="4">
        <f>CHOOSE( CONTROL!$C$29, 5.4957, 5.4891) * CHOOSE(CONTROL!$C$12, $D$4, 100%, $F$4)</f>
        <v>5.4890999999999996</v>
      </c>
      <c r="K208" s="4"/>
      <c r="L208" s="9">
        <v>29.520499999999998</v>
      </c>
      <c r="M208" s="9">
        <v>12.063700000000001</v>
      </c>
      <c r="N208" s="9">
        <v>4.9444999999999997</v>
      </c>
      <c r="O208" s="9">
        <v>0.37459999999999999</v>
      </c>
      <c r="P208" s="9">
        <v>1.2192000000000001</v>
      </c>
      <c r="Q208" s="9">
        <v>30.8704</v>
      </c>
      <c r="R208" s="9"/>
      <c r="S208" s="11"/>
    </row>
    <row r="209" spans="1:19" ht="15.6">
      <c r="A209" s="13">
        <v>48427</v>
      </c>
      <c r="B209" s="8">
        <f>CHOOSE( CONTROL!$C$29, 5.2353, 5.2284) * CHOOSE(CONTROL!$C$12, $D$4, 100%, $F$4)</f>
        <v>5.2283999999999997</v>
      </c>
      <c r="C209" s="8">
        <f>CHOOSE( CONTROL!$C$29, 5.2456, 5.2387) * CHOOSE(CONTROL!$C$12, $D$4, 100%, $F$4)</f>
        <v>5.2386999999999997</v>
      </c>
      <c r="D209" s="8">
        <f>CHOOSE( CONTROL!$C$29, 5.2471, 5.2402) * CHOOSE( CONTROL!$C$12, $D$4, 100%, $F$4)</f>
        <v>5.2401999999999997</v>
      </c>
      <c r="E209" s="12">
        <f>CHOOSE( CONTROL!$C$29, 5.245, 5.2381) * CHOOSE( CONTROL!$C$12, $D$4, 100%, $F$4)</f>
        <v>5.2381000000000002</v>
      </c>
      <c r="F209" s="4">
        <f>CHOOSE( CONTROL!$C$29, 6.2417, 6.2349) * CHOOSE(CONTROL!$C$12, $D$4, 100%, $F$4)</f>
        <v>6.2348999999999997</v>
      </c>
      <c r="G209" s="8">
        <f>CHOOSE( CONTROL!$C$29, 5.1558, 5.1491) * CHOOSE( CONTROL!$C$12, $D$4, 100%, $F$4)</f>
        <v>5.1490999999999998</v>
      </c>
      <c r="H209" s="4">
        <f>CHOOSE( CONTROL!$C$29, 6.0702, 6.0634) * CHOOSE(CONTROL!$C$12, $D$4, 100%, $F$4)</f>
        <v>6.0633999999999997</v>
      </c>
      <c r="I209" s="8">
        <f>CHOOSE( CONTROL!$C$29, 5.1398, 5.1332) * CHOOSE(CONTROL!$C$12, $D$4, 100%, $F$4)</f>
        <v>5.1332000000000004</v>
      </c>
      <c r="J209" s="4">
        <f>CHOOSE( CONTROL!$C$29, 5.072, 5.0654) * CHOOSE(CONTROL!$C$12, $D$4, 100%, $F$4)</f>
        <v>5.0654000000000003</v>
      </c>
      <c r="K209" s="4"/>
      <c r="L209" s="9">
        <v>29.520499999999998</v>
      </c>
      <c r="M209" s="9">
        <v>12.063700000000001</v>
      </c>
      <c r="N209" s="9">
        <v>4.9444999999999997</v>
      </c>
      <c r="O209" s="9">
        <v>0.37459999999999999</v>
      </c>
      <c r="P209" s="9">
        <v>1.2192000000000001</v>
      </c>
      <c r="Q209" s="9">
        <v>30.8704</v>
      </c>
      <c r="R209" s="9"/>
      <c r="S209" s="11"/>
    </row>
    <row r="210" spans="1:19" ht="15.6">
      <c r="A210" s="13">
        <v>48458</v>
      </c>
      <c r="B210" s="8">
        <f>CHOOSE( CONTROL!$C$29, 5.1258, 5.1189) * CHOOSE(CONTROL!$C$12, $D$4, 100%, $F$4)</f>
        <v>5.1189</v>
      </c>
      <c r="C210" s="8">
        <f>CHOOSE( CONTROL!$C$29, 5.1361, 5.1292) * CHOOSE(CONTROL!$C$12, $D$4, 100%, $F$4)</f>
        <v>5.1292</v>
      </c>
      <c r="D210" s="8">
        <f>CHOOSE( CONTROL!$C$29, 5.1408, 5.1339) * CHOOSE( CONTROL!$C$12, $D$4, 100%, $F$4)</f>
        <v>5.1338999999999997</v>
      </c>
      <c r="E210" s="12">
        <f>CHOOSE( CONTROL!$C$29, 5.1375, 5.1306) * CHOOSE( CONTROL!$C$12, $D$4, 100%, $F$4)</f>
        <v>5.1306000000000003</v>
      </c>
      <c r="F210" s="4">
        <f>CHOOSE( CONTROL!$C$29, 6.1374, 6.1305) * CHOOSE(CONTROL!$C$12, $D$4, 100%, $F$4)</f>
        <v>6.1304999999999996</v>
      </c>
      <c r="G210" s="8">
        <f>CHOOSE( CONTROL!$C$29, 5.05, 5.0432) * CHOOSE( CONTROL!$C$12, $D$4, 100%, $F$4)</f>
        <v>5.0431999999999997</v>
      </c>
      <c r="H210" s="4">
        <f>CHOOSE( CONTROL!$C$29, 5.9673, 5.9606) * CHOOSE(CONTROL!$C$12, $D$4, 100%, $F$4)</f>
        <v>5.9606000000000003</v>
      </c>
      <c r="I210" s="8">
        <f>CHOOSE( CONTROL!$C$29, 5.0414, 5.0348) * CHOOSE(CONTROL!$C$12, $D$4, 100%, $F$4)</f>
        <v>5.0347999999999997</v>
      </c>
      <c r="J210" s="4">
        <f>CHOOSE( CONTROL!$C$29, 4.9659, 4.9593) * CHOOSE(CONTROL!$C$12, $D$4, 100%, $F$4)</f>
        <v>4.9592999999999998</v>
      </c>
      <c r="K210" s="4"/>
      <c r="L210" s="9">
        <v>28.568200000000001</v>
      </c>
      <c r="M210" s="9">
        <v>11.6745</v>
      </c>
      <c r="N210" s="9">
        <v>4.7850000000000001</v>
      </c>
      <c r="O210" s="9">
        <v>0.36249999999999999</v>
      </c>
      <c r="P210" s="9">
        <v>1.1798</v>
      </c>
      <c r="Q210" s="9">
        <v>29.874600000000001</v>
      </c>
      <c r="R210" s="9"/>
      <c r="S210" s="11"/>
    </row>
    <row r="211" spans="1:19" ht="15.6">
      <c r="A211" s="13">
        <v>48488</v>
      </c>
      <c r="B211" s="8">
        <f>5.3463 * CHOOSE(CONTROL!$C$12, $D$4, 100%, $F$4)</f>
        <v>5.3463000000000003</v>
      </c>
      <c r="C211" s="8">
        <f>5.3566 * CHOOSE(CONTROL!$C$12, $D$4, 100%, $F$4)</f>
        <v>5.3566000000000003</v>
      </c>
      <c r="D211" s="8">
        <f>5.3517 * CHOOSE( CONTROL!$C$12, $D$4, 100%, $F$4)</f>
        <v>5.3517000000000001</v>
      </c>
      <c r="E211" s="12">
        <f>5.3522 * CHOOSE( CONTROL!$C$12, $D$4, 100%, $F$4)</f>
        <v>5.3521999999999998</v>
      </c>
      <c r="F211" s="4">
        <f>6.3372 * CHOOSE(CONTROL!$C$12, $D$4, 100%, $F$4)</f>
        <v>6.3372000000000002</v>
      </c>
      <c r="G211" s="8">
        <f>5.2641 * CHOOSE( CONTROL!$C$12, $D$4, 100%, $F$4)</f>
        <v>5.2641</v>
      </c>
      <c r="H211" s="4">
        <f>6.1644 * CHOOSE(CONTROL!$C$12, $D$4, 100%, $F$4)</f>
        <v>6.1643999999999997</v>
      </c>
      <c r="I211" s="8">
        <f>5.2591 * CHOOSE(CONTROL!$C$12, $D$4, 100%, $F$4)</f>
        <v>5.2591000000000001</v>
      </c>
      <c r="J211" s="4">
        <f>5.1796 * CHOOSE(CONTROL!$C$12, $D$4, 100%, $F$4)</f>
        <v>5.1795999999999998</v>
      </c>
      <c r="K211" s="4"/>
      <c r="L211" s="9">
        <v>28.921800000000001</v>
      </c>
      <c r="M211" s="9">
        <v>12.063700000000001</v>
      </c>
      <c r="N211" s="9">
        <v>4.9444999999999997</v>
      </c>
      <c r="O211" s="9">
        <v>0.37459999999999999</v>
      </c>
      <c r="P211" s="9">
        <v>1.2192000000000001</v>
      </c>
      <c r="Q211" s="9">
        <v>30.8704</v>
      </c>
      <c r="R211" s="9"/>
      <c r="S211" s="11"/>
    </row>
    <row r="212" spans="1:19" ht="15.6">
      <c r="A212" s="13">
        <v>48519</v>
      </c>
      <c r="B212" s="8">
        <f>5.7659 * CHOOSE(CONTROL!$C$12, $D$4, 100%, $F$4)</f>
        <v>5.7659000000000002</v>
      </c>
      <c r="C212" s="8">
        <f>5.7763 * CHOOSE(CONTROL!$C$12, $D$4, 100%, $F$4)</f>
        <v>5.7763</v>
      </c>
      <c r="D212" s="8">
        <f>5.7356 * CHOOSE( CONTROL!$C$12, $D$4, 100%, $F$4)</f>
        <v>5.7355999999999998</v>
      </c>
      <c r="E212" s="12">
        <f>5.7494 * CHOOSE( CONTROL!$C$12, $D$4, 100%, $F$4)</f>
        <v>5.7493999999999996</v>
      </c>
      <c r="F212" s="4">
        <f>6.743 * CHOOSE(CONTROL!$C$12, $D$4, 100%, $F$4)</f>
        <v>6.7430000000000003</v>
      </c>
      <c r="G212" s="8">
        <f>5.6717 * CHOOSE( CONTROL!$C$12, $D$4, 100%, $F$4)</f>
        <v>5.6717000000000004</v>
      </c>
      <c r="H212" s="4">
        <f>6.5643 * CHOOSE(CONTROL!$C$12, $D$4, 100%, $F$4)</f>
        <v>6.5643000000000002</v>
      </c>
      <c r="I212" s="8">
        <f>5.6503 * CHOOSE(CONTROL!$C$12, $D$4, 100%, $F$4)</f>
        <v>5.6502999999999997</v>
      </c>
      <c r="J212" s="4">
        <f>5.5862 * CHOOSE(CONTROL!$C$12, $D$4, 100%, $F$4)</f>
        <v>5.5861999999999998</v>
      </c>
      <c r="K212" s="4"/>
      <c r="L212" s="9">
        <v>26.515499999999999</v>
      </c>
      <c r="M212" s="9">
        <v>11.6745</v>
      </c>
      <c r="N212" s="9">
        <v>4.7850000000000001</v>
      </c>
      <c r="O212" s="9">
        <v>0.36249999999999999</v>
      </c>
      <c r="P212" s="9">
        <v>1.2522</v>
      </c>
      <c r="Q212" s="9">
        <v>29.874600000000001</v>
      </c>
      <c r="R212" s="9"/>
      <c r="S212" s="11"/>
    </row>
    <row r="213" spans="1:19" ht="15.6">
      <c r="A213" s="13">
        <v>48549</v>
      </c>
      <c r="B213" s="8">
        <f>5.7555 * CHOOSE(CONTROL!$C$12, $D$4, 100%, $F$4)</f>
        <v>5.7554999999999996</v>
      </c>
      <c r="C213" s="8">
        <f>5.7658 * CHOOSE(CONTROL!$C$12, $D$4, 100%, $F$4)</f>
        <v>5.7657999999999996</v>
      </c>
      <c r="D213" s="8">
        <f>5.727 * CHOOSE( CONTROL!$C$12, $D$4, 100%, $F$4)</f>
        <v>5.7270000000000003</v>
      </c>
      <c r="E213" s="12">
        <f>5.7401 * CHOOSE( CONTROL!$C$12, $D$4, 100%, $F$4)</f>
        <v>5.7401</v>
      </c>
      <c r="F213" s="4">
        <f>6.7258 * CHOOSE(CONTROL!$C$12, $D$4, 100%, $F$4)</f>
        <v>6.7257999999999996</v>
      </c>
      <c r="G213" s="8">
        <f>5.6638 * CHOOSE( CONTROL!$C$12, $D$4, 100%, $F$4)</f>
        <v>5.6638000000000002</v>
      </c>
      <c r="H213" s="4">
        <f>6.5474 * CHOOSE(CONTROL!$C$12, $D$4, 100%, $F$4)</f>
        <v>6.5473999999999997</v>
      </c>
      <c r="I213" s="8">
        <f>5.6508 * CHOOSE(CONTROL!$C$12, $D$4, 100%, $F$4)</f>
        <v>5.6508000000000003</v>
      </c>
      <c r="J213" s="4">
        <f>5.5761 * CHOOSE(CONTROL!$C$12, $D$4, 100%, $F$4)</f>
        <v>5.5761000000000003</v>
      </c>
      <c r="K213" s="4"/>
      <c r="L213" s="9">
        <v>27.3993</v>
      </c>
      <c r="M213" s="9">
        <v>12.063700000000001</v>
      </c>
      <c r="N213" s="9">
        <v>4.9444999999999997</v>
      </c>
      <c r="O213" s="9">
        <v>0.37459999999999999</v>
      </c>
      <c r="P213" s="9">
        <v>1.2939000000000001</v>
      </c>
      <c r="Q213" s="9">
        <v>30.8704</v>
      </c>
      <c r="R213" s="9"/>
      <c r="S213" s="11"/>
    </row>
    <row r="214" spans="1:19" ht="15.6">
      <c r="A214" s="13">
        <v>48580</v>
      </c>
      <c r="B214" s="8">
        <f>5.9298 * CHOOSE(CONTROL!$C$12, $D$4, 100%, $F$4)</f>
        <v>5.9298000000000002</v>
      </c>
      <c r="C214" s="8">
        <f>5.9401 * CHOOSE(CONTROL!$C$12, $D$4, 100%, $F$4)</f>
        <v>5.9401000000000002</v>
      </c>
      <c r="D214" s="8">
        <f>5.9399 * CHOOSE( CONTROL!$C$12, $D$4, 100%, $F$4)</f>
        <v>5.9398999999999997</v>
      </c>
      <c r="E214" s="12">
        <f>5.9389 * CHOOSE( CONTROL!$C$12, $D$4, 100%, $F$4)</f>
        <v>5.9389000000000003</v>
      </c>
      <c r="F214" s="4">
        <f>6.9517 * CHOOSE(CONTROL!$C$12, $D$4, 100%, $F$4)</f>
        <v>6.9516999999999998</v>
      </c>
      <c r="G214" s="8">
        <f>5.8766 * CHOOSE( CONTROL!$C$12, $D$4, 100%, $F$4)</f>
        <v>5.8765999999999998</v>
      </c>
      <c r="H214" s="4">
        <f>6.77 * CHOOSE(CONTROL!$C$12, $D$4, 100%, $F$4)</f>
        <v>6.77</v>
      </c>
      <c r="I214" s="8">
        <f>5.8564 * CHOOSE(CONTROL!$C$12, $D$4, 100%, $F$4)</f>
        <v>5.8563999999999998</v>
      </c>
      <c r="J214" s="4">
        <f>5.745 * CHOOSE(CONTROL!$C$12, $D$4, 100%, $F$4)</f>
        <v>5.7450000000000001</v>
      </c>
      <c r="K214" s="4"/>
      <c r="L214" s="9">
        <v>27.3993</v>
      </c>
      <c r="M214" s="9">
        <v>12.063700000000001</v>
      </c>
      <c r="N214" s="9">
        <v>4.9444999999999997</v>
      </c>
      <c r="O214" s="9">
        <v>0.37459999999999999</v>
      </c>
      <c r="P214" s="9">
        <v>1.2939000000000001</v>
      </c>
      <c r="Q214" s="9">
        <v>30.773700000000002</v>
      </c>
      <c r="R214" s="9"/>
      <c r="S214" s="11"/>
    </row>
    <row r="215" spans="1:19" ht="15.6">
      <c r="A215" s="13">
        <v>48611</v>
      </c>
      <c r="B215" s="8">
        <f>5.5465 * CHOOSE(CONTROL!$C$12, $D$4, 100%, $F$4)</f>
        <v>5.5465</v>
      </c>
      <c r="C215" s="8">
        <f>5.5568 * CHOOSE(CONTROL!$C$12, $D$4, 100%, $F$4)</f>
        <v>5.5568</v>
      </c>
      <c r="D215" s="8">
        <f>5.5589 * CHOOSE( CONTROL!$C$12, $D$4, 100%, $F$4)</f>
        <v>5.5589000000000004</v>
      </c>
      <c r="E215" s="12">
        <f>5.557 * CHOOSE( CONTROL!$C$12, $D$4, 100%, $F$4)</f>
        <v>5.5570000000000004</v>
      </c>
      <c r="F215" s="4">
        <f>6.5606 * CHOOSE(CONTROL!$C$12, $D$4, 100%, $F$4)</f>
        <v>6.5606</v>
      </c>
      <c r="G215" s="8">
        <f>5.4986 * CHOOSE( CONTROL!$C$12, $D$4, 100%, $F$4)</f>
        <v>5.4985999999999997</v>
      </c>
      <c r="H215" s="4">
        <f>6.3846 * CHOOSE(CONTROL!$C$12, $D$4, 100%, $F$4)</f>
        <v>6.3845999999999998</v>
      </c>
      <c r="I215" s="8">
        <f>5.4739 * CHOOSE(CONTROL!$C$12, $D$4, 100%, $F$4)</f>
        <v>5.4739000000000004</v>
      </c>
      <c r="J215" s="4">
        <f>5.3736 * CHOOSE(CONTROL!$C$12, $D$4, 100%, $F$4)</f>
        <v>5.3735999999999997</v>
      </c>
      <c r="K215" s="4"/>
      <c r="L215" s="9">
        <v>24.747800000000002</v>
      </c>
      <c r="M215" s="9">
        <v>10.8962</v>
      </c>
      <c r="N215" s="9">
        <v>4.4660000000000002</v>
      </c>
      <c r="O215" s="9">
        <v>0.33829999999999999</v>
      </c>
      <c r="P215" s="9">
        <v>1.1687000000000001</v>
      </c>
      <c r="Q215" s="9">
        <v>27.7956</v>
      </c>
      <c r="R215" s="9"/>
      <c r="S215" s="11"/>
    </row>
    <row r="216" spans="1:19" ht="15.6">
      <c r="A216" s="13">
        <v>48639</v>
      </c>
      <c r="B216" s="8">
        <f>5.4284 * CHOOSE(CONTROL!$C$12, $D$4, 100%, $F$4)</f>
        <v>5.4283999999999999</v>
      </c>
      <c r="C216" s="8">
        <f>5.4387 * CHOOSE(CONTROL!$C$12, $D$4, 100%, $F$4)</f>
        <v>5.4386999999999999</v>
      </c>
      <c r="D216" s="8">
        <f>5.4209 * CHOOSE( CONTROL!$C$12, $D$4, 100%, $F$4)</f>
        <v>5.4208999999999996</v>
      </c>
      <c r="E216" s="12">
        <f>5.4263 * CHOOSE( CONTROL!$C$12, $D$4, 100%, $F$4)</f>
        <v>5.4263000000000003</v>
      </c>
      <c r="F216" s="4">
        <f>6.4266 * CHOOSE(CONTROL!$C$12, $D$4, 100%, $F$4)</f>
        <v>6.4265999999999996</v>
      </c>
      <c r="G216" s="8">
        <f>5.3617 * CHOOSE( CONTROL!$C$12, $D$4, 100%, $F$4)</f>
        <v>5.3616999999999999</v>
      </c>
      <c r="H216" s="4">
        <f>6.2524 * CHOOSE(CONTROL!$C$12, $D$4, 100%, $F$4)</f>
        <v>6.2523999999999997</v>
      </c>
      <c r="I216" s="8">
        <f>5.32 * CHOOSE(CONTROL!$C$12, $D$4, 100%, $F$4)</f>
        <v>5.32</v>
      </c>
      <c r="J216" s="4">
        <f>5.2592 * CHOOSE(CONTROL!$C$12, $D$4, 100%, $F$4)</f>
        <v>5.2591999999999999</v>
      </c>
      <c r="K216" s="4"/>
      <c r="L216" s="9">
        <v>27.3993</v>
      </c>
      <c r="M216" s="9">
        <v>12.063700000000001</v>
      </c>
      <c r="N216" s="9">
        <v>4.9444999999999997</v>
      </c>
      <c r="O216" s="9">
        <v>0.37459999999999999</v>
      </c>
      <c r="P216" s="9">
        <v>1.2939000000000001</v>
      </c>
      <c r="Q216" s="9">
        <v>30.773700000000002</v>
      </c>
      <c r="R216" s="9"/>
      <c r="S216" s="11"/>
    </row>
    <row r="217" spans="1:19" ht="15.6">
      <c r="A217" s="13">
        <v>48670</v>
      </c>
      <c r="B217" s="8">
        <f>5.5109 * CHOOSE(CONTROL!$C$12, $D$4, 100%, $F$4)</f>
        <v>5.5109000000000004</v>
      </c>
      <c r="C217" s="8">
        <f>5.5212 * CHOOSE(CONTROL!$C$12, $D$4, 100%, $F$4)</f>
        <v>5.5212000000000003</v>
      </c>
      <c r="D217" s="8">
        <f>5.5263 * CHOOSE( CONTROL!$C$12, $D$4, 100%, $F$4)</f>
        <v>5.5263</v>
      </c>
      <c r="E217" s="12">
        <f>5.5234 * CHOOSE( CONTROL!$C$12, $D$4, 100%, $F$4)</f>
        <v>5.5233999999999996</v>
      </c>
      <c r="F217" s="4">
        <f>6.5173 * CHOOSE(CONTROL!$C$12, $D$4, 100%, $F$4)</f>
        <v>6.5172999999999996</v>
      </c>
      <c r="G217" s="8">
        <f>5.4309 * CHOOSE( CONTROL!$C$12, $D$4, 100%, $F$4)</f>
        <v>5.4309000000000003</v>
      </c>
      <c r="H217" s="4">
        <f>6.3419 * CHOOSE(CONTROL!$C$12, $D$4, 100%, $F$4)</f>
        <v>6.3418999999999999</v>
      </c>
      <c r="I217" s="8">
        <f>5.39 * CHOOSE(CONTROL!$C$12, $D$4, 100%, $F$4)</f>
        <v>5.39</v>
      </c>
      <c r="J217" s="4">
        <f>5.3391 * CHOOSE(CONTROL!$C$12, $D$4, 100%, $F$4)</f>
        <v>5.3391000000000002</v>
      </c>
      <c r="K217" s="4"/>
      <c r="L217" s="9">
        <v>27.988800000000001</v>
      </c>
      <c r="M217" s="9">
        <v>11.6745</v>
      </c>
      <c r="N217" s="9">
        <v>4.7850000000000001</v>
      </c>
      <c r="O217" s="9">
        <v>0.36249999999999999</v>
      </c>
      <c r="P217" s="9">
        <v>1.1798</v>
      </c>
      <c r="Q217" s="9">
        <v>29.780999999999999</v>
      </c>
      <c r="R217" s="9"/>
      <c r="S217" s="11"/>
    </row>
    <row r="218" spans="1:19" ht="15.6">
      <c r="A218" s="13">
        <v>48700</v>
      </c>
      <c r="B218" s="8">
        <f>CHOOSE( CONTROL!$C$29, 5.6646, 5.6577) * CHOOSE(CONTROL!$C$12, $D$4, 100%, $F$4)</f>
        <v>5.6577000000000002</v>
      </c>
      <c r="C218" s="8">
        <f>CHOOSE( CONTROL!$C$29, 5.6749, 5.668) * CHOOSE(CONTROL!$C$12, $D$4, 100%, $F$4)</f>
        <v>5.6680000000000001</v>
      </c>
      <c r="D218" s="8">
        <f>CHOOSE( CONTROL!$C$29, 5.6551, 5.6483) * CHOOSE( CONTROL!$C$12, $D$4, 100%, $F$4)</f>
        <v>5.6482999999999999</v>
      </c>
      <c r="E218" s="12">
        <f>CHOOSE( CONTROL!$C$29, 5.6607, 5.6539) * CHOOSE( CONTROL!$C$12, $D$4, 100%, $F$4)</f>
        <v>5.6539000000000001</v>
      </c>
      <c r="F218" s="4">
        <f>CHOOSE( CONTROL!$C$29, 6.639, 6.6322) * CHOOSE(CONTROL!$C$12, $D$4, 100%, $F$4)</f>
        <v>6.6322000000000001</v>
      </c>
      <c r="G218" s="8">
        <f>CHOOSE( CONTROL!$C$29, 5.5642, 5.5574) * CHOOSE( CONTROL!$C$12, $D$4, 100%, $F$4)</f>
        <v>5.5574000000000003</v>
      </c>
      <c r="H218" s="4">
        <f>CHOOSE( CONTROL!$C$29, 6.4618, 6.4551) * CHOOSE(CONTROL!$C$12, $D$4, 100%, $F$4)</f>
        <v>6.4550999999999998</v>
      </c>
      <c r="I218" s="8">
        <f>CHOOSE( CONTROL!$C$29, 5.5175, 5.5108) * CHOOSE(CONTROL!$C$12, $D$4, 100%, $F$4)</f>
        <v>5.5107999999999997</v>
      </c>
      <c r="J218" s="4">
        <f>CHOOSE( CONTROL!$C$29, 5.488, 5.4814) * CHOOSE(CONTROL!$C$12, $D$4, 100%, $F$4)</f>
        <v>5.4813999999999998</v>
      </c>
      <c r="K218" s="4"/>
      <c r="L218" s="9">
        <v>29.520499999999998</v>
      </c>
      <c r="M218" s="9">
        <v>12.063700000000001</v>
      </c>
      <c r="N218" s="9">
        <v>4.9444999999999997</v>
      </c>
      <c r="O218" s="9">
        <v>0.37459999999999999</v>
      </c>
      <c r="P218" s="9">
        <v>1.2192000000000001</v>
      </c>
      <c r="Q218" s="9">
        <v>30.773700000000002</v>
      </c>
      <c r="R218" s="9"/>
      <c r="S218" s="11"/>
    </row>
    <row r="219" spans="1:19" ht="15.6">
      <c r="A219" s="13">
        <v>48731</v>
      </c>
      <c r="B219" s="8">
        <f>CHOOSE( CONTROL!$C$29, 5.5736, 5.5668) * CHOOSE(CONTROL!$C$12, $D$4, 100%, $F$4)</f>
        <v>5.5667999999999997</v>
      </c>
      <c r="C219" s="8">
        <f>CHOOSE( CONTROL!$C$29, 5.5839, 5.5771) * CHOOSE(CONTROL!$C$12, $D$4, 100%, $F$4)</f>
        <v>5.5770999999999997</v>
      </c>
      <c r="D219" s="8">
        <f>CHOOSE( CONTROL!$C$29, 5.5587, 5.5518) * CHOOSE( CONTROL!$C$12, $D$4, 100%, $F$4)</f>
        <v>5.5518000000000001</v>
      </c>
      <c r="E219" s="12">
        <f>CHOOSE( CONTROL!$C$29, 5.5663, 5.5594) * CHOOSE( CONTROL!$C$12, $D$4, 100%, $F$4)</f>
        <v>5.5594000000000001</v>
      </c>
      <c r="F219" s="4">
        <f>CHOOSE( CONTROL!$C$29, 6.5377, 6.5309) * CHOOSE(CONTROL!$C$12, $D$4, 100%, $F$4)</f>
        <v>6.5308999999999999</v>
      </c>
      <c r="G219" s="8">
        <f>CHOOSE( CONTROL!$C$29, 5.4733, 5.4665) * CHOOSE( CONTROL!$C$12, $D$4, 100%, $F$4)</f>
        <v>5.4664999999999999</v>
      </c>
      <c r="H219" s="4">
        <f>CHOOSE( CONTROL!$C$29, 6.362, 6.3553) * CHOOSE(CONTROL!$C$12, $D$4, 100%, $F$4)</f>
        <v>6.3552999999999997</v>
      </c>
      <c r="I219" s="8">
        <f>CHOOSE( CONTROL!$C$29, 5.4314, 5.4248) * CHOOSE(CONTROL!$C$12, $D$4, 100%, $F$4)</f>
        <v>5.4248000000000003</v>
      </c>
      <c r="J219" s="4">
        <f>CHOOSE( CONTROL!$C$29, 5.3999, 5.3933) * CHOOSE(CONTROL!$C$12, $D$4, 100%, $F$4)</f>
        <v>5.3933</v>
      </c>
      <c r="K219" s="4"/>
      <c r="L219" s="9">
        <v>28.568200000000001</v>
      </c>
      <c r="M219" s="9">
        <v>11.6745</v>
      </c>
      <c r="N219" s="9">
        <v>4.7850000000000001</v>
      </c>
      <c r="O219" s="9">
        <v>0.36249999999999999</v>
      </c>
      <c r="P219" s="9">
        <v>1.1798</v>
      </c>
      <c r="Q219" s="9">
        <v>29.780999999999999</v>
      </c>
      <c r="R219" s="9"/>
      <c r="S219" s="11"/>
    </row>
    <row r="220" spans="1:19" ht="15.6">
      <c r="A220" s="13">
        <v>48761</v>
      </c>
      <c r="B220" s="8">
        <f>CHOOSE( CONTROL!$C$29, 5.8131, 5.8063) * CHOOSE(CONTROL!$C$12, $D$4, 100%, $F$4)</f>
        <v>5.8063000000000002</v>
      </c>
      <c r="C220" s="8">
        <f>CHOOSE( CONTROL!$C$29, 5.8234, 5.8166) * CHOOSE(CONTROL!$C$12, $D$4, 100%, $F$4)</f>
        <v>5.8166000000000002</v>
      </c>
      <c r="D220" s="8">
        <f>CHOOSE( CONTROL!$C$29, 5.8316, 5.8247) * CHOOSE( CONTROL!$C$12, $D$4, 100%, $F$4)</f>
        <v>5.8247</v>
      </c>
      <c r="E220" s="12">
        <f>CHOOSE( CONTROL!$C$29, 5.8271, 5.8202) * CHOOSE( CONTROL!$C$12, $D$4, 100%, $F$4)</f>
        <v>5.8201999999999998</v>
      </c>
      <c r="F220" s="4">
        <f>CHOOSE( CONTROL!$C$29, 6.8221, 6.8153) * CHOOSE(CONTROL!$C$12, $D$4, 100%, $F$4)</f>
        <v>6.8152999999999997</v>
      </c>
      <c r="G220" s="8">
        <f>CHOOSE( CONTROL!$C$29, 5.7354, 5.7286) * CHOOSE( CONTROL!$C$12, $D$4, 100%, $F$4)</f>
        <v>5.7286000000000001</v>
      </c>
      <c r="H220" s="4">
        <f>CHOOSE( CONTROL!$C$29, 6.6423, 6.6356) * CHOOSE(CONTROL!$C$12, $D$4, 100%, $F$4)</f>
        <v>6.6356000000000002</v>
      </c>
      <c r="I220" s="8">
        <f>CHOOSE( CONTROL!$C$29, 5.7189, 5.7123) * CHOOSE(CONTROL!$C$12, $D$4, 100%, $F$4)</f>
        <v>5.7122999999999999</v>
      </c>
      <c r="J220" s="4">
        <f>CHOOSE( CONTROL!$C$29, 5.632, 5.6253) * CHOOSE(CONTROL!$C$12, $D$4, 100%, $F$4)</f>
        <v>5.6253000000000002</v>
      </c>
      <c r="K220" s="4"/>
      <c r="L220" s="9">
        <v>29.520499999999998</v>
      </c>
      <c r="M220" s="9">
        <v>12.063700000000001</v>
      </c>
      <c r="N220" s="9">
        <v>4.9444999999999997</v>
      </c>
      <c r="O220" s="9">
        <v>0.37459999999999999</v>
      </c>
      <c r="P220" s="9">
        <v>1.2192000000000001</v>
      </c>
      <c r="Q220" s="9">
        <v>30.773700000000002</v>
      </c>
      <c r="R220" s="9"/>
      <c r="S220" s="11"/>
    </row>
    <row r="221" spans="1:19" ht="15.6">
      <c r="A221" s="13">
        <v>48792</v>
      </c>
      <c r="B221" s="8">
        <f>CHOOSE( CONTROL!$C$29, 5.365, 5.3581) * CHOOSE(CONTROL!$C$12, $D$4, 100%, $F$4)</f>
        <v>5.3581000000000003</v>
      </c>
      <c r="C221" s="8">
        <f>CHOOSE( CONTROL!$C$29, 5.3753, 5.3685) * CHOOSE(CONTROL!$C$12, $D$4, 100%, $F$4)</f>
        <v>5.3685</v>
      </c>
      <c r="D221" s="8">
        <f>CHOOSE( CONTROL!$C$29, 5.3768, 5.3699) * CHOOSE( CONTROL!$C$12, $D$4, 100%, $F$4)</f>
        <v>5.3699000000000003</v>
      </c>
      <c r="E221" s="12">
        <f>CHOOSE( CONTROL!$C$29, 5.3747, 5.3678) * CHOOSE( CONTROL!$C$12, $D$4, 100%, $F$4)</f>
        <v>5.3677999999999999</v>
      </c>
      <c r="F221" s="4">
        <f>CHOOSE( CONTROL!$C$29, 6.3714, 6.3646) * CHOOSE(CONTROL!$C$12, $D$4, 100%, $F$4)</f>
        <v>6.3646000000000003</v>
      </c>
      <c r="G221" s="8">
        <f>CHOOSE( CONTROL!$C$29, 5.2837, 5.277) * CHOOSE( CONTROL!$C$12, $D$4, 100%, $F$4)</f>
        <v>5.2770000000000001</v>
      </c>
      <c r="H221" s="4">
        <f>CHOOSE( CONTROL!$C$29, 6.1981, 6.1913) * CHOOSE(CONTROL!$C$12, $D$4, 100%, $F$4)</f>
        <v>6.1913</v>
      </c>
      <c r="I221" s="8">
        <f>CHOOSE( CONTROL!$C$29, 5.2656, 5.2589) * CHOOSE(CONTROL!$C$12, $D$4, 100%, $F$4)</f>
        <v>5.2588999999999997</v>
      </c>
      <c r="J221" s="4">
        <f>CHOOSE( CONTROL!$C$29, 5.1977, 5.1911) * CHOOSE(CONTROL!$C$12, $D$4, 100%, $F$4)</f>
        <v>5.1910999999999996</v>
      </c>
      <c r="K221" s="4"/>
      <c r="L221" s="9">
        <v>29.520499999999998</v>
      </c>
      <c r="M221" s="9">
        <v>12.063700000000001</v>
      </c>
      <c r="N221" s="9">
        <v>4.9444999999999997</v>
      </c>
      <c r="O221" s="9">
        <v>0.37459999999999999</v>
      </c>
      <c r="P221" s="9">
        <v>1.2192000000000001</v>
      </c>
      <c r="Q221" s="9">
        <v>30.773700000000002</v>
      </c>
      <c r="R221" s="9"/>
      <c r="S221" s="11"/>
    </row>
    <row r="222" spans="1:19" ht="15.6">
      <c r="A222" s="13">
        <v>48823</v>
      </c>
      <c r="B222" s="8">
        <f>CHOOSE( CONTROL!$C$29, 5.2528, 5.2459) * CHOOSE(CONTROL!$C$12, $D$4, 100%, $F$4)</f>
        <v>5.2458999999999998</v>
      </c>
      <c r="C222" s="8">
        <f>CHOOSE( CONTROL!$C$29, 5.2631, 5.2563) * CHOOSE(CONTROL!$C$12, $D$4, 100%, $F$4)</f>
        <v>5.2563000000000004</v>
      </c>
      <c r="D222" s="8">
        <f>CHOOSE( CONTROL!$C$29, 5.2678, 5.2609) * CHOOSE( CONTROL!$C$12, $D$4, 100%, $F$4)</f>
        <v>5.2609000000000004</v>
      </c>
      <c r="E222" s="12">
        <f>CHOOSE( CONTROL!$C$29, 5.2645, 5.2576) * CHOOSE( CONTROL!$C$12, $D$4, 100%, $F$4)</f>
        <v>5.2576000000000001</v>
      </c>
      <c r="F222" s="4">
        <f>CHOOSE( CONTROL!$C$29, 6.2644, 6.2575) * CHOOSE(CONTROL!$C$12, $D$4, 100%, $F$4)</f>
        <v>6.2575000000000003</v>
      </c>
      <c r="G222" s="8">
        <f>CHOOSE( CONTROL!$C$29, 5.1752, 5.1684) * CHOOSE( CONTROL!$C$12, $D$4, 100%, $F$4)</f>
        <v>5.1684000000000001</v>
      </c>
      <c r="H222" s="4">
        <f>CHOOSE( CONTROL!$C$29, 6.0925, 6.0858) * CHOOSE(CONTROL!$C$12, $D$4, 100%, $F$4)</f>
        <v>6.0857999999999999</v>
      </c>
      <c r="I222" s="8">
        <f>CHOOSE( CONTROL!$C$29, 5.1646, 5.1579) * CHOOSE(CONTROL!$C$12, $D$4, 100%, $F$4)</f>
        <v>5.1578999999999997</v>
      </c>
      <c r="J222" s="4">
        <f>CHOOSE( CONTROL!$C$29, 5.089, 5.0824) * CHOOSE(CONTROL!$C$12, $D$4, 100%, $F$4)</f>
        <v>5.0823999999999998</v>
      </c>
      <c r="K222" s="4"/>
      <c r="L222" s="9">
        <v>28.568200000000001</v>
      </c>
      <c r="M222" s="9">
        <v>11.6745</v>
      </c>
      <c r="N222" s="9">
        <v>4.7850000000000001</v>
      </c>
      <c r="O222" s="9">
        <v>0.36249999999999999</v>
      </c>
      <c r="P222" s="9">
        <v>1.1798</v>
      </c>
      <c r="Q222" s="9">
        <v>29.780999999999999</v>
      </c>
      <c r="R222" s="9"/>
      <c r="S222" s="11"/>
    </row>
    <row r="223" spans="1:19" ht="15.6">
      <c r="A223" s="13">
        <v>48853</v>
      </c>
      <c r="B223" s="8">
        <f>5.4789 * CHOOSE(CONTROL!$C$12, $D$4, 100%, $F$4)</f>
        <v>5.4789000000000003</v>
      </c>
      <c r="C223" s="8">
        <f>5.4893 * CHOOSE(CONTROL!$C$12, $D$4, 100%, $F$4)</f>
        <v>5.4893000000000001</v>
      </c>
      <c r="D223" s="8">
        <f>5.4843 * CHOOSE( CONTROL!$C$12, $D$4, 100%, $F$4)</f>
        <v>5.4843000000000002</v>
      </c>
      <c r="E223" s="12">
        <f>5.4848 * CHOOSE( CONTROL!$C$12, $D$4, 100%, $F$4)</f>
        <v>5.4847999999999999</v>
      </c>
      <c r="F223" s="4">
        <f>6.4699 * CHOOSE(CONTROL!$C$12, $D$4, 100%, $F$4)</f>
        <v>6.4699</v>
      </c>
      <c r="G223" s="8">
        <f>5.3949 * CHOOSE( CONTROL!$C$12, $D$4, 100%, $F$4)</f>
        <v>5.3948999999999998</v>
      </c>
      <c r="H223" s="4">
        <f>6.2951 * CHOOSE(CONTROL!$C$12, $D$4, 100%, $F$4)</f>
        <v>6.2950999999999997</v>
      </c>
      <c r="I223" s="8">
        <f>5.3877 * CHOOSE(CONTROL!$C$12, $D$4, 100%, $F$4)</f>
        <v>5.3876999999999997</v>
      </c>
      <c r="J223" s="4">
        <f>5.3081 * CHOOSE(CONTROL!$C$12, $D$4, 100%, $F$4)</f>
        <v>5.3080999999999996</v>
      </c>
      <c r="K223" s="4"/>
      <c r="L223" s="9">
        <v>28.921800000000001</v>
      </c>
      <c r="M223" s="9">
        <v>12.063700000000001</v>
      </c>
      <c r="N223" s="9">
        <v>4.9444999999999997</v>
      </c>
      <c r="O223" s="9">
        <v>0.37459999999999999</v>
      </c>
      <c r="P223" s="9">
        <v>1.2192000000000001</v>
      </c>
      <c r="Q223" s="9">
        <v>30.773700000000002</v>
      </c>
      <c r="R223" s="9"/>
      <c r="S223" s="11"/>
    </row>
    <row r="224" spans="1:19" ht="15.6">
      <c r="A224" s="13">
        <v>48884</v>
      </c>
      <c r="B224" s="8">
        <f>5.909 * CHOOSE(CONTROL!$C$12, $D$4, 100%, $F$4)</f>
        <v>5.9089999999999998</v>
      </c>
      <c r="C224" s="8">
        <f>5.9193 * CHOOSE(CONTROL!$C$12, $D$4, 100%, $F$4)</f>
        <v>5.9192999999999998</v>
      </c>
      <c r="D224" s="8">
        <f>5.8786 * CHOOSE( CONTROL!$C$12, $D$4, 100%, $F$4)</f>
        <v>5.8785999999999996</v>
      </c>
      <c r="E224" s="12">
        <f>5.8924 * CHOOSE( CONTROL!$C$12, $D$4, 100%, $F$4)</f>
        <v>5.8924000000000003</v>
      </c>
      <c r="F224" s="4">
        <f>6.886 * CHOOSE(CONTROL!$C$12, $D$4, 100%, $F$4)</f>
        <v>6.8860000000000001</v>
      </c>
      <c r="G224" s="8">
        <f>5.8128 * CHOOSE( CONTROL!$C$12, $D$4, 100%, $F$4)</f>
        <v>5.8128000000000002</v>
      </c>
      <c r="H224" s="4">
        <f>6.7053 * CHOOSE(CONTROL!$C$12, $D$4, 100%, $F$4)</f>
        <v>6.7053000000000003</v>
      </c>
      <c r="I224" s="8">
        <f>5.7889 * CHOOSE(CONTROL!$C$12, $D$4, 100%, $F$4)</f>
        <v>5.7888999999999999</v>
      </c>
      <c r="J224" s="4">
        <f>5.7249 * CHOOSE(CONTROL!$C$12, $D$4, 100%, $F$4)</f>
        <v>5.7248999999999999</v>
      </c>
      <c r="K224" s="4"/>
      <c r="L224" s="9">
        <v>26.515499999999999</v>
      </c>
      <c r="M224" s="9">
        <v>11.6745</v>
      </c>
      <c r="N224" s="9">
        <v>4.7850000000000001</v>
      </c>
      <c r="O224" s="9">
        <v>0.36249999999999999</v>
      </c>
      <c r="P224" s="9">
        <v>1.2522</v>
      </c>
      <c r="Q224" s="9">
        <v>29.780999999999999</v>
      </c>
      <c r="R224" s="9"/>
      <c r="S224" s="11"/>
    </row>
    <row r="225" spans="1:19" ht="15.6">
      <c r="A225" s="13">
        <v>48914</v>
      </c>
      <c r="B225" s="8">
        <f>5.8983 * CHOOSE(CONTROL!$C$12, $D$4, 100%, $F$4)</f>
        <v>5.8982999999999999</v>
      </c>
      <c r="C225" s="8">
        <f>5.9086 * CHOOSE(CONTROL!$C$12, $D$4, 100%, $F$4)</f>
        <v>5.9085999999999999</v>
      </c>
      <c r="D225" s="8">
        <f>5.8698 * CHOOSE( CONTROL!$C$12, $D$4, 100%, $F$4)</f>
        <v>5.8697999999999997</v>
      </c>
      <c r="E225" s="12">
        <f>5.8829 * CHOOSE( CONTROL!$C$12, $D$4, 100%, $F$4)</f>
        <v>5.8829000000000002</v>
      </c>
      <c r="F225" s="4">
        <f>6.8686 * CHOOSE(CONTROL!$C$12, $D$4, 100%, $F$4)</f>
        <v>6.8685999999999998</v>
      </c>
      <c r="G225" s="8">
        <f>5.8045 * CHOOSE( CONTROL!$C$12, $D$4, 100%, $F$4)</f>
        <v>5.8045</v>
      </c>
      <c r="H225" s="4">
        <f>6.6881 * CHOOSE(CONTROL!$C$12, $D$4, 100%, $F$4)</f>
        <v>6.6881000000000004</v>
      </c>
      <c r="I225" s="8">
        <f>5.7893 * CHOOSE(CONTROL!$C$12, $D$4, 100%, $F$4)</f>
        <v>5.7892999999999999</v>
      </c>
      <c r="J225" s="4">
        <f>5.7145 * CHOOSE(CONTROL!$C$12, $D$4, 100%, $F$4)</f>
        <v>5.7145000000000001</v>
      </c>
      <c r="K225" s="4"/>
      <c r="L225" s="9">
        <v>27.3993</v>
      </c>
      <c r="M225" s="9">
        <v>12.063700000000001</v>
      </c>
      <c r="N225" s="9">
        <v>4.9444999999999997</v>
      </c>
      <c r="O225" s="9">
        <v>0.37459999999999999</v>
      </c>
      <c r="P225" s="9">
        <v>1.2939000000000001</v>
      </c>
      <c r="Q225" s="9">
        <v>30.773700000000002</v>
      </c>
      <c r="R225" s="9"/>
      <c r="S225" s="11"/>
    </row>
    <row r="226" spans="1:19" ht="15.6">
      <c r="A226" s="13">
        <v>48945</v>
      </c>
      <c r="B226" s="8">
        <f>6.0716 * CHOOSE(CONTROL!$C$12, $D$4, 100%, $F$4)</f>
        <v>6.0716000000000001</v>
      </c>
      <c r="C226" s="8">
        <f>6.0819 * CHOOSE(CONTROL!$C$12, $D$4, 100%, $F$4)</f>
        <v>6.0819000000000001</v>
      </c>
      <c r="D226" s="8">
        <f>6.0817 * CHOOSE( CONTROL!$C$12, $D$4, 100%, $F$4)</f>
        <v>6.0816999999999997</v>
      </c>
      <c r="E226" s="12">
        <f>6.0807 * CHOOSE( CONTROL!$C$12, $D$4, 100%, $F$4)</f>
        <v>6.0807000000000002</v>
      </c>
      <c r="F226" s="4">
        <f>7.0935 * CHOOSE(CONTROL!$C$12, $D$4, 100%, $F$4)</f>
        <v>7.0934999999999997</v>
      </c>
      <c r="G226" s="8">
        <f>6.0164 * CHOOSE( CONTROL!$C$12, $D$4, 100%, $F$4)</f>
        <v>6.0164</v>
      </c>
      <c r="H226" s="4">
        <f>6.9098 * CHOOSE(CONTROL!$C$12, $D$4, 100%, $F$4)</f>
        <v>6.9097999999999997</v>
      </c>
      <c r="I226" s="8">
        <f>5.9939 * CHOOSE(CONTROL!$C$12, $D$4, 100%, $F$4)</f>
        <v>5.9939</v>
      </c>
      <c r="J226" s="4">
        <f>5.8824 * CHOOSE(CONTROL!$C$12, $D$4, 100%, $F$4)</f>
        <v>5.8823999999999996</v>
      </c>
      <c r="K226" s="4"/>
      <c r="L226" s="9">
        <v>27.3993</v>
      </c>
      <c r="M226" s="9">
        <v>12.063700000000001</v>
      </c>
      <c r="N226" s="9">
        <v>4.9444999999999997</v>
      </c>
      <c r="O226" s="9">
        <v>0.37459999999999999</v>
      </c>
      <c r="P226" s="9">
        <v>1.2939000000000001</v>
      </c>
      <c r="Q226" s="9">
        <v>30.7105</v>
      </c>
      <c r="R226" s="9"/>
      <c r="S226" s="11"/>
    </row>
    <row r="227" spans="1:19" ht="15.6">
      <c r="A227" s="13">
        <v>48976</v>
      </c>
      <c r="B227" s="8">
        <f>5.6791 * CHOOSE(CONTROL!$C$12, $D$4, 100%, $F$4)</f>
        <v>5.6791</v>
      </c>
      <c r="C227" s="8">
        <f>5.6894 * CHOOSE(CONTROL!$C$12, $D$4, 100%, $F$4)</f>
        <v>5.6894</v>
      </c>
      <c r="D227" s="8">
        <f>5.6915 * CHOOSE( CONTROL!$C$12, $D$4, 100%, $F$4)</f>
        <v>5.6914999999999996</v>
      </c>
      <c r="E227" s="12">
        <f>5.6896 * CHOOSE( CONTROL!$C$12, $D$4, 100%, $F$4)</f>
        <v>5.6896000000000004</v>
      </c>
      <c r="F227" s="4">
        <f>6.6933 * CHOOSE(CONTROL!$C$12, $D$4, 100%, $F$4)</f>
        <v>6.6932999999999998</v>
      </c>
      <c r="G227" s="8">
        <f>5.6293 * CHOOSE( CONTROL!$C$12, $D$4, 100%, $F$4)</f>
        <v>5.6292999999999997</v>
      </c>
      <c r="H227" s="4">
        <f>6.5153 * CHOOSE(CONTROL!$C$12, $D$4, 100%, $F$4)</f>
        <v>6.5152999999999999</v>
      </c>
      <c r="I227" s="8">
        <f>5.6025 * CHOOSE(CONTROL!$C$12, $D$4, 100%, $F$4)</f>
        <v>5.6025</v>
      </c>
      <c r="J227" s="4">
        <f>5.5021 * CHOOSE(CONTROL!$C$12, $D$4, 100%, $F$4)</f>
        <v>5.5021000000000004</v>
      </c>
      <c r="K227" s="4"/>
      <c r="L227" s="9">
        <v>24.747800000000002</v>
      </c>
      <c r="M227" s="9">
        <v>10.8962</v>
      </c>
      <c r="N227" s="9">
        <v>4.4660000000000002</v>
      </c>
      <c r="O227" s="9">
        <v>0.33829999999999999</v>
      </c>
      <c r="P227" s="9">
        <v>1.1687000000000001</v>
      </c>
      <c r="Q227" s="9">
        <v>27.738499999999998</v>
      </c>
      <c r="R227" s="9"/>
      <c r="S227" s="11"/>
    </row>
    <row r="228" spans="1:19" ht="15.6">
      <c r="A228" s="13">
        <v>49004</v>
      </c>
      <c r="B228" s="8">
        <f>5.5582 * CHOOSE(CONTROL!$C$12, $D$4, 100%, $F$4)</f>
        <v>5.5582000000000003</v>
      </c>
      <c r="C228" s="8">
        <f>5.5686 * CHOOSE(CONTROL!$C$12, $D$4, 100%, $F$4)</f>
        <v>5.5686</v>
      </c>
      <c r="D228" s="8">
        <f>5.5507 * CHOOSE( CONTROL!$C$12, $D$4, 100%, $F$4)</f>
        <v>5.5507</v>
      </c>
      <c r="E228" s="12">
        <f>5.5561 * CHOOSE( CONTROL!$C$12, $D$4, 100%, $F$4)</f>
        <v>5.5560999999999998</v>
      </c>
      <c r="F228" s="4">
        <f>6.5564 * CHOOSE(CONTROL!$C$12, $D$4, 100%, $F$4)</f>
        <v>6.5564</v>
      </c>
      <c r="G228" s="8">
        <f>5.4897 * CHOOSE( CONTROL!$C$12, $D$4, 100%, $F$4)</f>
        <v>5.4897</v>
      </c>
      <c r="H228" s="4">
        <f>6.3804 * CHOOSE(CONTROL!$C$12, $D$4, 100%, $F$4)</f>
        <v>6.3803999999999998</v>
      </c>
      <c r="I228" s="8">
        <f>5.4458 * CHOOSE(CONTROL!$C$12, $D$4, 100%, $F$4)</f>
        <v>5.4458000000000002</v>
      </c>
      <c r="J228" s="4">
        <f>5.385 * CHOOSE(CONTROL!$C$12, $D$4, 100%, $F$4)</f>
        <v>5.3849999999999998</v>
      </c>
      <c r="K228" s="4"/>
      <c r="L228" s="9">
        <v>27.3993</v>
      </c>
      <c r="M228" s="9">
        <v>12.063700000000001</v>
      </c>
      <c r="N228" s="9">
        <v>4.9444999999999997</v>
      </c>
      <c r="O228" s="9">
        <v>0.37459999999999999</v>
      </c>
      <c r="P228" s="9">
        <v>1.2939000000000001</v>
      </c>
      <c r="Q228" s="9">
        <v>30.7105</v>
      </c>
      <c r="R228" s="9"/>
      <c r="S228" s="11"/>
    </row>
    <row r="229" spans="1:19" ht="15.6">
      <c r="A229" s="13">
        <v>49035</v>
      </c>
      <c r="B229" s="8">
        <f>5.6427 * CHOOSE(CONTROL!$C$12, $D$4, 100%, $F$4)</f>
        <v>5.6426999999999996</v>
      </c>
      <c r="C229" s="8">
        <f>5.653 * CHOOSE(CONTROL!$C$12, $D$4, 100%, $F$4)</f>
        <v>5.6529999999999996</v>
      </c>
      <c r="D229" s="8">
        <f>5.6581 * CHOOSE( CONTROL!$C$12, $D$4, 100%, $F$4)</f>
        <v>5.6581000000000001</v>
      </c>
      <c r="E229" s="12">
        <f>5.6552 * CHOOSE( CONTROL!$C$12, $D$4, 100%, $F$4)</f>
        <v>5.6551999999999998</v>
      </c>
      <c r="F229" s="4">
        <f>6.6491 * CHOOSE(CONTROL!$C$12, $D$4, 100%, $F$4)</f>
        <v>6.6490999999999998</v>
      </c>
      <c r="G229" s="8">
        <f>5.5608 * CHOOSE( CONTROL!$C$12, $D$4, 100%, $F$4)</f>
        <v>5.5608000000000004</v>
      </c>
      <c r="H229" s="4">
        <f>6.4718 * CHOOSE(CONTROL!$C$12, $D$4, 100%, $F$4)</f>
        <v>6.4718</v>
      </c>
      <c r="I229" s="8">
        <f>5.5178 * CHOOSE(CONTROL!$C$12, $D$4, 100%, $F$4)</f>
        <v>5.5178000000000003</v>
      </c>
      <c r="J229" s="4">
        <f>5.4668 * CHOOSE(CONTROL!$C$12, $D$4, 100%, $F$4)</f>
        <v>5.4668000000000001</v>
      </c>
      <c r="K229" s="4"/>
      <c r="L229" s="9">
        <v>27.988800000000001</v>
      </c>
      <c r="M229" s="9">
        <v>11.6745</v>
      </c>
      <c r="N229" s="9">
        <v>4.7850000000000001</v>
      </c>
      <c r="O229" s="9">
        <v>0.36249999999999999</v>
      </c>
      <c r="P229" s="9">
        <v>1.1798</v>
      </c>
      <c r="Q229" s="9">
        <v>29.719799999999999</v>
      </c>
      <c r="R229" s="9"/>
      <c r="S229" s="11"/>
    </row>
    <row r="230" spans="1:19" ht="15.6">
      <c r="A230" s="13">
        <v>49065</v>
      </c>
      <c r="B230" s="8">
        <f>CHOOSE( CONTROL!$C$29, 5.7999, 5.793) * CHOOSE(CONTROL!$C$12, $D$4, 100%, $F$4)</f>
        <v>5.7930000000000001</v>
      </c>
      <c r="C230" s="8">
        <f>CHOOSE( CONTROL!$C$29, 5.8102, 5.8033) * CHOOSE(CONTROL!$C$12, $D$4, 100%, $F$4)</f>
        <v>5.8033000000000001</v>
      </c>
      <c r="D230" s="8">
        <f>CHOOSE( CONTROL!$C$29, 5.7904, 5.7836) * CHOOSE( CONTROL!$C$12, $D$4, 100%, $F$4)</f>
        <v>5.7835999999999999</v>
      </c>
      <c r="E230" s="12">
        <f>CHOOSE( CONTROL!$C$29, 5.796, 5.7892) * CHOOSE( CONTROL!$C$12, $D$4, 100%, $F$4)</f>
        <v>5.7892000000000001</v>
      </c>
      <c r="F230" s="4">
        <f>CHOOSE( CONTROL!$C$29, 6.7743, 6.7675) * CHOOSE(CONTROL!$C$12, $D$4, 100%, $F$4)</f>
        <v>6.7675000000000001</v>
      </c>
      <c r="G230" s="8">
        <f>CHOOSE( CONTROL!$C$29, 5.6975, 5.6908) * CHOOSE( CONTROL!$C$12, $D$4, 100%, $F$4)</f>
        <v>5.6908000000000003</v>
      </c>
      <c r="H230" s="4">
        <f>CHOOSE( CONTROL!$C$29, 6.5952, 6.5885) * CHOOSE(CONTROL!$C$12, $D$4, 100%, $F$4)</f>
        <v>6.5884999999999998</v>
      </c>
      <c r="I230" s="8">
        <f>CHOOSE( CONTROL!$C$29, 5.6486, 5.642) * CHOOSE(CONTROL!$C$12, $D$4, 100%, $F$4)</f>
        <v>5.6420000000000003</v>
      </c>
      <c r="J230" s="4">
        <f>CHOOSE( CONTROL!$C$29, 5.6191, 5.6125) * CHOOSE(CONTROL!$C$12, $D$4, 100%, $F$4)</f>
        <v>5.6124999999999998</v>
      </c>
      <c r="K230" s="4"/>
      <c r="L230" s="9">
        <v>29.520499999999998</v>
      </c>
      <c r="M230" s="9">
        <v>12.063700000000001</v>
      </c>
      <c r="N230" s="9">
        <v>4.9444999999999997</v>
      </c>
      <c r="O230" s="9">
        <v>0.37459999999999999</v>
      </c>
      <c r="P230" s="9">
        <v>1.2192000000000001</v>
      </c>
      <c r="Q230" s="9">
        <v>30.7105</v>
      </c>
      <c r="R230" s="9"/>
      <c r="S230" s="11"/>
    </row>
    <row r="231" spans="1:19" ht="15.6">
      <c r="A231" s="13">
        <v>49096</v>
      </c>
      <c r="B231" s="8">
        <f>CHOOSE( CONTROL!$C$29, 5.7067, 5.6999) * CHOOSE(CONTROL!$C$12, $D$4, 100%, $F$4)</f>
        <v>5.6999000000000004</v>
      </c>
      <c r="C231" s="8">
        <f>CHOOSE( CONTROL!$C$29, 5.7171, 5.7102) * CHOOSE(CONTROL!$C$12, $D$4, 100%, $F$4)</f>
        <v>5.7102000000000004</v>
      </c>
      <c r="D231" s="8">
        <f>CHOOSE( CONTROL!$C$29, 5.6918, 5.6849) * CHOOSE( CONTROL!$C$12, $D$4, 100%, $F$4)</f>
        <v>5.6848999999999998</v>
      </c>
      <c r="E231" s="12">
        <f>CHOOSE( CONTROL!$C$29, 5.6994, 5.6925) * CHOOSE( CONTROL!$C$12, $D$4, 100%, $F$4)</f>
        <v>5.6924999999999999</v>
      </c>
      <c r="F231" s="4">
        <f>CHOOSE( CONTROL!$C$29, 6.6709, 6.664) * CHOOSE(CONTROL!$C$12, $D$4, 100%, $F$4)</f>
        <v>6.6639999999999997</v>
      </c>
      <c r="G231" s="8">
        <f>CHOOSE( CONTROL!$C$29, 5.6045, 5.5977) * CHOOSE( CONTROL!$C$12, $D$4, 100%, $F$4)</f>
        <v>5.5976999999999997</v>
      </c>
      <c r="H231" s="4">
        <f>CHOOSE( CONTROL!$C$29, 6.4932, 6.4865) * CHOOSE(CONTROL!$C$12, $D$4, 100%, $F$4)</f>
        <v>6.4865000000000004</v>
      </c>
      <c r="I231" s="8">
        <f>CHOOSE( CONTROL!$C$29, 5.5605, 5.5539) * CHOOSE(CONTROL!$C$12, $D$4, 100%, $F$4)</f>
        <v>5.5538999999999996</v>
      </c>
      <c r="J231" s="4">
        <f>CHOOSE( CONTROL!$C$29, 5.5289, 5.5223) * CHOOSE(CONTROL!$C$12, $D$4, 100%, $F$4)</f>
        <v>5.5223000000000004</v>
      </c>
      <c r="K231" s="4"/>
      <c r="L231" s="9">
        <v>28.568200000000001</v>
      </c>
      <c r="M231" s="9">
        <v>11.6745</v>
      </c>
      <c r="N231" s="9">
        <v>4.7850000000000001</v>
      </c>
      <c r="O231" s="9">
        <v>0.36249999999999999</v>
      </c>
      <c r="P231" s="9">
        <v>1.1798</v>
      </c>
      <c r="Q231" s="9">
        <v>29.719799999999999</v>
      </c>
      <c r="R231" s="9"/>
      <c r="S231" s="11"/>
    </row>
    <row r="232" spans="1:19" ht="15.6">
      <c r="A232" s="13">
        <v>49126</v>
      </c>
      <c r="B232" s="8">
        <f>CHOOSE( CONTROL!$C$29, 5.952, 5.9451) * CHOOSE(CONTROL!$C$12, $D$4, 100%, $F$4)</f>
        <v>5.9451000000000001</v>
      </c>
      <c r="C232" s="8">
        <f>CHOOSE( CONTROL!$C$29, 5.9623, 5.9555) * CHOOSE(CONTROL!$C$12, $D$4, 100%, $F$4)</f>
        <v>5.9554999999999998</v>
      </c>
      <c r="D232" s="8">
        <f>CHOOSE( CONTROL!$C$29, 5.9704, 5.9636) * CHOOSE( CONTROL!$C$12, $D$4, 100%, $F$4)</f>
        <v>5.9635999999999996</v>
      </c>
      <c r="E232" s="12">
        <f>CHOOSE( CONTROL!$C$29, 5.9659, 5.9591) * CHOOSE( CONTROL!$C$12, $D$4, 100%, $F$4)</f>
        <v>5.9591000000000003</v>
      </c>
      <c r="F232" s="4">
        <f>CHOOSE( CONTROL!$C$29, 6.961, 6.9542) * CHOOSE(CONTROL!$C$12, $D$4, 100%, $F$4)</f>
        <v>6.9542000000000002</v>
      </c>
      <c r="G232" s="8">
        <f>CHOOSE( CONTROL!$C$29, 5.8723, 5.8655) * CHOOSE( CONTROL!$C$12, $D$4, 100%, $F$4)</f>
        <v>5.8654999999999999</v>
      </c>
      <c r="H232" s="4">
        <f>CHOOSE( CONTROL!$C$29, 6.7792, 6.7725) * CHOOSE(CONTROL!$C$12, $D$4, 100%, $F$4)</f>
        <v>6.7725</v>
      </c>
      <c r="I232" s="8">
        <f>CHOOSE( CONTROL!$C$29, 5.8535, 5.8469) * CHOOSE(CONTROL!$C$12, $D$4, 100%, $F$4)</f>
        <v>5.8468999999999998</v>
      </c>
      <c r="J232" s="4">
        <f>CHOOSE( CONTROL!$C$29, 5.7665, 5.7599) * CHOOSE(CONTROL!$C$12, $D$4, 100%, $F$4)</f>
        <v>5.7599</v>
      </c>
      <c r="K232" s="4"/>
      <c r="L232" s="9">
        <v>29.520499999999998</v>
      </c>
      <c r="M232" s="9">
        <v>12.063700000000001</v>
      </c>
      <c r="N232" s="9">
        <v>4.9444999999999997</v>
      </c>
      <c r="O232" s="9">
        <v>0.37459999999999999</v>
      </c>
      <c r="P232" s="9">
        <v>1.2192000000000001</v>
      </c>
      <c r="Q232" s="9">
        <v>30.7105</v>
      </c>
      <c r="R232" s="9"/>
      <c r="S232" s="11"/>
    </row>
    <row r="233" spans="1:19" ht="15.6">
      <c r="A233" s="13">
        <v>49157</v>
      </c>
      <c r="B233" s="8">
        <f>CHOOSE( CONTROL!$C$29, 5.4931, 5.4863) * CHOOSE(CONTROL!$C$12, $D$4, 100%, $F$4)</f>
        <v>5.4863</v>
      </c>
      <c r="C233" s="8">
        <f>CHOOSE( CONTROL!$C$29, 5.5034, 5.4966) * CHOOSE(CONTROL!$C$12, $D$4, 100%, $F$4)</f>
        <v>5.4965999999999999</v>
      </c>
      <c r="D233" s="8">
        <f>CHOOSE( CONTROL!$C$29, 5.5049, 5.4981) * CHOOSE( CONTROL!$C$12, $D$4, 100%, $F$4)</f>
        <v>5.4981</v>
      </c>
      <c r="E233" s="12">
        <f>CHOOSE( CONTROL!$C$29, 5.5028, 5.496) * CHOOSE( CONTROL!$C$12, $D$4, 100%, $F$4)</f>
        <v>5.4960000000000004</v>
      </c>
      <c r="F233" s="4">
        <f>CHOOSE( CONTROL!$C$29, 6.4996, 6.4927) * CHOOSE(CONTROL!$C$12, $D$4, 100%, $F$4)</f>
        <v>6.4927000000000001</v>
      </c>
      <c r="G233" s="8">
        <f>CHOOSE( CONTROL!$C$29, 5.41, 5.4033) * CHOOSE( CONTROL!$C$12, $D$4, 100%, $F$4)</f>
        <v>5.4032999999999998</v>
      </c>
      <c r="H233" s="4">
        <f>CHOOSE( CONTROL!$C$29, 6.3244, 6.3176) * CHOOSE(CONTROL!$C$12, $D$4, 100%, $F$4)</f>
        <v>6.3175999999999997</v>
      </c>
      <c r="I233" s="8">
        <f>CHOOSE( CONTROL!$C$29, 5.3898, 5.3832) * CHOOSE(CONTROL!$C$12, $D$4, 100%, $F$4)</f>
        <v>5.3832000000000004</v>
      </c>
      <c r="J233" s="4">
        <f>CHOOSE( CONTROL!$C$29, 5.3219, 5.3153) * CHOOSE(CONTROL!$C$12, $D$4, 100%, $F$4)</f>
        <v>5.3152999999999997</v>
      </c>
      <c r="K233" s="4"/>
      <c r="L233" s="9">
        <v>29.520499999999998</v>
      </c>
      <c r="M233" s="9">
        <v>12.063700000000001</v>
      </c>
      <c r="N233" s="9">
        <v>4.9444999999999997</v>
      </c>
      <c r="O233" s="9">
        <v>0.37459999999999999</v>
      </c>
      <c r="P233" s="9">
        <v>1.2192000000000001</v>
      </c>
      <c r="Q233" s="9">
        <v>30.7105</v>
      </c>
      <c r="R233" s="9"/>
      <c r="S233" s="11"/>
    </row>
    <row r="234" spans="1:19" ht="15.6">
      <c r="A234" s="13">
        <v>49188</v>
      </c>
      <c r="B234" s="8">
        <f>CHOOSE( CONTROL!$C$29, 5.3782, 5.3714) * CHOOSE(CONTROL!$C$12, $D$4, 100%, $F$4)</f>
        <v>5.3714000000000004</v>
      </c>
      <c r="C234" s="8">
        <f>CHOOSE( CONTROL!$C$29, 5.3885, 5.3817) * CHOOSE(CONTROL!$C$12, $D$4, 100%, $F$4)</f>
        <v>5.3817000000000004</v>
      </c>
      <c r="D234" s="8">
        <f>CHOOSE( CONTROL!$C$29, 5.3932, 5.3864) * CHOOSE( CONTROL!$C$12, $D$4, 100%, $F$4)</f>
        <v>5.3864000000000001</v>
      </c>
      <c r="E234" s="12">
        <f>CHOOSE( CONTROL!$C$29, 5.3899, 5.3831) * CHOOSE( CONTROL!$C$12, $D$4, 100%, $F$4)</f>
        <v>5.3830999999999998</v>
      </c>
      <c r="F234" s="4">
        <f>CHOOSE( CONTROL!$C$29, 6.3898, 6.383) * CHOOSE(CONTROL!$C$12, $D$4, 100%, $F$4)</f>
        <v>6.383</v>
      </c>
      <c r="G234" s="8">
        <f>CHOOSE( CONTROL!$C$29, 5.2988, 5.2921) * CHOOSE( CONTROL!$C$12, $D$4, 100%, $F$4)</f>
        <v>5.2920999999999996</v>
      </c>
      <c r="H234" s="4">
        <f>CHOOSE( CONTROL!$C$29, 6.2162, 6.2094) * CHOOSE(CONTROL!$C$12, $D$4, 100%, $F$4)</f>
        <v>6.2093999999999996</v>
      </c>
      <c r="I234" s="8">
        <f>CHOOSE( CONTROL!$C$29, 5.2862, 5.2796) * CHOOSE(CONTROL!$C$12, $D$4, 100%, $F$4)</f>
        <v>5.2796000000000003</v>
      </c>
      <c r="J234" s="4">
        <f>CHOOSE( CONTROL!$C$29, 5.2106, 5.2039) * CHOOSE(CONTROL!$C$12, $D$4, 100%, $F$4)</f>
        <v>5.2039</v>
      </c>
      <c r="K234" s="4"/>
      <c r="L234" s="9">
        <v>28.568200000000001</v>
      </c>
      <c r="M234" s="9">
        <v>11.6745</v>
      </c>
      <c r="N234" s="9">
        <v>4.7850000000000001</v>
      </c>
      <c r="O234" s="9">
        <v>0.36249999999999999</v>
      </c>
      <c r="P234" s="9">
        <v>1.1798</v>
      </c>
      <c r="Q234" s="9">
        <v>29.719799999999999</v>
      </c>
      <c r="R234" s="9"/>
      <c r="S234" s="11"/>
    </row>
    <row r="235" spans="1:19" ht="15.6">
      <c r="A235" s="13">
        <v>49218</v>
      </c>
      <c r="B235" s="8">
        <f>5.61 * CHOOSE(CONTROL!$C$12, $D$4, 100%, $F$4)</f>
        <v>5.61</v>
      </c>
      <c r="C235" s="8">
        <f>5.6203 * CHOOSE(CONTROL!$C$12, $D$4, 100%, $F$4)</f>
        <v>5.6203000000000003</v>
      </c>
      <c r="D235" s="8">
        <f>5.6153 * CHOOSE( CONTROL!$C$12, $D$4, 100%, $F$4)</f>
        <v>5.6153000000000004</v>
      </c>
      <c r="E235" s="12">
        <f>5.6159 * CHOOSE( CONTROL!$C$12, $D$4, 100%, $F$4)</f>
        <v>5.6158999999999999</v>
      </c>
      <c r="F235" s="4">
        <f>6.6009 * CHOOSE(CONTROL!$C$12, $D$4, 100%, $F$4)</f>
        <v>6.6009000000000002</v>
      </c>
      <c r="G235" s="8">
        <f>5.524 * CHOOSE( CONTROL!$C$12, $D$4, 100%, $F$4)</f>
        <v>5.524</v>
      </c>
      <c r="H235" s="4">
        <f>6.4243 * CHOOSE(CONTROL!$C$12, $D$4, 100%, $F$4)</f>
        <v>6.4242999999999997</v>
      </c>
      <c r="I235" s="8">
        <f>5.5147 * CHOOSE(CONTROL!$C$12, $D$4, 100%, $F$4)</f>
        <v>5.5147000000000004</v>
      </c>
      <c r="J235" s="4">
        <f>5.4351 * CHOOSE(CONTROL!$C$12, $D$4, 100%, $F$4)</f>
        <v>5.4351000000000003</v>
      </c>
      <c r="K235" s="4"/>
      <c r="L235" s="9">
        <v>28.921800000000001</v>
      </c>
      <c r="M235" s="9">
        <v>12.063700000000001</v>
      </c>
      <c r="N235" s="9">
        <v>4.9444999999999997</v>
      </c>
      <c r="O235" s="9">
        <v>0.37459999999999999</v>
      </c>
      <c r="P235" s="9">
        <v>1.2192000000000001</v>
      </c>
      <c r="Q235" s="9">
        <v>30.7105</v>
      </c>
      <c r="R235" s="9"/>
      <c r="S235" s="11"/>
    </row>
    <row r="236" spans="1:19" ht="15.6">
      <c r="A236" s="13">
        <v>49249</v>
      </c>
      <c r="B236" s="8">
        <f>6.0503 * CHOOSE(CONTROL!$C$12, $D$4, 100%, $F$4)</f>
        <v>6.0503</v>
      </c>
      <c r="C236" s="8">
        <f>6.0606 * CHOOSE(CONTROL!$C$12, $D$4, 100%, $F$4)</f>
        <v>6.0606</v>
      </c>
      <c r="D236" s="8">
        <f>6.0199 * CHOOSE( CONTROL!$C$12, $D$4, 100%, $F$4)</f>
        <v>6.0198999999999998</v>
      </c>
      <c r="E236" s="12">
        <f>6.0337 * CHOOSE( CONTROL!$C$12, $D$4, 100%, $F$4)</f>
        <v>6.0336999999999996</v>
      </c>
      <c r="F236" s="4">
        <f>7.0273 * CHOOSE(CONTROL!$C$12, $D$4, 100%, $F$4)</f>
        <v>7.0273000000000003</v>
      </c>
      <c r="G236" s="8">
        <f>5.9521 * CHOOSE( CONTROL!$C$12, $D$4, 100%, $F$4)</f>
        <v>5.9520999999999997</v>
      </c>
      <c r="H236" s="4">
        <f>6.8446 * CHOOSE(CONTROL!$C$12, $D$4, 100%, $F$4)</f>
        <v>6.8445999999999998</v>
      </c>
      <c r="I236" s="8">
        <f>5.9259 * CHOOSE(CONTROL!$C$12, $D$4, 100%, $F$4)</f>
        <v>5.9259000000000004</v>
      </c>
      <c r="J236" s="4">
        <f>5.8618 * CHOOSE(CONTROL!$C$12, $D$4, 100%, $F$4)</f>
        <v>5.8617999999999997</v>
      </c>
      <c r="K236" s="4"/>
      <c r="L236" s="9">
        <v>26.515499999999999</v>
      </c>
      <c r="M236" s="9">
        <v>11.6745</v>
      </c>
      <c r="N236" s="9">
        <v>4.7850000000000001</v>
      </c>
      <c r="O236" s="9">
        <v>0.36249999999999999</v>
      </c>
      <c r="P236" s="9">
        <v>1.2522</v>
      </c>
      <c r="Q236" s="9">
        <v>29.719799999999999</v>
      </c>
      <c r="R236" s="9"/>
      <c r="S236" s="11"/>
    </row>
    <row r="237" spans="1:19" ht="15.6">
      <c r="A237" s="13">
        <v>49279</v>
      </c>
      <c r="B237" s="8">
        <f>6.0393 * CHOOSE(CONTROL!$C$12, $D$4, 100%, $F$4)</f>
        <v>6.0392999999999999</v>
      </c>
      <c r="C237" s="8">
        <f>6.0496 * CHOOSE(CONTROL!$C$12, $D$4, 100%, $F$4)</f>
        <v>6.0495999999999999</v>
      </c>
      <c r="D237" s="8">
        <f>6.0108 * CHOOSE( CONTROL!$C$12, $D$4, 100%, $F$4)</f>
        <v>6.0107999999999997</v>
      </c>
      <c r="E237" s="12">
        <f>6.0239 * CHOOSE( CONTROL!$C$12, $D$4, 100%, $F$4)</f>
        <v>6.0239000000000003</v>
      </c>
      <c r="F237" s="4">
        <f>7.0096 * CHOOSE(CONTROL!$C$12, $D$4, 100%, $F$4)</f>
        <v>7.0095999999999998</v>
      </c>
      <c r="G237" s="8">
        <f>5.9436 * CHOOSE( CONTROL!$C$12, $D$4, 100%, $F$4)</f>
        <v>5.9436</v>
      </c>
      <c r="H237" s="4">
        <f>6.8272 * CHOOSE(CONTROL!$C$12, $D$4, 100%, $F$4)</f>
        <v>6.8272000000000004</v>
      </c>
      <c r="I237" s="8">
        <f>5.926 * CHOOSE(CONTROL!$C$12, $D$4, 100%, $F$4)</f>
        <v>5.9260000000000002</v>
      </c>
      <c r="J237" s="4">
        <f>5.8511 * CHOOSE(CONTROL!$C$12, $D$4, 100%, $F$4)</f>
        <v>5.8510999999999997</v>
      </c>
      <c r="K237" s="4"/>
      <c r="L237" s="9">
        <v>27.3993</v>
      </c>
      <c r="M237" s="9">
        <v>12.063700000000001</v>
      </c>
      <c r="N237" s="9">
        <v>4.9444999999999997</v>
      </c>
      <c r="O237" s="9">
        <v>0.37459999999999999</v>
      </c>
      <c r="P237" s="9">
        <v>1.2939000000000001</v>
      </c>
      <c r="Q237" s="9">
        <v>30.7105</v>
      </c>
      <c r="R237" s="9"/>
      <c r="S237" s="11"/>
    </row>
    <row r="238" spans="1:19" ht="15.6">
      <c r="A238" s="13">
        <v>49310</v>
      </c>
      <c r="B238" s="8">
        <f>6.2123 * CHOOSE(CONTROL!$C$12, $D$4, 100%, $F$4)</f>
        <v>6.2122999999999999</v>
      </c>
      <c r="C238" s="8">
        <f>6.2227 * CHOOSE(CONTROL!$C$12, $D$4, 100%, $F$4)</f>
        <v>6.2226999999999997</v>
      </c>
      <c r="D238" s="8">
        <f>6.2225 * CHOOSE( CONTROL!$C$12, $D$4, 100%, $F$4)</f>
        <v>6.2225000000000001</v>
      </c>
      <c r="E238" s="12">
        <f>6.2215 * CHOOSE( CONTROL!$C$12, $D$4, 100%, $F$4)</f>
        <v>6.2214999999999998</v>
      </c>
      <c r="F238" s="4">
        <f>7.2343 * CHOOSE(CONTROL!$C$12, $D$4, 100%, $F$4)</f>
        <v>7.2343000000000002</v>
      </c>
      <c r="G238" s="8">
        <f>6.1551 * CHOOSE( CONTROL!$C$12, $D$4, 100%, $F$4)</f>
        <v>6.1551</v>
      </c>
      <c r="H238" s="4">
        <f>7.0486 * CHOOSE(CONTROL!$C$12, $D$4, 100%, $F$4)</f>
        <v>7.0486000000000004</v>
      </c>
      <c r="I238" s="8">
        <f>6.1304 * CHOOSE(CONTROL!$C$12, $D$4, 100%, $F$4)</f>
        <v>6.1303999999999998</v>
      </c>
      <c r="J238" s="4">
        <f>6.0188 * CHOOSE(CONTROL!$C$12, $D$4, 100%, $F$4)</f>
        <v>6.0187999999999997</v>
      </c>
      <c r="K238" s="4"/>
      <c r="L238" s="9">
        <v>27.3993</v>
      </c>
      <c r="M238" s="9">
        <v>12.063700000000001</v>
      </c>
      <c r="N238" s="9">
        <v>4.9444999999999997</v>
      </c>
      <c r="O238" s="9">
        <v>0.37459999999999999</v>
      </c>
      <c r="P238" s="9">
        <v>1.2939000000000001</v>
      </c>
      <c r="Q238" s="9">
        <v>30.645399999999999</v>
      </c>
      <c r="R238" s="9"/>
      <c r="S238" s="11"/>
    </row>
    <row r="239" spans="1:19" ht="15.6">
      <c r="A239" s="13">
        <v>49341</v>
      </c>
      <c r="B239" s="8">
        <f>5.8108 * CHOOSE(CONTROL!$C$12, $D$4, 100%, $F$4)</f>
        <v>5.8108000000000004</v>
      </c>
      <c r="C239" s="8">
        <f>5.8211 * CHOOSE(CONTROL!$C$12, $D$4, 100%, $F$4)</f>
        <v>5.8211000000000004</v>
      </c>
      <c r="D239" s="8">
        <f>5.8232 * CHOOSE( CONTROL!$C$12, $D$4, 100%, $F$4)</f>
        <v>5.8231999999999999</v>
      </c>
      <c r="E239" s="12">
        <f>5.8213 * CHOOSE( CONTROL!$C$12, $D$4, 100%, $F$4)</f>
        <v>5.8212999999999999</v>
      </c>
      <c r="F239" s="4">
        <f>6.825 * CHOOSE(CONTROL!$C$12, $D$4, 100%, $F$4)</f>
        <v>6.8250000000000002</v>
      </c>
      <c r="G239" s="8">
        <f>5.7592 * CHOOSE( CONTROL!$C$12, $D$4, 100%, $F$4)</f>
        <v>5.7591999999999999</v>
      </c>
      <c r="H239" s="4">
        <f>6.6451 * CHOOSE(CONTROL!$C$12, $D$4, 100%, $F$4)</f>
        <v>6.6451000000000002</v>
      </c>
      <c r="I239" s="8">
        <f>5.7302 * CHOOSE(CONTROL!$C$12, $D$4, 100%, $F$4)</f>
        <v>5.7302</v>
      </c>
      <c r="J239" s="4">
        <f>5.6297 * CHOOSE(CONTROL!$C$12, $D$4, 100%, $F$4)</f>
        <v>5.6296999999999997</v>
      </c>
      <c r="K239" s="4"/>
      <c r="L239" s="9">
        <v>24.747800000000002</v>
      </c>
      <c r="M239" s="9">
        <v>10.8962</v>
      </c>
      <c r="N239" s="9">
        <v>4.4660000000000002</v>
      </c>
      <c r="O239" s="9">
        <v>0.33829999999999999</v>
      </c>
      <c r="P239" s="9">
        <v>1.1687000000000001</v>
      </c>
      <c r="Q239" s="9">
        <v>27.6797</v>
      </c>
      <c r="R239" s="9"/>
      <c r="S239" s="11"/>
    </row>
    <row r="240" spans="1:19" ht="15.6">
      <c r="A240" s="13">
        <v>49369</v>
      </c>
      <c r="B240" s="8">
        <f>5.6871 * CHOOSE(CONTROL!$C$12, $D$4, 100%, $F$4)</f>
        <v>5.6871</v>
      </c>
      <c r="C240" s="8">
        <f>5.6974 * CHOOSE(CONTROL!$C$12, $D$4, 100%, $F$4)</f>
        <v>5.6974</v>
      </c>
      <c r="D240" s="8">
        <f>5.6796 * CHOOSE( CONTROL!$C$12, $D$4, 100%, $F$4)</f>
        <v>5.6795999999999998</v>
      </c>
      <c r="E240" s="12">
        <f>5.685 * CHOOSE( CONTROL!$C$12, $D$4, 100%, $F$4)</f>
        <v>5.6849999999999996</v>
      </c>
      <c r="F240" s="4">
        <f>6.6853 * CHOOSE(CONTROL!$C$12, $D$4, 100%, $F$4)</f>
        <v>6.6852999999999998</v>
      </c>
      <c r="G240" s="8">
        <f>5.6168 * CHOOSE( CONTROL!$C$12, $D$4, 100%, $F$4)</f>
        <v>5.6167999999999996</v>
      </c>
      <c r="H240" s="4">
        <f>6.5075 * CHOOSE(CONTROL!$C$12, $D$4, 100%, $F$4)</f>
        <v>6.5075000000000003</v>
      </c>
      <c r="I240" s="8">
        <f>5.5708 * CHOOSE(CONTROL!$C$12, $D$4, 100%, $F$4)</f>
        <v>5.5708000000000002</v>
      </c>
      <c r="J240" s="4">
        <f>5.5099 * CHOOSE(CONTROL!$C$12, $D$4, 100%, $F$4)</f>
        <v>5.5099</v>
      </c>
      <c r="K240" s="4"/>
      <c r="L240" s="9">
        <v>27.3993</v>
      </c>
      <c r="M240" s="9">
        <v>12.063700000000001</v>
      </c>
      <c r="N240" s="9">
        <v>4.9444999999999997</v>
      </c>
      <c r="O240" s="9">
        <v>0.37459999999999999</v>
      </c>
      <c r="P240" s="9">
        <v>1.2939000000000001</v>
      </c>
      <c r="Q240" s="9">
        <v>30.645399999999999</v>
      </c>
      <c r="R240" s="9"/>
      <c r="S240" s="11"/>
    </row>
    <row r="241" spans="1:19" ht="15.6">
      <c r="A241" s="13">
        <v>49400</v>
      </c>
      <c r="B241" s="8">
        <f>5.7735 * CHOOSE(CONTROL!$C$12, $D$4, 100%, $F$4)</f>
        <v>5.7735000000000003</v>
      </c>
      <c r="C241" s="8">
        <f>5.7839 * CHOOSE(CONTROL!$C$12, $D$4, 100%, $F$4)</f>
        <v>5.7839</v>
      </c>
      <c r="D241" s="8">
        <f>5.7889 * CHOOSE( CONTROL!$C$12, $D$4, 100%, $F$4)</f>
        <v>5.7888999999999999</v>
      </c>
      <c r="E241" s="12">
        <f>5.7861 * CHOOSE( CONTROL!$C$12, $D$4, 100%, $F$4)</f>
        <v>5.7861000000000002</v>
      </c>
      <c r="F241" s="4">
        <f>6.78 * CHOOSE(CONTROL!$C$12, $D$4, 100%, $F$4)</f>
        <v>6.78</v>
      </c>
      <c r="G241" s="8">
        <f>5.6898 * CHOOSE( CONTROL!$C$12, $D$4, 100%, $F$4)</f>
        <v>5.6898</v>
      </c>
      <c r="H241" s="4">
        <f>6.6008 * CHOOSE(CONTROL!$C$12, $D$4, 100%, $F$4)</f>
        <v>6.6007999999999996</v>
      </c>
      <c r="I241" s="8">
        <f>5.6446 * CHOOSE(CONTROL!$C$12, $D$4, 100%, $F$4)</f>
        <v>5.6445999999999996</v>
      </c>
      <c r="J241" s="4">
        <f>5.5936 * CHOOSE(CONTROL!$C$12, $D$4, 100%, $F$4)</f>
        <v>5.5936000000000003</v>
      </c>
      <c r="K241" s="4"/>
      <c r="L241" s="9">
        <v>27.988800000000001</v>
      </c>
      <c r="M241" s="9">
        <v>11.6745</v>
      </c>
      <c r="N241" s="9">
        <v>4.7850000000000001</v>
      </c>
      <c r="O241" s="9">
        <v>0.36249999999999999</v>
      </c>
      <c r="P241" s="9">
        <v>1.1798</v>
      </c>
      <c r="Q241" s="9">
        <v>29.6568</v>
      </c>
      <c r="R241" s="9"/>
      <c r="S241" s="11"/>
    </row>
    <row r="242" spans="1:19" ht="15.6">
      <c r="A242" s="13">
        <v>49430</v>
      </c>
      <c r="B242" s="8">
        <f>CHOOSE( CONTROL!$C$29, 5.9342, 5.9274) * CHOOSE(CONTROL!$C$12, $D$4, 100%, $F$4)</f>
        <v>5.9273999999999996</v>
      </c>
      <c r="C242" s="8">
        <f>CHOOSE( CONTROL!$C$29, 5.9445, 5.9377) * CHOOSE(CONTROL!$C$12, $D$4, 100%, $F$4)</f>
        <v>5.9377000000000004</v>
      </c>
      <c r="D242" s="8">
        <f>CHOOSE( CONTROL!$C$29, 5.9248, 5.9179) * CHOOSE( CONTROL!$C$12, $D$4, 100%, $F$4)</f>
        <v>5.9179000000000004</v>
      </c>
      <c r="E242" s="12">
        <f>CHOOSE( CONTROL!$C$29, 5.9304, 5.9235) * CHOOSE( CONTROL!$C$12, $D$4, 100%, $F$4)</f>
        <v>5.9234999999999998</v>
      </c>
      <c r="F242" s="4">
        <f>CHOOSE( CONTROL!$C$29, 6.9086, 6.9018) * CHOOSE(CONTROL!$C$12, $D$4, 100%, $F$4)</f>
        <v>6.9017999999999997</v>
      </c>
      <c r="G242" s="8">
        <f>CHOOSE( CONTROL!$C$29, 5.83, 5.8232) * CHOOSE( CONTROL!$C$12, $D$4, 100%, $F$4)</f>
        <v>5.8231999999999999</v>
      </c>
      <c r="H242" s="4">
        <f>CHOOSE( CONTROL!$C$29, 6.7276, 6.7209) * CHOOSE(CONTROL!$C$12, $D$4, 100%, $F$4)</f>
        <v>6.7209000000000003</v>
      </c>
      <c r="I242" s="8">
        <f>CHOOSE( CONTROL!$C$29, 5.7789, 5.7722) * CHOOSE(CONTROL!$C$12, $D$4, 100%, $F$4)</f>
        <v>5.7721999999999998</v>
      </c>
      <c r="J242" s="4">
        <f>CHOOSE( CONTROL!$C$29, 5.7493, 5.7427) * CHOOSE(CONTROL!$C$12, $D$4, 100%, $F$4)</f>
        <v>5.7427000000000001</v>
      </c>
      <c r="K242" s="4"/>
      <c r="L242" s="9">
        <v>29.520499999999998</v>
      </c>
      <c r="M242" s="9">
        <v>12.063700000000001</v>
      </c>
      <c r="N242" s="9">
        <v>4.9444999999999997</v>
      </c>
      <c r="O242" s="9">
        <v>0.37459999999999999</v>
      </c>
      <c r="P242" s="9">
        <v>1.2192000000000001</v>
      </c>
      <c r="Q242" s="9">
        <v>30.645399999999999</v>
      </c>
      <c r="R242" s="9"/>
      <c r="S242" s="11"/>
    </row>
    <row r="243" spans="1:19" ht="15.6">
      <c r="A243" s="14">
        <v>49461</v>
      </c>
      <c r="B243" s="8">
        <f>CHOOSE( CONTROL!$C$29, 5.8389, 5.8321) * CHOOSE(CONTROL!$C$12, $D$4, 100%, $F$4)</f>
        <v>5.8320999999999996</v>
      </c>
      <c r="C243" s="8">
        <f>CHOOSE( CONTROL!$C$29, 5.8492, 5.8424) * CHOOSE(CONTROL!$C$12, $D$4, 100%, $F$4)</f>
        <v>5.8423999999999996</v>
      </c>
      <c r="D243" s="8">
        <f>CHOOSE( CONTROL!$C$29, 5.824, 5.8171) * CHOOSE( CONTROL!$C$12, $D$4, 100%, $F$4)</f>
        <v>5.8170999999999999</v>
      </c>
      <c r="E243" s="12">
        <f>CHOOSE( CONTROL!$C$29, 5.8316, 5.8247) * CHOOSE( CONTROL!$C$12, $D$4, 100%, $F$4)</f>
        <v>5.8247</v>
      </c>
      <c r="F243" s="4">
        <f>CHOOSE( CONTROL!$C$29, 6.803, 6.7962) * CHOOSE(CONTROL!$C$12, $D$4, 100%, $F$4)</f>
        <v>6.7961999999999998</v>
      </c>
      <c r="G243" s="8">
        <f>CHOOSE( CONTROL!$C$29, 5.7348, 5.728) * CHOOSE( CONTROL!$C$12, $D$4, 100%, $F$4)</f>
        <v>5.7279999999999998</v>
      </c>
      <c r="H243" s="4">
        <f>CHOOSE( CONTROL!$C$29, 6.6235, 6.6168) * CHOOSE(CONTROL!$C$12, $D$4, 100%, $F$4)</f>
        <v>6.6167999999999996</v>
      </c>
      <c r="I243" s="8">
        <f>CHOOSE( CONTROL!$C$29, 5.6886, 5.682) * CHOOSE(CONTROL!$C$12, $D$4, 100%, $F$4)</f>
        <v>5.6820000000000004</v>
      </c>
      <c r="J243" s="4">
        <f>CHOOSE( CONTROL!$C$29, 5.657, 5.6503) * CHOOSE(CONTROL!$C$12, $D$4, 100%, $F$4)</f>
        <v>5.6502999999999997</v>
      </c>
      <c r="K243" s="4"/>
      <c r="L243" s="9">
        <v>28.568200000000001</v>
      </c>
      <c r="M243" s="9">
        <v>11.6745</v>
      </c>
      <c r="N243" s="9">
        <v>4.7850000000000001</v>
      </c>
      <c r="O243" s="9">
        <v>0.36249999999999999</v>
      </c>
      <c r="P243" s="9">
        <v>1.1798</v>
      </c>
      <c r="Q243" s="9">
        <v>29.6568</v>
      </c>
      <c r="R243" s="9"/>
      <c r="S243" s="11"/>
    </row>
    <row r="244" spans="1:19" ht="15.6">
      <c r="A244" s="14">
        <v>49491</v>
      </c>
      <c r="B244" s="8">
        <f>CHOOSE( CONTROL!$C$29, 6.0898, 6.083) * CHOOSE(CONTROL!$C$12, $D$4, 100%, $F$4)</f>
        <v>6.0830000000000002</v>
      </c>
      <c r="C244" s="8">
        <f>CHOOSE( CONTROL!$C$29, 6.1001, 6.0933) * CHOOSE(CONTROL!$C$12, $D$4, 100%, $F$4)</f>
        <v>6.0933000000000002</v>
      </c>
      <c r="D244" s="8">
        <f>CHOOSE( CONTROL!$C$29, 6.1083, 6.1014) * CHOOSE( CONTROL!$C$12, $D$4, 100%, $F$4)</f>
        <v>6.1013999999999999</v>
      </c>
      <c r="E244" s="12">
        <f>CHOOSE( CONTROL!$C$29, 6.1038, 6.0969) * CHOOSE( CONTROL!$C$12, $D$4, 100%, $F$4)</f>
        <v>6.0968999999999998</v>
      </c>
      <c r="F244" s="4">
        <f>CHOOSE( CONTROL!$C$29, 7.0988, 7.092) * CHOOSE(CONTROL!$C$12, $D$4, 100%, $F$4)</f>
        <v>7.0919999999999996</v>
      </c>
      <c r="G244" s="8">
        <f>CHOOSE( CONTROL!$C$29, 6.0082, 6.0014) * CHOOSE( CONTROL!$C$12, $D$4, 100%, $F$4)</f>
        <v>6.0014000000000003</v>
      </c>
      <c r="H244" s="4">
        <f>CHOOSE( CONTROL!$C$29, 6.9151, 6.9084) * CHOOSE(CONTROL!$C$12, $D$4, 100%, $F$4)</f>
        <v>6.9084000000000003</v>
      </c>
      <c r="I244" s="8">
        <f>CHOOSE( CONTROL!$C$29, 5.9872, 5.9806) * CHOOSE(CONTROL!$C$12, $D$4, 100%, $F$4)</f>
        <v>5.9805999999999999</v>
      </c>
      <c r="J244" s="4">
        <f>CHOOSE( CONTROL!$C$29, 5.9001, 5.8935) * CHOOSE(CONTROL!$C$12, $D$4, 100%, $F$4)</f>
        <v>5.8935000000000004</v>
      </c>
      <c r="K244" s="4"/>
      <c r="L244" s="9">
        <v>29.520499999999998</v>
      </c>
      <c r="M244" s="9">
        <v>12.063700000000001</v>
      </c>
      <c r="N244" s="9">
        <v>4.9444999999999997</v>
      </c>
      <c r="O244" s="9">
        <v>0.37459999999999999</v>
      </c>
      <c r="P244" s="9">
        <v>1.2192000000000001</v>
      </c>
      <c r="Q244" s="9">
        <v>30.645399999999999</v>
      </c>
      <c r="R244" s="9"/>
      <c r="S244" s="11"/>
    </row>
    <row r="245" spans="1:19" ht="15.6">
      <c r="A245" s="14">
        <v>49522</v>
      </c>
      <c r="B245" s="8">
        <f>CHOOSE( CONTROL!$C$29, 5.6203, 5.6135) * CHOOSE(CONTROL!$C$12, $D$4, 100%, $F$4)</f>
        <v>5.6135000000000002</v>
      </c>
      <c r="C245" s="8">
        <f>CHOOSE( CONTROL!$C$29, 5.6307, 5.6238) * CHOOSE(CONTROL!$C$12, $D$4, 100%, $F$4)</f>
        <v>5.6238000000000001</v>
      </c>
      <c r="D245" s="8">
        <f>CHOOSE( CONTROL!$C$29, 5.6321, 5.6253) * CHOOSE( CONTROL!$C$12, $D$4, 100%, $F$4)</f>
        <v>5.6253000000000002</v>
      </c>
      <c r="E245" s="12">
        <f>CHOOSE( CONTROL!$C$29, 5.63, 5.6232) * CHOOSE( CONTROL!$C$12, $D$4, 100%, $F$4)</f>
        <v>5.6231999999999998</v>
      </c>
      <c r="F245" s="4">
        <f>CHOOSE( CONTROL!$C$29, 6.6268, 6.6199) * CHOOSE(CONTROL!$C$12, $D$4, 100%, $F$4)</f>
        <v>6.6199000000000003</v>
      </c>
      <c r="G245" s="8">
        <f>CHOOSE( CONTROL!$C$29, 5.5354, 5.5287) * CHOOSE( CONTROL!$C$12, $D$4, 100%, $F$4)</f>
        <v>5.5286999999999997</v>
      </c>
      <c r="H245" s="4">
        <f>CHOOSE( CONTROL!$C$29, 6.4498, 6.443) * CHOOSE(CONTROL!$C$12, $D$4, 100%, $F$4)</f>
        <v>6.4429999999999996</v>
      </c>
      <c r="I245" s="8">
        <f>CHOOSE( CONTROL!$C$29, 5.5131, 5.5065) * CHOOSE(CONTROL!$C$12, $D$4, 100%, $F$4)</f>
        <v>5.5065</v>
      </c>
      <c r="J245" s="4">
        <f>CHOOSE( CONTROL!$C$29, 5.4452, 5.4385) * CHOOSE(CONTROL!$C$12, $D$4, 100%, $F$4)</f>
        <v>5.4385000000000003</v>
      </c>
      <c r="K245" s="4"/>
      <c r="L245" s="9">
        <v>29.520499999999998</v>
      </c>
      <c r="M245" s="9">
        <v>12.063700000000001</v>
      </c>
      <c r="N245" s="9">
        <v>4.9444999999999997</v>
      </c>
      <c r="O245" s="9">
        <v>0.37459999999999999</v>
      </c>
      <c r="P245" s="9">
        <v>1.2192000000000001</v>
      </c>
      <c r="Q245" s="9">
        <v>30.645399999999999</v>
      </c>
      <c r="R245" s="9"/>
      <c r="S245" s="11"/>
    </row>
    <row r="246" spans="1:19" ht="15.6">
      <c r="A246" s="14">
        <v>49553</v>
      </c>
      <c r="B246" s="8">
        <f>CHOOSE( CONTROL!$C$29, 5.5028, 5.4959) * CHOOSE(CONTROL!$C$12, $D$4, 100%, $F$4)</f>
        <v>5.4958999999999998</v>
      </c>
      <c r="C246" s="8">
        <f>CHOOSE( CONTROL!$C$29, 5.5131, 5.5063) * CHOOSE(CONTROL!$C$12, $D$4, 100%, $F$4)</f>
        <v>5.5063000000000004</v>
      </c>
      <c r="D246" s="8">
        <f>CHOOSE( CONTROL!$C$29, 5.5178, 5.5109) * CHOOSE( CONTROL!$C$12, $D$4, 100%, $F$4)</f>
        <v>5.5109000000000004</v>
      </c>
      <c r="E246" s="12">
        <f>CHOOSE( CONTROL!$C$29, 5.5145, 5.5076) * CHOOSE( CONTROL!$C$12, $D$4, 100%, $F$4)</f>
        <v>5.5076000000000001</v>
      </c>
      <c r="F246" s="4">
        <f>CHOOSE( CONTROL!$C$29, 6.5144, 6.5075) * CHOOSE(CONTROL!$C$12, $D$4, 100%, $F$4)</f>
        <v>6.5075000000000003</v>
      </c>
      <c r="G246" s="8">
        <f>CHOOSE( CONTROL!$C$29, 5.4216, 5.4148) * CHOOSE( CONTROL!$C$12, $D$4, 100%, $F$4)</f>
        <v>5.4147999999999996</v>
      </c>
      <c r="H246" s="4">
        <f>CHOOSE( CONTROL!$C$29, 6.339, 6.3322) * CHOOSE(CONTROL!$C$12, $D$4, 100%, $F$4)</f>
        <v>6.3322000000000003</v>
      </c>
      <c r="I246" s="8">
        <f>CHOOSE( CONTROL!$C$29, 5.4069, 5.4003) * CHOOSE(CONTROL!$C$12, $D$4, 100%, $F$4)</f>
        <v>5.4002999999999997</v>
      </c>
      <c r="J246" s="4">
        <f>CHOOSE( CONTROL!$C$29, 5.3312, 5.3246) * CHOOSE(CONTROL!$C$12, $D$4, 100%, $F$4)</f>
        <v>5.3246000000000002</v>
      </c>
      <c r="K246" s="4"/>
      <c r="L246" s="9">
        <v>28.568200000000001</v>
      </c>
      <c r="M246" s="9">
        <v>11.6745</v>
      </c>
      <c r="N246" s="9">
        <v>4.7850000000000001</v>
      </c>
      <c r="O246" s="9">
        <v>0.36249999999999999</v>
      </c>
      <c r="P246" s="9">
        <v>1.1798</v>
      </c>
      <c r="Q246" s="9">
        <v>29.6568</v>
      </c>
      <c r="R246" s="9"/>
      <c r="S246" s="11"/>
    </row>
    <row r="247" spans="1:19" ht="15.6">
      <c r="A247" s="14">
        <v>49583</v>
      </c>
      <c r="B247" s="8">
        <f>5.74 * CHOOSE(CONTROL!$C$12, $D$4, 100%, $F$4)</f>
        <v>5.74</v>
      </c>
      <c r="C247" s="8">
        <f>5.7504 * CHOOSE(CONTROL!$C$12, $D$4, 100%, $F$4)</f>
        <v>5.7504</v>
      </c>
      <c r="D247" s="8">
        <f>5.7454 * CHOOSE( CONTROL!$C$12, $D$4, 100%, $F$4)</f>
        <v>5.7454000000000001</v>
      </c>
      <c r="E247" s="12">
        <f>5.7459 * CHOOSE( CONTROL!$C$12, $D$4, 100%, $F$4)</f>
        <v>5.7458999999999998</v>
      </c>
      <c r="F247" s="4">
        <f>6.731 * CHOOSE(CONTROL!$C$12, $D$4, 100%, $F$4)</f>
        <v>6.7309999999999999</v>
      </c>
      <c r="G247" s="8">
        <f>5.6523 * CHOOSE( CONTROL!$C$12, $D$4, 100%, $F$4)</f>
        <v>5.6523000000000003</v>
      </c>
      <c r="H247" s="4">
        <f>6.5525 * CHOOSE(CONTROL!$C$12, $D$4, 100%, $F$4)</f>
        <v>6.5525000000000002</v>
      </c>
      <c r="I247" s="8">
        <f>5.6409 * CHOOSE(CONTROL!$C$12, $D$4, 100%, $F$4)</f>
        <v>5.6409000000000002</v>
      </c>
      <c r="J247" s="4">
        <f>5.5611 * CHOOSE(CONTROL!$C$12, $D$4, 100%, $F$4)</f>
        <v>5.5610999999999997</v>
      </c>
      <c r="K247" s="4"/>
      <c r="L247" s="9">
        <v>28.921800000000001</v>
      </c>
      <c r="M247" s="9">
        <v>12.063700000000001</v>
      </c>
      <c r="N247" s="9">
        <v>4.9444999999999997</v>
      </c>
      <c r="O247" s="9">
        <v>0.37459999999999999</v>
      </c>
      <c r="P247" s="9">
        <v>1.2192000000000001</v>
      </c>
      <c r="Q247" s="9">
        <v>30.645399999999999</v>
      </c>
      <c r="R247" s="9"/>
      <c r="S247" s="11"/>
    </row>
    <row r="248" spans="1:19" ht="15.6">
      <c r="A248" s="14">
        <v>49614</v>
      </c>
      <c r="B248" s="8">
        <f>6.1906 * CHOOSE(CONTROL!$C$12, $D$4, 100%, $F$4)</f>
        <v>6.1905999999999999</v>
      </c>
      <c r="C248" s="8">
        <f>6.2009 * CHOOSE(CONTROL!$C$12, $D$4, 100%, $F$4)</f>
        <v>6.2008999999999999</v>
      </c>
      <c r="D248" s="8">
        <f>6.1602 * CHOOSE( CONTROL!$C$12, $D$4, 100%, $F$4)</f>
        <v>6.1601999999999997</v>
      </c>
      <c r="E248" s="12">
        <f>6.174 * CHOOSE( CONTROL!$C$12, $D$4, 100%, $F$4)</f>
        <v>6.1740000000000004</v>
      </c>
      <c r="F248" s="4">
        <f>7.1676 * CHOOSE(CONTROL!$C$12, $D$4, 100%, $F$4)</f>
        <v>7.1676000000000002</v>
      </c>
      <c r="G248" s="8">
        <f>6.0904 * CHOOSE( CONTROL!$C$12, $D$4, 100%, $F$4)</f>
        <v>6.0903999999999998</v>
      </c>
      <c r="H248" s="4">
        <f>6.9829 * CHOOSE(CONTROL!$C$12, $D$4, 100%, $F$4)</f>
        <v>6.9828999999999999</v>
      </c>
      <c r="I248" s="8">
        <f>6.062 * CHOOSE(CONTROL!$C$12, $D$4, 100%, $F$4)</f>
        <v>6.0620000000000003</v>
      </c>
      <c r="J248" s="4">
        <f>5.9977 * CHOOSE(CONTROL!$C$12, $D$4, 100%, $F$4)</f>
        <v>5.9977</v>
      </c>
      <c r="K248" s="4"/>
      <c r="L248" s="9">
        <v>26.515499999999999</v>
      </c>
      <c r="M248" s="9">
        <v>11.6745</v>
      </c>
      <c r="N248" s="9">
        <v>4.7850000000000001</v>
      </c>
      <c r="O248" s="9">
        <v>0.36249999999999999</v>
      </c>
      <c r="P248" s="9">
        <v>1.2522</v>
      </c>
      <c r="Q248" s="9">
        <v>29.6568</v>
      </c>
      <c r="R248" s="9"/>
      <c r="S248" s="11"/>
    </row>
    <row r="249" spans="1:19" ht="15.6">
      <c r="A249" s="14">
        <v>49644</v>
      </c>
      <c r="B249" s="8">
        <f>6.1793 * CHOOSE(CONTROL!$C$12, $D$4, 100%, $F$4)</f>
        <v>6.1792999999999996</v>
      </c>
      <c r="C249" s="8">
        <f>6.1897 * CHOOSE(CONTROL!$C$12, $D$4, 100%, $F$4)</f>
        <v>6.1897000000000002</v>
      </c>
      <c r="D249" s="8">
        <f>6.1509 * CHOOSE( CONTROL!$C$12, $D$4, 100%, $F$4)</f>
        <v>6.1509</v>
      </c>
      <c r="E249" s="12">
        <f>6.164 * CHOOSE( CONTROL!$C$12, $D$4, 100%, $F$4)</f>
        <v>6.1639999999999997</v>
      </c>
      <c r="F249" s="4">
        <f>7.1497 * CHOOSE(CONTROL!$C$12, $D$4, 100%, $F$4)</f>
        <v>7.1497000000000002</v>
      </c>
      <c r="G249" s="8">
        <f>6.0816 * CHOOSE( CONTROL!$C$12, $D$4, 100%, $F$4)</f>
        <v>6.0815999999999999</v>
      </c>
      <c r="H249" s="4">
        <f>6.9652 * CHOOSE(CONTROL!$C$12, $D$4, 100%, $F$4)</f>
        <v>6.9652000000000003</v>
      </c>
      <c r="I249" s="8">
        <f>6.0618 * CHOOSE(CONTROL!$C$12, $D$4, 100%, $F$4)</f>
        <v>6.0617999999999999</v>
      </c>
      <c r="J249" s="4">
        <f>5.9868 * CHOOSE(CONTROL!$C$12, $D$4, 100%, $F$4)</f>
        <v>5.9867999999999997</v>
      </c>
      <c r="K249" s="4"/>
      <c r="L249" s="9">
        <v>27.3993</v>
      </c>
      <c r="M249" s="9">
        <v>12.063700000000001</v>
      </c>
      <c r="N249" s="9">
        <v>4.9444999999999997</v>
      </c>
      <c r="O249" s="9">
        <v>0.37459999999999999</v>
      </c>
      <c r="P249" s="9">
        <v>1.2939000000000001</v>
      </c>
      <c r="Q249" s="9">
        <v>30.645399999999999</v>
      </c>
      <c r="R249" s="9"/>
      <c r="S249" s="11"/>
    </row>
    <row r="250" spans="1:19" ht="15.6">
      <c r="A250" s="14">
        <v>49675</v>
      </c>
      <c r="B250" s="8">
        <f>6.3235 * CHOOSE(CONTROL!$C$12, $D$4, 100%, $F$4)</f>
        <v>6.3235000000000001</v>
      </c>
      <c r="C250" s="8">
        <f>6.3338 * CHOOSE(CONTROL!$C$12, $D$4, 100%, $F$4)</f>
        <v>6.3338000000000001</v>
      </c>
      <c r="D250" s="8">
        <f>6.3337 * CHOOSE( CONTROL!$C$12, $D$4, 100%, $F$4)</f>
        <v>6.3337000000000003</v>
      </c>
      <c r="E250" s="12">
        <f>6.3326 * CHOOSE( CONTROL!$C$12, $D$4, 100%, $F$4)</f>
        <v>6.3326000000000002</v>
      </c>
      <c r="F250" s="4">
        <f>7.3454 * CHOOSE(CONTROL!$C$12, $D$4, 100%, $F$4)</f>
        <v>7.3453999999999997</v>
      </c>
      <c r="G250" s="8">
        <f>6.2647 * CHOOSE( CONTROL!$C$12, $D$4, 100%, $F$4)</f>
        <v>6.2647000000000004</v>
      </c>
      <c r="H250" s="4">
        <f>7.1582 * CHOOSE(CONTROL!$C$12, $D$4, 100%, $F$4)</f>
        <v>7.1581999999999999</v>
      </c>
      <c r="I250" s="8">
        <f>6.2382 * CHOOSE(CONTROL!$C$12, $D$4, 100%, $F$4)</f>
        <v>6.2382</v>
      </c>
      <c r="J250" s="4">
        <f>6.1266 * CHOOSE(CONTROL!$C$12, $D$4, 100%, $F$4)</f>
        <v>6.1265999999999998</v>
      </c>
      <c r="K250" s="4"/>
      <c r="L250" s="9">
        <v>27.3993</v>
      </c>
      <c r="M250" s="9">
        <v>12.063700000000001</v>
      </c>
      <c r="N250" s="9">
        <v>4.9444999999999997</v>
      </c>
      <c r="O250" s="9">
        <v>0.37459999999999999</v>
      </c>
      <c r="P250" s="9">
        <v>1.2939000000000001</v>
      </c>
      <c r="Q250" s="9">
        <v>30.580300000000001</v>
      </c>
      <c r="R250" s="9"/>
      <c r="S250" s="11"/>
    </row>
    <row r="251" spans="1:19" ht="15.6">
      <c r="A251" s="14">
        <v>49706</v>
      </c>
      <c r="B251" s="8">
        <f>5.9148 * CHOOSE(CONTROL!$C$12, $D$4, 100%, $F$4)</f>
        <v>5.9147999999999996</v>
      </c>
      <c r="C251" s="8">
        <f>5.9251 * CHOOSE(CONTROL!$C$12, $D$4, 100%, $F$4)</f>
        <v>5.9250999999999996</v>
      </c>
      <c r="D251" s="8">
        <f>5.9272 * CHOOSE( CONTROL!$C$12, $D$4, 100%, $F$4)</f>
        <v>5.9272</v>
      </c>
      <c r="E251" s="12">
        <f>5.9253 * CHOOSE( CONTROL!$C$12, $D$4, 100%, $F$4)</f>
        <v>5.9253</v>
      </c>
      <c r="F251" s="4">
        <f>6.929 * CHOOSE(CONTROL!$C$12, $D$4, 100%, $F$4)</f>
        <v>6.9290000000000003</v>
      </c>
      <c r="G251" s="8">
        <f>5.8617 * CHOOSE( CONTROL!$C$12, $D$4, 100%, $F$4)</f>
        <v>5.8616999999999999</v>
      </c>
      <c r="H251" s="4">
        <f>6.7476 * CHOOSE(CONTROL!$C$12, $D$4, 100%, $F$4)</f>
        <v>6.7476000000000003</v>
      </c>
      <c r="I251" s="8">
        <f>5.831 * CHOOSE(CONTROL!$C$12, $D$4, 100%, $F$4)</f>
        <v>5.8310000000000004</v>
      </c>
      <c r="J251" s="4">
        <f>5.7305 * CHOOSE(CONTROL!$C$12, $D$4, 100%, $F$4)</f>
        <v>5.7305000000000001</v>
      </c>
      <c r="K251" s="4"/>
      <c r="L251" s="9">
        <v>25.631599999999999</v>
      </c>
      <c r="M251" s="9">
        <v>11.285299999999999</v>
      </c>
      <c r="N251" s="9">
        <v>4.6254999999999997</v>
      </c>
      <c r="O251" s="9">
        <v>0.35039999999999999</v>
      </c>
      <c r="P251" s="9">
        <v>1.2104999999999999</v>
      </c>
      <c r="Q251" s="9">
        <v>28.607299999999999</v>
      </c>
      <c r="R251" s="9"/>
      <c r="S251" s="11"/>
    </row>
    <row r="252" spans="1:19" ht="15.6">
      <c r="A252" s="14">
        <v>49735</v>
      </c>
      <c r="B252" s="8">
        <f>5.7889 * CHOOSE(CONTROL!$C$12, $D$4, 100%, $F$4)</f>
        <v>5.7888999999999999</v>
      </c>
      <c r="C252" s="8">
        <f>5.7992 * CHOOSE(CONTROL!$C$12, $D$4, 100%, $F$4)</f>
        <v>5.7991999999999999</v>
      </c>
      <c r="D252" s="8">
        <f>5.7814 * CHOOSE( CONTROL!$C$12, $D$4, 100%, $F$4)</f>
        <v>5.7813999999999997</v>
      </c>
      <c r="E252" s="12">
        <f>5.7868 * CHOOSE( CONTROL!$C$12, $D$4, 100%, $F$4)</f>
        <v>5.7868000000000004</v>
      </c>
      <c r="F252" s="4">
        <f>6.7871 * CHOOSE(CONTROL!$C$12, $D$4, 100%, $F$4)</f>
        <v>6.7870999999999997</v>
      </c>
      <c r="G252" s="8">
        <f>5.7171 * CHOOSE( CONTROL!$C$12, $D$4, 100%, $F$4)</f>
        <v>5.7171000000000003</v>
      </c>
      <c r="H252" s="4">
        <f>6.6078 * CHOOSE(CONTROL!$C$12, $D$4, 100%, $F$4)</f>
        <v>6.6078000000000001</v>
      </c>
      <c r="I252" s="8">
        <f>5.6694 * CHOOSE(CONTROL!$C$12, $D$4, 100%, $F$4)</f>
        <v>5.6694000000000004</v>
      </c>
      <c r="J252" s="4">
        <f>5.6085 * CHOOSE(CONTROL!$C$12, $D$4, 100%, $F$4)</f>
        <v>5.6085000000000003</v>
      </c>
      <c r="K252" s="4"/>
      <c r="L252" s="9">
        <v>27.3993</v>
      </c>
      <c r="M252" s="9">
        <v>12.063700000000001</v>
      </c>
      <c r="N252" s="9">
        <v>4.9444999999999997</v>
      </c>
      <c r="O252" s="9">
        <v>0.37459999999999999</v>
      </c>
      <c r="P252" s="9">
        <v>1.2939000000000001</v>
      </c>
      <c r="Q252" s="9">
        <v>30.580300000000001</v>
      </c>
      <c r="R252" s="9"/>
      <c r="S252" s="11"/>
    </row>
    <row r="253" spans="1:19" ht="15.6">
      <c r="A253" s="14">
        <v>49766</v>
      </c>
      <c r="B253" s="8">
        <f>5.8769 * CHOOSE(CONTROL!$C$12, $D$4, 100%, $F$4)</f>
        <v>5.8769</v>
      </c>
      <c r="C253" s="8">
        <f>5.8872 * CHOOSE(CONTROL!$C$12, $D$4, 100%, $F$4)</f>
        <v>5.8872</v>
      </c>
      <c r="D253" s="8">
        <f>5.8922 * CHOOSE( CONTROL!$C$12, $D$4, 100%, $F$4)</f>
        <v>5.8921999999999999</v>
      </c>
      <c r="E253" s="12">
        <f>5.8894 * CHOOSE( CONTROL!$C$12, $D$4, 100%, $F$4)</f>
        <v>5.8894000000000002</v>
      </c>
      <c r="F253" s="4">
        <f>6.8833 * CHOOSE(CONTROL!$C$12, $D$4, 100%, $F$4)</f>
        <v>6.8833000000000002</v>
      </c>
      <c r="G253" s="8">
        <f>5.7917 * CHOOSE( CONTROL!$C$12, $D$4, 100%, $F$4)</f>
        <v>5.7916999999999996</v>
      </c>
      <c r="H253" s="4">
        <f>6.7026 * CHOOSE(CONTROL!$C$12, $D$4, 100%, $F$4)</f>
        <v>6.7026000000000003</v>
      </c>
      <c r="I253" s="8">
        <f>5.7448 * CHOOSE(CONTROL!$C$12, $D$4, 100%, $F$4)</f>
        <v>5.7447999999999997</v>
      </c>
      <c r="J253" s="4">
        <f>5.6937 * CHOOSE(CONTROL!$C$12, $D$4, 100%, $F$4)</f>
        <v>5.6936999999999998</v>
      </c>
      <c r="K253" s="4"/>
      <c r="L253" s="9">
        <v>27.988800000000001</v>
      </c>
      <c r="M253" s="9">
        <v>11.6745</v>
      </c>
      <c r="N253" s="9">
        <v>4.7850000000000001</v>
      </c>
      <c r="O253" s="9">
        <v>0.36249999999999999</v>
      </c>
      <c r="P253" s="9">
        <v>1.1798</v>
      </c>
      <c r="Q253" s="9">
        <v>29.593800000000002</v>
      </c>
      <c r="R253" s="9"/>
      <c r="S253" s="11"/>
    </row>
    <row r="254" spans="1:19" ht="15.6">
      <c r="A254" s="14">
        <v>49796</v>
      </c>
      <c r="B254" s="8">
        <f>CHOOSE( CONTROL!$C$29, 6.0403, 6.0334) * CHOOSE(CONTROL!$C$12, $D$4, 100%, $F$4)</f>
        <v>6.0334000000000003</v>
      </c>
      <c r="C254" s="8">
        <f>CHOOSE( CONTROL!$C$29, 6.0506, 6.0438) * CHOOSE(CONTROL!$C$12, $D$4, 100%, $F$4)</f>
        <v>6.0438000000000001</v>
      </c>
      <c r="D254" s="8">
        <f>CHOOSE( CONTROL!$C$29, 6.0308, 6.024) * CHOOSE( CONTROL!$C$12, $D$4, 100%, $F$4)</f>
        <v>6.024</v>
      </c>
      <c r="E254" s="12">
        <f>CHOOSE( CONTROL!$C$29, 6.0364, 6.0296) * CHOOSE( CONTROL!$C$12, $D$4, 100%, $F$4)</f>
        <v>6.0296000000000003</v>
      </c>
      <c r="F254" s="4">
        <f>CHOOSE( CONTROL!$C$29, 7.0147, 7.0079) * CHOOSE(CONTROL!$C$12, $D$4, 100%, $F$4)</f>
        <v>7.0079000000000002</v>
      </c>
      <c r="G254" s="8">
        <f>CHOOSE( CONTROL!$C$29, 5.9345, 5.9278) * CHOOSE( CONTROL!$C$12, $D$4, 100%, $F$4)</f>
        <v>5.9278000000000004</v>
      </c>
      <c r="H254" s="4">
        <f>CHOOSE( CONTROL!$C$29, 6.8322, 6.8254) * CHOOSE(CONTROL!$C$12, $D$4, 100%, $F$4)</f>
        <v>6.8254000000000001</v>
      </c>
      <c r="I254" s="8">
        <f>CHOOSE( CONTROL!$C$29, 5.8817, 5.8751) * CHOOSE(CONTROL!$C$12, $D$4, 100%, $F$4)</f>
        <v>5.8750999999999998</v>
      </c>
      <c r="J254" s="4">
        <f>CHOOSE( CONTROL!$C$29, 5.8521, 5.8454) * CHOOSE(CONTROL!$C$12, $D$4, 100%, $F$4)</f>
        <v>5.8453999999999997</v>
      </c>
      <c r="K254" s="4"/>
      <c r="L254" s="9">
        <v>29.520499999999998</v>
      </c>
      <c r="M254" s="9">
        <v>12.063700000000001</v>
      </c>
      <c r="N254" s="9">
        <v>4.9444999999999997</v>
      </c>
      <c r="O254" s="9">
        <v>0.37459999999999999</v>
      </c>
      <c r="P254" s="9">
        <v>1.2192000000000001</v>
      </c>
      <c r="Q254" s="9">
        <v>30.580300000000001</v>
      </c>
      <c r="R254" s="9"/>
      <c r="S254" s="11"/>
    </row>
    <row r="255" spans="1:19" ht="15.6">
      <c r="A255" s="14">
        <v>49827</v>
      </c>
      <c r="B255" s="8">
        <f>CHOOSE( CONTROL!$C$29, 5.9433, 5.9364) * CHOOSE(CONTROL!$C$12, $D$4, 100%, $F$4)</f>
        <v>5.9363999999999999</v>
      </c>
      <c r="C255" s="8">
        <f>CHOOSE( CONTROL!$C$29, 5.9536, 5.9468) * CHOOSE(CONTROL!$C$12, $D$4, 100%, $F$4)</f>
        <v>5.9467999999999996</v>
      </c>
      <c r="D255" s="8">
        <f>CHOOSE( CONTROL!$C$29, 5.9283, 5.9215) * CHOOSE( CONTROL!$C$12, $D$4, 100%, $F$4)</f>
        <v>5.9215</v>
      </c>
      <c r="E255" s="12">
        <f>CHOOSE( CONTROL!$C$29, 5.9359, 5.9291) * CHOOSE( CONTROL!$C$12, $D$4, 100%, $F$4)</f>
        <v>5.9291</v>
      </c>
      <c r="F255" s="4">
        <f>CHOOSE( CONTROL!$C$29, 6.9074, 6.9006) * CHOOSE(CONTROL!$C$12, $D$4, 100%, $F$4)</f>
        <v>6.9005999999999998</v>
      </c>
      <c r="G255" s="8">
        <f>CHOOSE( CONTROL!$C$29, 5.8377, 5.8309) * CHOOSE( CONTROL!$C$12, $D$4, 100%, $F$4)</f>
        <v>5.8308999999999997</v>
      </c>
      <c r="H255" s="4">
        <f>CHOOSE( CONTROL!$C$29, 6.7264, 6.7197) * CHOOSE(CONTROL!$C$12, $D$4, 100%, $F$4)</f>
        <v>6.7196999999999996</v>
      </c>
      <c r="I255" s="8">
        <f>CHOOSE( CONTROL!$C$29, 5.7898, 5.7832) * CHOOSE(CONTROL!$C$12, $D$4, 100%, $F$4)</f>
        <v>5.7831999999999999</v>
      </c>
      <c r="J255" s="4">
        <f>CHOOSE( CONTROL!$C$29, 5.7581, 5.7515) * CHOOSE(CONTROL!$C$12, $D$4, 100%, $F$4)</f>
        <v>5.7515000000000001</v>
      </c>
      <c r="K255" s="4"/>
      <c r="L255" s="9">
        <v>28.568200000000001</v>
      </c>
      <c r="M255" s="9">
        <v>11.6745</v>
      </c>
      <c r="N255" s="9">
        <v>4.7850000000000001</v>
      </c>
      <c r="O255" s="9">
        <v>0.36249999999999999</v>
      </c>
      <c r="P255" s="9">
        <v>1.1798</v>
      </c>
      <c r="Q255" s="9">
        <v>29.593800000000002</v>
      </c>
      <c r="R255" s="9"/>
      <c r="S255" s="11"/>
    </row>
    <row r="256" spans="1:19" ht="15.6">
      <c r="A256" s="14">
        <v>49857</v>
      </c>
      <c r="B256" s="8">
        <f>CHOOSE( CONTROL!$C$29, 6.1987, 6.1919) * CHOOSE(CONTROL!$C$12, $D$4, 100%, $F$4)</f>
        <v>6.1919000000000004</v>
      </c>
      <c r="C256" s="8">
        <f>CHOOSE( CONTROL!$C$29, 6.209, 6.2022) * CHOOSE(CONTROL!$C$12, $D$4, 100%, $F$4)</f>
        <v>6.2022000000000004</v>
      </c>
      <c r="D256" s="8">
        <f>CHOOSE( CONTROL!$C$29, 6.2172, 6.2103) * CHOOSE( CONTROL!$C$12, $D$4, 100%, $F$4)</f>
        <v>6.2103000000000002</v>
      </c>
      <c r="E256" s="12">
        <f>CHOOSE( CONTROL!$C$29, 6.2127, 6.2058) * CHOOSE( CONTROL!$C$12, $D$4, 100%, $F$4)</f>
        <v>6.2058</v>
      </c>
      <c r="F256" s="4">
        <f>CHOOSE( CONTROL!$C$29, 7.2077, 7.2009) * CHOOSE(CONTROL!$C$12, $D$4, 100%, $F$4)</f>
        <v>7.2008999999999999</v>
      </c>
      <c r="G256" s="8">
        <f>CHOOSE( CONTROL!$C$29, 6.1155, 6.1087) * CHOOSE( CONTROL!$C$12, $D$4, 100%, $F$4)</f>
        <v>6.1086999999999998</v>
      </c>
      <c r="H256" s="4">
        <f>CHOOSE( CONTROL!$C$29, 7.0224, 7.0157) * CHOOSE(CONTROL!$C$12, $D$4, 100%, $F$4)</f>
        <v>7.0156999999999998</v>
      </c>
      <c r="I256" s="8">
        <f>CHOOSE( CONTROL!$C$29, 6.0927, 6.0861) * CHOOSE(CONTROL!$C$12, $D$4, 100%, $F$4)</f>
        <v>6.0861000000000001</v>
      </c>
      <c r="J256" s="4">
        <f>CHOOSE( CONTROL!$C$29, 6.0056, 5.999) * CHOOSE(CONTROL!$C$12, $D$4, 100%, $F$4)</f>
        <v>5.9989999999999997</v>
      </c>
      <c r="K256" s="4"/>
      <c r="L256" s="9">
        <v>29.520499999999998</v>
      </c>
      <c r="M256" s="9">
        <v>12.063700000000001</v>
      </c>
      <c r="N256" s="9">
        <v>4.9444999999999997</v>
      </c>
      <c r="O256" s="9">
        <v>0.37459999999999999</v>
      </c>
      <c r="P256" s="9">
        <v>1.2192000000000001</v>
      </c>
      <c r="Q256" s="9">
        <v>30.580300000000001</v>
      </c>
      <c r="R256" s="9"/>
      <c r="S256" s="11"/>
    </row>
    <row r="257" spans="1:19" ht="15.6">
      <c r="A257" s="14">
        <v>49888</v>
      </c>
      <c r="B257" s="8">
        <f>CHOOSE( CONTROL!$C$29, 5.7208, 5.714) * CHOOSE(CONTROL!$C$12, $D$4, 100%, $F$4)</f>
        <v>5.7140000000000004</v>
      </c>
      <c r="C257" s="8">
        <f>CHOOSE( CONTROL!$C$29, 5.7311, 5.7243) * CHOOSE(CONTROL!$C$12, $D$4, 100%, $F$4)</f>
        <v>5.7243000000000004</v>
      </c>
      <c r="D257" s="8">
        <f>CHOOSE( CONTROL!$C$29, 5.7326, 5.7258) * CHOOSE( CONTROL!$C$12, $D$4, 100%, $F$4)</f>
        <v>5.7257999999999996</v>
      </c>
      <c r="E257" s="12">
        <f>CHOOSE( CONTROL!$C$29, 5.7305, 5.7237) * CHOOSE( CONTROL!$C$12, $D$4, 100%, $F$4)</f>
        <v>5.7237</v>
      </c>
      <c r="F257" s="4">
        <f>CHOOSE( CONTROL!$C$29, 6.7272, 6.7204) * CHOOSE(CONTROL!$C$12, $D$4, 100%, $F$4)</f>
        <v>6.7203999999999997</v>
      </c>
      <c r="G257" s="8">
        <f>CHOOSE( CONTROL!$C$29, 5.6345, 5.6277) * CHOOSE( CONTROL!$C$12, $D$4, 100%, $F$4)</f>
        <v>5.6276999999999999</v>
      </c>
      <c r="H257" s="4">
        <f>CHOOSE( CONTROL!$C$29, 6.5488, 6.5421) * CHOOSE(CONTROL!$C$12, $D$4, 100%, $F$4)</f>
        <v>6.5420999999999996</v>
      </c>
      <c r="I257" s="8">
        <f>CHOOSE( CONTROL!$C$29, 5.6105, 5.6039) * CHOOSE(CONTROL!$C$12, $D$4, 100%, $F$4)</f>
        <v>5.6039000000000003</v>
      </c>
      <c r="J257" s="4">
        <f>CHOOSE( CONTROL!$C$29, 5.5425, 5.5359) * CHOOSE(CONTROL!$C$12, $D$4, 100%, $F$4)</f>
        <v>5.5358999999999998</v>
      </c>
      <c r="K257" s="4"/>
      <c r="L257" s="9">
        <v>29.520499999999998</v>
      </c>
      <c r="M257" s="9">
        <v>12.063700000000001</v>
      </c>
      <c r="N257" s="9">
        <v>4.9444999999999997</v>
      </c>
      <c r="O257" s="9">
        <v>0.37459999999999999</v>
      </c>
      <c r="P257" s="9">
        <v>1.2192000000000001</v>
      </c>
      <c r="Q257" s="9">
        <v>30.580300000000001</v>
      </c>
      <c r="R257" s="9"/>
      <c r="S257" s="11"/>
    </row>
    <row r="258" spans="1:19" ht="15.6">
      <c r="A258" s="14">
        <v>49919</v>
      </c>
      <c r="B258" s="8">
        <f>CHOOSE( CONTROL!$C$29, 5.6011, 5.5943) * CHOOSE(CONTROL!$C$12, $D$4, 100%, $F$4)</f>
        <v>5.5942999999999996</v>
      </c>
      <c r="C258" s="8">
        <f>CHOOSE( CONTROL!$C$29, 5.6115, 5.6046) * CHOOSE(CONTROL!$C$12, $D$4, 100%, $F$4)</f>
        <v>5.6045999999999996</v>
      </c>
      <c r="D258" s="8">
        <f>CHOOSE( CONTROL!$C$29, 5.6161, 5.6093) * CHOOSE( CONTROL!$C$12, $D$4, 100%, $F$4)</f>
        <v>5.6093000000000002</v>
      </c>
      <c r="E258" s="12">
        <f>CHOOSE( CONTROL!$C$29, 5.6128, 5.606) * CHOOSE( CONTROL!$C$12, $D$4, 100%, $F$4)</f>
        <v>5.6059999999999999</v>
      </c>
      <c r="F258" s="4">
        <f>CHOOSE( CONTROL!$C$29, 6.6127, 6.6059) * CHOOSE(CONTROL!$C$12, $D$4, 100%, $F$4)</f>
        <v>6.6059000000000001</v>
      </c>
      <c r="G258" s="8">
        <f>CHOOSE( CONTROL!$C$29, 5.5186, 5.5118) * CHOOSE( CONTROL!$C$12, $D$4, 100%, $F$4)</f>
        <v>5.5118</v>
      </c>
      <c r="H258" s="4">
        <f>CHOOSE( CONTROL!$C$29, 6.4359, 6.4292) * CHOOSE(CONTROL!$C$12, $D$4, 100%, $F$4)</f>
        <v>6.4291999999999998</v>
      </c>
      <c r="I258" s="8">
        <f>CHOOSE( CONTROL!$C$29, 5.5023, 5.4957) * CHOOSE(CONTROL!$C$12, $D$4, 100%, $F$4)</f>
        <v>5.4957000000000003</v>
      </c>
      <c r="J258" s="4">
        <f>CHOOSE( CONTROL!$C$29, 5.4265, 5.4199) * CHOOSE(CONTROL!$C$12, $D$4, 100%, $F$4)</f>
        <v>5.4199000000000002</v>
      </c>
      <c r="K258" s="4"/>
      <c r="L258" s="9">
        <v>28.568200000000001</v>
      </c>
      <c r="M258" s="9">
        <v>11.6745</v>
      </c>
      <c r="N258" s="9">
        <v>4.7850000000000001</v>
      </c>
      <c r="O258" s="9">
        <v>0.36249999999999999</v>
      </c>
      <c r="P258" s="9">
        <v>1.1798</v>
      </c>
      <c r="Q258" s="9">
        <v>29.593800000000002</v>
      </c>
      <c r="R258" s="9"/>
      <c r="S258" s="11"/>
    </row>
    <row r="259" spans="1:19" ht="15.6">
      <c r="A259" s="14">
        <v>49949</v>
      </c>
      <c r="B259" s="8">
        <f>5.8428 * CHOOSE(CONTROL!$C$12, $D$4, 100%, $F$4)</f>
        <v>5.8428000000000004</v>
      </c>
      <c r="C259" s="8">
        <f>5.8531 * CHOOSE(CONTROL!$C$12, $D$4, 100%, $F$4)</f>
        <v>5.8531000000000004</v>
      </c>
      <c r="D259" s="8">
        <f>5.8481 * CHOOSE( CONTROL!$C$12, $D$4, 100%, $F$4)</f>
        <v>5.8480999999999996</v>
      </c>
      <c r="E259" s="12">
        <f>5.8487 * CHOOSE( CONTROL!$C$12, $D$4, 100%, $F$4)</f>
        <v>5.8487</v>
      </c>
      <c r="F259" s="4">
        <f>6.8337 * CHOOSE(CONTROL!$C$12, $D$4, 100%, $F$4)</f>
        <v>6.8337000000000003</v>
      </c>
      <c r="G259" s="8">
        <f>5.7535 * CHOOSE( CONTROL!$C$12, $D$4, 100%, $F$4)</f>
        <v>5.7534999999999998</v>
      </c>
      <c r="H259" s="4">
        <f>6.6538 * CHOOSE(CONTROL!$C$12, $D$4, 100%, $F$4)</f>
        <v>6.6538000000000004</v>
      </c>
      <c r="I259" s="8">
        <f>5.7404 * CHOOSE(CONTROL!$C$12, $D$4, 100%, $F$4)</f>
        <v>5.7404000000000002</v>
      </c>
      <c r="J259" s="4">
        <f>5.6607 * CHOOSE(CONTROL!$C$12, $D$4, 100%, $F$4)</f>
        <v>5.6607000000000003</v>
      </c>
      <c r="K259" s="4"/>
      <c r="L259" s="9">
        <v>28.921800000000001</v>
      </c>
      <c r="M259" s="9">
        <v>12.063700000000001</v>
      </c>
      <c r="N259" s="9">
        <v>4.9444999999999997</v>
      </c>
      <c r="O259" s="9">
        <v>0.37459999999999999</v>
      </c>
      <c r="P259" s="9">
        <v>1.2192000000000001</v>
      </c>
      <c r="Q259" s="9">
        <v>30.580300000000001</v>
      </c>
      <c r="R259" s="9"/>
      <c r="S259" s="11"/>
    </row>
    <row r="260" spans="1:19" ht="15.6">
      <c r="A260" s="14">
        <v>49980</v>
      </c>
      <c r="B260" s="8">
        <f>6.3014 * CHOOSE(CONTROL!$C$12, $D$4, 100%, $F$4)</f>
        <v>6.3014000000000001</v>
      </c>
      <c r="C260" s="8">
        <f>6.3117 * CHOOSE(CONTROL!$C$12, $D$4, 100%, $F$4)</f>
        <v>6.3117000000000001</v>
      </c>
      <c r="D260" s="8">
        <f>6.271 * CHOOSE( CONTROL!$C$12, $D$4, 100%, $F$4)</f>
        <v>6.2709999999999999</v>
      </c>
      <c r="E260" s="12">
        <f>6.2848 * CHOOSE( CONTROL!$C$12, $D$4, 100%, $F$4)</f>
        <v>6.2847999999999997</v>
      </c>
      <c r="F260" s="4">
        <f>7.2784 * CHOOSE(CONTROL!$C$12, $D$4, 100%, $F$4)</f>
        <v>7.2784000000000004</v>
      </c>
      <c r="G260" s="8">
        <f>6.1996 * CHOOSE( CONTROL!$C$12, $D$4, 100%, $F$4)</f>
        <v>6.1996000000000002</v>
      </c>
      <c r="H260" s="4">
        <f>7.0921 * CHOOSE(CONTROL!$C$12, $D$4, 100%, $F$4)</f>
        <v>7.0921000000000003</v>
      </c>
      <c r="I260" s="8">
        <f>6.1694 * CHOOSE(CONTROL!$C$12, $D$4, 100%, $F$4)</f>
        <v>6.1694000000000004</v>
      </c>
      <c r="J260" s="4">
        <f>6.1051 * CHOOSE(CONTROL!$C$12, $D$4, 100%, $F$4)</f>
        <v>6.1051000000000002</v>
      </c>
      <c r="K260" s="4"/>
      <c r="L260" s="9">
        <v>26.515499999999999</v>
      </c>
      <c r="M260" s="9">
        <v>11.6745</v>
      </c>
      <c r="N260" s="9">
        <v>4.7850000000000001</v>
      </c>
      <c r="O260" s="9">
        <v>0.36249999999999999</v>
      </c>
      <c r="P260" s="9">
        <v>1.2522</v>
      </c>
      <c r="Q260" s="9">
        <v>29.593800000000002</v>
      </c>
      <c r="R260" s="9"/>
      <c r="S260" s="11"/>
    </row>
    <row r="261" spans="1:19" ht="15.6">
      <c r="A261" s="14">
        <v>50010</v>
      </c>
      <c r="B261" s="8">
        <f>6.2899 * CHOOSE(CONTROL!$C$12, $D$4, 100%, $F$4)</f>
        <v>6.2899000000000003</v>
      </c>
      <c r="C261" s="8">
        <f>6.3003 * CHOOSE(CONTROL!$C$12, $D$4, 100%, $F$4)</f>
        <v>6.3003</v>
      </c>
      <c r="D261" s="8">
        <f>6.2615 * CHOOSE( CONTROL!$C$12, $D$4, 100%, $F$4)</f>
        <v>6.2614999999999998</v>
      </c>
      <c r="E261" s="12">
        <f>6.2746 * CHOOSE( CONTROL!$C$12, $D$4, 100%, $F$4)</f>
        <v>6.2746000000000004</v>
      </c>
      <c r="F261" s="4">
        <f>7.2603 * CHOOSE(CONTROL!$C$12, $D$4, 100%, $F$4)</f>
        <v>7.2603</v>
      </c>
      <c r="G261" s="8">
        <f>6.1906 * CHOOSE( CONTROL!$C$12, $D$4, 100%, $F$4)</f>
        <v>6.1905999999999999</v>
      </c>
      <c r="H261" s="4">
        <f>7.0742 * CHOOSE(CONTROL!$C$12, $D$4, 100%, $F$4)</f>
        <v>7.0742000000000003</v>
      </c>
      <c r="I261" s="8">
        <f>6.169 * CHOOSE(CONTROL!$C$12, $D$4, 100%, $F$4)</f>
        <v>6.1689999999999996</v>
      </c>
      <c r="J261" s="4">
        <f>6.094 * CHOOSE(CONTROL!$C$12, $D$4, 100%, $F$4)</f>
        <v>6.0940000000000003</v>
      </c>
      <c r="K261" s="4"/>
      <c r="L261" s="9">
        <v>27.3993</v>
      </c>
      <c r="M261" s="9">
        <v>12.063700000000001</v>
      </c>
      <c r="N261" s="9">
        <v>4.9444999999999997</v>
      </c>
      <c r="O261" s="9">
        <v>0.37459999999999999</v>
      </c>
      <c r="P261" s="9">
        <v>1.2939000000000001</v>
      </c>
      <c r="Q261" s="9">
        <v>30.580300000000001</v>
      </c>
      <c r="R261" s="9"/>
      <c r="S261" s="11"/>
    </row>
    <row r="262" spans="1:19" ht="15.6">
      <c r="A262" s="14">
        <v>50041</v>
      </c>
      <c r="B262" s="8">
        <f>6.4367 * CHOOSE(CONTROL!$C$12, $D$4, 100%, $F$4)</f>
        <v>6.4367000000000001</v>
      </c>
      <c r="C262" s="8">
        <f>6.447 * CHOOSE(CONTROL!$C$12, $D$4, 100%, $F$4)</f>
        <v>6.4470000000000001</v>
      </c>
      <c r="D262" s="8">
        <f>6.4468 * CHOOSE( CONTROL!$C$12, $D$4, 100%, $F$4)</f>
        <v>6.4467999999999996</v>
      </c>
      <c r="E262" s="12">
        <f>6.4458 * CHOOSE( CONTROL!$C$12, $D$4, 100%, $F$4)</f>
        <v>6.4458000000000002</v>
      </c>
      <c r="F262" s="4">
        <f>7.4586 * CHOOSE(CONTROL!$C$12, $D$4, 100%, $F$4)</f>
        <v>7.4585999999999997</v>
      </c>
      <c r="G262" s="8">
        <f>6.3763 * CHOOSE( CONTROL!$C$12, $D$4, 100%, $F$4)</f>
        <v>6.3762999999999996</v>
      </c>
      <c r="H262" s="4">
        <f>7.2698 * CHOOSE(CONTROL!$C$12, $D$4, 100%, $F$4)</f>
        <v>7.2698</v>
      </c>
      <c r="I262" s="8">
        <f>6.3479 * CHOOSE(CONTROL!$C$12, $D$4, 100%, $F$4)</f>
        <v>6.3479000000000001</v>
      </c>
      <c r="J262" s="4">
        <f>6.2362 * CHOOSE(CONTROL!$C$12, $D$4, 100%, $F$4)</f>
        <v>6.2362000000000002</v>
      </c>
      <c r="K262" s="4"/>
      <c r="L262" s="9">
        <v>27.3993</v>
      </c>
      <c r="M262" s="9">
        <v>12.063700000000001</v>
      </c>
      <c r="N262" s="9">
        <v>4.9444999999999997</v>
      </c>
      <c r="O262" s="9">
        <v>0.37459999999999999</v>
      </c>
      <c r="P262" s="9">
        <v>1.2939000000000001</v>
      </c>
      <c r="Q262" s="9">
        <v>30.5152</v>
      </c>
      <c r="R262" s="9"/>
      <c r="S262" s="11"/>
    </row>
    <row r="263" spans="1:19" ht="15.6">
      <c r="A263" s="14">
        <v>50072</v>
      </c>
      <c r="B263" s="8">
        <f>6.0206 * CHOOSE(CONTROL!$C$12, $D$4, 100%, $F$4)</f>
        <v>6.0206</v>
      </c>
      <c r="C263" s="8">
        <f>6.031 * CHOOSE(CONTROL!$C$12, $D$4, 100%, $F$4)</f>
        <v>6.0309999999999997</v>
      </c>
      <c r="D263" s="8">
        <f>6.033 * CHOOSE( CONTROL!$C$12, $D$4, 100%, $F$4)</f>
        <v>6.0330000000000004</v>
      </c>
      <c r="E263" s="12">
        <f>6.0312 * CHOOSE( CONTROL!$C$12, $D$4, 100%, $F$4)</f>
        <v>6.0312000000000001</v>
      </c>
      <c r="F263" s="4">
        <f>7.0348 * CHOOSE(CONTROL!$C$12, $D$4, 100%, $F$4)</f>
        <v>7.0347999999999997</v>
      </c>
      <c r="G263" s="8">
        <f>5.966 * CHOOSE( CONTROL!$C$12, $D$4, 100%, $F$4)</f>
        <v>5.9660000000000002</v>
      </c>
      <c r="H263" s="4">
        <f>6.852 * CHOOSE(CONTROL!$C$12, $D$4, 100%, $F$4)</f>
        <v>6.8520000000000003</v>
      </c>
      <c r="I263" s="8">
        <f>5.9336 * CHOOSE(CONTROL!$C$12, $D$4, 100%, $F$4)</f>
        <v>5.9336000000000002</v>
      </c>
      <c r="J263" s="4">
        <f>5.8331 * CHOOSE(CONTROL!$C$12, $D$4, 100%, $F$4)</f>
        <v>5.8331</v>
      </c>
      <c r="K263" s="4"/>
      <c r="L263" s="9">
        <v>24.747800000000002</v>
      </c>
      <c r="M263" s="9">
        <v>10.8962</v>
      </c>
      <c r="N263" s="9">
        <v>4.4660000000000002</v>
      </c>
      <c r="O263" s="9">
        <v>0.33829999999999999</v>
      </c>
      <c r="P263" s="9">
        <v>1.1687000000000001</v>
      </c>
      <c r="Q263" s="9">
        <v>27.562100000000001</v>
      </c>
      <c r="R263" s="9"/>
      <c r="S263" s="11"/>
    </row>
    <row r="264" spans="1:19" ht="15.6">
      <c r="A264" s="14">
        <v>50100</v>
      </c>
      <c r="B264" s="8">
        <f>5.8925 * CHOOSE(CONTROL!$C$12, $D$4, 100%, $F$4)</f>
        <v>5.8925000000000001</v>
      </c>
      <c r="C264" s="8">
        <f>5.9028 * CHOOSE(CONTROL!$C$12, $D$4, 100%, $F$4)</f>
        <v>5.9028</v>
      </c>
      <c r="D264" s="8">
        <f>5.885 * CHOOSE( CONTROL!$C$12, $D$4, 100%, $F$4)</f>
        <v>5.8849999999999998</v>
      </c>
      <c r="E264" s="12">
        <f>5.8904 * CHOOSE( CONTROL!$C$12, $D$4, 100%, $F$4)</f>
        <v>5.8903999999999996</v>
      </c>
      <c r="F264" s="4">
        <f>6.8907 * CHOOSE(CONTROL!$C$12, $D$4, 100%, $F$4)</f>
        <v>6.8906999999999998</v>
      </c>
      <c r="G264" s="8">
        <f>5.8192 * CHOOSE( CONTROL!$C$12, $D$4, 100%, $F$4)</f>
        <v>5.8192000000000004</v>
      </c>
      <c r="H264" s="4">
        <f>6.7099 * CHOOSE(CONTROL!$C$12, $D$4, 100%, $F$4)</f>
        <v>6.7099000000000002</v>
      </c>
      <c r="I264" s="8">
        <f>5.7699 * CHOOSE(CONTROL!$C$12, $D$4, 100%, $F$4)</f>
        <v>5.7698999999999998</v>
      </c>
      <c r="J264" s="4">
        <f>5.7089 * CHOOSE(CONTROL!$C$12, $D$4, 100%, $F$4)</f>
        <v>5.7088999999999999</v>
      </c>
      <c r="K264" s="4"/>
      <c r="L264" s="9">
        <v>27.3993</v>
      </c>
      <c r="M264" s="9">
        <v>12.063700000000001</v>
      </c>
      <c r="N264" s="9">
        <v>4.9444999999999997</v>
      </c>
      <c r="O264" s="9">
        <v>0.37459999999999999</v>
      </c>
      <c r="P264" s="9">
        <v>1.2939000000000001</v>
      </c>
      <c r="Q264" s="9">
        <v>30.5152</v>
      </c>
      <c r="R264" s="9"/>
      <c r="S264" s="11"/>
    </row>
    <row r="265" spans="1:19" ht="15.6">
      <c r="A265" s="14">
        <v>50131</v>
      </c>
      <c r="B265" s="8">
        <f>5.982 * CHOOSE(CONTROL!$C$12, $D$4, 100%, $F$4)</f>
        <v>5.9820000000000002</v>
      </c>
      <c r="C265" s="8">
        <f>5.9924 * CHOOSE(CONTROL!$C$12, $D$4, 100%, $F$4)</f>
        <v>5.9923999999999999</v>
      </c>
      <c r="D265" s="8">
        <f>5.9974 * CHOOSE( CONTROL!$C$12, $D$4, 100%, $F$4)</f>
        <v>5.9973999999999998</v>
      </c>
      <c r="E265" s="12">
        <f>5.9946 * CHOOSE( CONTROL!$C$12, $D$4, 100%, $F$4)</f>
        <v>5.9946000000000002</v>
      </c>
      <c r="F265" s="4">
        <f>6.9885 * CHOOSE(CONTROL!$C$12, $D$4, 100%, $F$4)</f>
        <v>6.9885000000000002</v>
      </c>
      <c r="G265" s="8">
        <f>5.8954 * CHOOSE( CONTROL!$C$12, $D$4, 100%, $F$4)</f>
        <v>5.8954000000000004</v>
      </c>
      <c r="H265" s="4">
        <f>6.8063 * CHOOSE(CONTROL!$C$12, $D$4, 100%, $F$4)</f>
        <v>6.8063000000000002</v>
      </c>
      <c r="I265" s="8">
        <f>5.8468 * CHOOSE(CONTROL!$C$12, $D$4, 100%, $F$4)</f>
        <v>5.8468</v>
      </c>
      <c r="J265" s="4">
        <f>5.7957 * CHOOSE(CONTROL!$C$12, $D$4, 100%, $F$4)</f>
        <v>5.7957000000000001</v>
      </c>
      <c r="K265" s="4"/>
      <c r="L265" s="9">
        <v>27.988800000000001</v>
      </c>
      <c r="M265" s="9">
        <v>11.6745</v>
      </c>
      <c r="N265" s="9">
        <v>4.7850000000000001</v>
      </c>
      <c r="O265" s="9">
        <v>0.36249999999999999</v>
      </c>
      <c r="P265" s="9">
        <v>1.1798</v>
      </c>
      <c r="Q265" s="9">
        <v>29.530799999999999</v>
      </c>
      <c r="R265" s="9"/>
      <c r="S265" s="11"/>
    </row>
    <row r="266" spans="1:19" ht="15.6">
      <c r="A266" s="14">
        <v>50161</v>
      </c>
      <c r="B266" s="8">
        <f>CHOOSE( CONTROL!$C$29, 6.1483, 6.1414) * CHOOSE(CONTROL!$C$12, $D$4, 100%, $F$4)</f>
        <v>6.1414</v>
      </c>
      <c r="C266" s="8">
        <f>CHOOSE( CONTROL!$C$29, 6.1586, 6.1517) * CHOOSE(CONTROL!$C$12, $D$4, 100%, $F$4)</f>
        <v>6.1516999999999999</v>
      </c>
      <c r="D266" s="8">
        <f>CHOOSE( CONTROL!$C$29, 6.1388, 6.132) * CHOOSE( CONTROL!$C$12, $D$4, 100%, $F$4)</f>
        <v>6.1319999999999997</v>
      </c>
      <c r="E266" s="12">
        <f>CHOOSE( CONTROL!$C$29, 6.1444, 6.1376) * CHOOSE( CONTROL!$C$12, $D$4, 100%, $F$4)</f>
        <v>6.1375999999999999</v>
      </c>
      <c r="F266" s="4">
        <f>CHOOSE( CONTROL!$C$29, 7.1227, 7.1159) * CHOOSE(CONTROL!$C$12, $D$4, 100%, $F$4)</f>
        <v>7.1158999999999999</v>
      </c>
      <c r="G266" s="8">
        <f>CHOOSE( CONTROL!$C$29, 6.041, 6.0342) * CHOOSE( CONTROL!$C$12, $D$4, 100%, $F$4)</f>
        <v>6.0342000000000002</v>
      </c>
      <c r="H266" s="4">
        <f>CHOOSE( CONTROL!$C$29, 6.9386, 6.9319) * CHOOSE(CONTROL!$C$12, $D$4, 100%, $F$4)</f>
        <v>6.9318999999999997</v>
      </c>
      <c r="I266" s="8">
        <f>CHOOSE( CONTROL!$C$29, 5.9864, 5.9798) * CHOOSE(CONTROL!$C$12, $D$4, 100%, $F$4)</f>
        <v>5.9798</v>
      </c>
      <c r="J266" s="4">
        <f>CHOOSE( CONTROL!$C$29, 5.9567, 5.9501) * CHOOSE(CONTROL!$C$12, $D$4, 100%, $F$4)</f>
        <v>5.9500999999999999</v>
      </c>
      <c r="K266" s="4"/>
      <c r="L266" s="9">
        <v>29.520499999999998</v>
      </c>
      <c r="M266" s="9">
        <v>12.063700000000001</v>
      </c>
      <c r="N266" s="9">
        <v>4.9444999999999997</v>
      </c>
      <c r="O266" s="9">
        <v>0.37459999999999999</v>
      </c>
      <c r="P266" s="9">
        <v>1.2192000000000001</v>
      </c>
      <c r="Q266" s="9">
        <v>30.5152</v>
      </c>
      <c r="R266" s="9"/>
      <c r="S266" s="11"/>
    </row>
    <row r="267" spans="1:19" ht="15.6">
      <c r="A267" s="14">
        <v>50192</v>
      </c>
      <c r="B267" s="8">
        <f>CHOOSE( CONTROL!$C$29, 6.0495, 6.0427) * CHOOSE(CONTROL!$C$12, $D$4, 100%, $F$4)</f>
        <v>6.0427</v>
      </c>
      <c r="C267" s="8">
        <f>CHOOSE( CONTROL!$C$29, 6.0599, 6.053) * CHOOSE(CONTROL!$C$12, $D$4, 100%, $F$4)</f>
        <v>6.0529999999999999</v>
      </c>
      <c r="D267" s="8">
        <f>CHOOSE( CONTROL!$C$29, 6.0346, 6.0277) * CHOOSE( CONTROL!$C$12, $D$4, 100%, $F$4)</f>
        <v>6.0277000000000003</v>
      </c>
      <c r="E267" s="12">
        <f>CHOOSE( CONTROL!$C$29, 6.0422, 6.0353) * CHOOSE( CONTROL!$C$12, $D$4, 100%, $F$4)</f>
        <v>6.0353000000000003</v>
      </c>
      <c r="F267" s="4">
        <f>CHOOSE( CONTROL!$C$29, 7.0137, 7.0068) * CHOOSE(CONTROL!$C$12, $D$4, 100%, $F$4)</f>
        <v>7.0068000000000001</v>
      </c>
      <c r="G267" s="8">
        <f>CHOOSE( CONTROL!$C$29, 5.9424, 5.9356) * CHOOSE( CONTROL!$C$12, $D$4, 100%, $F$4)</f>
        <v>5.9356</v>
      </c>
      <c r="H267" s="4">
        <f>CHOOSE( CONTROL!$C$29, 6.8311, 6.8244) * CHOOSE(CONTROL!$C$12, $D$4, 100%, $F$4)</f>
        <v>6.8243999999999998</v>
      </c>
      <c r="I267" s="8">
        <f>CHOOSE( CONTROL!$C$29, 5.8928, 5.8862) * CHOOSE(CONTROL!$C$12, $D$4, 100%, $F$4)</f>
        <v>5.8861999999999997</v>
      </c>
      <c r="J267" s="4">
        <f>CHOOSE( CONTROL!$C$29, 5.861, 5.8544) * CHOOSE(CONTROL!$C$12, $D$4, 100%, $F$4)</f>
        <v>5.8544</v>
      </c>
      <c r="K267" s="4"/>
      <c r="L267" s="9">
        <v>28.568200000000001</v>
      </c>
      <c r="M267" s="9">
        <v>11.6745</v>
      </c>
      <c r="N267" s="9">
        <v>4.7850000000000001</v>
      </c>
      <c r="O267" s="9">
        <v>0.36249999999999999</v>
      </c>
      <c r="P267" s="9">
        <v>1.1798</v>
      </c>
      <c r="Q267" s="9">
        <v>29.530799999999999</v>
      </c>
      <c r="R267" s="9"/>
      <c r="S267" s="11"/>
    </row>
    <row r="268" spans="1:19" ht="15.6">
      <c r="A268" s="14">
        <v>50222</v>
      </c>
      <c r="B268" s="8">
        <f>CHOOSE( CONTROL!$C$29, 6.3095, 6.3027) * CHOOSE(CONTROL!$C$12, $D$4, 100%, $F$4)</f>
        <v>6.3026999999999997</v>
      </c>
      <c r="C268" s="8">
        <f>CHOOSE( CONTROL!$C$29, 6.3198, 6.313) * CHOOSE(CONTROL!$C$12, $D$4, 100%, $F$4)</f>
        <v>6.3129999999999997</v>
      </c>
      <c r="D268" s="8">
        <f>CHOOSE( CONTROL!$C$29, 6.328, 6.3211) * CHOOSE( CONTROL!$C$12, $D$4, 100%, $F$4)</f>
        <v>6.3211000000000004</v>
      </c>
      <c r="E268" s="12">
        <f>CHOOSE( CONTROL!$C$29, 6.3235, 6.3166) * CHOOSE( CONTROL!$C$12, $D$4, 100%, $F$4)</f>
        <v>6.3166000000000002</v>
      </c>
      <c r="F268" s="4">
        <f>CHOOSE( CONTROL!$C$29, 7.3185, 7.3117) * CHOOSE(CONTROL!$C$12, $D$4, 100%, $F$4)</f>
        <v>7.3117000000000001</v>
      </c>
      <c r="G268" s="8">
        <f>CHOOSE( CONTROL!$C$29, 6.2247, 6.218) * CHOOSE( CONTROL!$C$12, $D$4, 100%, $F$4)</f>
        <v>6.218</v>
      </c>
      <c r="H268" s="4">
        <f>CHOOSE( CONTROL!$C$29, 7.1317, 7.1249) * CHOOSE(CONTROL!$C$12, $D$4, 100%, $F$4)</f>
        <v>7.1249000000000002</v>
      </c>
      <c r="I268" s="8">
        <f>CHOOSE( CONTROL!$C$29, 6.2002, 6.1935) * CHOOSE(CONTROL!$C$12, $D$4, 100%, $F$4)</f>
        <v>6.1935000000000002</v>
      </c>
      <c r="J268" s="4">
        <f>CHOOSE( CONTROL!$C$29, 6.113, 6.1063) * CHOOSE(CONTROL!$C$12, $D$4, 100%, $F$4)</f>
        <v>6.1063000000000001</v>
      </c>
      <c r="K268" s="4"/>
      <c r="L268" s="9">
        <v>29.520499999999998</v>
      </c>
      <c r="M268" s="9">
        <v>12.063700000000001</v>
      </c>
      <c r="N268" s="9">
        <v>4.9444999999999997</v>
      </c>
      <c r="O268" s="9">
        <v>0.37459999999999999</v>
      </c>
      <c r="P268" s="9">
        <v>1.2192000000000001</v>
      </c>
      <c r="Q268" s="9">
        <v>30.5152</v>
      </c>
      <c r="R268" s="9"/>
      <c r="S268" s="11"/>
    </row>
    <row r="269" spans="1:19" ht="15.6">
      <c r="A269" s="14">
        <v>50253</v>
      </c>
      <c r="B269" s="8">
        <f>CHOOSE( CONTROL!$C$29, 5.8231, 5.8162) * CHOOSE(CONTROL!$C$12, $D$4, 100%, $F$4)</f>
        <v>5.8162000000000003</v>
      </c>
      <c r="C269" s="8">
        <f>CHOOSE( CONTROL!$C$29, 5.8334, 5.8265) * CHOOSE(CONTROL!$C$12, $D$4, 100%, $F$4)</f>
        <v>5.8265000000000002</v>
      </c>
      <c r="D269" s="8">
        <f>CHOOSE( CONTROL!$C$29, 5.8349, 5.828) * CHOOSE( CONTROL!$C$12, $D$4, 100%, $F$4)</f>
        <v>5.8280000000000003</v>
      </c>
      <c r="E269" s="12">
        <f>CHOOSE( CONTROL!$C$29, 5.8328, 5.8259) * CHOOSE( CONTROL!$C$12, $D$4, 100%, $F$4)</f>
        <v>5.8258999999999999</v>
      </c>
      <c r="F269" s="4">
        <f>CHOOSE( CONTROL!$C$29, 6.8295, 6.8227) * CHOOSE(CONTROL!$C$12, $D$4, 100%, $F$4)</f>
        <v>6.8227000000000002</v>
      </c>
      <c r="G269" s="8">
        <f>CHOOSE( CONTROL!$C$29, 5.7353, 5.7285) * CHOOSE( CONTROL!$C$12, $D$4, 100%, $F$4)</f>
        <v>5.7285000000000004</v>
      </c>
      <c r="H269" s="4">
        <f>CHOOSE( CONTROL!$C$29, 6.6496, 6.6429) * CHOOSE(CONTROL!$C$12, $D$4, 100%, $F$4)</f>
        <v>6.6429</v>
      </c>
      <c r="I269" s="8">
        <f>CHOOSE( CONTROL!$C$29, 5.7097, 5.703) * CHOOSE(CONTROL!$C$12, $D$4, 100%, $F$4)</f>
        <v>5.7030000000000003</v>
      </c>
      <c r="J269" s="4">
        <f>CHOOSE( CONTROL!$C$29, 5.6416, 5.635) * CHOOSE(CONTROL!$C$12, $D$4, 100%, $F$4)</f>
        <v>5.6349999999999998</v>
      </c>
      <c r="K269" s="4"/>
      <c r="L269" s="9">
        <v>29.520499999999998</v>
      </c>
      <c r="M269" s="9">
        <v>12.063700000000001</v>
      </c>
      <c r="N269" s="9">
        <v>4.9444999999999997</v>
      </c>
      <c r="O269" s="9">
        <v>0.37459999999999999</v>
      </c>
      <c r="P269" s="9">
        <v>1.2192000000000001</v>
      </c>
      <c r="Q269" s="9">
        <v>30.5152</v>
      </c>
      <c r="R269" s="9"/>
      <c r="S269" s="11"/>
    </row>
    <row r="270" spans="1:19" ht="15.6">
      <c r="A270" s="14">
        <v>50284</v>
      </c>
      <c r="B270" s="8">
        <f>CHOOSE( CONTROL!$C$29, 5.7013, 5.6944) * CHOOSE(CONTROL!$C$12, $D$4, 100%, $F$4)</f>
        <v>5.6943999999999999</v>
      </c>
      <c r="C270" s="8">
        <f>CHOOSE( CONTROL!$C$29, 5.7116, 5.7047) * CHOOSE(CONTROL!$C$12, $D$4, 100%, $F$4)</f>
        <v>5.7046999999999999</v>
      </c>
      <c r="D270" s="8">
        <f>CHOOSE( CONTROL!$C$29, 5.7163, 5.7094) * CHOOSE( CONTROL!$C$12, $D$4, 100%, $F$4)</f>
        <v>5.7093999999999996</v>
      </c>
      <c r="E270" s="12">
        <f>CHOOSE( CONTROL!$C$29, 5.713, 5.7061) * CHOOSE( CONTROL!$C$12, $D$4, 100%, $F$4)</f>
        <v>5.7061000000000002</v>
      </c>
      <c r="F270" s="4">
        <f>CHOOSE( CONTROL!$C$29, 6.7129, 6.706) * CHOOSE(CONTROL!$C$12, $D$4, 100%, $F$4)</f>
        <v>6.7060000000000004</v>
      </c>
      <c r="G270" s="8">
        <f>CHOOSE( CONTROL!$C$29, 5.6172, 5.6105) * CHOOSE( CONTROL!$C$12, $D$4, 100%, $F$4)</f>
        <v>5.6105</v>
      </c>
      <c r="H270" s="4">
        <f>CHOOSE( CONTROL!$C$29, 6.5346, 6.5279) * CHOOSE(CONTROL!$C$12, $D$4, 100%, $F$4)</f>
        <v>6.5278999999999998</v>
      </c>
      <c r="I270" s="8">
        <f>CHOOSE( CONTROL!$C$29, 5.5994, 5.5927) * CHOOSE(CONTROL!$C$12, $D$4, 100%, $F$4)</f>
        <v>5.5926999999999998</v>
      </c>
      <c r="J270" s="4">
        <f>CHOOSE( CONTROL!$C$29, 5.5236, 5.5169) * CHOOSE(CONTROL!$C$12, $D$4, 100%, $F$4)</f>
        <v>5.5168999999999997</v>
      </c>
      <c r="K270" s="4"/>
      <c r="L270" s="9">
        <v>28.568200000000001</v>
      </c>
      <c r="M270" s="9">
        <v>11.6745</v>
      </c>
      <c r="N270" s="9">
        <v>4.7850000000000001</v>
      </c>
      <c r="O270" s="9">
        <v>0.36249999999999999</v>
      </c>
      <c r="P270" s="9">
        <v>1.1798</v>
      </c>
      <c r="Q270" s="9">
        <v>29.530799999999999</v>
      </c>
      <c r="R270" s="9"/>
      <c r="S270" s="11"/>
    </row>
    <row r="271" spans="1:19" ht="15.6">
      <c r="A271" s="14">
        <v>50314</v>
      </c>
      <c r="B271" s="8">
        <f>5.9473 * CHOOSE(CONTROL!$C$12, $D$4, 100%, $F$4)</f>
        <v>5.9473000000000003</v>
      </c>
      <c r="C271" s="8">
        <f>5.9577 * CHOOSE(CONTROL!$C$12, $D$4, 100%, $F$4)</f>
        <v>5.9577</v>
      </c>
      <c r="D271" s="8">
        <f>5.9527 * CHOOSE( CONTROL!$C$12, $D$4, 100%, $F$4)</f>
        <v>5.9527000000000001</v>
      </c>
      <c r="E271" s="12">
        <f>5.9532 * CHOOSE( CONTROL!$C$12, $D$4, 100%, $F$4)</f>
        <v>5.9531999999999998</v>
      </c>
      <c r="F271" s="4">
        <f>6.9383 * CHOOSE(CONTROL!$C$12, $D$4, 100%, $F$4)</f>
        <v>6.9382999999999999</v>
      </c>
      <c r="G271" s="8">
        <f>5.8566 * CHOOSE( CONTROL!$C$12, $D$4, 100%, $F$4)</f>
        <v>5.8566000000000003</v>
      </c>
      <c r="H271" s="4">
        <f>6.7568 * CHOOSE(CONTROL!$C$12, $D$4, 100%, $F$4)</f>
        <v>6.7568000000000001</v>
      </c>
      <c r="I271" s="8">
        <f>5.8418 * CHOOSE(CONTROL!$C$12, $D$4, 100%, $F$4)</f>
        <v>5.8418000000000001</v>
      </c>
      <c r="J271" s="4">
        <f>5.762 * CHOOSE(CONTROL!$C$12, $D$4, 100%, $F$4)</f>
        <v>5.7619999999999996</v>
      </c>
      <c r="K271" s="4"/>
      <c r="L271" s="9">
        <v>28.921800000000001</v>
      </c>
      <c r="M271" s="9">
        <v>12.063700000000001</v>
      </c>
      <c r="N271" s="9">
        <v>4.9444999999999997</v>
      </c>
      <c r="O271" s="9">
        <v>0.37459999999999999</v>
      </c>
      <c r="P271" s="9">
        <v>1.2192000000000001</v>
      </c>
      <c r="Q271" s="9">
        <v>30.5152</v>
      </c>
      <c r="R271" s="9"/>
      <c r="S271" s="11"/>
    </row>
    <row r="272" spans="1:19" ht="15.6">
      <c r="A272" s="14">
        <v>50345</v>
      </c>
      <c r="B272" s="8">
        <f>6.4142 * CHOOSE(CONTROL!$C$12, $D$4, 100%, $F$4)</f>
        <v>6.4142000000000001</v>
      </c>
      <c r="C272" s="8">
        <f>6.4245 * CHOOSE(CONTROL!$C$12, $D$4, 100%, $F$4)</f>
        <v>6.4245000000000001</v>
      </c>
      <c r="D272" s="8">
        <f>6.3838 * CHOOSE( CONTROL!$C$12, $D$4, 100%, $F$4)</f>
        <v>6.3837999999999999</v>
      </c>
      <c r="E272" s="12">
        <f>6.3976 * CHOOSE( CONTROL!$C$12, $D$4, 100%, $F$4)</f>
        <v>6.3975999999999997</v>
      </c>
      <c r="F272" s="4">
        <f>7.3912 * CHOOSE(CONTROL!$C$12, $D$4, 100%, $F$4)</f>
        <v>7.3912000000000004</v>
      </c>
      <c r="G272" s="8">
        <f>6.3108 * CHOOSE( CONTROL!$C$12, $D$4, 100%, $F$4)</f>
        <v>6.3108000000000004</v>
      </c>
      <c r="H272" s="4">
        <f>7.2033 * CHOOSE(CONTROL!$C$12, $D$4, 100%, $F$4)</f>
        <v>7.2032999999999996</v>
      </c>
      <c r="I272" s="8">
        <f>6.2787 * CHOOSE(CONTROL!$C$12, $D$4, 100%, $F$4)</f>
        <v>6.2786999999999997</v>
      </c>
      <c r="J272" s="4">
        <f>6.2144 * CHOOSE(CONTROL!$C$12, $D$4, 100%, $F$4)</f>
        <v>6.2144000000000004</v>
      </c>
      <c r="K272" s="4"/>
      <c r="L272" s="9">
        <v>26.515499999999999</v>
      </c>
      <c r="M272" s="9">
        <v>11.6745</v>
      </c>
      <c r="N272" s="9">
        <v>4.7850000000000001</v>
      </c>
      <c r="O272" s="9">
        <v>0.36249999999999999</v>
      </c>
      <c r="P272" s="9">
        <v>1.2522</v>
      </c>
      <c r="Q272" s="9">
        <v>29.530799999999999</v>
      </c>
      <c r="R272" s="9"/>
      <c r="S272" s="11"/>
    </row>
    <row r="273" spans="1:19" ht="15.6">
      <c r="A273" s="14">
        <v>50375</v>
      </c>
      <c r="B273" s="8">
        <f>6.4025 * CHOOSE(CONTROL!$C$12, $D$4, 100%, $F$4)</f>
        <v>6.4024999999999999</v>
      </c>
      <c r="C273" s="8">
        <f>6.4128 * CHOOSE(CONTROL!$C$12, $D$4, 100%, $F$4)</f>
        <v>6.4127999999999998</v>
      </c>
      <c r="D273" s="8">
        <f>6.374 * CHOOSE( CONTROL!$C$12, $D$4, 100%, $F$4)</f>
        <v>6.3739999999999997</v>
      </c>
      <c r="E273" s="12">
        <f>6.3871 * CHOOSE( CONTROL!$C$12, $D$4, 100%, $F$4)</f>
        <v>6.3871000000000002</v>
      </c>
      <c r="F273" s="4">
        <f>7.3728 * CHOOSE(CONTROL!$C$12, $D$4, 100%, $F$4)</f>
        <v>7.3727999999999998</v>
      </c>
      <c r="G273" s="8">
        <f>6.3016 * CHOOSE( CONTROL!$C$12, $D$4, 100%, $F$4)</f>
        <v>6.3015999999999996</v>
      </c>
      <c r="H273" s="4">
        <f>7.1852 * CHOOSE(CONTROL!$C$12, $D$4, 100%, $F$4)</f>
        <v>7.1852</v>
      </c>
      <c r="I273" s="8">
        <f>6.2782 * CHOOSE(CONTROL!$C$12, $D$4, 100%, $F$4)</f>
        <v>6.2782</v>
      </c>
      <c r="J273" s="4">
        <f>6.2031 * CHOOSE(CONTROL!$C$12, $D$4, 100%, $F$4)</f>
        <v>6.2031000000000001</v>
      </c>
      <c r="K273" s="4"/>
      <c r="L273" s="9">
        <v>27.3993</v>
      </c>
      <c r="M273" s="9">
        <v>12.063700000000001</v>
      </c>
      <c r="N273" s="9">
        <v>4.9444999999999997</v>
      </c>
      <c r="O273" s="9">
        <v>0.37459999999999999</v>
      </c>
      <c r="P273" s="9">
        <v>1.2939000000000001</v>
      </c>
      <c r="Q273" s="9">
        <v>30.5152</v>
      </c>
      <c r="R273" s="9"/>
      <c r="S273" s="11"/>
    </row>
    <row r="274" spans="1:19" ht="15.6">
      <c r="A274" s="13">
        <v>50436</v>
      </c>
      <c r="B274" s="8">
        <f>6.5519 * CHOOSE(CONTROL!$C$12, $D$4, 100%, $F$4)</f>
        <v>6.5518999999999998</v>
      </c>
      <c r="C274" s="8">
        <f>6.5622 * CHOOSE(CONTROL!$C$12, $D$4, 100%, $F$4)</f>
        <v>6.5621999999999998</v>
      </c>
      <c r="D274" s="8">
        <f>6.562 * CHOOSE( CONTROL!$C$12, $D$4, 100%, $F$4)</f>
        <v>6.5620000000000003</v>
      </c>
      <c r="E274" s="12">
        <f>6.561 * CHOOSE( CONTROL!$C$12, $D$4, 100%, $F$4)</f>
        <v>6.5609999999999999</v>
      </c>
      <c r="F274" s="4">
        <f>7.5738 * CHOOSE(CONTROL!$C$12, $D$4, 100%, $F$4)</f>
        <v>7.5738000000000003</v>
      </c>
      <c r="G274" s="8">
        <f>6.4899 * CHOOSE( CONTROL!$C$12, $D$4, 100%, $F$4)</f>
        <v>6.4898999999999996</v>
      </c>
      <c r="H274" s="4">
        <f>7.3833 * CHOOSE(CONTROL!$C$12, $D$4, 100%, $F$4)</f>
        <v>7.3833000000000002</v>
      </c>
      <c r="I274" s="8">
        <f>6.4596 * CHOOSE(CONTROL!$C$12, $D$4, 100%, $F$4)</f>
        <v>6.4596</v>
      </c>
      <c r="J274" s="4">
        <f>6.3478 * CHOOSE(CONTROL!$C$12, $D$4, 100%, $F$4)</f>
        <v>6.3478000000000003</v>
      </c>
      <c r="K274" s="4"/>
      <c r="L274" s="9">
        <v>27.3993</v>
      </c>
      <c r="M274" s="9">
        <v>12.063700000000001</v>
      </c>
      <c r="N274" s="9">
        <v>4.9444999999999997</v>
      </c>
      <c r="O274" s="9">
        <v>0.37459999999999999</v>
      </c>
      <c r="P274" s="9">
        <v>1.2939000000000001</v>
      </c>
      <c r="Q274" s="9">
        <v>30.451899999999998</v>
      </c>
      <c r="R274" s="9"/>
      <c r="S274" s="11"/>
    </row>
    <row r="275" spans="1:19" ht="15.6">
      <c r="A275" s="13">
        <v>50464</v>
      </c>
      <c r="B275" s="8">
        <f>6.1284 * CHOOSE(CONTROL!$C$12, $D$4, 100%, $F$4)</f>
        <v>6.1284000000000001</v>
      </c>
      <c r="C275" s="8">
        <f>6.1387 * CHOOSE(CONTROL!$C$12, $D$4, 100%, $F$4)</f>
        <v>6.1387</v>
      </c>
      <c r="D275" s="8">
        <f>6.1408 * CHOOSE( CONTROL!$C$12, $D$4, 100%, $F$4)</f>
        <v>6.1407999999999996</v>
      </c>
      <c r="E275" s="12">
        <f>6.1389 * CHOOSE( CONTROL!$C$12, $D$4, 100%, $F$4)</f>
        <v>6.1388999999999996</v>
      </c>
      <c r="F275" s="4">
        <f>7.1426 * CHOOSE(CONTROL!$C$12, $D$4, 100%, $F$4)</f>
        <v>7.1425999999999998</v>
      </c>
      <c r="G275" s="8">
        <f>6.0722 * CHOOSE( CONTROL!$C$12, $D$4, 100%, $F$4)</f>
        <v>6.0721999999999996</v>
      </c>
      <c r="H275" s="4">
        <f>6.9582 * CHOOSE(CONTROL!$C$12, $D$4, 100%, $F$4)</f>
        <v>6.9581999999999997</v>
      </c>
      <c r="I275" s="8">
        <f>6.0381 * CHOOSE(CONTROL!$C$12, $D$4, 100%, $F$4)</f>
        <v>6.0381</v>
      </c>
      <c r="J275" s="4">
        <f>5.9375 * CHOOSE(CONTROL!$C$12, $D$4, 100%, $F$4)</f>
        <v>5.9375</v>
      </c>
      <c r="K275" s="4"/>
      <c r="L275" s="9">
        <v>24.747800000000002</v>
      </c>
      <c r="M275" s="9">
        <v>10.8962</v>
      </c>
      <c r="N275" s="9">
        <v>4.4660000000000002</v>
      </c>
      <c r="O275" s="9">
        <v>0.33829999999999999</v>
      </c>
      <c r="P275" s="9">
        <v>1.1687000000000001</v>
      </c>
      <c r="Q275" s="9">
        <v>27.504999999999999</v>
      </c>
      <c r="R275" s="9"/>
      <c r="S275" s="11"/>
    </row>
    <row r="276" spans="1:19" ht="15.6">
      <c r="A276" s="13">
        <v>50495</v>
      </c>
      <c r="B276" s="8">
        <f>5.998 * CHOOSE(CONTROL!$C$12, $D$4, 100%, $F$4)</f>
        <v>5.9980000000000002</v>
      </c>
      <c r="C276" s="8">
        <f>6.0083 * CHOOSE(CONTROL!$C$12, $D$4, 100%, $F$4)</f>
        <v>6.0083000000000002</v>
      </c>
      <c r="D276" s="8">
        <f>5.9905 * CHOOSE( CONTROL!$C$12, $D$4, 100%, $F$4)</f>
        <v>5.9904999999999999</v>
      </c>
      <c r="E276" s="12">
        <f>5.9959 * CHOOSE( CONTROL!$C$12, $D$4, 100%, $F$4)</f>
        <v>5.9958999999999998</v>
      </c>
      <c r="F276" s="4">
        <f>6.9961 * CHOOSE(CONTROL!$C$12, $D$4, 100%, $F$4)</f>
        <v>6.9961000000000002</v>
      </c>
      <c r="G276" s="8">
        <f>5.9232 * CHOOSE( CONTROL!$C$12, $D$4, 100%, $F$4)</f>
        <v>5.9231999999999996</v>
      </c>
      <c r="H276" s="4">
        <f>6.8139 * CHOOSE(CONTROL!$C$12, $D$4, 100%, $F$4)</f>
        <v>6.8139000000000003</v>
      </c>
      <c r="I276" s="8">
        <f>5.8721 * CHOOSE(CONTROL!$C$12, $D$4, 100%, $F$4)</f>
        <v>5.8720999999999997</v>
      </c>
      <c r="J276" s="4">
        <f>5.8111 * CHOOSE(CONTROL!$C$12, $D$4, 100%, $F$4)</f>
        <v>5.8110999999999997</v>
      </c>
      <c r="K276" s="4"/>
      <c r="L276" s="9">
        <v>27.3993</v>
      </c>
      <c r="M276" s="9">
        <v>12.063700000000001</v>
      </c>
      <c r="N276" s="9">
        <v>4.9444999999999997</v>
      </c>
      <c r="O276" s="9">
        <v>0.37459999999999999</v>
      </c>
      <c r="P276" s="9">
        <v>1.2939000000000001</v>
      </c>
      <c r="Q276" s="9">
        <v>30.451899999999998</v>
      </c>
      <c r="R276" s="9"/>
      <c r="S276" s="11"/>
    </row>
    <row r="277" spans="1:19" ht="15.6">
      <c r="A277" s="13">
        <v>50525</v>
      </c>
      <c r="B277" s="8">
        <f>6.0891 * CHOOSE(CONTROL!$C$12, $D$4, 100%, $F$4)</f>
        <v>6.0891000000000002</v>
      </c>
      <c r="C277" s="8">
        <f>6.0994 * CHOOSE(CONTROL!$C$12, $D$4, 100%, $F$4)</f>
        <v>6.0994000000000002</v>
      </c>
      <c r="D277" s="8">
        <f>6.1045 * CHOOSE( CONTROL!$C$12, $D$4, 100%, $F$4)</f>
        <v>6.1044999999999998</v>
      </c>
      <c r="E277" s="12">
        <f>6.1016 * CHOOSE( CONTROL!$C$12, $D$4, 100%, $F$4)</f>
        <v>6.1016000000000004</v>
      </c>
      <c r="F277" s="4">
        <f>7.0955 * CHOOSE(CONTROL!$C$12, $D$4, 100%, $F$4)</f>
        <v>7.0955000000000004</v>
      </c>
      <c r="G277" s="8">
        <f>6.0009 * CHOOSE( CONTROL!$C$12, $D$4, 100%, $F$4)</f>
        <v>6.0008999999999997</v>
      </c>
      <c r="H277" s="4">
        <f>6.9119 * CHOOSE(CONTROL!$C$12, $D$4, 100%, $F$4)</f>
        <v>6.9119000000000002</v>
      </c>
      <c r="I277" s="8">
        <f>5.9506 * CHOOSE(CONTROL!$C$12, $D$4, 100%, $F$4)</f>
        <v>5.9505999999999997</v>
      </c>
      <c r="J277" s="4">
        <f>5.8994 * CHOOSE(CONTROL!$C$12, $D$4, 100%, $F$4)</f>
        <v>5.8994</v>
      </c>
      <c r="K277" s="4"/>
      <c r="L277" s="9">
        <v>27.988800000000001</v>
      </c>
      <c r="M277" s="9">
        <v>11.6745</v>
      </c>
      <c r="N277" s="9">
        <v>4.7850000000000001</v>
      </c>
      <c r="O277" s="9">
        <v>0.36249999999999999</v>
      </c>
      <c r="P277" s="9">
        <v>1.1798</v>
      </c>
      <c r="Q277" s="9">
        <v>29.4696</v>
      </c>
      <c r="R277" s="9"/>
      <c r="S277" s="11"/>
    </row>
    <row r="278" spans="1:19" ht="15.6">
      <c r="A278" s="13">
        <v>50556</v>
      </c>
      <c r="B278" s="8">
        <f>CHOOSE( CONTROL!$C$29, 6.2582, 6.2513) * CHOOSE(CONTROL!$C$12, $D$4, 100%, $F$4)</f>
        <v>6.2512999999999996</v>
      </c>
      <c r="C278" s="8">
        <f>CHOOSE( CONTROL!$C$29, 6.2685, 6.2616) * CHOOSE(CONTROL!$C$12, $D$4, 100%, $F$4)</f>
        <v>6.2615999999999996</v>
      </c>
      <c r="D278" s="8">
        <f>CHOOSE( CONTROL!$C$29, 6.2487, 6.2419) * CHOOSE( CONTROL!$C$12, $D$4, 100%, $F$4)</f>
        <v>6.2419000000000002</v>
      </c>
      <c r="E278" s="12">
        <f>CHOOSE( CONTROL!$C$29, 6.2543, 6.2475) * CHOOSE( CONTROL!$C$12, $D$4, 100%, $F$4)</f>
        <v>6.2474999999999996</v>
      </c>
      <c r="F278" s="4">
        <f>CHOOSE( CONTROL!$C$29, 7.2326, 7.2258) * CHOOSE(CONTROL!$C$12, $D$4, 100%, $F$4)</f>
        <v>7.2257999999999996</v>
      </c>
      <c r="G278" s="8">
        <f>CHOOSE( CONTROL!$C$29, 6.1493, 6.1426) * CHOOSE( CONTROL!$C$12, $D$4, 100%, $F$4)</f>
        <v>6.1425999999999998</v>
      </c>
      <c r="H278" s="4">
        <f>CHOOSE( CONTROL!$C$29, 7.047, 7.0402) * CHOOSE(CONTROL!$C$12, $D$4, 100%, $F$4)</f>
        <v>7.0401999999999996</v>
      </c>
      <c r="I278" s="8">
        <f>CHOOSE( CONTROL!$C$29, 6.0929, 6.0863) * CHOOSE(CONTROL!$C$12, $D$4, 100%, $F$4)</f>
        <v>6.0862999999999996</v>
      </c>
      <c r="J278" s="4">
        <f>CHOOSE( CONTROL!$C$29, 6.0632, 6.0566) * CHOOSE(CONTROL!$C$12, $D$4, 100%, $F$4)</f>
        <v>6.0566000000000004</v>
      </c>
      <c r="K278" s="4"/>
      <c r="L278" s="9">
        <v>29.520499999999998</v>
      </c>
      <c r="M278" s="9">
        <v>12.063700000000001</v>
      </c>
      <c r="N278" s="9">
        <v>4.9444999999999997</v>
      </c>
      <c r="O278" s="9">
        <v>0.37459999999999999</v>
      </c>
      <c r="P278" s="9">
        <v>1.2192000000000001</v>
      </c>
      <c r="Q278" s="9">
        <v>30.451899999999998</v>
      </c>
      <c r="R278" s="9"/>
      <c r="S278" s="11"/>
    </row>
    <row r="279" spans="1:19" ht="15.6">
      <c r="A279" s="13">
        <v>50586</v>
      </c>
      <c r="B279" s="8">
        <f>CHOOSE( CONTROL!$C$29, 6.1577, 6.1508) * CHOOSE(CONTROL!$C$12, $D$4, 100%, $F$4)</f>
        <v>6.1508000000000003</v>
      </c>
      <c r="C279" s="8">
        <f>CHOOSE( CONTROL!$C$29, 6.168, 6.1612) * CHOOSE(CONTROL!$C$12, $D$4, 100%, $F$4)</f>
        <v>6.1612</v>
      </c>
      <c r="D279" s="8">
        <f>CHOOSE( CONTROL!$C$29, 6.1427, 6.1359) * CHOOSE( CONTROL!$C$12, $D$4, 100%, $F$4)</f>
        <v>6.1359000000000004</v>
      </c>
      <c r="E279" s="12">
        <f>CHOOSE( CONTROL!$C$29, 6.1503, 6.1435) * CHOOSE( CONTROL!$C$12, $D$4, 100%, $F$4)</f>
        <v>6.1435000000000004</v>
      </c>
      <c r="F279" s="4">
        <f>CHOOSE( CONTROL!$C$29, 7.1218, 7.115) * CHOOSE(CONTROL!$C$12, $D$4, 100%, $F$4)</f>
        <v>7.1150000000000002</v>
      </c>
      <c r="G279" s="8">
        <f>CHOOSE( CONTROL!$C$29, 6.049, 6.0423) * CHOOSE( CONTROL!$C$12, $D$4, 100%, $F$4)</f>
        <v>6.0423</v>
      </c>
      <c r="H279" s="4">
        <f>CHOOSE( CONTROL!$C$29, 6.9377, 6.931) * CHOOSE(CONTROL!$C$12, $D$4, 100%, $F$4)</f>
        <v>6.931</v>
      </c>
      <c r="I279" s="8">
        <f>CHOOSE( CONTROL!$C$29, 5.9977, 5.9911) * CHOOSE(CONTROL!$C$12, $D$4, 100%, $F$4)</f>
        <v>5.9911000000000003</v>
      </c>
      <c r="J279" s="4">
        <f>CHOOSE( CONTROL!$C$29, 5.9658, 5.9592) * CHOOSE(CONTROL!$C$12, $D$4, 100%, $F$4)</f>
        <v>5.9592000000000001</v>
      </c>
      <c r="K279" s="4"/>
      <c r="L279" s="9">
        <v>28.568200000000001</v>
      </c>
      <c r="M279" s="9">
        <v>11.6745</v>
      </c>
      <c r="N279" s="9">
        <v>4.7850000000000001</v>
      </c>
      <c r="O279" s="9">
        <v>0.36249999999999999</v>
      </c>
      <c r="P279" s="9">
        <v>1.1798</v>
      </c>
      <c r="Q279" s="9">
        <v>29.4696</v>
      </c>
      <c r="R279" s="9"/>
      <c r="S279" s="11"/>
    </row>
    <row r="280" spans="1:19" ht="15.6">
      <c r="A280" s="13">
        <v>50617</v>
      </c>
      <c r="B280" s="8">
        <f>CHOOSE( CONTROL!$C$29, 6.4223, 6.4155) * CHOOSE(CONTROL!$C$12, $D$4, 100%, $F$4)</f>
        <v>6.4154999999999998</v>
      </c>
      <c r="C280" s="8">
        <f>CHOOSE( CONTROL!$C$29, 6.4326, 6.4258) * CHOOSE(CONTROL!$C$12, $D$4, 100%, $F$4)</f>
        <v>6.4257999999999997</v>
      </c>
      <c r="D280" s="8">
        <f>CHOOSE( CONTROL!$C$29, 6.4408, 6.4339) * CHOOSE( CONTROL!$C$12, $D$4, 100%, $F$4)</f>
        <v>6.4339000000000004</v>
      </c>
      <c r="E280" s="12">
        <f>CHOOSE( CONTROL!$C$29, 6.4363, 6.4294) * CHOOSE( CONTROL!$C$12, $D$4, 100%, $F$4)</f>
        <v>6.4294000000000002</v>
      </c>
      <c r="F280" s="4">
        <f>CHOOSE( CONTROL!$C$29, 7.4313, 7.4245) * CHOOSE(CONTROL!$C$12, $D$4, 100%, $F$4)</f>
        <v>7.4245000000000001</v>
      </c>
      <c r="G280" s="8">
        <f>CHOOSE( CONTROL!$C$29, 6.3359, 6.3292) * CHOOSE( CONTROL!$C$12, $D$4, 100%, $F$4)</f>
        <v>6.3292000000000002</v>
      </c>
      <c r="H280" s="4">
        <f>CHOOSE( CONTROL!$C$29, 7.2429, 7.2361) * CHOOSE(CONTROL!$C$12, $D$4, 100%, $F$4)</f>
        <v>7.2361000000000004</v>
      </c>
      <c r="I280" s="8">
        <f>CHOOSE( CONTROL!$C$29, 6.3095, 6.3029) * CHOOSE(CONTROL!$C$12, $D$4, 100%, $F$4)</f>
        <v>6.3029000000000002</v>
      </c>
      <c r="J280" s="4">
        <f>CHOOSE( CONTROL!$C$29, 6.2223, 6.2156) * CHOOSE(CONTROL!$C$12, $D$4, 100%, $F$4)</f>
        <v>6.2156000000000002</v>
      </c>
      <c r="K280" s="4"/>
      <c r="L280" s="9">
        <v>29.520499999999998</v>
      </c>
      <c r="M280" s="9">
        <v>12.063700000000001</v>
      </c>
      <c r="N280" s="9">
        <v>4.9444999999999997</v>
      </c>
      <c r="O280" s="9">
        <v>0.37459999999999999</v>
      </c>
      <c r="P280" s="9">
        <v>1.2192000000000001</v>
      </c>
      <c r="Q280" s="9">
        <v>30.451899999999998</v>
      </c>
      <c r="R280" s="9"/>
      <c r="S280" s="11"/>
    </row>
    <row r="281" spans="1:19" ht="15.6">
      <c r="A281" s="13">
        <v>50648</v>
      </c>
      <c r="B281" s="8">
        <f>CHOOSE( CONTROL!$C$29, 5.9272, 5.9203) * CHOOSE(CONTROL!$C$12, $D$4, 100%, $F$4)</f>
        <v>5.9203000000000001</v>
      </c>
      <c r="C281" s="8">
        <f>CHOOSE( CONTROL!$C$29, 5.9375, 5.9306) * CHOOSE(CONTROL!$C$12, $D$4, 100%, $F$4)</f>
        <v>5.9306000000000001</v>
      </c>
      <c r="D281" s="8">
        <f>CHOOSE( CONTROL!$C$29, 5.939, 5.9321) * CHOOSE( CONTROL!$C$12, $D$4, 100%, $F$4)</f>
        <v>5.9321000000000002</v>
      </c>
      <c r="E281" s="12">
        <f>CHOOSE( CONTROL!$C$29, 5.9369, 5.93) * CHOOSE( CONTROL!$C$12, $D$4, 100%, $F$4)</f>
        <v>5.93</v>
      </c>
      <c r="F281" s="4">
        <f>CHOOSE( CONTROL!$C$29, 6.9336, 6.9268) * CHOOSE(CONTROL!$C$12, $D$4, 100%, $F$4)</f>
        <v>6.9268000000000001</v>
      </c>
      <c r="G281" s="8">
        <f>CHOOSE( CONTROL!$C$29, 5.8379, 5.8311) * CHOOSE( CONTROL!$C$12, $D$4, 100%, $F$4)</f>
        <v>5.8311000000000002</v>
      </c>
      <c r="H281" s="4">
        <f>CHOOSE( CONTROL!$C$29, 6.7522, 6.7455) * CHOOSE(CONTROL!$C$12, $D$4, 100%, $F$4)</f>
        <v>6.7454999999999998</v>
      </c>
      <c r="I281" s="8">
        <f>CHOOSE( CONTROL!$C$29, 5.8106, 5.804) * CHOOSE(CONTROL!$C$12, $D$4, 100%, $F$4)</f>
        <v>5.8040000000000003</v>
      </c>
      <c r="J281" s="4">
        <f>CHOOSE( CONTROL!$C$29, 5.7425, 5.7358) * CHOOSE(CONTROL!$C$12, $D$4, 100%, $F$4)</f>
        <v>5.7358000000000002</v>
      </c>
      <c r="K281" s="4"/>
      <c r="L281" s="9">
        <v>29.520499999999998</v>
      </c>
      <c r="M281" s="9">
        <v>12.063700000000001</v>
      </c>
      <c r="N281" s="9">
        <v>4.9444999999999997</v>
      </c>
      <c r="O281" s="9">
        <v>0.37459999999999999</v>
      </c>
      <c r="P281" s="9">
        <v>1.2192000000000001</v>
      </c>
      <c r="Q281" s="9">
        <v>30.451899999999998</v>
      </c>
      <c r="R281" s="9"/>
      <c r="S281" s="11"/>
    </row>
    <row r="282" spans="1:19" ht="15.6">
      <c r="A282" s="13">
        <v>50678</v>
      </c>
      <c r="B282" s="8">
        <f>CHOOSE( CONTROL!$C$29, 5.8032, 5.7963) * CHOOSE(CONTROL!$C$12, $D$4, 100%, $F$4)</f>
        <v>5.7962999999999996</v>
      </c>
      <c r="C282" s="8">
        <f>CHOOSE( CONTROL!$C$29, 5.8135, 5.8066) * CHOOSE(CONTROL!$C$12, $D$4, 100%, $F$4)</f>
        <v>5.8066000000000004</v>
      </c>
      <c r="D282" s="8">
        <f>CHOOSE( CONTROL!$C$29, 5.8182, 5.8113) * CHOOSE( CONTROL!$C$12, $D$4, 100%, $F$4)</f>
        <v>5.8113000000000001</v>
      </c>
      <c r="E282" s="12">
        <f>CHOOSE( CONTROL!$C$29, 5.8149, 5.808) * CHOOSE( CONTROL!$C$12, $D$4, 100%, $F$4)</f>
        <v>5.8079999999999998</v>
      </c>
      <c r="F282" s="4">
        <f>CHOOSE( CONTROL!$C$29, 6.8148, 6.8079) * CHOOSE(CONTROL!$C$12, $D$4, 100%, $F$4)</f>
        <v>6.8079000000000001</v>
      </c>
      <c r="G282" s="8">
        <f>CHOOSE( CONTROL!$C$29, 5.7177, 5.711) * CHOOSE( CONTROL!$C$12, $D$4, 100%, $F$4)</f>
        <v>5.7110000000000003</v>
      </c>
      <c r="H282" s="4">
        <f>CHOOSE( CONTROL!$C$29, 6.6351, 6.6283) * CHOOSE(CONTROL!$C$12, $D$4, 100%, $F$4)</f>
        <v>6.6283000000000003</v>
      </c>
      <c r="I282" s="8">
        <f>CHOOSE( CONTROL!$C$29, 5.6982, 5.6915) * CHOOSE(CONTROL!$C$12, $D$4, 100%, $F$4)</f>
        <v>5.6914999999999996</v>
      </c>
      <c r="J282" s="4">
        <f>CHOOSE( CONTROL!$C$29, 5.6223, 5.6157) * CHOOSE(CONTROL!$C$12, $D$4, 100%, $F$4)</f>
        <v>5.6157000000000004</v>
      </c>
      <c r="K282" s="4"/>
      <c r="L282" s="9">
        <v>28.568200000000001</v>
      </c>
      <c r="M282" s="9">
        <v>11.6745</v>
      </c>
      <c r="N282" s="9">
        <v>4.7850000000000001</v>
      </c>
      <c r="O282" s="9">
        <v>0.36249999999999999</v>
      </c>
      <c r="P282" s="9">
        <v>1.1798</v>
      </c>
      <c r="Q282" s="9">
        <v>29.4696</v>
      </c>
      <c r="R282" s="9"/>
      <c r="S282" s="11"/>
    </row>
    <row r="283" spans="1:19" ht="15.6">
      <c r="A283" s="13">
        <v>50709</v>
      </c>
      <c r="B283" s="8">
        <f>6.0538 * CHOOSE(CONTROL!$C$12, $D$4, 100%, $F$4)</f>
        <v>6.0537999999999998</v>
      </c>
      <c r="C283" s="8">
        <f>6.0641 * CHOOSE(CONTROL!$C$12, $D$4, 100%, $F$4)</f>
        <v>6.0640999999999998</v>
      </c>
      <c r="D283" s="8">
        <f>6.0591 * CHOOSE( CONTROL!$C$12, $D$4, 100%, $F$4)</f>
        <v>6.0590999999999999</v>
      </c>
      <c r="E283" s="12">
        <f>6.0597 * CHOOSE( CONTROL!$C$12, $D$4, 100%, $F$4)</f>
        <v>6.0597000000000003</v>
      </c>
      <c r="F283" s="4">
        <f>7.0447 * CHOOSE(CONTROL!$C$12, $D$4, 100%, $F$4)</f>
        <v>7.0446999999999997</v>
      </c>
      <c r="G283" s="8">
        <f>5.9615 * CHOOSE( CONTROL!$C$12, $D$4, 100%, $F$4)</f>
        <v>5.9615</v>
      </c>
      <c r="H283" s="4">
        <f>6.8618 * CHOOSE(CONTROL!$C$12, $D$4, 100%, $F$4)</f>
        <v>6.8617999999999997</v>
      </c>
      <c r="I283" s="8">
        <f>5.945 * CHOOSE(CONTROL!$C$12, $D$4, 100%, $F$4)</f>
        <v>5.9450000000000003</v>
      </c>
      <c r="J283" s="4">
        <f>5.8652 * CHOOSE(CONTROL!$C$12, $D$4, 100%, $F$4)</f>
        <v>5.8651999999999997</v>
      </c>
      <c r="K283" s="4"/>
      <c r="L283" s="9">
        <v>28.921800000000001</v>
      </c>
      <c r="M283" s="9">
        <v>12.063700000000001</v>
      </c>
      <c r="N283" s="9">
        <v>4.9444999999999997</v>
      </c>
      <c r="O283" s="9">
        <v>0.37459999999999999</v>
      </c>
      <c r="P283" s="9">
        <v>1.2192000000000001</v>
      </c>
      <c r="Q283" s="9">
        <v>30.451899999999998</v>
      </c>
      <c r="R283" s="9"/>
      <c r="S283" s="11"/>
    </row>
    <row r="284" spans="1:19" ht="15.6">
      <c r="A284" s="13">
        <v>50739</v>
      </c>
      <c r="B284" s="8">
        <f>6.529 * CHOOSE(CONTROL!$C$12, $D$4, 100%, $F$4)</f>
        <v>6.5289999999999999</v>
      </c>
      <c r="C284" s="8">
        <f>6.5393 * CHOOSE(CONTROL!$C$12, $D$4, 100%, $F$4)</f>
        <v>6.5392999999999999</v>
      </c>
      <c r="D284" s="8">
        <f>6.4986 * CHOOSE( CONTROL!$C$12, $D$4, 100%, $F$4)</f>
        <v>6.4985999999999997</v>
      </c>
      <c r="E284" s="12">
        <f>6.5124 * CHOOSE( CONTROL!$C$12, $D$4, 100%, $F$4)</f>
        <v>6.5124000000000004</v>
      </c>
      <c r="F284" s="4">
        <f>7.506 * CHOOSE(CONTROL!$C$12, $D$4, 100%, $F$4)</f>
        <v>7.5060000000000002</v>
      </c>
      <c r="G284" s="8">
        <f>6.4239 * CHOOSE( CONTROL!$C$12, $D$4, 100%, $F$4)</f>
        <v>6.4238999999999997</v>
      </c>
      <c r="H284" s="4">
        <f>7.3165 * CHOOSE(CONTROL!$C$12, $D$4, 100%, $F$4)</f>
        <v>7.3164999999999996</v>
      </c>
      <c r="I284" s="8">
        <f>6.39 * CHOOSE(CONTROL!$C$12, $D$4, 100%, $F$4)</f>
        <v>6.39</v>
      </c>
      <c r="J284" s="4">
        <f>6.3256 * CHOOSE(CONTROL!$C$12, $D$4, 100%, $F$4)</f>
        <v>6.3255999999999997</v>
      </c>
      <c r="K284" s="4"/>
      <c r="L284" s="9">
        <v>26.515499999999999</v>
      </c>
      <c r="M284" s="9">
        <v>11.6745</v>
      </c>
      <c r="N284" s="9">
        <v>4.7850000000000001</v>
      </c>
      <c r="O284" s="9">
        <v>0.36249999999999999</v>
      </c>
      <c r="P284" s="9">
        <v>1.2522</v>
      </c>
      <c r="Q284" s="9">
        <v>29.4696</v>
      </c>
      <c r="R284" s="9"/>
      <c r="S284" s="11"/>
    </row>
    <row r="285" spans="1:19" ht="15.6">
      <c r="A285" s="13">
        <v>50770</v>
      </c>
      <c r="B285" s="8">
        <f>6.5171 * CHOOSE(CONTROL!$C$12, $D$4, 100%, $F$4)</f>
        <v>6.5171000000000001</v>
      </c>
      <c r="C285" s="8">
        <f>6.5274 * CHOOSE(CONTROL!$C$12, $D$4, 100%, $F$4)</f>
        <v>6.5274000000000001</v>
      </c>
      <c r="D285" s="8">
        <f>6.4886 * CHOOSE( CONTROL!$C$12, $D$4, 100%, $F$4)</f>
        <v>6.4885999999999999</v>
      </c>
      <c r="E285" s="12">
        <f>6.5017 * CHOOSE( CONTROL!$C$12, $D$4, 100%, $F$4)</f>
        <v>6.5016999999999996</v>
      </c>
      <c r="F285" s="4">
        <f>7.4874 * CHOOSE(CONTROL!$C$12, $D$4, 100%, $F$4)</f>
        <v>7.4874000000000001</v>
      </c>
      <c r="G285" s="8">
        <f>6.4146 * CHOOSE( CONTROL!$C$12, $D$4, 100%, $F$4)</f>
        <v>6.4146000000000001</v>
      </c>
      <c r="H285" s="4">
        <f>7.2981 * CHOOSE(CONTROL!$C$12, $D$4, 100%, $F$4)</f>
        <v>7.2980999999999998</v>
      </c>
      <c r="I285" s="8">
        <f>6.3893 * CHOOSE(CONTROL!$C$12, $D$4, 100%, $F$4)</f>
        <v>6.3893000000000004</v>
      </c>
      <c r="J285" s="4">
        <f>6.3141 * CHOOSE(CONTROL!$C$12, $D$4, 100%, $F$4)</f>
        <v>6.3140999999999998</v>
      </c>
      <c r="K285" s="4"/>
      <c r="L285" s="9">
        <v>27.3993</v>
      </c>
      <c r="M285" s="9">
        <v>12.063700000000001</v>
      </c>
      <c r="N285" s="9">
        <v>4.9444999999999997</v>
      </c>
      <c r="O285" s="9">
        <v>0.37459999999999999</v>
      </c>
      <c r="P285" s="9">
        <v>1.2939000000000001</v>
      </c>
      <c r="Q285" s="9">
        <v>30.451899999999998</v>
      </c>
      <c r="R285" s="9"/>
      <c r="S285" s="11"/>
    </row>
    <row r="286" spans="1:19" ht="15.6">
      <c r="A286" s="13">
        <v>50801</v>
      </c>
      <c r="B286" s="8">
        <f>6.6692 * CHOOSE(CONTROL!$C$12, $D$4, 100%, $F$4)</f>
        <v>6.6692</v>
      </c>
      <c r="C286" s="8">
        <f>6.6795 * CHOOSE(CONTROL!$C$12, $D$4, 100%, $F$4)</f>
        <v>6.6795</v>
      </c>
      <c r="D286" s="8">
        <f>6.6793 * CHOOSE( CONTROL!$C$12, $D$4, 100%, $F$4)</f>
        <v>6.6792999999999996</v>
      </c>
      <c r="E286" s="12">
        <f>6.6783 * CHOOSE( CONTROL!$C$12, $D$4, 100%, $F$4)</f>
        <v>6.6783000000000001</v>
      </c>
      <c r="F286" s="4">
        <f>7.6911 * CHOOSE(CONTROL!$C$12, $D$4, 100%, $F$4)</f>
        <v>7.6910999999999996</v>
      </c>
      <c r="G286" s="8">
        <f>6.6054 * CHOOSE( CONTROL!$C$12, $D$4, 100%, $F$4)</f>
        <v>6.6054000000000004</v>
      </c>
      <c r="H286" s="4">
        <f>7.4989 * CHOOSE(CONTROL!$C$12, $D$4, 100%, $F$4)</f>
        <v>7.4988999999999999</v>
      </c>
      <c r="I286" s="8">
        <f>6.5733 * CHOOSE(CONTROL!$C$12, $D$4, 100%, $F$4)</f>
        <v>6.5732999999999997</v>
      </c>
      <c r="J286" s="4">
        <f>6.4615 * CHOOSE(CONTROL!$C$12, $D$4, 100%, $F$4)</f>
        <v>6.4615</v>
      </c>
      <c r="K286" s="4"/>
      <c r="L286" s="9">
        <v>27.3993</v>
      </c>
      <c r="M286" s="9">
        <v>12.063700000000001</v>
      </c>
      <c r="N286" s="9">
        <v>4.9444999999999997</v>
      </c>
      <c r="O286" s="9">
        <v>0.37459999999999999</v>
      </c>
      <c r="P286" s="9">
        <v>1.2939000000000001</v>
      </c>
      <c r="Q286" s="9">
        <v>30.386800000000001</v>
      </c>
      <c r="R286" s="9"/>
      <c r="S286" s="11"/>
    </row>
    <row r="287" spans="1:19" ht="15.6">
      <c r="A287" s="13">
        <v>50829</v>
      </c>
      <c r="B287" s="8">
        <f>6.2381 * CHOOSE(CONTROL!$C$12, $D$4, 100%, $F$4)</f>
        <v>6.2381000000000002</v>
      </c>
      <c r="C287" s="8">
        <f>6.2484 * CHOOSE(CONTROL!$C$12, $D$4, 100%, $F$4)</f>
        <v>6.2484000000000002</v>
      </c>
      <c r="D287" s="8">
        <f>6.2505 * CHOOSE( CONTROL!$C$12, $D$4, 100%, $F$4)</f>
        <v>6.2504999999999997</v>
      </c>
      <c r="E287" s="12">
        <f>6.2486 * CHOOSE( CONTROL!$C$12, $D$4, 100%, $F$4)</f>
        <v>6.2485999999999997</v>
      </c>
      <c r="F287" s="4">
        <f>7.2523 * CHOOSE(CONTROL!$C$12, $D$4, 100%, $F$4)</f>
        <v>7.2523</v>
      </c>
      <c r="G287" s="8">
        <f>6.1804 * CHOOSE( CONTROL!$C$12, $D$4, 100%, $F$4)</f>
        <v>6.1803999999999997</v>
      </c>
      <c r="H287" s="4">
        <f>7.0663 * CHOOSE(CONTROL!$C$12, $D$4, 100%, $F$4)</f>
        <v>7.0663</v>
      </c>
      <c r="I287" s="8">
        <f>6.1444 * CHOOSE(CONTROL!$C$12, $D$4, 100%, $F$4)</f>
        <v>6.1444000000000001</v>
      </c>
      <c r="J287" s="4">
        <f>6.0437 * CHOOSE(CONTROL!$C$12, $D$4, 100%, $F$4)</f>
        <v>6.0437000000000003</v>
      </c>
      <c r="K287" s="4"/>
      <c r="L287" s="9">
        <v>24.747800000000002</v>
      </c>
      <c r="M287" s="9">
        <v>10.8962</v>
      </c>
      <c r="N287" s="9">
        <v>4.4660000000000002</v>
      </c>
      <c r="O287" s="9">
        <v>0.33829999999999999</v>
      </c>
      <c r="P287" s="9">
        <v>1.1687000000000001</v>
      </c>
      <c r="Q287" s="9">
        <v>27.446200000000001</v>
      </c>
      <c r="R287" s="9"/>
      <c r="S287" s="11"/>
    </row>
    <row r="288" spans="1:19" ht="15.6">
      <c r="A288" s="13">
        <v>50860</v>
      </c>
      <c r="B288" s="8">
        <f>6.1053 * CHOOSE(CONTROL!$C$12, $D$4, 100%, $F$4)</f>
        <v>6.1052999999999997</v>
      </c>
      <c r="C288" s="8">
        <f>6.1156 * CHOOSE(CONTROL!$C$12, $D$4, 100%, $F$4)</f>
        <v>6.1155999999999997</v>
      </c>
      <c r="D288" s="8">
        <f>6.0978 * CHOOSE( CONTROL!$C$12, $D$4, 100%, $F$4)</f>
        <v>6.0978000000000003</v>
      </c>
      <c r="E288" s="12">
        <f>6.1032 * CHOOSE( CONTROL!$C$12, $D$4, 100%, $F$4)</f>
        <v>6.1032000000000002</v>
      </c>
      <c r="F288" s="4">
        <f>7.1035 * CHOOSE(CONTROL!$C$12, $D$4, 100%, $F$4)</f>
        <v>7.1035000000000004</v>
      </c>
      <c r="G288" s="8">
        <f>6.029 * CHOOSE( CONTROL!$C$12, $D$4, 100%, $F$4)</f>
        <v>6.0289999999999999</v>
      </c>
      <c r="H288" s="4">
        <f>6.9197 * CHOOSE(CONTROL!$C$12, $D$4, 100%, $F$4)</f>
        <v>6.9196999999999997</v>
      </c>
      <c r="I288" s="8">
        <f>5.9762 * CHOOSE(CONTROL!$C$12, $D$4, 100%, $F$4)</f>
        <v>5.9762000000000004</v>
      </c>
      <c r="J288" s="4">
        <f>5.9151 * CHOOSE(CONTROL!$C$12, $D$4, 100%, $F$4)</f>
        <v>5.9150999999999998</v>
      </c>
      <c r="K288" s="4"/>
      <c r="L288" s="9">
        <v>27.3993</v>
      </c>
      <c r="M288" s="9">
        <v>12.063700000000001</v>
      </c>
      <c r="N288" s="9">
        <v>4.9444999999999997</v>
      </c>
      <c r="O288" s="9">
        <v>0.37459999999999999</v>
      </c>
      <c r="P288" s="9">
        <v>1.2939000000000001</v>
      </c>
      <c r="Q288" s="9">
        <v>30.386800000000001</v>
      </c>
      <c r="R288" s="9"/>
      <c r="S288" s="11"/>
    </row>
    <row r="289" spans="1:19" ht="15.6">
      <c r="A289" s="13">
        <v>50890</v>
      </c>
      <c r="B289" s="8">
        <f>6.1981 * CHOOSE(CONTROL!$C$12, $D$4, 100%, $F$4)</f>
        <v>6.1981000000000002</v>
      </c>
      <c r="C289" s="8">
        <f>6.2084 * CHOOSE(CONTROL!$C$12, $D$4, 100%, $F$4)</f>
        <v>6.2084000000000001</v>
      </c>
      <c r="D289" s="8">
        <f>6.2134 * CHOOSE( CONTROL!$C$12, $D$4, 100%, $F$4)</f>
        <v>6.2134</v>
      </c>
      <c r="E289" s="12">
        <f>6.2106 * CHOOSE( CONTROL!$C$12, $D$4, 100%, $F$4)</f>
        <v>6.2106000000000003</v>
      </c>
      <c r="F289" s="4">
        <f>7.2045 * CHOOSE(CONTROL!$C$12, $D$4, 100%, $F$4)</f>
        <v>7.2045000000000003</v>
      </c>
      <c r="G289" s="8">
        <f>6.1083 * CHOOSE( CONTROL!$C$12, $D$4, 100%, $F$4)</f>
        <v>6.1082999999999998</v>
      </c>
      <c r="H289" s="4">
        <f>7.0193 * CHOOSE(CONTROL!$C$12, $D$4, 100%, $F$4)</f>
        <v>7.0193000000000003</v>
      </c>
      <c r="I289" s="8">
        <f>6.0562 * CHOOSE(CONTROL!$C$12, $D$4, 100%, $F$4)</f>
        <v>6.0561999999999996</v>
      </c>
      <c r="J289" s="4">
        <f>6.005 * CHOOSE(CONTROL!$C$12, $D$4, 100%, $F$4)</f>
        <v>6.0049999999999999</v>
      </c>
      <c r="K289" s="4"/>
      <c r="L289" s="9">
        <v>27.988800000000001</v>
      </c>
      <c r="M289" s="9">
        <v>11.6745</v>
      </c>
      <c r="N289" s="9">
        <v>4.7850000000000001</v>
      </c>
      <c r="O289" s="9">
        <v>0.36249999999999999</v>
      </c>
      <c r="P289" s="9">
        <v>1.1798</v>
      </c>
      <c r="Q289" s="9">
        <v>29.406600000000001</v>
      </c>
      <c r="R289" s="9"/>
      <c r="S289" s="11"/>
    </row>
    <row r="290" spans="1:19" ht="15.6">
      <c r="A290" s="13">
        <v>50921</v>
      </c>
      <c r="B290" s="8">
        <f>CHOOSE( CONTROL!$C$29, 6.37, 6.3632) * CHOOSE(CONTROL!$C$12, $D$4, 100%, $F$4)</f>
        <v>6.3632</v>
      </c>
      <c r="C290" s="8">
        <f>CHOOSE( CONTROL!$C$29, 6.3804, 6.3735) * CHOOSE(CONTROL!$C$12, $D$4, 100%, $F$4)</f>
        <v>6.3734999999999999</v>
      </c>
      <c r="D290" s="8">
        <f>CHOOSE( CONTROL!$C$29, 6.3606, 6.3538) * CHOOSE( CONTROL!$C$12, $D$4, 100%, $F$4)</f>
        <v>6.3537999999999997</v>
      </c>
      <c r="E290" s="12">
        <f>CHOOSE( CONTROL!$C$29, 6.3662, 6.3594) * CHOOSE( CONTROL!$C$12, $D$4, 100%, $F$4)</f>
        <v>6.3593999999999999</v>
      </c>
      <c r="F290" s="4">
        <f>CHOOSE( CONTROL!$C$29, 7.3445, 7.3377) * CHOOSE(CONTROL!$C$12, $D$4, 100%, $F$4)</f>
        <v>7.3376999999999999</v>
      </c>
      <c r="G290" s="8">
        <f>CHOOSE( CONTROL!$C$29, 6.2596, 6.2529) * CHOOSE( CONTROL!$C$12, $D$4, 100%, $F$4)</f>
        <v>6.2529000000000003</v>
      </c>
      <c r="H290" s="4">
        <f>CHOOSE( CONTROL!$C$29, 7.1573, 7.1505) * CHOOSE(CONTROL!$C$12, $D$4, 100%, $F$4)</f>
        <v>7.1505000000000001</v>
      </c>
      <c r="I290" s="8">
        <f>CHOOSE( CONTROL!$C$29, 6.2014, 6.1948) * CHOOSE(CONTROL!$C$12, $D$4, 100%, $F$4)</f>
        <v>6.1947999999999999</v>
      </c>
      <c r="J290" s="4">
        <f>CHOOSE( CONTROL!$C$29, 6.1716, 6.165) * CHOOSE(CONTROL!$C$12, $D$4, 100%, $F$4)</f>
        <v>6.165</v>
      </c>
      <c r="K290" s="4"/>
      <c r="L290" s="9">
        <v>29.520499999999998</v>
      </c>
      <c r="M290" s="9">
        <v>12.063700000000001</v>
      </c>
      <c r="N290" s="9">
        <v>4.9444999999999997</v>
      </c>
      <c r="O290" s="9">
        <v>0.37459999999999999</v>
      </c>
      <c r="P290" s="9">
        <v>1.2192000000000001</v>
      </c>
      <c r="Q290" s="9">
        <v>30.386800000000001</v>
      </c>
      <c r="R290" s="9"/>
      <c r="S290" s="11"/>
    </row>
    <row r="291" spans="1:19" ht="15.6">
      <c r="A291" s="13">
        <v>50951</v>
      </c>
      <c r="B291" s="8">
        <f>CHOOSE( CONTROL!$C$29, 6.2678, 6.2609) * CHOOSE(CONTROL!$C$12, $D$4, 100%, $F$4)</f>
        <v>6.2609000000000004</v>
      </c>
      <c r="C291" s="8">
        <f>CHOOSE( CONTROL!$C$29, 6.2781, 6.2712) * CHOOSE(CONTROL!$C$12, $D$4, 100%, $F$4)</f>
        <v>6.2712000000000003</v>
      </c>
      <c r="D291" s="8">
        <f>CHOOSE( CONTROL!$C$29, 6.2528, 6.246) * CHOOSE( CONTROL!$C$12, $D$4, 100%, $F$4)</f>
        <v>6.2460000000000004</v>
      </c>
      <c r="E291" s="12">
        <f>CHOOSE( CONTROL!$C$29, 6.2604, 6.2536) * CHOOSE( CONTROL!$C$12, $D$4, 100%, $F$4)</f>
        <v>6.2535999999999996</v>
      </c>
      <c r="F291" s="4">
        <f>CHOOSE( CONTROL!$C$29, 7.2319, 7.225) * CHOOSE(CONTROL!$C$12, $D$4, 100%, $F$4)</f>
        <v>7.2249999999999996</v>
      </c>
      <c r="G291" s="8">
        <f>CHOOSE( CONTROL!$C$29, 6.1575, 6.1508) * CHOOSE( CONTROL!$C$12, $D$4, 100%, $F$4)</f>
        <v>6.1508000000000003</v>
      </c>
      <c r="H291" s="4">
        <f>CHOOSE( CONTROL!$C$29, 7.0463, 7.0395) * CHOOSE(CONTROL!$C$12, $D$4, 100%, $F$4)</f>
        <v>7.0395000000000003</v>
      </c>
      <c r="I291" s="8">
        <f>CHOOSE( CONTROL!$C$29, 6.1044, 6.0978) * CHOOSE(CONTROL!$C$12, $D$4, 100%, $F$4)</f>
        <v>6.0978000000000003</v>
      </c>
      <c r="J291" s="4">
        <f>CHOOSE( CONTROL!$C$29, 6.0725, 6.0659) * CHOOSE(CONTROL!$C$12, $D$4, 100%, $F$4)</f>
        <v>6.0659000000000001</v>
      </c>
      <c r="K291" s="4"/>
      <c r="L291" s="9">
        <v>28.568200000000001</v>
      </c>
      <c r="M291" s="9">
        <v>11.6745</v>
      </c>
      <c r="N291" s="9">
        <v>4.7850000000000001</v>
      </c>
      <c r="O291" s="9">
        <v>0.36249999999999999</v>
      </c>
      <c r="P291" s="9">
        <v>1.1798</v>
      </c>
      <c r="Q291" s="9">
        <v>29.406600000000001</v>
      </c>
      <c r="R291" s="9"/>
      <c r="S291" s="11"/>
    </row>
    <row r="292" spans="1:19" ht="15.6">
      <c r="A292" s="13">
        <v>50982</v>
      </c>
      <c r="B292" s="8">
        <f>CHOOSE( CONTROL!$C$29, 6.5371, 6.5303) * CHOOSE(CONTROL!$C$12, $D$4, 100%, $F$4)</f>
        <v>6.5303000000000004</v>
      </c>
      <c r="C292" s="8">
        <f>CHOOSE( CONTROL!$C$29, 6.5474, 6.5406) * CHOOSE(CONTROL!$C$12, $D$4, 100%, $F$4)</f>
        <v>6.5406000000000004</v>
      </c>
      <c r="D292" s="8">
        <f>CHOOSE( CONTROL!$C$29, 6.5556, 6.5487) * CHOOSE( CONTROL!$C$12, $D$4, 100%, $F$4)</f>
        <v>6.5487000000000002</v>
      </c>
      <c r="E292" s="12">
        <f>CHOOSE( CONTROL!$C$29, 6.5511, 6.5442) * CHOOSE( CONTROL!$C$12, $D$4, 100%, $F$4)</f>
        <v>6.5442</v>
      </c>
      <c r="F292" s="4">
        <f>CHOOSE( CONTROL!$C$29, 7.5461, 7.5393) * CHOOSE(CONTROL!$C$12, $D$4, 100%, $F$4)</f>
        <v>7.5392999999999999</v>
      </c>
      <c r="G292" s="8">
        <f>CHOOSE( CONTROL!$C$29, 6.4491, 6.4423) * CHOOSE( CONTROL!$C$12, $D$4, 100%, $F$4)</f>
        <v>6.4423000000000004</v>
      </c>
      <c r="H292" s="4">
        <f>CHOOSE( CONTROL!$C$29, 7.356, 7.3493) * CHOOSE(CONTROL!$C$12, $D$4, 100%, $F$4)</f>
        <v>7.3493000000000004</v>
      </c>
      <c r="I292" s="8">
        <f>CHOOSE( CONTROL!$C$29, 6.4208, 6.4142) * CHOOSE(CONTROL!$C$12, $D$4, 100%, $F$4)</f>
        <v>6.4142000000000001</v>
      </c>
      <c r="J292" s="4">
        <f>CHOOSE( CONTROL!$C$29, 6.3335, 6.3269) * CHOOSE(CONTROL!$C$12, $D$4, 100%, $F$4)</f>
        <v>6.3269000000000002</v>
      </c>
      <c r="K292" s="4"/>
      <c r="L292" s="9">
        <v>29.520499999999998</v>
      </c>
      <c r="M292" s="9">
        <v>12.063700000000001</v>
      </c>
      <c r="N292" s="9">
        <v>4.9444999999999997</v>
      </c>
      <c r="O292" s="9">
        <v>0.37459999999999999</v>
      </c>
      <c r="P292" s="9">
        <v>1.2192000000000001</v>
      </c>
      <c r="Q292" s="9">
        <v>30.386800000000001</v>
      </c>
      <c r="R292" s="9"/>
      <c r="S292" s="11"/>
    </row>
    <row r="293" spans="1:19" ht="15.6">
      <c r="A293" s="13">
        <v>51013</v>
      </c>
      <c r="B293" s="8">
        <f>CHOOSE( CONTROL!$C$29, 6.0331, 6.0263) * CHOOSE(CONTROL!$C$12, $D$4, 100%, $F$4)</f>
        <v>6.0263</v>
      </c>
      <c r="C293" s="8">
        <f>CHOOSE( CONTROL!$C$29, 6.0434, 6.0366) * CHOOSE(CONTROL!$C$12, $D$4, 100%, $F$4)</f>
        <v>6.0366</v>
      </c>
      <c r="D293" s="8">
        <f>CHOOSE( CONTROL!$C$29, 6.0449, 6.0381) * CHOOSE( CONTROL!$C$12, $D$4, 100%, $F$4)</f>
        <v>6.0381</v>
      </c>
      <c r="E293" s="12">
        <f>CHOOSE( CONTROL!$C$29, 6.0428, 6.036) * CHOOSE( CONTROL!$C$12, $D$4, 100%, $F$4)</f>
        <v>6.0359999999999996</v>
      </c>
      <c r="F293" s="4">
        <f>CHOOSE( CONTROL!$C$29, 7.0396, 7.0327) * CHOOSE(CONTROL!$C$12, $D$4, 100%, $F$4)</f>
        <v>7.0327000000000002</v>
      </c>
      <c r="G293" s="8">
        <f>CHOOSE( CONTROL!$C$29, 5.9423, 5.9356) * CHOOSE( CONTROL!$C$12, $D$4, 100%, $F$4)</f>
        <v>5.9356</v>
      </c>
      <c r="H293" s="4">
        <f>CHOOSE( CONTROL!$C$29, 6.8567, 6.8499) * CHOOSE(CONTROL!$C$12, $D$4, 100%, $F$4)</f>
        <v>6.8498999999999999</v>
      </c>
      <c r="I293" s="8">
        <f>CHOOSE( CONTROL!$C$29, 5.9133, 5.9067) * CHOOSE(CONTROL!$C$12, $D$4, 100%, $F$4)</f>
        <v>5.9066999999999998</v>
      </c>
      <c r="J293" s="4">
        <f>CHOOSE( CONTROL!$C$29, 5.8451, 5.8385) * CHOOSE(CONTROL!$C$12, $D$4, 100%, $F$4)</f>
        <v>5.8384999999999998</v>
      </c>
      <c r="K293" s="4"/>
      <c r="L293" s="9">
        <v>29.520499999999998</v>
      </c>
      <c r="M293" s="9">
        <v>12.063700000000001</v>
      </c>
      <c r="N293" s="9">
        <v>4.9444999999999997</v>
      </c>
      <c r="O293" s="9">
        <v>0.37459999999999999</v>
      </c>
      <c r="P293" s="9">
        <v>1.2192000000000001</v>
      </c>
      <c r="Q293" s="9">
        <v>30.386800000000001</v>
      </c>
      <c r="R293" s="9"/>
      <c r="S293" s="11"/>
    </row>
    <row r="294" spans="1:19" ht="15.6">
      <c r="A294" s="13">
        <v>51043</v>
      </c>
      <c r="B294" s="8">
        <f>CHOOSE( CONTROL!$C$29, 5.9069, 5.9001) * CHOOSE(CONTROL!$C$12, $D$4, 100%, $F$4)</f>
        <v>5.9001000000000001</v>
      </c>
      <c r="C294" s="8">
        <f>CHOOSE( CONTROL!$C$29, 5.9172, 5.9104) * CHOOSE(CONTROL!$C$12, $D$4, 100%, $F$4)</f>
        <v>5.9104000000000001</v>
      </c>
      <c r="D294" s="8">
        <f>CHOOSE( CONTROL!$C$29, 5.9219, 5.9151) * CHOOSE( CONTROL!$C$12, $D$4, 100%, $F$4)</f>
        <v>5.9150999999999998</v>
      </c>
      <c r="E294" s="12">
        <f>CHOOSE( CONTROL!$C$29, 5.9186, 5.9118) * CHOOSE( CONTROL!$C$12, $D$4, 100%, $F$4)</f>
        <v>5.9118000000000004</v>
      </c>
      <c r="F294" s="4">
        <f>CHOOSE( CONTROL!$C$29, 6.9185, 6.9117) * CHOOSE(CONTROL!$C$12, $D$4, 100%, $F$4)</f>
        <v>6.9116999999999997</v>
      </c>
      <c r="G294" s="8">
        <f>CHOOSE( CONTROL!$C$29, 5.82, 5.8132) * CHOOSE( CONTROL!$C$12, $D$4, 100%, $F$4)</f>
        <v>5.8132000000000001</v>
      </c>
      <c r="H294" s="4">
        <f>CHOOSE( CONTROL!$C$29, 6.7373, 6.7306) * CHOOSE(CONTROL!$C$12, $D$4, 100%, $F$4)</f>
        <v>6.7305999999999999</v>
      </c>
      <c r="I294" s="8">
        <f>CHOOSE( CONTROL!$C$29, 5.7987, 5.7921) * CHOOSE(CONTROL!$C$12, $D$4, 100%, $F$4)</f>
        <v>5.7920999999999996</v>
      </c>
      <c r="J294" s="4">
        <f>CHOOSE( CONTROL!$C$29, 5.7228, 5.7162) * CHOOSE(CONTROL!$C$12, $D$4, 100%, $F$4)</f>
        <v>5.7161999999999997</v>
      </c>
      <c r="K294" s="4"/>
      <c r="L294" s="9">
        <v>28.568200000000001</v>
      </c>
      <c r="M294" s="9">
        <v>11.6745</v>
      </c>
      <c r="N294" s="9">
        <v>4.7850000000000001</v>
      </c>
      <c r="O294" s="9">
        <v>0.36249999999999999</v>
      </c>
      <c r="P294" s="9">
        <v>1.1798</v>
      </c>
      <c r="Q294" s="9">
        <v>29.406600000000001</v>
      </c>
      <c r="R294" s="9"/>
      <c r="S294" s="11"/>
    </row>
    <row r="295" spans="1:19" ht="15.6">
      <c r="A295" s="13">
        <v>51074</v>
      </c>
      <c r="B295" s="8">
        <f>6.1621 * CHOOSE(CONTROL!$C$12, $D$4, 100%, $F$4)</f>
        <v>6.1620999999999997</v>
      </c>
      <c r="C295" s="8">
        <f>6.1724 * CHOOSE(CONTROL!$C$12, $D$4, 100%, $F$4)</f>
        <v>6.1723999999999997</v>
      </c>
      <c r="D295" s="8">
        <f>6.1675 * CHOOSE( CONTROL!$C$12, $D$4, 100%, $F$4)</f>
        <v>6.1675000000000004</v>
      </c>
      <c r="E295" s="12">
        <f>6.168 * CHOOSE( CONTROL!$C$12, $D$4, 100%, $F$4)</f>
        <v>6.1680000000000001</v>
      </c>
      <c r="F295" s="4">
        <f>7.1531 * CHOOSE(CONTROL!$C$12, $D$4, 100%, $F$4)</f>
        <v>7.1531000000000002</v>
      </c>
      <c r="G295" s="8">
        <f>6.0683 * CHOOSE( CONTROL!$C$12, $D$4, 100%, $F$4)</f>
        <v>6.0682999999999998</v>
      </c>
      <c r="H295" s="4">
        <f>6.9686 * CHOOSE(CONTROL!$C$12, $D$4, 100%, $F$4)</f>
        <v>6.9686000000000003</v>
      </c>
      <c r="I295" s="8">
        <f>6.0501 * CHOOSE(CONTROL!$C$12, $D$4, 100%, $F$4)</f>
        <v>6.0500999999999996</v>
      </c>
      <c r="J295" s="4">
        <f>5.9701 * CHOOSE(CONTROL!$C$12, $D$4, 100%, $F$4)</f>
        <v>5.9701000000000004</v>
      </c>
      <c r="K295" s="4"/>
      <c r="L295" s="9">
        <v>28.921800000000001</v>
      </c>
      <c r="M295" s="9">
        <v>12.063700000000001</v>
      </c>
      <c r="N295" s="9">
        <v>4.9444999999999997</v>
      </c>
      <c r="O295" s="9">
        <v>0.37459999999999999</v>
      </c>
      <c r="P295" s="9">
        <v>1.2192000000000001</v>
      </c>
      <c r="Q295" s="9">
        <v>30.386800000000001</v>
      </c>
      <c r="R295" s="9"/>
      <c r="S295" s="11"/>
    </row>
    <row r="296" spans="1:19" ht="15.6">
      <c r="A296" s="13">
        <v>51104</v>
      </c>
      <c r="B296" s="8">
        <f>6.6458 * CHOOSE(CONTROL!$C$12, $D$4, 100%, $F$4)</f>
        <v>6.6458000000000004</v>
      </c>
      <c r="C296" s="8">
        <f>6.6561 * CHOOSE(CONTROL!$C$12, $D$4, 100%, $F$4)</f>
        <v>6.6561000000000003</v>
      </c>
      <c r="D296" s="8">
        <f>6.6155 * CHOOSE( CONTROL!$C$12, $D$4, 100%, $F$4)</f>
        <v>6.6154999999999999</v>
      </c>
      <c r="E296" s="12">
        <f>6.6292 * CHOOSE( CONTROL!$C$12, $D$4, 100%, $F$4)</f>
        <v>6.6292</v>
      </c>
      <c r="F296" s="4">
        <f>7.6229 * CHOOSE(CONTROL!$C$12, $D$4, 100%, $F$4)</f>
        <v>7.6228999999999996</v>
      </c>
      <c r="G296" s="8">
        <f>6.5391 * CHOOSE( CONTROL!$C$12, $D$4, 100%, $F$4)</f>
        <v>6.5391000000000004</v>
      </c>
      <c r="H296" s="4">
        <f>7.4317 * CHOOSE(CONTROL!$C$12, $D$4, 100%, $F$4)</f>
        <v>7.4317000000000002</v>
      </c>
      <c r="I296" s="8">
        <f>6.5033 * CHOOSE(CONTROL!$C$12, $D$4, 100%, $F$4)</f>
        <v>6.5033000000000003</v>
      </c>
      <c r="J296" s="4">
        <f>6.4389 * CHOOSE(CONTROL!$C$12, $D$4, 100%, $F$4)</f>
        <v>6.4389000000000003</v>
      </c>
      <c r="K296" s="4"/>
      <c r="L296" s="9">
        <v>26.515499999999999</v>
      </c>
      <c r="M296" s="9">
        <v>11.6745</v>
      </c>
      <c r="N296" s="9">
        <v>4.7850000000000001</v>
      </c>
      <c r="O296" s="9">
        <v>0.36249999999999999</v>
      </c>
      <c r="P296" s="9">
        <v>1.2522</v>
      </c>
      <c r="Q296" s="9">
        <v>29.406600000000001</v>
      </c>
      <c r="R296" s="9"/>
      <c r="S296" s="11"/>
    </row>
    <row r="297" spans="1:19" ht="15.6">
      <c r="A297" s="13">
        <v>51135</v>
      </c>
      <c r="B297" s="8">
        <f>6.6337 * CHOOSE(CONTROL!$C$12, $D$4, 100%, $F$4)</f>
        <v>6.6337000000000002</v>
      </c>
      <c r="C297" s="8">
        <f>6.6441 * CHOOSE(CONTROL!$C$12, $D$4, 100%, $F$4)</f>
        <v>6.6440999999999999</v>
      </c>
      <c r="D297" s="8">
        <f>6.6053 * CHOOSE( CONTROL!$C$12, $D$4, 100%, $F$4)</f>
        <v>6.6052999999999997</v>
      </c>
      <c r="E297" s="12">
        <f>6.6184 * CHOOSE( CONTROL!$C$12, $D$4, 100%, $F$4)</f>
        <v>6.6184000000000003</v>
      </c>
      <c r="F297" s="4">
        <f>7.6041 * CHOOSE(CONTROL!$C$12, $D$4, 100%, $F$4)</f>
        <v>7.6040999999999999</v>
      </c>
      <c r="G297" s="8">
        <f>6.5295 * CHOOSE( CONTROL!$C$12, $D$4, 100%, $F$4)</f>
        <v>6.5294999999999996</v>
      </c>
      <c r="H297" s="4">
        <f>7.4131 * CHOOSE(CONTROL!$C$12, $D$4, 100%, $F$4)</f>
        <v>7.4131</v>
      </c>
      <c r="I297" s="8">
        <f>6.5023 * CHOOSE(CONTROL!$C$12, $D$4, 100%, $F$4)</f>
        <v>6.5023</v>
      </c>
      <c r="J297" s="4">
        <f>6.4271 * CHOOSE(CONTROL!$C$12, $D$4, 100%, $F$4)</f>
        <v>6.4271000000000003</v>
      </c>
      <c r="K297" s="4"/>
      <c r="L297" s="9">
        <v>27.3993</v>
      </c>
      <c r="M297" s="9">
        <v>12.063700000000001</v>
      </c>
      <c r="N297" s="9">
        <v>4.9444999999999997</v>
      </c>
      <c r="O297" s="9">
        <v>0.37459999999999999</v>
      </c>
      <c r="P297" s="9">
        <v>1.2939000000000001</v>
      </c>
      <c r="Q297" s="9">
        <v>30.386800000000001</v>
      </c>
      <c r="R297" s="9"/>
      <c r="S297" s="11"/>
    </row>
    <row r="298" spans="1:19" ht="15.6">
      <c r="A298" s="13">
        <v>51166</v>
      </c>
      <c r="B298" s="8">
        <f>6.7885 * CHOOSE(CONTROL!$C$12, $D$4, 100%, $F$4)</f>
        <v>6.7885</v>
      </c>
      <c r="C298" s="8">
        <f>6.7988 * CHOOSE(CONTROL!$C$12, $D$4, 100%, $F$4)</f>
        <v>6.7988</v>
      </c>
      <c r="D298" s="8">
        <f>6.7986 * CHOOSE( CONTROL!$C$12, $D$4, 100%, $F$4)</f>
        <v>6.7986000000000004</v>
      </c>
      <c r="E298" s="12">
        <f>6.7976 * CHOOSE( CONTROL!$C$12, $D$4, 100%, $F$4)</f>
        <v>6.7976000000000001</v>
      </c>
      <c r="F298" s="4">
        <f>7.8104 * CHOOSE(CONTROL!$C$12, $D$4, 100%, $F$4)</f>
        <v>7.8103999999999996</v>
      </c>
      <c r="G298" s="8">
        <f>6.7231 * CHOOSE( CONTROL!$C$12, $D$4, 100%, $F$4)</f>
        <v>6.7230999999999996</v>
      </c>
      <c r="H298" s="4">
        <f>7.6166 * CHOOSE(CONTROL!$C$12, $D$4, 100%, $F$4)</f>
        <v>7.6166</v>
      </c>
      <c r="I298" s="8">
        <f>6.689 * CHOOSE(CONTROL!$C$12, $D$4, 100%, $F$4)</f>
        <v>6.6890000000000001</v>
      </c>
      <c r="J298" s="4">
        <f>6.5771 * CHOOSE(CONTROL!$C$12, $D$4, 100%, $F$4)</f>
        <v>6.5770999999999997</v>
      </c>
      <c r="K298" s="4"/>
      <c r="L298" s="9">
        <v>27.3993</v>
      </c>
      <c r="M298" s="9">
        <v>12.063700000000001</v>
      </c>
      <c r="N298" s="9">
        <v>4.9444999999999997</v>
      </c>
      <c r="O298" s="9">
        <v>0.37459999999999999</v>
      </c>
      <c r="P298" s="9">
        <v>1.2939000000000001</v>
      </c>
      <c r="Q298" s="9">
        <v>30.3217</v>
      </c>
      <c r="R298" s="9"/>
      <c r="S298" s="11"/>
    </row>
    <row r="299" spans="1:19" ht="15.6">
      <c r="A299" s="13">
        <v>51194</v>
      </c>
      <c r="B299" s="8">
        <f>6.3497 * CHOOSE(CONTROL!$C$12, $D$4, 100%, $F$4)</f>
        <v>6.3497000000000003</v>
      </c>
      <c r="C299" s="8">
        <f>6.36 * CHOOSE(CONTROL!$C$12, $D$4, 100%, $F$4)</f>
        <v>6.36</v>
      </c>
      <c r="D299" s="8">
        <f>6.3621 * CHOOSE( CONTROL!$C$12, $D$4, 100%, $F$4)</f>
        <v>6.3620999999999999</v>
      </c>
      <c r="E299" s="12">
        <f>6.3602 * CHOOSE( CONTROL!$C$12, $D$4, 100%, $F$4)</f>
        <v>6.3601999999999999</v>
      </c>
      <c r="F299" s="4">
        <f>7.3639 * CHOOSE(CONTROL!$C$12, $D$4, 100%, $F$4)</f>
        <v>7.3639000000000001</v>
      </c>
      <c r="G299" s="8">
        <f>6.2904 * CHOOSE( CONTROL!$C$12, $D$4, 100%, $F$4)</f>
        <v>6.2904</v>
      </c>
      <c r="H299" s="4">
        <f>7.1764 * CHOOSE(CONTROL!$C$12, $D$4, 100%, $F$4)</f>
        <v>7.1764000000000001</v>
      </c>
      <c r="I299" s="8">
        <f>6.2527 * CHOOSE(CONTROL!$C$12, $D$4, 100%, $F$4)</f>
        <v>6.2526999999999999</v>
      </c>
      <c r="J299" s="4">
        <f>6.1519 * CHOOSE(CONTROL!$C$12, $D$4, 100%, $F$4)</f>
        <v>6.1519000000000004</v>
      </c>
      <c r="K299" s="4"/>
      <c r="L299" s="9">
        <v>25.631599999999999</v>
      </c>
      <c r="M299" s="9">
        <v>11.285299999999999</v>
      </c>
      <c r="N299" s="9">
        <v>4.6254999999999997</v>
      </c>
      <c r="O299" s="9">
        <v>0.35039999999999999</v>
      </c>
      <c r="P299" s="9">
        <v>1.2104999999999999</v>
      </c>
      <c r="Q299" s="9">
        <v>28.365500000000001</v>
      </c>
      <c r="R299" s="9"/>
      <c r="S299" s="11"/>
    </row>
    <row r="300" spans="1:19" ht="15.6">
      <c r="A300" s="13">
        <v>51226</v>
      </c>
      <c r="B300" s="8">
        <f>6.2146 * CHOOSE(CONTROL!$C$12, $D$4, 100%, $F$4)</f>
        <v>6.2145999999999999</v>
      </c>
      <c r="C300" s="8">
        <f>6.2249 * CHOOSE(CONTROL!$C$12, $D$4, 100%, $F$4)</f>
        <v>6.2248999999999999</v>
      </c>
      <c r="D300" s="8">
        <f>6.2071 * CHOOSE( CONTROL!$C$12, $D$4, 100%, $F$4)</f>
        <v>6.2070999999999996</v>
      </c>
      <c r="E300" s="12">
        <f>6.2125 * CHOOSE( CONTROL!$C$12, $D$4, 100%, $F$4)</f>
        <v>6.2125000000000004</v>
      </c>
      <c r="F300" s="4">
        <f>7.2128 * CHOOSE(CONTROL!$C$12, $D$4, 100%, $F$4)</f>
        <v>7.2127999999999997</v>
      </c>
      <c r="G300" s="8">
        <f>6.1367 * CHOOSE( CONTROL!$C$12, $D$4, 100%, $F$4)</f>
        <v>6.1367000000000003</v>
      </c>
      <c r="H300" s="4">
        <f>7.0274 * CHOOSE(CONTROL!$C$12, $D$4, 100%, $F$4)</f>
        <v>7.0274000000000001</v>
      </c>
      <c r="I300" s="8">
        <f>6.0821 * CHOOSE(CONTROL!$C$12, $D$4, 100%, $F$4)</f>
        <v>6.0820999999999996</v>
      </c>
      <c r="J300" s="4">
        <f>6.021 * CHOOSE(CONTROL!$C$12, $D$4, 100%, $F$4)</f>
        <v>6.0209999999999999</v>
      </c>
      <c r="K300" s="4"/>
      <c r="L300" s="9">
        <v>27.3993</v>
      </c>
      <c r="M300" s="9">
        <v>12.063700000000001</v>
      </c>
      <c r="N300" s="9">
        <v>4.9444999999999997</v>
      </c>
      <c r="O300" s="9">
        <v>0.37459999999999999</v>
      </c>
      <c r="P300" s="9">
        <v>1.2939000000000001</v>
      </c>
      <c r="Q300" s="9">
        <v>30.3217</v>
      </c>
      <c r="R300" s="9"/>
      <c r="S300" s="11"/>
    </row>
    <row r="301" spans="1:19" ht="15.6">
      <c r="A301" s="13">
        <v>51256</v>
      </c>
      <c r="B301" s="8">
        <f>6.309 * CHOOSE(CONTROL!$C$12, $D$4, 100%, $F$4)</f>
        <v>6.3090000000000002</v>
      </c>
      <c r="C301" s="8">
        <f>6.3193 * CHOOSE(CONTROL!$C$12, $D$4, 100%, $F$4)</f>
        <v>6.3193000000000001</v>
      </c>
      <c r="D301" s="8">
        <f>6.3244 * CHOOSE( CONTROL!$C$12, $D$4, 100%, $F$4)</f>
        <v>6.3243999999999998</v>
      </c>
      <c r="E301" s="12">
        <f>6.3215 * CHOOSE( CONTROL!$C$12, $D$4, 100%, $F$4)</f>
        <v>6.3215000000000003</v>
      </c>
      <c r="F301" s="4">
        <f>7.3155 * CHOOSE(CONTROL!$C$12, $D$4, 100%, $F$4)</f>
        <v>7.3155000000000001</v>
      </c>
      <c r="G301" s="8">
        <f>6.2177 * CHOOSE( CONTROL!$C$12, $D$4, 100%, $F$4)</f>
        <v>6.2176999999999998</v>
      </c>
      <c r="H301" s="4">
        <f>7.1286 * CHOOSE(CONTROL!$C$12, $D$4, 100%, $F$4)</f>
        <v>7.1285999999999996</v>
      </c>
      <c r="I301" s="8">
        <f>6.1638 * CHOOSE(CONTROL!$C$12, $D$4, 100%, $F$4)</f>
        <v>6.1638000000000002</v>
      </c>
      <c r="J301" s="4">
        <f>6.1125 * CHOOSE(CONTROL!$C$12, $D$4, 100%, $F$4)</f>
        <v>6.1124999999999998</v>
      </c>
      <c r="K301" s="4"/>
      <c r="L301" s="9">
        <v>27.988800000000001</v>
      </c>
      <c r="M301" s="9">
        <v>11.6745</v>
      </c>
      <c r="N301" s="9">
        <v>4.7850000000000001</v>
      </c>
      <c r="O301" s="9">
        <v>0.36249999999999999</v>
      </c>
      <c r="P301" s="9">
        <v>1.1798</v>
      </c>
      <c r="Q301" s="9">
        <v>29.343599999999999</v>
      </c>
      <c r="R301" s="9"/>
      <c r="S301" s="11"/>
    </row>
    <row r="302" spans="1:19" ht="15.6">
      <c r="A302" s="13">
        <v>51287</v>
      </c>
      <c r="B302" s="8">
        <f>CHOOSE( CONTROL!$C$29, 6.4839, 6.4771) * CHOOSE(CONTROL!$C$12, $D$4, 100%, $F$4)</f>
        <v>6.4771000000000001</v>
      </c>
      <c r="C302" s="8">
        <f>CHOOSE( CONTROL!$C$29, 6.4943, 6.4874) * CHOOSE(CONTROL!$C$12, $D$4, 100%, $F$4)</f>
        <v>6.4874000000000001</v>
      </c>
      <c r="D302" s="8">
        <f>CHOOSE( CONTROL!$C$29, 6.4745, 6.4677) * CHOOSE( CONTROL!$C$12, $D$4, 100%, $F$4)</f>
        <v>6.4676999999999998</v>
      </c>
      <c r="E302" s="12">
        <f>CHOOSE( CONTROL!$C$29, 6.4801, 6.4733) * CHOOSE( CONTROL!$C$12, $D$4, 100%, $F$4)</f>
        <v>6.4733000000000001</v>
      </c>
      <c r="F302" s="4">
        <f>CHOOSE( CONTROL!$C$29, 7.4584, 7.4515) * CHOOSE(CONTROL!$C$12, $D$4, 100%, $F$4)</f>
        <v>7.4515000000000002</v>
      </c>
      <c r="G302" s="8">
        <f>CHOOSE( CONTROL!$C$29, 6.3719, 6.3651) * CHOOSE( CONTROL!$C$12, $D$4, 100%, $F$4)</f>
        <v>6.3651</v>
      </c>
      <c r="H302" s="4">
        <f>CHOOSE( CONTROL!$C$29, 7.2695, 7.2628) * CHOOSE(CONTROL!$C$12, $D$4, 100%, $F$4)</f>
        <v>7.2628000000000004</v>
      </c>
      <c r="I302" s="8">
        <f>CHOOSE( CONTROL!$C$29, 6.3118, 6.3052) * CHOOSE(CONTROL!$C$12, $D$4, 100%, $F$4)</f>
        <v>6.3052000000000001</v>
      </c>
      <c r="J302" s="4">
        <f>CHOOSE( CONTROL!$C$29, 6.282, 6.2754) * CHOOSE(CONTROL!$C$12, $D$4, 100%, $F$4)</f>
        <v>6.2754000000000003</v>
      </c>
      <c r="K302" s="4"/>
      <c r="L302" s="9">
        <v>29.520499999999998</v>
      </c>
      <c r="M302" s="9">
        <v>12.063700000000001</v>
      </c>
      <c r="N302" s="9">
        <v>4.9444999999999997</v>
      </c>
      <c r="O302" s="9">
        <v>0.37459999999999999</v>
      </c>
      <c r="P302" s="9">
        <v>1.2192000000000001</v>
      </c>
      <c r="Q302" s="9">
        <v>30.3217</v>
      </c>
      <c r="R302" s="9"/>
      <c r="S302" s="11"/>
    </row>
    <row r="303" spans="1:19" ht="15.6">
      <c r="A303" s="13">
        <v>51317</v>
      </c>
      <c r="B303" s="8">
        <f>CHOOSE( CONTROL!$C$29, 6.3798, 6.373) * CHOOSE(CONTROL!$C$12, $D$4, 100%, $F$4)</f>
        <v>6.3730000000000002</v>
      </c>
      <c r="C303" s="8">
        <f>CHOOSE( CONTROL!$C$29, 6.3901, 6.3833) * CHOOSE(CONTROL!$C$12, $D$4, 100%, $F$4)</f>
        <v>6.3833000000000002</v>
      </c>
      <c r="D303" s="8">
        <f>CHOOSE( CONTROL!$C$29, 6.3649, 6.358) * CHOOSE( CONTROL!$C$12, $D$4, 100%, $F$4)</f>
        <v>6.3579999999999997</v>
      </c>
      <c r="E303" s="12">
        <f>CHOOSE( CONTROL!$C$29, 6.3725, 6.3656) * CHOOSE( CONTROL!$C$12, $D$4, 100%, $F$4)</f>
        <v>6.3655999999999997</v>
      </c>
      <c r="F303" s="4">
        <f>CHOOSE( CONTROL!$C$29, 7.3439, 7.3371) * CHOOSE(CONTROL!$C$12, $D$4, 100%, $F$4)</f>
        <v>7.3371000000000004</v>
      </c>
      <c r="G303" s="8">
        <f>CHOOSE( CONTROL!$C$29, 6.268, 6.2612) * CHOOSE( CONTROL!$C$12, $D$4, 100%, $F$4)</f>
        <v>6.2611999999999997</v>
      </c>
      <c r="H303" s="4">
        <f>CHOOSE( CONTROL!$C$29, 7.1567, 7.15) * CHOOSE(CONTROL!$C$12, $D$4, 100%, $F$4)</f>
        <v>7.15</v>
      </c>
      <c r="I303" s="8">
        <f>CHOOSE( CONTROL!$C$29, 6.213, 6.2064) * CHOOSE(CONTROL!$C$12, $D$4, 100%, $F$4)</f>
        <v>6.2064000000000004</v>
      </c>
      <c r="J303" s="4">
        <f>CHOOSE( CONTROL!$C$29, 6.1811, 6.1745) * CHOOSE(CONTROL!$C$12, $D$4, 100%, $F$4)</f>
        <v>6.1745000000000001</v>
      </c>
      <c r="K303" s="4"/>
      <c r="L303" s="9">
        <v>28.568200000000001</v>
      </c>
      <c r="M303" s="9">
        <v>11.6745</v>
      </c>
      <c r="N303" s="9">
        <v>4.7850000000000001</v>
      </c>
      <c r="O303" s="9">
        <v>0.36249999999999999</v>
      </c>
      <c r="P303" s="9">
        <v>1.1798</v>
      </c>
      <c r="Q303" s="9">
        <v>29.343599999999999</v>
      </c>
      <c r="R303" s="9"/>
      <c r="S303" s="11"/>
    </row>
    <row r="304" spans="1:19" ht="15.6">
      <c r="A304" s="13">
        <v>51348</v>
      </c>
      <c r="B304" s="8">
        <f>CHOOSE( CONTROL!$C$29, 6.654, 6.6472) * CHOOSE(CONTROL!$C$12, $D$4, 100%, $F$4)</f>
        <v>6.6471999999999998</v>
      </c>
      <c r="C304" s="8">
        <f>CHOOSE( CONTROL!$C$29, 6.6643, 6.6575) * CHOOSE(CONTROL!$C$12, $D$4, 100%, $F$4)</f>
        <v>6.6574999999999998</v>
      </c>
      <c r="D304" s="8">
        <f>CHOOSE( CONTROL!$C$29, 6.6725, 6.6656) * CHOOSE( CONTROL!$C$12, $D$4, 100%, $F$4)</f>
        <v>6.6656000000000004</v>
      </c>
      <c r="E304" s="12">
        <f>CHOOSE( CONTROL!$C$29, 6.668, 6.6611) * CHOOSE( CONTROL!$C$12, $D$4, 100%, $F$4)</f>
        <v>6.6611000000000002</v>
      </c>
      <c r="F304" s="4">
        <f>CHOOSE( CONTROL!$C$29, 7.663, 7.6562) * CHOOSE(CONTROL!$C$12, $D$4, 100%, $F$4)</f>
        <v>7.6562000000000001</v>
      </c>
      <c r="G304" s="8">
        <f>CHOOSE( CONTROL!$C$29, 6.5643, 6.5576) * CHOOSE( CONTROL!$C$12, $D$4, 100%, $F$4)</f>
        <v>6.5575999999999999</v>
      </c>
      <c r="H304" s="4">
        <f>CHOOSE( CONTROL!$C$29, 7.4712, 7.4645) * CHOOSE(CONTROL!$C$12, $D$4, 100%, $F$4)</f>
        <v>7.4645000000000001</v>
      </c>
      <c r="I304" s="8">
        <f>CHOOSE( CONTROL!$C$29, 6.5342, 6.5275) * CHOOSE(CONTROL!$C$12, $D$4, 100%, $F$4)</f>
        <v>6.5274999999999999</v>
      </c>
      <c r="J304" s="4">
        <f>CHOOSE( CONTROL!$C$29, 6.4468, 6.4401) * CHOOSE(CONTROL!$C$12, $D$4, 100%, $F$4)</f>
        <v>6.4401000000000002</v>
      </c>
      <c r="K304" s="4"/>
      <c r="L304" s="9">
        <v>29.520499999999998</v>
      </c>
      <c r="M304" s="9">
        <v>12.063700000000001</v>
      </c>
      <c r="N304" s="9">
        <v>4.9444999999999997</v>
      </c>
      <c r="O304" s="9">
        <v>0.37459999999999999</v>
      </c>
      <c r="P304" s="9">
        <v>1.2192000000000001</v>
      </c>
      <c r="Q304" s="9">
        <v>30.3217</v>
      </c>
      <c r="R304" s="9"/>
      <c r="S304" s="11"/>
    </row>
    <row r="305" spans="1:19" ht="15.6">
      <c r="A305" s="13">
        <v>51379</v>
      </c>
      <c r="B305" s="8">
        <f>CHOOSE( CONTROL!$C$29, 6.141, 6.1341) * CHOOSE(CONTROL!$C$12, $D$4, 100%, $F$4)</f>
        <v>6.1341000000000001</v>
      </c>
      <c r="C305" s="8">
        <f>CHOOSE( CONTROL!$C$29, 6.1513, 6.1444) * CHOOSE(CONTROL!$C$12, $D$4, 100%, $F$4)</f>
        <v>6.1444000000000001</v>
      </c>
      <c r="D305" s="8">
        <f>CHOOSE( CONTROL!$C$29, 6.1528, 6.1459) * CHOOSE( CONTROL!$C$12, $D$4, 100%, $F$4)</f>
        <v>6.1459000000000001</v>
      </c>
      <c r="E305" s="12">
        <f>CHOOSE( CONTROL!$C$29, 6.1507, 6.1438) * CHOOSE( CONTROL!$C$12, $D$4, 100%, $F$4)</f>
        <v>6.1437999999999997</v>
      </c>
      <c r="F305" s="4">
        <f>CHOOSE( CONTROL!$C$29, 7.1474, 7.1406) * CHOOSE(CONTROL!$C$12, $D$4, 100%, $F$4)</f>
        <v>7.1406000000000001</v>
      </c>
      <c r="G305" s="8">
        <f>CHOOSE( CONTROL!$C$29, 6.0486, 6.0419) * CHOOSE( CONTROL!$C$12, $D$4, 100%, $F$4)</f>
        <v>6.0419</v>
      </c>
      <c r="H305" s="4">
        <f>CHOOSE( CONTROL!$C$29, 6.963, 6.9562) * CHOOSE(CONTROL!$C$12, $D$4, 100%, $F$4)</f>
        <v>6.9561999999999999</v>
      </c>
      <c r="I305" s="8">
        <f>CHOOSE( CONTROL!$C$29, 6.0179, 6.0112) * CHOOSE(CONTROL!$C$12, $D$4, 100%, $F$4)</f>
        <v>6.0111999999999997</v>
      </c>
      <c r="J305" s="4">
        <f>CHOOSE( CONTROL!$C$29, 5.9496, 5.943) * CHOOSE(CONTROL!$C$12, $D$4, 100%, $F$4)</f>
        <v>5.9429999999999996</v>
      </c>
      <c r="K305" s="4"/>
      <c r="L305" s="9">
        <v>29.520499999999998</v>
      </c>
      <c r="M305" s="9">
        <v>12.063700000000001</v>
      </c>
      <c r="N305" s="9">
        <v>4.9444999999999997</v>
      </c>
      <c r="O305" s="9">
        <v>0.37459999999999999</v>
      </c>
      <c r="P305" s="9">
        <v>1.2192000000000001</v>
      </c>
      <c r="Q305" s="9">
        <v>30.3217</v>
      </c>
      <c r="R305" s="9"/>
      <c r="S305" s="11"/>
    </row>
    <row r="306" spans="1:19" ht="15.6">
      <c r="A306" s="13">
        <v>51409</v>
      </c>
      <c r="B306" s="8">
        <f>CHOOSE( CONTROL!$C$29, 6.0125, 6.0057) * CHOOSE(CONTROL!$C$12, $D$4, 100%, $F$4)</f>
        <v>6.0057</v>
      </c>
      <c r="C306" s="8">
        <f>CHOOSE( CONTROL!$C$29, 6.0228, 6.016) * CHOOSE(CONTROL!$C$12, $D$4, 100%, $F$4)</f>
        <v>6.016</v>
      </c>
      <c r="D306" s="8">
        <f>CHOOSE( CONTROL!$C$29, 6.0275, 6.0207) * CHOOSE( CONTROL!$C$12, $D$4, 100%, $F$4)</f>
        <v>6.0206999999999997</v>
      </c>
      <c r="E306" s="12">
        <f>CHOOSE( CONTROL!$C$29, 6.0242, 6.0174) * CHOOSE( CONTROL!$C$12, $D$4, 100%, $F$4)</f>
        <v>6.0174000000000003</v>
      </c>
      <c r="F306" s="4">
        <f>CHOOSE( CONTROL!$C$29, 7.0241, 7.0173) * CHOOSE(CONTROL!$C$12, $D$4, 100%, $F$4)</f>
        <v>7.0172999999999996</v>
      </c>
      <c r="G306" s="8">
        <f>CHOOSE( CONTROL!$C$29, 5.9241, 5.9173) * CHOOSE( CONTROL!$C$12, $D$4, 100%, $F$4)</f>
        <v>5.9173</v>
      </c>
      <c r="H306" s="4">
        <f>CHOOSE( CONTROL!$C$29, 6.8414, 6.8347) * CHOOSE(CONTROL!$C$12, $D$4, 100%, $F$4)</f>
        <v>6.8346999999999998</v>
      </c>
      <c r="I306" s="8">
        <f>CHOOSE( CONTROL!$C$29, 5.9011, 5.8945) * CHOOSE(CONTROL!$C$12, $D$4, 100%, $F$4)</f>
        <v>5.8944999999999999</v>
      </c>
      <c r="J306" s="4">
        <f>CHOOSE( CONTROL!$C$29, 5.8252, 5.8185) * CHOOSE(CONTROL!$C$12, $D$4, 100%, $F$4)</f>
        <v>5.8185000000000002</v>
      </c>
      <c r="K306" s="4"/>
      <c r="L306" s="9">
        <v>28.568200000000001</v>
      </c>
      <c r="M306" s="9">
        <v>11.6745</v>
      </c>
      <c r="N306" s="9">
        <v>4.7850000000000001</v>
      </c>
      <c r="O306" s="9">
        <v>0.36249999999999999</v>
      </c>
      <c r="P306" s="9">
        <v>1.1798</v>
      </c>
      <c r="Q306" s="9">
        <v>29.343599999999999</v>
      </c>
      <c r="R306" s="9"/>
      <c r="S306" s="11"/>
    </row>
    <row r="307" spans="1:19" ht="15.6">
      <c r="A307" s="13">
        <v>51440</v>
      </c>
      <c r="B307" s="8">
        <f>6.2724 * CHOOSE(CONTROL!$C$12, $D$4, 100%, $F$4)</f>
        <v>6.2724000000000002</v>
      </c>
      <c r="C307" s="8">
        <f>6.2827 * CHOOSE(CONTROL!$C$12, $D$4, 100%, $F$4)</f>
        <v>6.2827000000000002</v>
      </c>
      <c r="D307" s="8">
        <f>6.2778 * CHOOSE( CONTROL!$C$12, $D$4, 100%, $F$4)</f>
        <v>6.2778</v>
      </c>
      <c r="E307" s="12">
        <f>6.2783 * CHOOSE( CONTROL!$C$12, $D$4, 100%, $F$4)</f>
        <v>6.2782999999999998</v>
      </c>
      <c r="F307" s="4">
        <f>7.2634 * CHOOSE(CONTROL!$C$12, $D$4, 100%, $F$4)</f>
        <v>7.2633999999999999</v>
      </c>
      <c r="G307" s="8">
        <f>6.1771 * CHOOSE( CONTROL!$C$12, $D$4, 100%, $F$4)</f>
        <v>6.1771000000000003</v>
      </c>
      <c r="H307" s="4">
        <f>7.0773 * CHOOSE(CONTROL!$C$12, $D$4, 100%, $F$4)</f>
        <v>7.0773000000000001</v>
      </c>
      <c r="I307" s="8">
        <f>6.157 * CHOOSE(CONTROL!$C$12, $D$4, 100%, $F$4)</f>
        <v>6.157</v>
      </c>
      <c r="J307" s="4">
        <f>6.077 * CHOOSE(CONTROL!$C$12, $D$4, 100%, $F$4)</f>
        <v>6.077</v>
      </c>
      <c r="K307" s="4"/>
      <c r="L307" s="9">
        <v>28.921800000000001</v>
      </c>
      <c r="M307" s="9">
        <v>12.063700000000001</v>
      </c>
      <c r="N307" s="9">
        <v>4.9444999999999997</v>
      </c>
      <c r="O307" s="9">
        <v>0.37459999999999999</v>
      </c>
      <c r="P307" s="9">
        <v>1.2192000000000001</v>
      </c>
      <c r="Q307" s="9">
        <v>30.3217</v>
      </c>
      <c r="R307" s="9"/>
      <c r="S307" s="11"/>
    </row>
    <row r="308" spans="1:19" ht="15.6">
      <c r="A308" s="13">
        <v>51470</v>
      </c>
      <c r="B308" s="8">
        <f>6.7648 * CHOOSE(CONTROL!$C$12, $D$4, 100%, $F$4)</f>
        <v>6.7648000000000001</v>
      </c>
      <c r="C308" s="8">
        <f>6.7751 * CHOOSE(CONTROL!$C$12, $D$4, 100%, $F$4)</f>
        <v>6.7751000000000001</v>
      </c>
      <c r="D308" s="8">
        <f>6.7344 * CHOOSE( CONTROL!$C$12, $D$4, 100%, $F$4)</f>
        <v>6.7343999999999999</v>
      </c>
      <c r="E308" s="12">
        <f>6.7482 * CHOOSE( CONTROL!$C$12, $D$4, 100%, $F$4)</f>
        <v>6.7481999999999998</v>
      </c>
      <c r="F308" s="4">
        <f>7.7418 * CHOOSE(CONTROL!$C$12, $D$4, 100%, $F$4)</f>
        <v>7.7417999999999996</v>
      </c>
      <c r="G308" s="8">
        <f>6.6563 * CHOOSE( CONTROL!$C$12, $D$4, 100%, $F$4)</f>
        <v>6.6562999999999999</v>
      </c>
      <c r="H308" s="4">
        <f>7.5489 * CHOOSE(CONTROL!$C$12, $D$4, 100%, $F$4)</f>
        <v>7.5488999999999997</v>
      </c>
      <c r="I308" s="8">
        <f>6.6186 * CHOOSE(CONTROL!$C$12, $D$4, 100%, $F$4)</f>
        <v>6.6185999999999998</v>
      </c>
      <c r="J308" s="4">
        <f>6.5541 * CHOOSE(CONTROL!$C$12, $D$4, 100%, $F$4)</f>
        <v>6.5541</v>
      </c>
      <c r="K308" s="4"/>
      <c r="L308" s="9">
        <v>26.515499999999999</v>
      </c>
      <c r="M308" s="9">
        <v>11.6745</v>
      </c>
      <c r="N308" s="9">
        <v>4.7850000000000001</v>
      </c>
      <c r="O308" s="9">
        <v>0.36249999999999999</v>
      </c>
      <c r="P308" s="9">
        <v>1.2522</v>
      </c>
      <c r="Q308" s="9">
        <v>29.343599999999999</v>
      </c>
      <c r="R308" s="9"/>
      <c r="S308" s="11"/>
    </row>
    <row r="309" spans="1:19" ht="15.6">
      <c r="A309" s="13">
        <v>51501</v>
      </c>
      <c r="B309" s="8">
        <f>6.7525 * CHOOSE(CONTROL!$C$12, $D$4, 100%, $F$4)</f>
        <v>6.7525000000000004</v>
      </c>
      <c r="C309" s="8">
        <f>6.7628 * CHOOSE(CONTROL!$C$12, $D$4, 100%, $F$4)</f>
        <v>6.7628000000000004</v>
      </c>
      <c r="D309" s="8">
        <f>6.724 * CHOOSE( CONTROL!$C$12, $D$4, 100%, $F$4)</f>
        <v>6.7240000000000002</v>
      </c>
      <c r="E309" s="12">
        <f>6.7371 * CHOOSE( CONTROL!$C$12, $D$4, 100%, $F$4)</f>
        <v>6.7370999999999999</v>
      </c>
      <c r="F309" s="4">
        <f>7.7228 * CHOOSE(CONTROL!$C$12, $D$4, 100%, $F$4)</f>
        <v>7.7228000000000003</v>
      </c>
      <c r="G309" s="8">
        <f>6.6466 * CHOOSE( CONTROL!$C$12, $D$4, 100%, $F$4)</f>
        <v>6.6466000000000003</v>
      </c>
      <c r="H309" s="4">
        <f>7.5302 * CHOOSE(CONTROL!$C$12, $D$4, 100%, $F$4)</f>
        <v>7.5301999999999998</v>
      </c>
      <c r="I309" s="8">
        <f>6.6174 * CHOOSE(CONTROL!$C$12, $D$4, 100%, $F$4)</f>
        <v>6.6173999999999999</v>
      </c>
      <c r="J309" s="4">
        <f>6.5422 * CHOOSE(CONTROL!$C$12, $D$4, 100%, $F$4)</f>
        <v>6.5422000000000002</v>
      </c>
      <c r="K309" s="4"/>
      <c r="L309" s="9">
        <v>27.3993</v>
      </c>
      <c r="M309" s="9">
        <v>12.063700000000001</v>
      </c>
      <c r="N309" s="9">
        <v>4.9444999999999997</v>
      </c>
      <c r="O309" s="9">
        <v>0.37459999999999999</v>
      </c>
      <c r="P309" s="9">
        <v>1.2939000000000001</v>
      </c>
      <c r="Q309" s="9">
        <v>30.3217</v>
      </c>
      <c r="R309" s="9"/>
      <c r="S309" s="11"/>
    </row>
    <row r="310" spans="1:19" ht="15.6">
      <c r="A310" s="13">
        <v>51532</v>
      </c>
      <c r="B310" s="8">
        <f>6.91 * CHOOSE(CONTROL!$C$12, $D$4, 100%, $F$4)</f>
        <v>6.91</v>
      </c>
      <c r="C310" s="8">
        <f>6.9203 * CHOOSE(CONTROL!$C$12, $D$4, 100%, $F$4)</f>
        <v>6.9203000000000001</v>
      </c>
      <c r="D310" s="8">
        <f>6.9201 * CHOOSE( CONTROL!$C$12, $D$4, 100%, $F$4)</f>
        <v>6.9200999999999997</v>
      </c>
      <c r="E310" s="12">
        <f>6.9191 * CHOOSE( CONTROL!$C$12, $D$4, 100%, $F$4)</f>
        <v>6.9191000000000003</v>
      </c>
      <c r="F310" s="4">
        <f>7.9319 * CHOOSE(CONTROL!$C$12, $D$4, 100%, $F$4)</f>
        <v>7.9318999999999997</v>
      </c>
      <c r="G310" s="8">
        <f>6.8429 * CHOOSE( CONTROL!$C$12, $D$4, 100%, $F$4)</f>
        <v>6.8429000000000002</v>
      </c>
      <c r="H310" s="4">
        <f>7.7363 * CHOOSE(CONTROL!$C$12, $D$4, 100%, $F$4)</f>
        <v>7.7363</v>
      </c>
      <c r="I310" s="8">
        <f>6.8068 * CHOOSE(CONTROL!$C$12, $D$4, 100%, $F$4)</f>
        <v>6.8068</v>
      </c>
      <c r="J310" s="4">
        <f>6.6949 * CHOOSE(CONTROL!$C$12, $D$4, 100%, $F$4)</f>
        <v>6.6948999999999996</v>
      </c>
      <c r="K310" s="4"/>
      <c r="L310" s="9">
        <v>27.3993</v>
      </c>
      <c r="M310" s="9">
        <v>12.063700000000001</v>
      </c>
      <c r="N310" s="9">
        <v>4.9444999999999997</v>
      </c>
      <c r="O310" s="9">
        <v>0.37459999999999999</v>
      </c>
      <c r="P310" s="9">
        <v>1.2939000000000001</v>
      </c>
      <c r="Q310" s="9">
        <v>30.258500000000002</v>
      </c>
      <c r="R310" s="9"/>
      <c r="S310" s="11"/>
    </row>
    <row r="311" spans="1:19" ht="15.6">
      <c r="A311" s="13">
        <v>51560</v>
      </c>
      <c r="B311" s="8">
        <f>6.4634 * CHOOSE(CONTROL!$C$12, $D$4, 100%, $F$4)</f>
        <v>6.4634</v>
      </c>
      <c r="C311" s="8">
        <f>6.4737 * CHOOSE(CONTROL!$C$12, $D$4, 100%, $F$4)</f>
        <v>6.4737</v>
      </c>
      <c r="D311" s="8">
        <f>6.4758 * CHOOSE( CONTROL!$C$12, $D$4, 100%, $F$4)</f>
        <v>6.4757999999999996</v>
      </c>
      <c r="E311" s="12">
        <f>6.4739 * CHOOSE( CONTROL!$C$12, $D$4, 100%, $F$4)</f>
        <v>6.4739000000000004</v>
      </c>
      <c r="F311" s="4">
        <f>7.4775 * CHOOSE(CONTROL!$C$12, $D$4, 100%, $F$4)</f>
        <v>7.4775</v>
      </c>
      <c r="G311" s="8">
        <f>6.4024 * CHOOSE( CONTROL!$C$12, $D$4, 100%, $F$4)</f>
        <v>6.4024000000000001</v>
      </c>
      <c r="H311" s="4">
        <f>7.2884 * CHOOSE(CONTROL!$C$12, $D$4, 100%, $F$4)</f>
        <v>7.2884000000000002</v>
      </c>
      <c r="I311" s="8">
        <f>6.3628 * CHOOSE(CONTROL!$C$12, $D$4, 100%, $F$4)</f>
        <v>6.3628</v>
      </c>
      <c r="J311" s="4">
        <f>6.2621 * CHOOSE(CONTROL!$C$12, $D$4, 100%, $F$4)</f>
        <v>6.2621000000000002</v>
      </c>
      <c r="K311" s="4"/>
      <c r="L311" s="9">
        <v>24.747800000000002</v>
      </c>
      <c r="M311" s="9">
        <v>10.8962</v>
      </c>
      <c r="N311" s="9">
        <v>4.4660000000000002</v>
      </c>
      <c r="O311" s="9">
        <v>0.33829999999999999</v>
      </c>
      <c r="P311" s="9">
        <v>1.1687000000000001</v>
      </c>
      <c r="Q311" s="9">
        <v>27.330200000000001</v>
      </c>
      <c r="R311" s="9"/>
      <c r="S311" s="11"/>
    </row>
    <row r="312" spans="1:19" ht="15.6">
      <c r="A312" s="13">
        <v>51591</v>
      </c>
      <c r="B312" s="8">
        <f>6.3258 * CHOOSE(CONTROL!$C$12, $D$4, 100%, $F$4)</f>
        <v>6.3258000000000001</v>
      </c>
      <c r="C312" s="8">
        <f>6.3361 * CHOOSE(CONTROL!$C$12, $D$4, 100%, $F$4)</f>
        <v>6.3361000000000001</v>
      </c>
      <c r="D312" s="8">
        <f>6.3183 * CHOOSE( CONTROL!$C$12, $D$4, 100%, $F$4)</f>
        <v>6.3182999999999998</v>
      </c>
      <c r="E312" s="12">
        <f>6.3237 * CHOOSE( CONTROL!$C$12, $D$4, 100%, $F$4)</f>
        <v>6.3236999999999997</v>
      </c>
      <c r="F312" s="4">
        <f>7.324 * CHOOSE(CONTROL!$C$12, $D$4, 100%, $F$4)</f>
        <v>7.3239999999999998</v>
      </c>
      <c r="G312" s="8">
        <f>6.2463 * CHOOSE( CONTROL!$C$12, $D$4, 100%, $F$4)</f>
        <v>6.2462999999999997</v>
      </c>
      <c r="H312" s="4">
        <f>7.137 * CHOOSE(CONTROL!$C$12, $D$4, 100%, $F$4)</f>
        <v>7.1369999999999996</v>
      </c>
      <c r="I312" s="8">
        <f>6.19 * CHOOSE(CONTROL!$C$12, $D$4, 100%, $F$4)</f>
        <v>6.19</v>
      </c>
      <c r="J312" s="4">
        <f>6.1287 * CHOOSE(CONTROL!$C$12, $D$4, 100%, $F$4)</f>
        <v>6.1287000000000003</v>
      </c>
      <c r="K312" s="4"/>
      <c r="L312" s="9">
        <v>27.3993</v>
      </c>
      <c r="M312" s="9">
        <v>12.063700000000001</v>
      </c>
      <c r="N312" s="9">
        <v>4.9444999999999997</v>
      </c>
      <c r="O312" s="9">
        <v>0.37459999999999999</v>
      </c>
      <c r="P312" s="9">
        <v>1.2939000000000001</v>
      </c>
      <c r="Q312" s="9">
        <v>30.258500000000002</v>
      </c>
      <c r="R312" s="9"/>
      <c r="S312" s="11"/>
    </row>
    <row r="313" spans="1:19" ht="15.6">
      <c r="A313" s="13">
        <v>51621</v>
      </c>
      <c r="B313" s="8">
        <f>6.4219 * CHOOSE(CONTROL!$C$12, $D$4, 100%, $F$4)</f>
        <v>6.4218999999999999</v>
      </c>
      <c r="C313" s="8">
        <f>6.4322 * CHOOSE(CONTROL!$C$12, $D$4, 100%, $F$4)</f>
        <v>6.4321999999999999</v>
      </c>
      <c r="D313" s="8">
        <f>6.4373 * CHOOSE( CONTROL!$C$12, $D$4, 100%, $F$4)</f>
        <v>6.4372999999999996</v>
      </c>
      <c r="E313" s="12">
        <f>6.4344 * CHOOSE( CONTROL!$C$12, $D$4, 100%, $F$4)</f>
        <v>6.4344000000000001</v>
      </c>
      <c r="F313" s="4">
        <f>7.4284 * CHOOSE(CONTROL!$C$12, $D$4, 100%, $F$4)</f>
        <v>7.4283999999999999</v>
      </c>
      <c r="G313" s="8">
        <f>6.329 * CHOOSE( CONTROL!$C$12, $D$4, 100%, $F$4)</f>
        <v>6.3289999999999997</v>
      </c>
      <c r="H313" s="4">
        <f>7.2399 * CHOOSE(CONTROL!$C$12, $D$4, 100%, $F$4)</f>
        <v>7.2398999999999996</v>
      </c>
      <c r="I313" s="8">
        <f>6.2732 * CHOOSE(CONTROL!$C$12, $D$4, 100%, $F$4)</f>
        <v>6.2732000000000001</v>
      </c>
      <c r="J313" s="4">
        <f>6.2219 * CHOOSE(CONTROL!$C$12, $D$4, 100%, $F$4)</f>
        <v>6.2218999999999998</v>
      </c>
      <c r="K313" s="4"/>
      <c r="L313" s="9">
        <v>27.988800000000001</v>
      </c>
      <c r="M313" s="9">
        <v>11.6745</v>
      </c>
      <c r="N313" s="9">
        <v>4.7850000000000001</v>
      </c>
      <c r="O313" s="9">
        <v>0.36249999999999999</v>
      </c>
      <c r="P313" s="9">
        <v>1.1798</v>
      </c>
      <c r="Q313" s="9">
        <v>29.282399999999999</v>
      </c>
      <c r="R313" s="9"/>
      <c r="S313" s="11"/>
    </row>
    <row r="314" spans="1:19" ht="15.6">
      <c r="A314" s="13">
        <v>51652</v>
      </c>
      <c r="B314" s="8">
        <f>CHOOSE( CONTROL!$C$29, 6.5999, 6.593) * CHOOSE(CONTROL!$C$12, $D$4, 100%, $F$4)</f>
        <v>6.593</v>
      </c>
      <c r="C314" s="8">
        <f>CHOOSE( CONTROL!$C$29, 6.6102, 6.6033) * CHOOSE(CONTROL!$C$12, $D$4, 100%, $F$4)</f>
        <v>6.6032999999999999</v>
      </c>
      <c r="D314" s="8">
        <f>CHOOSE( CONTROL!$C$29, 6.5904, 6.5836) * CHOOSE( CONTROL!$C$12, $D$4, 100%, $F$4)</f>
        <v>6.5835999999999997</v>
      </c>
      <c r="E314" s="12">
        <f>CHOOSE( CONTROL!$C$29, 6.596, 6.5892) * CHOOSE( CONTROL!$C$12, $D$4, 100%, $F$4)</f>
        <v>6.5891999999999999</v>
      </c>
      <c r="F314" s="4">
        <f>CHOOSE( CONTROL!$C$29, 7.5743, 7.5675) * CHOOSE(CONTROL!$C$12, $D$4, 100%, $F$4)</f>
        <v>7.5674999999999999</v>
      </c>
      <c r="G314" s="8">
        <f>CHOOSE( CONTROL!$C$29, 6.4861, 6.4794) * CHOOSE( CONTROL!$C$12, $D$4, 100%, $F$4)</f>
        <v>6.4794</v>
      </c>
      <c r="H314" s="4">
        <f>CHOOSE( CONTROL!$C$29, 7.3838, 7.3771) * CHOOSE(CONTROL!$C$12, $D$4, 100%, $F$4)</f>
        <v>7.3771000000000004</v>
      </c>
      <c r="I314" s="8">
        <f>CHOOSE( CONTROL!$C$29, 6.4242, 6.4176) * CHOOSE(CONTROL!$C$12, $D$4, 100%, $F$4)</f>
        <v>6.4176000000000002</v>
      </c>
      <c r="J314" s="4">
        <f>CHOOSE( CONTROL!$C$29, 6.3943, 6.3877) * CHOOSE(CONTROL!$C$12, $D$4, 100%, $F$4)</f>
        <v>6.3876999999999997</v>
      </c>
      <c r="K314" s="4"/>
      <c r="L314" s="9">
        <v>29.520499999999998</v>
      </c>
      <c r="M314" s="9">
        <v>12.063700000000001</v>
      </c>
      <c r="N314" s="9">
        <v>4.9444999999999997</v>
      </c>
      <c r="O314" s="9">
        <v>0.37459999999999999</v>
      </c>
      <c r="P314" s="9">
        <v>1.2192000000000001</v>
      </c>
      <c r="Q314" s="9">
        <v>30.258500000000002</v>
      </c>
      <c r="R314" s="9"/>
      <c r="S314" s="11"/>
    </row>
    <row r="315" spans="1:19" ht="15.6">
      <c r="A315" s="13">
        <v>51682</v>
      </c>
      <c r="B315" s="8">
        <f>CHOOSE( CONTROL!$C$29, 6.4939, 6.487) * CHOOSE(CONTROL!$C$12, $D$4, 100%, $F$4)</f>
        <v>6.4870000000000001</v>
      </c>
      <c r="C315" s="8">
        <f>CHOOSE( CONTROL!$C$29, 6.5042, 6.4974) * CHOOSE(CONTROL!$C$12, $D$4, 100%, $F$4)</f>
        <v>6.4973999999999998</v>
      </c>
      <c r="D315" s="8">
        <f>CHOOSE( CONTROL!$C$29, 6.4789, 6.4721) * CHOOSE( CONTROL!$C$12, $D$4, 100%, $F$4)</f>
        <v>6.4721000000000002</v>
      </c>
      <c r="E315" s="12">
        <f>CHOOSE( CONTROL!$C$29, 6.4865, 6.4797) * CHOOSE( CONTROL!$C$12, $D$4, 100%, $F$4)</f>
        <v>6.4797000000000002</v>
      </c>
      <c r="F315" s="4">
        <f>CHOOSE( CONTROL!$C$29, 7.458, 7.4512) * CHOOSE(CONTROL!$C$12, $D$4, 100%, $F$4)</f>
        <v>7.4512</v>
      </c>
      <c r="G315" s="8">
        <f>CHOOSE( CONTROL!$C$29, 6.3804, 6.3737) * CHOOSE( CONTROL!$C$12, $D$4, 100%, $F$4)</f>
        <v>6.3737000000000004</v>
      </c>
      <c r="H315" s="4">
        <f>CHOOSE( CONTROL!$C$29, 7.2691, 7.2624) * CHOOSE(CONTROL!$C$12, $D$4, 100%, $F$4)</f>
        <v>7.2624000000000004</v>
      </c>
      <c r="I315" s="8">
        <f>CHOOSE( CONTROL!$C$29, 6.3236, 6.317) * CHOOSE(CONTROL!$C$12, $D$4, 100%, $F$4)</f>
        <v>6.3170000000000002</v>
      </c>
      <c r="J315" s="4">
        <f>CHOOSE( CONTROL!$C$29, 6.2916, 6.285) * CHOOSE(CONTROL!$C$12, $D$4, 100%, $F$4)</f>
        <v>6.2850000000000001</v>
      </c>
      <c r="K315" s="4"/>
      <c r="L315" s="9">
        <v>28.568200000000001</v>
      </c>
      <c r="M315" s="9">
        <v>11.6745</v>
      </c>
      <c r="N315" s="9">
        <v>4.7850000000000001</v>
      </c>
      <c r="O315" s="9">
        <v>0.36249999999999999</v>
      </c>
      <c r="P315" s="9">
        <v>1.1798</v>
      </c>
      <c r="Q315" s="9">
        <v>29.282399999999999</v>
      </c>
      <c r="R315" s="9"/>
      <c r="S315" s="11"/>
    </row>
    <row r="316" spans="1:19" ht="15.6">
      <c r="A316" s="13">
        <v>51713</v>
      </c>
      <c r="B316" s="8">
        <f>CHOOSE( CONTROL!$C$29, 6.773, 6.7661) * CHOOSE(CONTROL!$C$12, $D$4, 100%, $F$4)</f>
        <v>6.7660999999999998</v>
      </c>
      <c r="C316" s="8">
        <f>CHOOSE( CONTROL!$C$29, 6.7833, 6.7764) * CHOOSE(CONTROL!$C$12, $D$4, 100%, $F$4)</f>
        <v>6.7763999999999998</v>
      </c>
      <c r="D316" s="8">
        <f>CHOOSE( CONTROL!$C$29, 6.7914, 6.7846) * CHOOSE( CONTROL!$C$12, $D$4, 100%, $F$4)</f>
        <v>6.7846000000000002</v>
      </c>
      <c r="E316" s="12">
        <f>CHOOSE( CONTROL!$C$29, 6.7869, 6.7801) * CHOOSE( CONTROL!$C$12, $D$4, 100%, $F$4)</f>
        <v>6.7801</v>
      </c>
      <c r="F316" s="4">
        <f>CHOOSE( CONTROL!$C$29, 7.782, 7.7751) * CHOOSE(CONTROL!$C$12, $D$4, 100%, $F$4)</f>
        <v>7.7751000000000001</v>
      </c>
      <c r="G316" s="8">
        <f>CHOOSE( CONTROL!$C$29, 6.6816, 6.6748) * CHOOSE( CONTROL!$C$12, $D$4, 100%, $F$4)</f>
        <v>6.6748000000000003</v>
      </c>
      <c r="H316" s="4">
        <f>CHOOSE( CONTROL!$C$29, 7.5885, 7.5818) * CHOOSE(CONTROL!$C$12, $D$4, 100%, $F$4)</f>
        <v>7.5818000000000003</v>
      </c>
      <c r="I316" s="8">
        <f>CHOOSE( CONTROL!$C$29, 6.6495, 6.6429) * CHOOSE(CONTROL!$C$12, $D$4, 100%, $F$4)</f>
        <v>6.6429</v>
      </c>
      <c r="J316" s="4">
        <f>CHOOSE( CONTROL!$C$29, 6.5621, 6.5554) * CHOOSE(CONTROL!$C$12, $D$4, 100%, $F$4)</f>
        <v>6.5553999999999997</v>
      </c>
      <c r="K316" s="4"/>
      <c r="L316" s="9">
        <v>29.520499999999998</v>
      </c>
      <c r="M316" s="9">
        <v>12.063700000000001</v>
      </c>
      <c r="N316" s="9">
        <v>4.9444999999999997</v>
      </c>
      <c r="O316" s="9">
        <v>0.37459999999999999</v>
      </c>
      <c r="P316" s="9">
        <v>1.2192000000000001</v>
      </c>
      <c r="Q316" s="9">
        <v>30.258500000000002</v>
      </c>
      <c r="R316" s="9"/>
      <c r="S316" s="11"/>
    </row>
    <row r="317" spans="1:19" ht="15.6">
      <c r="A317" s="13">
        <v>51744</v>
      </c>
      <c r="B317" s="8">
        <f>CHOOSE( CONTROL!$C$29, 6.2507, 6.2439) * CHOOSE(CONTROL!$C$12, $D$4, 100%, $F$4)</f>
        <v>6.2439</v>
      </c>
      <c r="C317" s="8">
        <f>CHOOSE( CONTROL!$C$29, 6.2611, 6.2542) * CHOOSE(CONTROL!$C$12, $D$4, 100%, $F$4)</f>
        <v>6.2542</v>
      </c>
      <c r="D317" s="8">
        <f>CHOOSE( CONTROL!$C$29, 6.2625, 6.2557) * CHOOSE( CONTROL!$C$12, $D$4, 100%, $F$4)</f>
        <v>6.2557</v>
      </c>
      <c r="E317" s="12">
        <f>CHOOSE( CONTROL!$C$29, 6.2604, 6.2536) * CHOOSE( CONTROL!$C$12, $D$4, 100%, $F$4)</f>
        <v>6.2535999999999996</v>
      </c>
      <c r="F317" s="4">
        <f>CHOOSE( CONTROL!$C$29, 7.2572, 7.2503) * CHOOSE(CONTROL!$C$12, $D$4, 100%, $F$4)</f>
        <v>7.2503000000000002</v>
      </c>
      <c r="G317" s="8">
        <f>CHOOSE( CONTROL!$C$29, 6.1569, 6.1501) * CHOOSE( CONTROL!$C$12, $D$4, 100%, $F$4)</f>
        <v>6.1501000000000001</v>
      </c>
      <c r="H317" s="4">
        <f>CHOOSE( CONTROL!$C$29, 7.0712, 7.0645) * CHOOSE(CONTROL!$C$12, $D$4, 100%, $F$4)</f>
        <v>7.0644999999999998</v>
      </c>
      <c r="I317" s="8">
        <f>CHOOSE( CONTROL!$C$29, 6.1243, 6.1177) * CHOOSE(CONTROL!$C$12, $D$4, 100%, $F$4)</f>
        <v>6.1177000000000001</v>
      </c>
      <c r="J317" s="4">
        <f>CHOOSE( CONTROL!$C$29, 6.056, 6.0494) * CHOOSE(CONTROL!$C$12, $D$4, 100%, $F$4)</f>
        <v>6.0494000000000003</v>
      </c>
      <c r="K317" s="4"/>
      <c r="L317" s="9">
        <v>29.520499999999998</v>
      </c>
      <c r="M317" s="9">
        <v>12.063700000000001</v>
      </c>
      <c r="N317" s="9">
        <v>4.9444999999999997</v>
      </c>
      <c r="O317" s="9">
        <v>0.37459999999999999</v>
      </c>
      <c r="P317" s="9">
        <v>1.2192000000000001</v>
      </c>
      <c r="Q317" s="9">
        <v>30.258500000000002</v>
      </c>
      <c r="R317" s="9"/>
      <c r="S317" s="11"/>
    </row>
    <row r="318" spans="1:19" ht="15.6">
      <c r="A318" s="13">
        <v>51774</v>
      </c>
      <c r="B318" s="8">
        <f>CHOOSE( CONTROL!$C$29, 6.12, 6.1131) * CHOOSE(CONTROL!$C$12, $D$4, 100%, $F$4)</f>
        <v>6.1131000000000002</v>
      </c>
      <c r="C318" s="8">
        <f>CHOOSE( CONTROL!$C$29, 6.1303, 6.1235) * CHOOSE(CONTROL!$C$12, $D$4, 100%, $F$4)</f>
        <v>6.1234999999999999</v>
      </c>
      <c r="D318" s="8">
        <f>CHOOSE( CONTROL!$C$29, 6.135, 6.1281) * CHOOSE( CONTROL!$C$12, $D$4, 100%, $F$4)</f>
        <v>6.1280999999999999</v>
      </c>
      <c r="E318" s="12">
        <f>CHOOSE( CONTROL!$C$29, 6.1317, 6.1248) * CHOOSE( CONTROL!$C$12, $D$4, 100%, $F$4)</f>
        <v>6.1247999999999996</v>
      </c>
      <c r="F318" s="4">
        <f>CHOOSE( CONTROL!$C$29, 7.1316, 7.1247) * CHOOSE(CONTROL!$C$12, $D$4, 100%, $F$4)</f>
        <v>7.1246999999999998</v>
      </c>
      <c r="G318" s="8">
        <f>CHOOSE( CONTROL!$C$29, 6.03, 6.0233) * CHOOSE( CONTROL!$C$12, $D$4, 100%, $F$4)</f>
        <v>6.0232999999999999</v>
      </c>
      <c r="H318" s="4">
        <f>CHOOSE( CONTROL!$C$29, 6.9474, 6.9406) * CHOOSE(CONTROL!$C$12, $D$4, 100%, $F$4)</f>
        <v>6.9405999999999999</v>
      </c>
      <c r="I318" s="8">
        <f>CHOOSE( CONTROL!$C$29, 6.0053, 5.9987) * CHOOSE(CONTROL!$C$12, $D$4, 100%, $F$4)</f>
        <v>5.9987000000000004</v>
      </c>
      <c r="J318" s="4">
        <f>CHOOSE( CONTROL!$C$29, 5.9293, 5.9227) * CHOOSE(CONTROL!$C$12, $D$4, 100%, $F$4)</f>
        <v>5.9226999999999999</v>
      </c>
      <c r="K318" s="4"/>
      <c r="L318" s="9">
        <v>28.568200000000001</v>
      </c>
      <c r="M318" s="9">
        <v>11.6745</v>
      </c>
      <c r="N318" s="9">
        <v>4.7850000000000001</v>
      </c>
      <c r="O318" s="9">
        <v>0.36249999999999999</v>
      </c>
      <c r="P318" s="9">
        <v>1.1798</v>
      </c>
      <c r="Q318" s="9">
        <v>29.282399999999999</v>
      </c>
      <c r="R318" s="9"/>
      <c r="S318" s="11"/>
    </row>
    <row r="319" spans="1:19" ht="15.6">
      <c r="A319" s="13">
        <v>51805</v>
      </c>
      <c r="B319" s="8">
        <f>6.3847 * CHOOSE(CONTROL!$C$12, $D$4, 100%, $F$4)</f>
        <v>6.3846999999999996</v>
      </c>
      <c r="C319" s="8">
        <f>6.395 * CHOOSE(CONTROL!$C$12, $D$4, 100%, $F$4)</f>
        <v>6.3949999999999996</v>
      </c>
      <c r="D319" s="8">
        <f>6.39 * CHOOSE( CONTROL!$C$12, $D$4, 100%, $F$4)</f>
        <v>6.39</v>
      </c>
      <c r="E319" s="12">
        <f>6.3906 * CHOOSE( CONTROL!$C$12, $D$4, 100%, $F$4)</f>
        <v>6.3906000000000001</v>
      </c>
      <c r="F319" s="4">
        <f>7.3756 * CHOOSE(CONTROL!$C$12, $D$4, 100%, $F$4)</f>
        <v>7.3756000000000004</v>
      </c>
      <c r="G319" s="8">
        <f>6.2877 * CHOOSE( CONTROL!$C$12, $D$4, 100%, $F$4)</f>
        <v>6.2877000000000001</v>
      </c>
      <c r="H319" s="4">
        <f>7.1879 * CHOOSE(CONTROL!$C$12, $D$4, 100%, $F$4)</f>
        <v>7.1879</v>
      </c>
      <c r="I319" s="8">
        <f>6.2658 * CHOOSE(CONTROL!$C$12, $D$4, 100%, $F$4)</f>
        <v>6.2657999999999996</v>
      </c>
      <c r="J319" s="4">
        <f>6.1858 * CHOOSE(CONTROL!$C$12, $D$4, 100%, $F$4)</f>
        <v>6.1858000000000004</v>
      </c>
      <c r="K319" s="4"/>
      <c r="L319" s="9">
        <v>28.921800000000001</v>
      </c>
      <c r="M319" s="9">
        <v>12.063700000000001</v>
      </c>
      <c r="N319" s="9">
        <v>4.9444999999999997</v>
      </c>
      <c r="O319" s="9">
        <v>0.37459999999999999</v>
      </c>
      <c r="P319" s="9">
        <v>1.2192000000000001</v>
      </c>
      <c r="Q319" s="9">
        <v>30.258500000000002</v>
      </c>
      <c r="R319" s="9"/>
      <c r="S319" s="11"/>
    </row>
    <row r="320" spans="1:19" ht="15.6">
      <c r="A320" s="13">
        <v>51835</v>
      </c>
      <c r="B320" s="8">
        <f>6.8858 * CHOOSE(CONTROL!$C$12, $D$4, 100%, $F$4)</f>
        <v>6.8857999999999997</v>
      </c>
      <c r="C320" s="8">
        <f>6.8962 * CHOOSE(CONTROL!$C$12, $D$4, 100%, $F$4)</f>
        <v>6.8962000000000003</v>
      </c>
      <c r="D320" s="8">
        <f>6.8555 * CHOOSE( CONTROL!$C$12, $D$4, 100%, $F$4)</f>
        <v>6.8555000000000001</v>
      </c>
      <c r="E320" s="12">
        <f>6.8693 * CHOOSE( CONTROL!$C$12, $D$4, 100%, $F$4)</f>
        <v>6.8693</v>
      </c>
      <c r="F320" s="4">
        <f>7.8629 * CHOOSE(CONTROL!$C$12, $D$4, 100%, $F$4)</f>
        <v>7.8628999999999998</v>
      </c>
      <c r="G320" s="8">
        <f>6.7757 * CHOOSE( CONTROL!$C$12, $D$4, 100%, $F$4)</f>
        <v>6.7756999999999996</v>
      </c>
      <c r="H320" s="4">
        <f>7.6682 * CHOOSE(CONTROL!$C$12, $D$4, 100%, $F$4)</f>
        <v>7.6681999999999997</v>
      </c>
      <c r="I320" s="8">
        <f>6.736 * CHOOSE(CONTROL!$C$12, $D$4, 100%, $F$4)</f>
        <v>6.7359999999999998</v>
      </c>
      <c r="J320" s="4">
        <f>6.6714 * CHOOSE(CONTROL!$C$12, $D$4, 100%, $F$4)</f>
        <v>6.6714000000000002</v>
      </c>
      <c r="K320" s="4"/>
      <c r="L320" s="9">
        <v>26.515499999999999</v>
      </c>
      <c r="M320" s="9">
        <v>11.6745</v>
      </c>
      <c r="N320" s="9">
        <v>4.7850000000000001</v>
      </c>
      <c r="O320" s="9">
        <v>0.36249999999999999</v>
      </c>
      <c r="P320" s="9">
        <v>1.2522</v>
      </c>
      <c r="Q320" s="9">
        <v>29.282399999999999</v>
      </c>
      <c r="R320" s="9"/>
      <c r="S320" s="11"/>
    </row>
    <row r="321" spans="1:19" ht="15.6">
      <c r="A321" s="13">
        <v>51866</v>
      </c>
      <c r="B321" s="8">
        <f>6.8733 * CHOOSE(CONTROL!$C$12, $D$4, 100%, $F$4)</f>
        <v>6.8733000000000004</v>
      </c>
      <c r="C321" s="8">
        <f>6.8836 * CHOOSE(CONTROL!$C$12, $D$4, 100%, $F$4)</f>
        <v>6.8836000000000004</v>
      </c>
      <c r="D321" s="8">
        <f>6.8448 * CHOOSE( CONTROL!$C$12, $D$4, 100%, $F$4)</f>
        <v>6.8448000000000002</v>
      </c>
      <c r="E321" s="12">
        <f>6.8579 * CHOOSE( CONTROL!$C$12, $D$4, 100%, $F$4)</f>
        <v>6.8578999999999999</v>
      </c>
      <c r="F321" s="4">
        <f>7.8436 * CHOOSE(CONTROL!$C$12, $D$4, 100%, $F$4)</f>
        <v>7.8436000000000003</v>
      </c>
      <c r="G321" s="8">
        <f>6.7657 * CHOOSE( CONTROL!$C$12, $D$4, 100%, $F$4)</f>
        <v>6.7656999999999998</v>
      </c>
      <c r="H321" s="4">
        <f>7.6493 * CHOOSE(CONTROL!$C$12, $D$4, 100%, $F$4)</f>
        <v>7.6493000000000002</v>
      </c>
      <c r="I321" s="8">
        <f>6.7346 * CHOOSE(CONTROL!$C$12, $D$4, 100%, $F$4)</f>
        <v>6.7346000000000004</v>
      </c>
      <c r="J321" s="4">
        <f>6.6593 * CHOOSE(CONTROL!$C$12, $D$4, 100%, $F$4)</f>
        <v>6.6593</v>
      </c>
      <c r="K321" s="4"/>
      <c r="L321" s="9">
        <v>27.3993</v>
      </c>
      <c r="M321" s="9">
        <v>12.063700000000001</v>
      </c>
      <c r="N321" s="9">
        <v>4.9444999999999997</v>
      </c>
      <c r="O321" s="9">
        <v>0.37459999999999999</v>
      </c>
      <c r="P321" s="9">
        <v>1.2939000000000001</v>
      </c>
      <c r="Q321" s="9">
        <v>30.258500000000002</v>
      </c>
      <c r="R321" s="9"/>
      <c r="S321" s="11"/>
    </row>
    <row r="322" spans="1:19" ht="15.6">
      <c r="A322" s="13">
        <v>51897</v>
      </c>
      <c r="B322" s="8">
        <f>7.0337 * CHOOSE(CONTROL!$C$12, $D$4, 100%, $F$4)</f>
        <v>7.0336999999999996</v>
      </c>
      <c r="C322" s="8">
        <f>7.044 * CHOOSE(CONTROL!$C$12, $D$4, 100%, $F$4)</f>
        <v>7.0439999999999996</v>
      </c>
      <c r="D322" s="8">
        <f>7.0438 * CHOOSE( CONTROL!$C$12, $D$4, 100%, $F$4)</f>
        <v>7.0438000000000001</v>
      </c>
      <c r="E322" s="12">
        <f>7.0428 * CHOOSE( CONTROL!$C$12, $D$4, 100%, $F$4)</f>
        <v>7.0427999999999997</v>
      </c>
      <c r="F322" s="4">
        <f>8.0556 * CHOOSE(CONTROL!$C$12, $D$4, 100%, $F$4)</f>
        <v>8.0556000000000001</v>
      </c>
      <c r="G322" s="8">
        <f>6.9648 * CHOOSE( CONTROL!$C$12, $D$4, 100%, $F$4)</f>
        <v>6.9648000000000003</v>
      </c>
      <c r="H322" s="4">
        <f>7.8583 * CHOOSE(CONTROL!$C$12, $D$4, 100%, $F$4)</f>
        <v>7.8582999999999998</v>
      </c>
      <c r="I322" s="8">
        <f>6.9267 * CHOOSE(CONTROL!$C$12, $D$4, 100%, $F$4)</f>
        <v>6.9267000000000003</v>
      </c>
      <c r="J322" s="4">
        <f>6.8147 * CHOOSE(CONTROL!$C$12, $D$4, 100%, $F$4)</f>
        <v>6.8147000000000002</v>
      </c>
      <c r="K322" s="4"/>
      <c r="L322" s="9">
        <v>27.3993</v>
      </c>
      <c r="M322" s="9">
        <v>12.063700000000001</v>
      </c>
      <c r="N322" s="9">
        <v>4.9444999999999997</v>
      </c>
      <c r="O322" s="9">
        <v>0.37459999999999999</v>
      </c>
      <c r="P322" s="9">
        <v>1.2939000000000001</v>
      </c>
      <c r="Q322" s="9">
        <v>20.593900000000001</v>
      </c>
      <c r="R322" s="9"/>
      <c r="S322" s="11"/>
    </row>
    <row r="323" spans="1:19" ht="15.6">
      <c r="A323" s="13">
        <v>51925</v>
      </c>
      <c r="B323" s="8">
        <f>6.579 * CHOOSE(CONTROL!$C$12, $D$4, 100%, $F$4)</f>
        <v>6.5789999999999997</v>
      </c>
      <c r="C323" s="8">
        <f>6.5894 * CHOOSE(CONTROL!$C$12, $D$4, 100%, $F$4)</f>
        <v>6.5894000000000004</v>
      </c>
      <c r="D323" s="8">
        <f>6.5914 * CHOOSE( CONTROL!$C$12, $D$4, 100%, $F$4)</f>
        <v>6.5914000000000001</v>
      </c>
      <c r="E323" s="12">
        <f>6.5896 * CHOOSE( CONTROL!$C$12, $D$4, 100%, $F$4)</f>
        <v>6.5895999999999999</v>
      </c>
      <c r="F323" s="4">
        <f>7.5932 * CHOOSE(CONTROL!$C$12, $D$4, 100%, $F$4)</f>
        <v>7.5932000000000004</v>
      </c>
      <c r="G323" s="8">
        <f>6.5165 * CHOOSE( CONTROL!$C$12, $D$4, 100%, $F$4)</f>
        <v>6.5164999999999997</v>
      </c>
      <c r="H323" s="4">
        <f>7.4024 * CHOOSE(CONTROL!$C$12, $D$4, 100%, $F$4)</f>
        <v>7.4024000000000001</v>
      </c>
      <c r="I323" s="8">
        <f>6.475 * CHOOSE(CONTROL!$C$12, $D$4, 100%, $F$4)</f>
        <v>6.4749999999999996</v>
      </c>
      <c r="J323" s="4">
        <f>6.3741 * CHOOSE(CONTROL!$C$12, $D$4, 100%, $F$4)</f>
        <v>6.3741000000000003</v>
      </c>
      <c r="K323" s="4"/>
      <c r="L323" s="9">
        <v>24.747800000000002</v>
      </c>
      <c r="M323" s="9">
        <v>10.8962</v>
      </c>
      <c r="N323" s="9">
        <v>4.4660000000000002</v>
      </c>
      <c r="O323" s="9">
        <v>0.33829999999999999</v>
      </c>
      <c r="P323" s="9">
        <v>1.1687000000000001</v>
      </c>
      <c r="Q323" s="9">
        <v>18.600999999999999</v>
      </c>
      <c r="R323" s="9"/>
      <c r="S323" s="11"/>
    </row>
    <row r="324" spans="1:19" ht="15.6">
      <c r="A324" s="13">
        <v>51956</v>
      </c>
      <c r="B324" s="8">
        <f>6.439 * CHOOSE(CONTROL!$C$12, $D$4, 100%, $F$4)</f>
        <v>6.4390000000000001</v>
      </c>
      <c r="C324" s="8">
        <f>6.4493 * CHOOSE(CONTROL!$C$12, $D$4, 100%, $F$4)</f>
        <v>6.4493</v>
      </c>
      <c r="D324" s="8">
        <f>6.4315 * CHOOSE( CONTROL!$C$12, $D$4, 100%, $F$4)</f>
        <v>6.4314999999999998</v>
      </c>
      <c r="E324" s="12">
        <f>6.4369 * CHOOSE( CONTROL!$C$12, $D$4, 100%, $F$4)</f>
        <v>6.4368999999999996</v>
      </c>
      <c r="F324" s="4">
        <f>7.4372 * CHOOSE(CONTROL!$C$12, $D$4, 100%, $F$4)</f>
        <v>7.4371999999999998</v>
      </c>
      <c r="G324" s="8">
        <f>6.3579 * CHOOSE( CONTROL!$C$12, $D$4, 100%, $F$4)</f>
        <v>6.3578999999999999</v>
      </c>
      <c r="H324" s="4">
        <f>7.2486 * CHOOSE(CONTROL!$C$12, $D$4, 100%, $F$4)</f>
        <v>7.2485999999999997</v>
      </c>
      <c r="I324" s="8">
        <f>6.2997 * CHOOSE(CONTROL!$C$12, $D$4, 100%, $F$4)</f>
        <v>6.2996999999999996</v>
      </c>
      <c r="J324" s="4">
        <f>6.2385 * CHOOSE(CONTROL!$C$12, $D$4, 100%, $F$4)</f>
        <v>6.2385000000000002</v>
      </c>
      <c r="K324" s="4"/>
      <c r="L324" s="9">
        <v>27.3993</v>
      </c>
      <c r="M324" s="9">
        <v>12.063700000000001</v>
      </c>
      <c r="N324" s="9">
        <v>4.9444999999999997</v>
      </c>
      <c r="O324" s="9">
        <v>0.37459999999999999</v>
      </c>
      <c r="P324" s="9">
        <v>1.2939000000000001</v>
      </c>
      <c r="Q324" s="9">
        <v>20.593900000000001</v>
      </c>
      <c r="R324" s="9"/>
      <c r="S324" s="11"/>
    </row>
    <row r="325" spans="1:19" ht="15.6">
      <c r="A325" s="13">
        <v>51986</v>
      </c>
      <c r="B325" s="8">
        <f>6.5369 * CHOOSE(CONTROL!$C$12, $D$4, 100%, $F$4)</f>
        <v>6.5369000000000002</v>
      </c>
      <c r="C325" s="8">
        <f>6.5472 * CHOOSE(CONTROL!$C$12, $D$4, 100%, $F$4)</f>
        <v>6.5472000000000001</v>
      </c>
      <c r="D325" s="8">
        <f>6.5522 * CHOOSE( CONTROL!$C$12, $D$4, 100%, $F$4)</f>
        <v>6.5522</v>
      </c>
      <c r="E325" s="12">
        <f>6.5494 * CHOOSE( CONTROL!$C$12, $D$4, 100%, $F$4)</f>
        <v>6.5494000000000003</v>
      </c>
      <c r="F325" s="4">
        <f>7.5433 * CHOOSE(CONTROL!$C$12, $D$4, 100%, $F$4)</f>
        <v>7.5433000000000003</v>
      </c>
      <c r="G325" s="8">
        <f>6.4423 * CHOOSE( CONTROL!$C$12, $D$4, 100%, $F$4)</f>
        <v>6.4423000000000004</v>
      </c>
      <c r="H325" s="4">
        <f>7.3532 * CHOOSE(CONTROL!$C$12, $D$4, 100%, $F$4)</f>
        <v>7.3532000000000002</v>
      </c>
      <c r="I325" s="8">
        <f>6.3847 * CHOOSE(CONTROL!$C$12, $D$4, 100%, $F$4)</f>
        <v>6.3846999999999996</v>
      </c>
      <c r="J325" s="4">
        <f>6.3333 * CHOOSE(CONTROL!$C$12, $D$4, 100%, $F$4)</f>
        <v>6.3333000000000004</v>
      </c>
      <c r="K325" s="4"/>
      <c r="L325" s="9">
        <v>27.988800000000001</v>
      </c>
      <c r="M325" s="9">
        <v>11.6745</v>
      </c>
      <c r="N325" s="9">
        <v>4.7850000000000001</v>
      </c>
      <c r="O325" s="9">
        <v>0.36249999999999999</v>
      </c>
      <c r="P325" s="9">
        <v>1.1798</v>
      </c>
      <c r="Q325" s="9">
        <v>19.929600000000001</v>
      </c>
      <c r="R325" s="9"/>
      <c r="S325" s="11"/>
    </row>
    <row r="326" spans="1:19" ht="15.6">
      <c r="A326" s="13">
        <v>52017</v>
      </c>
      <c r="B326" s="8">
        <f>CHOOSE( CONTROL!$C$29, 6.7179, 6.711) * CHOOSE(CONTROL!$C$12, $D$4, 100%, $F$4)</f>
        <v>6.7110000000000003</v>
      </c>
      <c r="C326" s="8">
        <f>CHOOSE( CONTROL!$C$29, 6.7282, 6.7213) * CHOOSE(CONTROL!$C$12, $D$4, 100%, $F$4)</f>
        <v>6.7213000000000003</v>
      </c>
      <c r="D326" s="8">
        <f>CHOOSE( CONTROL!$C$29, 6.7084, 6.7016) * CHOOSE( CONTROL!$C$12, $D$4, 100%, $F$4)</f>
        <v>6.7016</v>
      </c>
      <c r="E326" s="12">
        <f>CHOOSE( CONTROL!$C$29, 6.714, 6.7072) * CHOOSE( CONTROL!$C$12, $D$4, 100%, $F$4)</f>
        <v>6.7072000000000003</v>
      </c>
      <c r="F326" s="4">
        <f>CHOOSE( CONTROL!$C$29, 7.6923, 7.6855) * CHOOSE(CONTROL!$C$12, $D$4, 100%, $F$4)</f>
        <v>7.6855000000000002</v>
      </c>
      <c r="G326" s="8">
        <f>CHOOSE( CONTROL!$C$29, 6.6025, 6.5957) * CHOOSE( CONTROL!$C$12, $D$4, 100%, $F$4)</f>
        <v>6.5956999999999999</v>
      </c>
      <c r="H326" s="4">
        <f>CHOOSE( CONTROL!$C$29, 7.5001, 7.4934) * CHOOSE(CONTROL!$C$12, $D$4, 100%, $F$4)</f>
        <v>7.4934000000000003</v>
      </c>
      <c r="I326" s="8">
        <f>CHOOSE( CONTROL!$C$29, 6.5386, 6.532) * CHOOSE(CONTROL!$C$12, $D$4, 100%, $F$4)</f>
        <v>6.532</v>
      </c>
      <c r="J326" s="4">
        <f>CHOOSE( CONTROL!$C$29, 6.5086, 6.502) * CHOOSE(CONTROL!$C$12, $D$4, 100%, $F$4)</f>
        <v>6.5019999999999998</v>
      </c>
      <c r="K326" s="4"/>
      <c r="L326" s="9">
        <v>29.520499999999998</v>
      </c>
      <c r="M326" s="9">
        <v>12.063700000000001</v>
      </c>
      <c r="N326" s="9">
        <v>4.9444999999999997</v>
      </c>
      <c r="O326" s="9">
        <v>0.37459999999999999</v>
      </c>
      <c r="P326" s="9">
        <v>1.2192000000000001</v>
      </c>
      <c r="Q326" s="9">
        <v>20.593900000000001</v>
      </c>
      <c r="R326" s="9"/>
      <c r="S326" s="11"/>
    </row>
    <row r="327" spans="1:19" ht="15.6">
      <c r="A327" s="13">
        <v>52047</v>
      </c>
      <c r="B327" s="8">
        <f>CHOOSE( CONTROL!$C$29, 6.61, 6.6031) * CHOOSE(CONTROL!$C$12, $D$4, 100%, $F$4)</f>
        <v>6.6031000000000004</v>
      </c>
      <c r="C327" s="8">
        <f>CHOOSE( CONTROL!$C$29, 6.6203, 6.6135) * CHOOSE(CONTROL!$C$12, $D$4, 100%, $F$4)</f>
        <v>6.6135000000000002</v>
      </c>
      <c r="D327" s="8">
        <f>CHOOSE( CONTROL!$C$29, 6.595, 6.5882) * CHOOSE( CONTROL!$C$12, $D$4, 100%, $F$4)</f>
        <v>6.5881999999999996</v>
      </c>
      <c r="E327" s="12">
        <f>CHOOSE( CONTROL!$C$29, 6.6026, 6.5958) * CHOOSE( CONTROL!$C$12, $D$4, 100%, $F$4)</f>
        <v>6.5957999999999997</v>
      </c>
      <c r="F327" s="4">
        <f>CHOOSE( CONTROL!$C$29, 7.5741, 7.5673) * CHOOSE(CONTROL!$C$12, $D$4, 100%, $F$4)</f>
        <v>7.5673000000000004</v>
      </c>
      <c r="G327" s="8">
        <f>CHOOSE( CONTROL!$C$29, 6.4948, 6.4881) * CHOOSE( CONTROL!$C$12, $D$4, 100%, $F$4)</f>
        <v>6.4881000000000002</v>
      </c>
      <c r="H327" s="4">
        <f>CHOOSE( CONTROL!$C$29, 7.3836, 7.3769) * CHOOSE(CONTROL!$C$12, $D$4, 100%, $F$4)</f>
        <v>7.3769</v>
      </c>
      <c r="I327" s="8">
        <f>CHOOSE( CONTROL!$C$29, 6.4362, 6.4295) * CHOOSE(CONTROL!$C$12, $D$4, 100%, $F$4)</f>
        <v>6.4295</v>
      </c>
      <c r="J327" s="4">
        <f>CHOOSE( CONTROL!$C$29, 6.4041, 6.3975) * CHOOSE(CONTROL!$C$12, $D$4, 100%, $F$4)</f>
        <v>6.3975</v>
      </c>
      <c r="K327" s="4"/>
      <c r="L327" s="9">
        <v>28.568200000000001</v>
      </c>
      <c r="M327" s="9">
        <v>11.6745</v>
      </c>
      <c r="N327" s="9">
        <v>4.7850000000000001</v>
      </c>
      <c r="O327" s="9">
        <v>0.36249999999999999</v>
      </c>
      <c r="P327" s="9">
        <v>1.1798</v>
      </c>
      <c r="Q327" s="9">
        <v>19.929600000000001</v>
      </c>
      <c r="R327" s="9"/>
      <c r="S327" s="11"/>
    </row>
    <row r="328" spans="1:19" ht="15.6">
      <c r="A328" s="13">
        <v>52078</v>
      </c>
      <c r="B328" s="8">
        <f>CHOOSE( CONTROL!$C$29, 6.8941, 6.8872) * CHOOSE(CONTROL!$C$12, $D$4, 100%, $F$4)</f>
        <v>6.8872</v>
      </c>
      <c r="C328" s="8">
        <f>CHOOSE( CONTROL!$C$29, 6.9044, 6.8975) * CHOOSE(CONTROL!$C$12, $D$4, 100%, $F$4)</f>
        <v>6.8975</v>
      </c>
      <c r="D328" s="8">
        <f>CHOOSE( CONTROL!$C$29, 6.9125, 6.9057) * CHOOSE( CONTROL!$C$12, $D$4, 100%, $F$4)</f>
        <v>6.9057000000000004</v>
      </c>
      <c r="E328" s="12">
        <f>CHOOSE( CONTROL!$C$29, 6.908, 6.9012) * CHOOSE( CONTROL!$C$12, $D$4, 100%, $F$4)</f>
        <v>6.9012000000000002</v>
      </c>
      <c r="F328" s="4">
        <f>CHOOSE( CONTROL!$C$29, 7.9031, 7.8962) * CHOOSE(CONTROL!$C$12, $D$4, 100%, $F$4)</f>
        <v>7.8962000000000003</v>
      </c>
      <c r="G328" s="8">
        <f>CHOOSE( CONTROL!$C$29, 6.8009, 6.7942) * CHOOSE( CONTROL!$C$12, $D$4, 100%, $F$4)</f>
        <v>6.7942</v>
      </c>
      <c r="H328" s="4">
        <f>CHOOSE( CONTROL!$C$29, 7.7079, 7.7011) * CHOOSE(CONTROL!$C$12, $D$4, 100%, $F$4)</f>
        <v>7.7011000000000003</v>
      </c>
      <c r="I328" s="8">
        <f>CHOOSE( CONTROL!$C$29, 6.7669, 6.7603) * CHOOSE(CONTROL!$C$12, $D$4, 100%, $F$4)</f>
        <v>6.7603</v>
      </c>
      <c r="J328" s="4">
        <f>CHOOSE( CONTROL!$C$29, 6.6794, 6.6728) * CHOOSE(CONTROL!$C$12, $D$4, 100%, $F$4)</f>
        <v>6.6727999999999996</v>
      </c>
      <c r="K328" s="4"/>
      <c r="L328" s="9">
        <v>29.520499999999998</v>
      </c>
      <c r="M328" s="9">
        <v>12.063700000000001</v>
      </c>
      <c r="N328" s="9">
        <v>4.9444999999999997</v>
      </c>
      <c r="O328" s="9">
        <v>0.37459999999999999</v>
      </c>
      <c r="P328" s="9">
        <v>1.2192000000000001</v>
      </c>
      <c r="Q328" s="9">
        <v>20.593900000000001</v>
      </c>
      <c r="R328" s="9"/>
      <c r="S328" s="11"/>
    </row>
    <row r="329" spans="1:19" ht="15.6">
      <c r="A329" s="13">
        <v>52109</v>
      </c>
      <c r="B329" s="8">
        <f>CHOOSE( CONTROL!$C$29, 6.3625, 6.3557) * CHOOSE(CONTROL!$C$12, $D$4, 100%, $F$4)</f>
        <v>6.3556999999999997</v>
      </c>
      <c r="C329" s="8">
        <f>CHOOSE( CONTROL!$C$29, 6.3728, 6.366) * CHOOSE(CONTROL!$C$12, $D$4, 100%, $F$4)</f>
        <v>6.3659999999999997</v>
      </c>
      <c r="D329" s="8">
        <f>CHOOSE( CONTROL!$C$29, 6.3743, 6.3675) * CHOOSE( CONTROL!$C$12, $D$4, 100%, $F$4)</f>
        <v>6.3674999999999997</v>
      </c>
      <c r="E329" s="12">
        <f>CHOOSE( CONTROL!$C$29, 6.3722, 6.3654) * CHOOSE( CONTROL!$C$12, $D$4, 100%, $F$4)</f>
        <v>6.3654000000000002</v>
      </c>
      <c r="F329" s="4">
        <f>CHOOSE( CONTROL!$C$29, 7.3689, 7.3621) * CHOOSE(CONTROL!$C$12, $D$4, 100%, $F$4)</f>
        <v>7.3620999999999999</v>
      </c>
      <c r="G329" s="8">
        <f>CHOOSE( CONTROL!$C$29, 6.267, 6.2603) * CHOOSE( CONTROL!$C$12, $D$4, 100%, $F$4)</f>
        <v>6.2603</v>
      </c>
      <c r="H329" s="4">
        <f>CHOOSE( CONTROL!$C$29, 7.1814, 7.1746) * CHOOSE(CONTROL!$C$12, $D$4, 100%, $F$4)</f>
        <v>7.1745999999999999</v>
      </c>
      <c r="I329" s="8">
        <f>CHOOSE( CONTROL!$C$29, 6.2326, 6.226) * CHOOSE(CONTROL!$C$12, $D$4, 100%, $F$4)</f>
        <v>6.226</v>
      </c>
      <c r="J329" s="4">
        <f>CHOOSE( CONTROL!$C$29, 6.1643, 6.1577) * CHOOSE(CONTROL!$C$12, $D$4, 100%, $F$4)</f>
        <v>6.1577000000000002</v>
      </c>
      <c r="K329" s="4"/>
      <c r="L329" s="9">
        <v>29.520499999999998</v>
      </c>
      <c r="M329" s="9">
        <v>12.063700000000001</v>
      </c>
      <c r="N329" s="9">
        <v>4.9444999999999997</v>
      </c>
      <c r="O329" s="9">
        <v>0.37459999999999999</v>
      </c>
      <c r="P329" s="9">
        <v>1.2192000000000001</v>
      </c>
      <c r="Q329" s="9">
        <v>20.593900000000001</v>
      </c>
      <c r="R329" s="9"/>
      <c r="S329" s="11"/>
    </row>
    <row r="330" spans="1:19" ht="15.6">
      <c r="A330" s="13">
        <v>52139</v>
      </c>
      <c r="B330" s="8">
        <f>CHOOSE( CONTROL!$C$29, 6.2294, 6.2225) * CHOOSE(CONTROL!$C$12, $D$4, 100%, $F$4)</f>
        <v>6.2225000000000001</v>
      </c>
      <c r="C330" s="8">
        <f>CHOOSE( CONTROL!$C$29, 6.2397, 6.2329) * CHOOSE(CONTROL!$C$12, $D$4, 100%, $F$4)</f>
        <v>6.2328999999999999</v>
      </c>
      <c r="D330" s="8">
        <f>CHOOSE( CONTROL!$C$29, 6.2444, 6.2375) * CHOOSE( CONTROL!$C$12, $D$4, 100%, $F$4)</f>
        <v>6.2374999999999998</v>
      </c>
      <c r="E330" s="12">
        <f>CHOOSE( CONTROL!$C$29, 6.2411, 6.2342) * CHOOSE( CONTROL!$C$12, $D$4, 100%, $F$4)</f>
        <v>6.2342000000000004</v>
      </c>
      <c r="F330" s="4">
        <f>CHOOSE( CONTROL!$C$29, 7.241, 7.2341) * CHOOSE(CONTROL!$C$12, $D$4, 100%, $F$4)</f>
        <v>7.2340999999999998</v>
      </c>
      <c r="G330" s="8">
        <f>CHOOSE( CONTROL!$C$29, 6.1379, 6.1311) * CHOOSE( CONTROL!$C$12, $D$4, 100%, $F$4)</f>
        <v>6.1311</v>
      </c>
      <c r="H330" s="4">
        <f>CHOOSE( CONTROL!$C$29, 7.0552, 7.0485) * CHOOSE(CONTROL!$C$12, $D$4, 100%, $F$4)</f>
        <v>7.0484999999999998</v>
      </c>
      <c r="I330" s="8">
        <f>CHOOSE( CONTROL!$C$29, 6.1114, 6.1048) * CHOOSE(CONTROL!$C$12, $D$4, 100%, $F$4)</f>
        <v>6.1048</v>
      </c>
      <c r="J330" s="4">
        <f>CHOOSE( CONTROL!$C$29, 6.0353, 6.0287) * CHOOSE(CONTROL!$C$12, $D$4, 100%, $F$4)</f>
        <v>6.0286999999999997</v>
      </c>
      <c r="K330" s="4"/>
      <c r="L330" s="9">
        <v>28.568200000000001</v>
      </c>
      <c r="M330" s="9">
        <v>11.6745</v>
      </c>
      <c r="N330" s="9">
        <v>4.7850000000000001</v>
      </c>
      <c r="O330" s="9">
        <v>0.36249999999999999</v>
      </c>
      <c r="P330" s="9">
        <v>1.1798</v>
      </c>
      <c r="Q330" s="9">
        <v>19.929600000000001</v>
      </c>
      <c r="R330" s="9"/>
      <c r="S330" s="11"/>
    </row>
    <row r="331" spans="1:19" ht="15.6">
      <c r="A331" s="13">
        <v>52170</v>
      </c>
      <c r="B331" s="8">
        <f>6.4989 * CHOOSE(CONTROL!$C$12, $D$4, 100%, $F$4)</f>
        <v>6.4988999999999999</v>
      </c>
      <c r="C331" s="8">
        <f>6.5092 * CHOOSE(CONTROL!$C$12, $D$4, 100%, $F$4)</f>
        <v>6.5091999999999999</v>
      </c>
      <c r="D331" s="8">
        <f>6.5043 * CHOOSE( CONTROL!$C$12, $D$4, 100%, $F$4)</f>
        <v>6.5042999999999997</v>
      </c>
      <c r="E331" s="12">
        <f>6.5048 * CHOOSE( CONTROL!$C$12, $D$4, 100%, $F$4)</f>
        <v>6.5048000000000004</v>
      </c>
      <c r="F331" s="4">
        <f>7.4899 * CHOOSE(CONTROL!$C$12, $D$4, 100%, $F$4)</f>
        <v>7.4898999999999996</v>
      </c>
      <c r="G331" s="8">
        <f>6.4004 * CHOOSE( CONTROL!$C$12, $D$4, 100%, $F$4)</f>
        <v>6.4004000000000003</v>
      </c>
      <c r="H331" s="4">
        <f>7.3006 * CHOOSE(CONTROL!$C$12, $D$4, 100%, $F$4)</f>
        <v>7.3006000000000002</v>
      </c>
      <c r="I331" s="8">
        <f>6.3766 * CHOOSE(CONTROL!$C$12, $D$4, 100%, $F$4)</f>
        <v>6.3765999999999998</v>
      </c>
      <c r="J331" s="4">
        <f>6.2965 * CHOOSE(CONTROL!$C$12, $D$4, 100%, $F$4)</f>
        <v>6.2965</v>
      </c>
      <c r="K331" s="4"/>
      <c r="L331" s="9">
        <v>28.921800000000001</v>
      </c>
      <c r="M331" s="9">
        <v>12.063700000000001</v>
      </c>
      <c r="N331" s="9">
        <v>4.9444999999999997</v>
      </c>
      <c r="O331" s="9">
        <v>0.37459999999999999</v>
      </c>
      <c r="P331" s="9">
        <v>1.2192000000000001</v>
      </c>
      <c r="Q331" s="9">
        <v>20.593900000000001</v>
      </c>
      <c r="R331" s="9"/>
      <c r="S331" s="11"/>
    </row>
    <row r="332" spans="1:19" ht="15.6">
      <c r="A332" s="13">
        <v>52200</v>
      </c>
      <c r="B332" s="8">
        <f>7.0091 * CHOOSE(CONTROL!$C$12, $D$4, 100%, $F$4)</f>
        <v>7.0091000000000001</v>
      </c>
      <c r="C332" s="8">
        <f>7.0194 * CHOOSE(CONTROL!$C$12, $D$4, 100%, $F$4)</f>
        <v>7.0194000000000001</v>
      </c>
      <c r="D332" s="8">
        <f>6.9787 * CHOOSE( CONTROL!$C$12, $D$4, 100%, $F$4)</f>
        <v>6.9786999999999999</v>
      </c>
      <c r="E332" s="12">
        <f>6.9925 * CHOOSE( CONTROL!$C$12, $D$4, 100%, $F$4)</f>
        <v>6.9924999999999997</v>
      </c>
      <c r="F332" s="4">
        <f>7.9861 * CHOOSE(CONTROL!$C$12, $D$4, 100%, $F$4)</f>
        <v>7.9861000000000004</v>
      </c>
      <c r="G332" s="8">
        <f>6.8972 * CHOOSE( CONTROL!$C$12, $D$4, 100%, $F$4)</f>
        <v>6.8971999999999998</v>
      </c>
      <c r="H332" s="4">
        <f>7.7897 * CHOOSE(CONTROL!$C$12, $D$4, 100%, $F$4)</f>
        <v>7.7896999999999998</v>
      </c>
      <c r="I332" s="8">
        <f>6.8555 * CHOOSE(CONTROL!$C$12, $D$4, 100%, $F$4)</f>
        <v>6.8555000000000001</v>
      </c>
      <c r="J332" s="4">
        <f>6.7908 * CHOOSE(CONTROL!$C$12, $D$4, 100%, $F$4)</f>
        <v>6.7907999999999999</v>
      </c>
      <c r="K332" s="4"/>
      <c r="L332" s="9">
        <v>26.515499999999999</v>
      </c>
      <c r="M332" s="9">
        <v>11.6745</v>
      </c>
      <c r="N332" s="9">
        <v>4.7850000000000001</v>
      </c>
      <c r="O332" s="9">
        <v>0.36249999999999999</v>
      </c>
      <c r="P332" s="9">
        <v>1.2522</v>
      </c>
      <c r="Q332" s="9">
        <v>19.929600000000001</v>
      </c>
      <c r="R332" s="9"/>
      <c r="S332" s="11"/>
    </row>
    <row r="333" spans="1:19" ht="15.6">
      <c r="A333" s="13">
        <v>52231</v>
      </c>
      <c r="B333" s="8">
        <f>6.9963 * CHOOSE(CONTROL!$C$12, $D$4, 100%, $F$4)</f>
        <v>6.9962999999999997</v>
      </c>
      <c r="C333" s="8">
        <f>7.0067 * CHOOSE(CONTROL!$C$12, $D$4, 100%, $F$4)</f>
        <v>7.0067000000000004</v>
      </c>
      <c r="D333" s="8">
        <f>6.9679 * CHOOSE( CONTROL!$C$12, $D$4, 100%, $F$4)</f>
        <v>6.9679000000000002</v>
      </c>
      <c r="E333" s="12">
        <f>6.981 * CHOOSE( CONTROL!$C$12, $D$4, 100%, $F$4)</f>
        <v>6.9809999999999999</v>
      </c>
      <c r="F333" s="4">
        <f>7.9667 * CHOOSE(CONTROL!$C$12, $D$4, 100%, $F$4)</f>
        <v>7.9667000000000003</v>
      </c>
      <c r="G333" s="8">
        <f>6.887 * CHOOSE( CONTROL!$C$12, $D$4, 100%, $F$4)</f>
        <v>6.8869999999999996</v>
      </c>
      <c r="H333" s="4">
        <f>7.7706 * CHOOSE(CONTROL!$C$12, $D$4, 100%, $F$4)</f>
        <v>7.7706</v>
      </c>
      <c r="I333" s="8">
        <f>6.8539 * CHOOSE(CONTROL!$C$12, $D$4, 100%, $F$4)</f>
        <v>6.8539000000000003</v>
      </c>
      <c r="J333" s="4">
        <f>6.7785 * CHOOSE(CONTROL!$C$12, $D$4, 100%, $F$4)</f>
        <v>6.7785000000000002</v>
      </c>
      <c r="K333" s="4"/>
      <c r="L333" s="9">
        <v>27.3993</v>
      </c>
      <c r="M333" s="9">
        <v>12.063700000000001</v>
      </c>
      <c r="N333" s="9">
        <v>4.9444999999999997</v>
      </c>
      <c r="O333" s="9">
        <v>0.37459999999999999</v>
      </c>
      <c r="P333" s="9">
        <v>1.2939000000000001</v>
      </c>
      <c r="Q333" s="9">
        <v>20.593900000000001</v>
      </c>
      <c r="R333" s="9"/>
      <c r="S333" s="11"/>
    </row>
    <row r="334" spans="1:19" ht="15.6">
      <c r="A334" s="13">
        <v>52262</v>
      </c>
      <c r="B334" s="8">
        <f>7.1596 * CHOOSE(CONTROL!$C$12, $D$4, 100%, $F$4)</f>
        <v>7.1596000000000002</v>
      </c>
      <c r="C334" s="8">
        <f>7.1699 * CHOOSE(CONTROL!$C$12, $D$4, 100%, $F$4)</f>
        <v>7.1699000000000002</v>
      </c>
      <c r="D334" s="8">
        <f>7.1697 * CHOOSE( CONTROL!$C$12, $D$4, 100%, $F$4)</f>
        <v>7.1696999999999997</v>
      </c>
      <c r="E334" s="12">
        <f>7.1687 * CHOOSE( CONTROL!$C$12, $D$4, 100%, $F$4)</f>
        <v>7.1687000000000003</v>
      </c>
      <c r="F334" s="4">
        <f>8.1815 * CHOOSE(CONTROL!$C$12, $D$4, 100%, $F$4)</f>
        <v>8.1814999999999998</v>
      </c>
      <c r="G334" s="8">
        <f>7.0889 * CHOOSE( CONTROL!$C$12, $D$4, 100%, $F$4)</f>
        <v>7.0888999999999998</v>
      </c>
      <c r="H334" s="4">
        <f>7.9823 * CHOOSE(CONTROL!$C$12, $D$4, 100%, $F$4)</f>
        <v>7.9823000000000004</v>
      </c>
      <c r="I334" s="8">
        <f>7.0487 * CHOOSE(CONTROL!$C$12, $D$4, 100%, $F$4)</f>
        <v>7.0487000000000002</v>
      </c>
      <c r="J334" s="4">
        <f>6.9367 * CHOOSE(CONTROL!$C$12, $D$4, 100%, $F$4)</f>
        <v>6.9367000000000001</v>
      </c>
      <c r="K334" s="4"/>
      <c r="L334" s="9">
        <v>27.3993</v>
      </c>
      <c r="M334" s="9">
        <v>12.063700000000001</v>
      </c>
      <c r="N334" s="9">
        <v>4.9444999999999997</v>
      </c>
      <c r="O334" s="9">
        <v>0.37459999999999999</v>
      </c>
      <c r="P334" s="9">
        <v>1.2939000000000001</v>
      </c>
      <c r="Q334" s="9">
        <v>20.5288</v>
      </c>
      <c r="R334" s="9"/>
      <c r="S334" s="11"/>
    </row>
    <row r="335" spans="1:19" ht="15.6">
      <c r="A335" s="13">
        <v>52290</v>
      </c>
      <c r="B335" s="8">
        <f>6.6968 * CHOOSE(CONTROL!$C$12, $D$4, 100%, $F$4)</f>
        <v>6.6967999999999996</v>
      </c>
      <c r="C335" s="8">
        <f>6.7071 * CHOOSE(CONTROL!$C$12, $D$4, 100%, $F$4)</f>
        <v>6.7070999999999996</v>
      </c>
      <c r="D335" s="8">
        <f>6.7092 * CHOOSE( CONTROL!$C$12, $D$4, 100%, $F$4)</f>
        <v>6.7092000000000001</v>
      </c>
      <c r="E335" s="12">
        <f>6.7073 * CHOOSE( CONTROL!$C$12, $D$4, 100%, $F$4)</f>
        <v>6.7073</v>
      </c>
      <c r="F335" s="4">
        <f>7.711 * CHOOSE(CONTROL!$C$12, $D$4, 100%, $F$4)</f>
        <v>7.7110000000000003</v>
      </c>
      <c r="G335" s="8">
        <f>6.6325 * CHOOSE( CONTROL!$C$12, $D$4, 100%, $F$4)</f>
        <v>6.6325000000000003</v>
      </c>
      <c r="H335" s="4">
        <f>7.5185 * CHOOSE(CONTROL!$C$12, $D$4, 100%, $F$4)</f>
        <v>7.5185000000000004</v>
      </c>
      <c r="I335" s="8">
        <f>6.5891 * CHOOSE(CONTROL!$C$12, $D$4, 100%, $F$4)</f>
        <v>6.5891000000000002</v>
      </c>
      <c r="J335" s="4">
        <f>6.4882 * CHOOSE(CONTROL!$C$12, $D$4, 100%, $F$4)</f>
        <v>6.4882</v>
      </c>
      <c r="K335" s="4"/>
      <c r="L335" s="9">
        <v>24.747800000000002</v>
      </c>
      <c r="M335" s="9">
        <v>10.8962</v>
      </c>
      <c r="N335" s="9">
        <v>4.4660000000000002</v>
      </c>
      <c r="O335" s="9">
        <v>0.33829999999999999</v>
      </c>
      <c r="P335" s="9">
        <v>1.1687000000000001</v>
      </c>
      <c r="Q335" s="9">
        <v>18.542200000000001</v>
      </c>
      <c r="R335" s="9"/>
      <c r="S335" s="11"/>
    </row>
    <row r="336" spans="1:19" ht="15.6">
      <c r="A336" s="13">
        <v>52321</v>
      </c>
      <c r="B336" s="8">
        <f>6.5543 * CHOOSE(CONTROL!$C$12, $D$4, 100%, $F$4)</f>
        <v>6.5542999999999996</v>
      </c>
      <c r="C336" s="8">
        <f>6.5646 * CHOOSE(CONTROL!$C$12, $D$4, 100%, $F$4)</f>
        <v>6.5646000000000004</v>
      </c>
      <c r="D336" s="8">
        <f>6.5468 * CHOOSE( CONTROL!$C$12, $D$4, 100%, $F$4)</f>
        <v>6.5468000000000002</v>
      </c>
      <c r="E336" s="12">
        <f>6.5522 * CHOOSE( CONTROL!$C$12, $D$4, 100%, $F$4)</f>
        <v>6.5522</v>
      </c>
      <c r="F336" s="4">
        <f>7.5524 * CHOOSE(CONTROL!$C$12, $D$4, 100%, $F$4)</f>
        <v>7.5523999999999996</v>
      </c>
      <c r="G336" s="8">
        <f>6.4715 * CHOOSE( CONTROL!$C$12, $D$4, 100%, $F$4)</f>
        <v>6.4714999999999998</v>
      </c>
      <c r="H336" s="4">
        <f>7.3622 * CHOOSE(CONTROL!$C$12, $D$4, 100%, $F$4)</f>
        <v>7.3621999999999996</v>
      </c>
      <c r="I336" s="8">
        <f>6.4114 * CHOOSE(CONTROL!$C$12, $D$4, 100%, $F$4)</f>
        <v>6.4114000000000004</v>
      </c>
      <c r="J336" s="4">
        <f>6.3501 * CHOOSE(CONTROL!$C$12, $D$4, 100%, $F$4)</f>
        <v>6.3501000000000003</v>
      </c>
      <c r="K336" s="4"/>
      <c r="L336" s="9">
        <v>27.3993</v>
      </c>
      <c r="M336" s="9">
        <v>12.063700000000001</v>
      </c>
      <c r="N336" s="9">
        <v>4.9444999999999997</v>
      </c>
      <c r="O336" s="9">
        <v>0.37459999999999999</v>
      </c>
      <c r="P336" s="9">
        <v>1.2939000000000001</v>
      </c>
      <c r="Q336" s="9">
        <v>20.5288</v>
      </c>
      <c r="R336" s="9"/>
      <c r="S336" s="11"/>
    </row>
    <row r="337" spans="1:19" ht="15.6">
      <c r="A337" s="13">
        <v>52351</v>
      </c>
      <c r="B337" s="8">
        <f>6.6539 * CHOOSE(CONTROL!$C$12, $D$4, 100%, $F$4)</f>
        <v>6.6539000000000001</v>
      </c>
      <c r="C337" s="8">
        <f>6.6642 * CHOOSE(CONTROL!$C$12, $D$4, 100%, $F$4)</f>
        <v>6.6642000000000001</v>
      </c>
      <c r="D337" s="8">
        <f>6.6692 * CHOOSE( CONTROL!$C$12, $D$4, 100%, $F$4)</f>
        <v>6.6692</v>
      </c>
      <c r="E337" s="12">
        <f>6.6664 * CHOOSE( CONTROL!$C$12, $D$4, 100%, $F$4)</f>
        <v>6.6664000000000003</v>
      </c>
      <c r="F337" s="4">
        <f>7.6603 * CHOOSE(CONTROL!$C$12, $D$4, 100%, $F$4)</f>
        <v>7.6603000000000003</v>
      </c>
      <c r="G337" s="8">
        <f>6.5576 * CHOOSE( CONTROL!$C$12, $D$4, 100%, $F$4)</f>
        <v>6.5575999999999999</v>
      </c>
      <c r="H337" s="4">
        <f>7.4686 * CHOOSE(CONTROL!$C$12, $D$4, 100%, $F$4)</f>
        <v>7.4686000000000003</v>
      </c>
      <c r="I337" s="8">
        <f>6.4981 * CHOOSE(CONTROL!$C$12, $D$4, 100%, $F$4)</f>
        <v>6.4981</v>
      </c>
      <c r="J337" s="4">
        <f>6.4466 * CHOOSE(CONTROL!$C$12, $D$4, 100%, $F$4)</f>
        <v>6.4466000000000001</v>
      </c>
      <c r="K337" s="4"/>
      <c r="L337" s="9">
        <v>27.988800000000001</v>
      </c>
      <c r="M337" s="9">
        <v>11.6745</v>
      </c>
      <c r="N337" s="9">
        <v>4.7850000000000001</v>
      </c>
      <c r="O337" s="9">
        <v>0.36249999999999999</v>
      </c>
      <c r="P337" s="9">
        <v>1.1798</v>
      </c>
      <c r="Q337" s="9">
        <v>19.866599999999998</v>
      </c>
      <c r="R337" s="9"/>
      <c r="S337" s="11"/>
    </row>
    <row r="338" spans="1:19" ht="15.6">
      <c r="A338" s="13">
        <v>52382</v>
      </c>
      <c r="B338" s="8">
        <f>CHOOSE( CONTROL!$C$29, 6.838, 6.8311) * CHOOSE(CONTROL!$C$12, $D$4, 100%, $F$4)</f>
        <v>6.8311000000000002</v>
      </c>
      <c r="C338" s="8">
        <f>CHOOSE( CONTROL!$C$29, 6.8483, 6.8414) * CHOOSE(CONTROL!$C$12, $D$4, 100%, $F$4)</f>
        <v>6.8414000000000001</v>
      </c>
      <c r="D338" s="8">
        <f>CHOOSE( CONTROL!$C$29, 6.8285, 6.8217) * CHOOSE( CONTROL!$C$12, $D$4, 100%, $F$4)</f>
        <v>6.8216999999999999</v>
      </c>
      <c r="E338" s="12">
        <f>CHOOSE( CONTROL!$C$29, 6.8341, 6.8273) * CHOOSE( CONTROL!$C$12, $D$4, 100%, $F$4)</f>
        <v>6.8273000000000001</v>
      </c>
      <c r="F338" s="4">
        <f>CHOOSE( CONTROL!$C$29, 7.8124, 7.8056) * CHOOSE(CONTROL!$C$12, $D$4, 100%, $F$4)</f>
        <v>7.8056000000000001</v>
      </c>
      <c r="G338" s="8">
        <f>CHOOSE( CONTROL!$C$29, 6.7209, 6.7141) * CHOOSE( CONTROL!$C$12, $D$4, 100%, $F$4)</f>
        <v>6.7141000000000002</v>
      </c>
      <c r="H338" s="4">
        <f>CHOOSE( CONTROL!$C$29, 7.6185, 7.6118) * CHOOSE(CONTROL!$C$12, $D$4, 100%, $F$4)</f>
        <v>7.6117999999999997</v>
      </c>
      <c r="I338" s="8">
        <f>CHOOSE( CONTROL!$C$29, 6.655, 6.6484) * CHOOSE(CONTROL!$C$12, $D$4, 100%, $F$4)</f>
        <v>6.6483999999999996</v>
      </c>
      <c r="J338" s="4">
        <f>CHOOSE( CONTROL!$C$29, 6.625, 6.6184) * CHOOSE(CONTROL!$C$12, $D$4, 100%, $F$4)</f>
        <v>6.6184000000000003</v>
      </c>
      <c r="K338" s="4"/>
      <c r="L338" s="9">
        <v>29.520499999999998</v>
      </c>
      <c r="M338" s="9">
        <v>12.063700000000001</v>
      </c>
      <c r="N338" s="9">
        <v>4.9444999999999997</v>
      </c>
      <c r="O338" s="9">
        <v>0.37459999999999999</v>
      </c>
      <c r="P338" s="9">
        <v>1.2192000000000001</v>
      </c>
      <c r="Q338" s="9">
        <v>20.5288</v>
      </c>
      <c r="R338" s="9"/>
      <c r="S338" s="11"/>
    </row>
    <row r="339" spans="1:19" ht="15.6">
      <c r="A339" s="13">
        <v>52412</v>
      </c>
      <c r="B339" s="8">
        <f>CHOOSE( CONTROL!$C$29, 6.7281, 6.7213) * CHOOSE(CONTROL!$C$12, $D$4, 100%, $F$4)</f>
        <v>6.7213000000000003</v>
      </c>
      <c r="C339" s="8">
        <f>CHOOSE( CONTROL!$C$29, 6.7385, 6.7316) * CHOOSE(CONTROL!$C$12, $D$4, 100%, $F$4)</f>
        <v>6.7316000000000003</v>
      </c>
      <c r="D339" s="8">
        <f>CHOOSE( CONTROL!$C$29, 6.7132, 6.7064) * CHOOSE( CONTROL!$C$12, $D$4, 100%, $F$4)</f>
        <v>6.7064000000000004</v>
      </c>
      <c r="E339" s="12">
        <f>CHOOSE( CONTROL!$C$29, 6.7208, 6.714) * CHOOSE( CONTROL!$C$12, $D$4, 100%, $F$4)</f>
        <v>6.7140000000000004</v>
      </c>
      <c r="F339" s="4">
        <f>CHOOSE( CONTROL!$C$29, 7.6923, 7.6854) * CHOOSE(CONTROL!$C$12, $D$4, 100%, $F$4)</f>
        <v>7.6853999999999996</v>
      </c>
      <c r="G339" s="8">
        <f>CHOOSE( CONTROL!$C$29, 6.6113, 6.6046) * CHOOSE( CONTROL!$C$12, $D$4, 100%, $F$4)</f>
        <v>6.6045999999999996</v>
      </c>
      <c r="H339" s="4">
        <f>CHOOSE( CONTROL!$C$29, 7.5001, 7.4933) * CHOOSE(CONTROL!$C$12, $D$4, 100%, $F$4)</f>
        <v>7.4932999999999996</v>
      </c>
      <c r="I339" s="8">
        <f>CHOOSE( CONTROL!$C$29, 6.5508, 6.5441) * CHOOSE(CONTROL!$C$12, $D$4, 100%, $F$4)</f>
        <v>6.5441000000000003</v>
      </c>
      <c r="J339" s="4">
        <f>CHOOSE( CONTROL!$C$29, 6.5186, 6.512) * CHOOSE(CONTROL!$C$12, $D$4, 100%, $F$4)</f>
        <v>6.5119999999999996</v>
      </c>
      <c r="K339" s="4"/>
      <c r="L339" s="9">
        <v>28.568200000000001</v>
      </c>
      <c r="M339" s="9">
        <v>11.6745</v>
      </c>
      <c r="N339" s="9">
        <v>4.7850000000000001</v>
      </c>
      <c r="O339" s="9">
        <v>0.36249999999999999</v>
      </c>
      <c r="P339" s="9">
        <v>1.1798</v>
      </c>
      <c r="Q339" s="9">
        <v>19.866599999999998</v>
      </c>
      <c r="R339" s="9"/>
      <c r="S339" s="11"/>
    </row>
    <row r="340" spans="1:19" ht="15.6">
      <c r="A340" s="13">
        <v>52443</v>
      </c>
      <c r="B340" s="8">
        <f>CHOOSE( CONTROL!$C$29, 7.0173, 7.0105) * CHOOSE(CONTROL!$C$12, $D$4, 100%, $F$4)</f>
        <v>7.0105000000000004</v>
      </c>
      <c r="C340" s="8">
        <f>CHOOSE( CONTROL!$C$29, 7.0276, 7.0208) * CHOOSE(CONTROL!$C$12, $D$4, 100%, $F$4)</f>
        <v>7.0208000000000004</v>
      </c>
      <c r="D340" s="8">
        <f>CHOOSE( CONTROL!$C$29, 7.0358, 7.0289) * CHOOSE( CONTROL!$C$12, $D$4, 100%, $F$4)</f>
        <v>7.0289000000000001</v>
      </c>
      <c r="E340" s="12">
        <f>CHOOSE( CONTROL!$C$29, 7.0313, 7.0244) * CHOOSE( CONTROL!$C$12, $D$4, 100%, $F$4)</f>
        <v>7.0244</v>
      </c>
      <c r="F340" s="4">
        <f>CHOOSE( CONTROL!$C$29, 8.0263, 8.0195) * CHOOSE(CONTROL!$C$12, $D$4, 100%, $F$4)</f>
        <v>8.0195000000000007</v>
      </c>
      <c r="G340" s="8">
        <f>CHOOSE( CONTROL!$C$29, 6.9225, 6.9157) * CHOOSE( CONTROL!$C$12, $D$4, 100%, $F$4)</f>
        <v>6.9157000000000002</v>
      </c>
      <c r="H340" s="4">
        <f>CHOOSE( CONTROL!$C$29, 7.8294, 7.8227) * CHOOSE(CONTROL!$C$12, $D$4, 100%, $F$4)</f>
        <v>7.8227000000000002</v>
      </c>
      <c r="I340" s="8">
        <f>CHOOSE( CONTROL!$C$29, 6.8864, 6.8798) * CHOOSE(CONTROL!$C$12, $D$4, 100%, $F$4)</f>
        <v>6.8798000000000004</v>
      </c>
      <c r="J340" s="4">
        <f>CHOOSE( CONTROL!$C$29, 6.7988, 6.7922) * CHOOSE(CONTROL!$C$12, $D$4, 100%, $F$4)</f>
        <v>6.7922000000000002</v>
      </c>
      <c r="K340" s="4"/>
      <c r="L340" s="9">
        <v>29.520499999999998</v>
      </c>
      <c r="M340" s="9">
        <v>12.063700000000001</v>
      </c>
      <c r="N340" s="9">
        <v>4.9444999999999997</v>
      </c>
      <c r="O340" s="9">
        <v>0.37459999999999999</v>
      </c>
      <c r="P340" s="9">
        <v>1.2192000000000001</v>
      </c>
      <c r="Q340" s="9">
        <v>20.5288</v>
      </c>
      <c r="R340" s="9"/>
      <c r="S340" s="11"/>
    </row>
    <row r="341" spans="1:19" ht="15.6">
      <c r="A341" s="13">
        <v>52474</v>
      </c>
      <c r="B341" s="8">
        <f>CHOOSE( CONTROL!$C$29, 6.4762, 6.4694) * CHOOSE(CONTROL!$C$12, $D$4, 100%, $F$4)</f>
        <v>6.4694000000000003</v>
      </c>
      <c r="C341" s="8">
        <f>CHOOSE( CONTROL!$C$29, 6.4866, 6.4797) * CHOOSE(CONTROL!$C$12, $D$4, 100%, $F$4)</f>
        <v>6.4797000000000002</v>
      </c>
      <c r="D341" s="8">
        <f>CHOOSE( CONTROL!$C$29, 6.488, 6.4812) * CHOOSE( CONTROL!$C$12, $D$4, 100%, $F$4)</f>
        <v>6.4812000000000003</v>
      </c>
      <c r="E341" s="12">
        <f>CHOOSE( CONTROL!$C$29, 6.4859, 6.4791) * CHOOSE( CONTROL!$C$12, $D$4, 100%, $F$4)</f>
        <v>6.4790999999999999</v>
      </c>
      <c r="F341" s="4">
        <f>CHOOSE( CONTROL!$C$29, 7.4827, 7.4758) * CHOOSE(CONTROL!$C$12, $D$4, 100%, $F$4)</f>
        <v>7.4757999999999996</v>
      </c>
      <c r="G341" s="8">
        <f>CHOOSE( CONTROL!$C$29, 6.3792, 6.3724) * CHOOSE( CONTROL!$C$12, $D$4, 100%, $F$4)</f>
        <v>6.3723999999999998</v>
      </c>
      <c r="H341" s="4">
        <f>CHOOSE( CONTROL!$C$29, 7.2935, 7.2867) * CHOOSE(CONTROL!$C$12, $D$4, 100%, $F$4)</f>
        <v>7.2866999999999997</v>
      </c>
      <c r="I341" s="8">
        <f>CHOOSE( CONTROL!$C$29, 6.3429, 6.3363) * CHOOSE(CONTROL!$C$12, $D$4, 100%, $F$4)</f>
        <v>6.3362999999999996</v>
      </c>
      <c r="J341" s="4">
        <f>CHOOSE( CONTROL!$C$29, 6.2745, 6.2679) * CHOOSE(CONTROL!$C$12, $D$4, 100%, $F$4)</f>
        <v>6.2679</v>
      </c>
      <c r="K341" s="4"/>
      <c r="L341" s="9">
        <v>29.520499999999998</v>
      </c>
      <c r="M341" s="9">
        <v>12.063700000000001</v>
      </c>
      <c r="N341" s="9">
        <v>4.9444999999999997</v>
      </c>
      <c r="O341" s="9">
        <v>0.37459999999999999</v>
      </c>
      <c r="P341" s="9">
        <v>1.2192000000000001</v>
      </c>
      <c r="Q341" s="9">
        <v>20.5288</v>
      </c>
      <c r="R341" s="9"/>
      <c r="S341" s="11"/>
    </row>
    <row r="342" spans="1:19" ht="15.6">
      <c r="A342" s="13">
        <v>52504</v>
      </c>
      <c r="B342" s="8">
        <f>CHOOSE( CONTROL!$C$29, 6.3408, 6.3339) * CHOOSE(CONTROL!$C$12, $D$4, 100%, $F$4)</f>
        <v>6.3338999999999999</v>
      </c>
      <c r="C342" s="8">
        <f>CHOOSE( CONTROL!$C$29, 6.3511, 6.3442) * CHOOSE(CONTROL!$C$12, $D$4, 100%, $F$4)</f>
        <v>6.3441999999999998</v>
      </c>
      <c r="D342" s="8">
        <f>CHOOSE( CONTROL!$C$29, 6.3558, 6.3489) * CHOOSE( CONTROL!$C$12, $D$4, 100%, $F$4)</f>
        <v>6.3489000000000004</v>
      </c>
      <c r="E342" s="12">
        <f>CHOOSE( CONTROL!$C$29, 6.3525, 6.3456) * CHOOSE( CONTROL!$C$12, $D$4, 100%, $F$4)</f>
        <v>6.3456000000000001</v>
      </c>
      <c r="F342" s="4">
        <f>CHOOSE( CONTROL!$C$29, 7.3524, 7.3455) * CHOOSE(CONTROL!$C$12, $D$4, 100%, $F$4)</f>
        <v>7.3455000000000004</v>
      </c>
      <c r="G342" s="8">
        <f>CHOOSE( CONTROL!$C$29, 6.2476, 6.2409) * CHOOSE( CONTROL!$C$12, $D$4, 100%, $F$4)</f>
        <v>6.2408999999999999</v>
      </c>
      <c r="H342" s="4">
        <f>CHOOSE( CONTROL!$C$29, 7.165, 7.1583) * CHOOSE(CONTROL!$C$12, $D$4, 100%, $F$4)</f>
        <v>7.1582999999999997</v>
      </c>
      <c r="I342" s="8">
        <f>CHOOSE( CONTROL!$C$29, 6.2194, 6.2127) * CHOOSE(CONTROL!$C$12, $D$4, 100%, $F$4)</f>
        <v>6.2126999999999999</v>
      </c>
      <c r="J342" s="4">
        <f>CHOOSE( CONTROL!$C$29, 6.1432, 6.1366) * CHOOSE(CONTROL!$C$12, $D$4, 100%, $F$4)</f>
        <v>6.1365999999999996</v>
      </c>
      <c r="K342" s="4"/>
      <c r="L342" s="9">
        <v>28.568200000000001</v>
      </c>
      <c r="M342" s="9">
        <v>11.6745</v>
      </c>
      <c r="N342" s="9">
        <v>4.7850000000000001</v>
      </c>
      <c r="O342" s="9">
        <v>0.36249999999999999</v>
      </c>
      <c r="P342" s="9">
        <v>1.1798</v>
      </c>
      <c r="Q342" s="9">
        <v>19.866599999999998</v>
      </c>
      <c r="R342" s="9"/>
      <c r="S342" s="11"/>
    </row>
    <row r="343" spans="1:19" ht="15.6">
      <c r="A343" s="13">
        <v>52535</v>
      </c>
      <c r="B343" s="8">
        <f>6.6152 * CHOOSE(CONTROL!$C$12, $D$4, 100%, $F$4)</f>
        <v>6.6151999999999997</v>
      </c>
      <c r="C343" s="8">
        <f>6.6256 * CHOOSE(CONTROL!$C$12, $D$4, 100%, $F$4)</f>
        <v>6.6256000000000004</v>
      </c>
      <c r="D343" s="8">
        <f>6.6206 * CHOOSE( CONTROL!$C$12, $D$4, 100%, $F$4)</f>
        <v>6.6205999999999996</v>
      </c>
      <c r="E343" s="12">
        <f>6.6211 * CHOOSE( CONTROL!$C$12, $D$4, 100%, $F$4)</f>
        <v>6.6211000000000002</v>
      </c>
      <c r="F343" s="4">
        <f>7.6062 * CHOOSE(CONTROL!$C$12, $D$4, 100%, $F$4)</f>
        <v>7.6062000000000003</v>
      </c>
      <c r="G343" s="8">
        <f>6.515 * CHOOSE( CONTROL!$C$12, $D$4, 100%, $F$4)</f>
        <v>6.5149999999999997</v>
      </c>
      <c r="H343" s="4">
        <f>7.4152 * CHOOSE(CONTROL!$C$12, $D$4, 100%, $F$4)</f>
        <v>7.4151999999999996</v>
      </c>
      <c r="I343" s="8">
        <f>6.4893 * CHOOSE(CONTROL!$C$12, $D$4, 100%, $F$4)</f>
        <v>6.4893000000000001</v>
      </c>
      <c r="J343" s="4">
        <f>6.4092 * CHOOSE(CONTROL!$C$12, $D$4, 100%, $F$4)</f>
        <v>6.4092000000000002</v>
      </c>
      <c r="K343" s="4"/>
      <c r="L343" s="9">
        <v>28.921800000000001</v>
      </c>
      <c r="M343" s="9">
        <v>12.063700000000001</v>
      </c>
      <c r="N343" s="9">
        <v>4.9444999999999997</v>
      </c>
      <c r="O343" s="9">
        <v>0.37459999999999999</v>
      </c>
      <c r="P343" s="9">
        <v>1.2192000000000001</v>
      </c>
      <c r="Q343" s="9">
        <v>20.5288</v>
      </c>
      <c r="R343" s="9"/>
      <c r="S343" s="11"/>
    </row>
    <row r="344" spans="1:19" ht="15.6">
      <c r="A344" s="13">
        <v>52565</v>
      </c>
      <c r="B344" s="8">
        <f>7.1345 * CHOOSE(CONTROL!$C$12, $D$4, 100%, $F$4)</f>
        <v>7.1345000000000001</v>
      </c>
      <c r="C344" s="8">
        <f>7.1448 * CHOOSE(CONTROL!$C$12, $D$4, 100%, $F$4)</f>
        <v>7.1448</v>
      </c>
      <c r="D344" s="8">
        <f>7.1042 * CHOOSE( CONTROL!$C$12, $D$4, 100%, $F$4)</f>
        <v>7.1041999999999996</v>
      </c>
      <c r="E344" s="12">
        <f>7.1179 * CHOOSE( CONTROL!$C$12, $D$4, 100%, $F$4)</f>
        <v>7.1178999999999997</v>
      </c>
      <c r="F344" s="4">
        <f>8.1116 * CHOOSE(CONTROL!$C$12, $D$4, 100%, $F$4)</f>
        <v>8.1115999999999993</v>
      </c>
      <c r="G344" s="8">
        <f>7.0208 * CHOOSE( CONTROL!$C$12, $D$4, 100%, $F$4)</f>
        <v>7.0208000000000004</v>
      </c>
      <c r="H344" s="4">
        <f>7.9134 * CHOOSE(CONTROL!$C$12, $D$4, 100%, $F$4)</f>
        <v>7.9134000000000002</v>
      </c>
      <c r="I344" s="8">
        <f>6.9771 * CHOOSE(CONTROL!$C$12, $D$4, 100%, $F$4)</f>
        <v>6.9771000000000001</v>
      </c>
      <c r="J344" s="4">
        <f>6.9124 * CHOOSE(CONTROL!$C$12, $D$4, 100%, $F$4)</f>
        <v>6.9123999999999999</v>
      </c>
      <c r="K344" s="4"/>
      <c r="L344" s="9">
        <v>26.515499999999999</v>
      </c>
      <c r="M344" s="9">
        <v>11.6745</v>
      </c>
      <c r="N344" s="9">
        <v>4.7850000000000001</v>
      </c>
      <c r="O344" s="9">
        <v>0.36249999999999999</v>
      </c>
      <c r="P344" s="9">
        <v>1.2522</v>
      </c>
      <c r="Q344" s="9">
        <v>19.866599999999998</v>
      </c>
      <c r="R344" s="9"/>
      <c r="S344" s="11"/>
    </row>
    <row r="345" spans="1:19" ht="15.6">
      <c r="A345" s="13">
        <v>52596</v>
      </c>
      <c r="B345" s="8">
        <f>7.1215 * CHOOSE(CONTROL!$C$12, $D$4, 100%, $F$4)</f>
        <v>7.1215000000000002</v>
      </c>
      <c r="C345" s="8">
        <f>7.1319 * CHOOSE(CONTROL!$C$12, $D$4, 100%, $F$4)</f>
        <v>7.1318999999999999</v>
      </c>
      <c r="D345" s="8">
        <f>7.0931 * CHOOSE( CONTROL!$C$12, $D$4, 100%, $F$4)</f>
        <v>7.0930999999999997</v>
      </c>
      <c r="E345" s="12">
        <f>7.1062 * CHOOSE( CONTROL!$C$12, $D$4, 100%, $F$4)</f>
        <v>7.1062000000000003</v>
      </c>
      <c r="F345" s="4">
        <f>8.0919 * CHOOSE(CONTROL!$C$12, $D$4, 100%, $F$4)</f>
        <v>8.0919000000000008</v>
      </c>
      <c r="G345" s="8">
        <f>7.0104 * CHOOSE( CONTROL!$C$12, $D$4, 100%, $F$4)</f>
        <v>7.0103999999999997</v>
      </c>
      <c r="H345" s="4">
        <f>7.894 * CHOOSE(CONTROL!$C$12, $D$4, 100%, $F$4)</f>
        <v>7.8940000000000001</v>
      </c>
      <c r="I345" s="8">
        <f>6.9753 * CHOOSE(CONTROL!$C$12, $D$4, 100%, $F$4)</f>
        <v>6.9752999999999998</v>
      </c>
      <c r="J345" s="4">
        <f>6.8998 * CHOOSE(CONTROL!$C$12, $D$4, 100%, $F$4)</f>
        <v>6.8997999999999999</v>
      </c>
      <c r="K345" s="4"/>
      <c r="L345" s="9">
        <v>27.3993</v>
      </c>
      <c r="M345" s="9">
        <v>12.063700000000001</v>
      </c>
      <c r="N345" s="9">
        <v>4.9444999999999997</v>
      </c>
      <c r="O345" s="9">
        <v>0.37459999999999999</v>
      </c>
      <c r="P345" s="9">
        <v>1.2939000000000001</v>
      </c>
      <c r="Q345" s="9">
        <v>20.5288</v>
      </c>
      <c r="R345" s="9"/>
      <c r="S345" s="11"/>
    </row>
    <row r="346" spans="1:19" ht="15.6">
      <c r="A346" s="13">
        <v>52627</v>
      </c>
      <c r="B346" s="8">
        <f>7.2877 * CHOOSE(CONTROL!$C$12, $D$4, 100%, $F$4)</f>
        <v>7.2877000000000001</v>
      </c>
      <c r="C346" s="8">
        <f>7.298 * CHOOSE(CONTROL!$C$12, $D$4, 100%, $F$4)</f>
        <v>7.298</v>
      </c>
      <c r="D346" s="8">
        <f>7.2978 * CHOOSE( CONTROL!$C$12, $D$4, 100%, $F$4)</f>
        <v>7.2977999999999996</v>
      </c>
      <c r="E346" s="12">
        <f>7.2968 * CHOOSE( CONTROL!$C$12, $D$4, 100%, $F$4)</f>
        <v>7.2968000000000002</v>
      </c>
      <c r="F346" s="4">
        <f>8.3096 * CHOOSE(CONTROL!$C$12, $D$4, 100%, $F$4)</f>
        <v>8.3095999999999997</v>
      </c>
      <c r="G346" s="8">
        <f>7.2152 * CHOOSE( CONTROL!$C$12, $D$4, 100%, $F$4)</f>
        <v>7.2152000000000003</v>
      </c>
      <c r="H346" s="4">
        <f>8.1087 * CHOOSE(CONTROL!$C$12, $D$4, 100%, $F$4)</f>
        <v>8.1087000000000007</v>
      </c>
      <c r="I346" s="8">
        <f>7.173 * CHOOSE(CONTROL!$C$12, $D$4, 100%, $F$4)</f>
        <v>7.173</v>
      </c>
      <c r="J346" s="4">
        <f>7.0608 * CHOOSE(CONTROL!$C$12, $D$4, 100%, $F$4)</f>
        <v>7.0608000000000004</v>
      </c>
      <c r="K346" s="4"/>
      <c r="L346" s="9">
        <v>27.3993</v>
      </c>
      <c r="M346" s="9">
        <v>12.063700000000001</v>
      </c>
      <c r="N346" s="9">
        <v>4.9444999999999997</v>
      </c>
      <c r="O346" s="9">
        <v>0.37459999999999999</v>
      </c>
      <c r="P346" s="9">
        <v>1.2939000000000001</v>
      </c>
      <c r="Q346" s="9">
        <v>20.4619</v>
      </c>
      <c r="R346" s="9"/>
      <c r="S346" s="11"/>
    </row>
    <row r="347" spans="1:19" ht="15.6">
      <c r="A347" s="13">
        <v>52655</v>
      </c>
      <c r="B347" s="8">
        <f>6.8166 * CHOOSE(CONTROL!$C$12, $D$4, 100%, $F$4)</f>
        <v>6.8166000000000002</v>
      </c>
      <c r="C347" s="8">
        <f>6.827 * CHOOSE(CONTROL!$C$12, $D$4, 100%, $F$4)</f>
        <v>6.827</v>
      </c>
      <c r="D347" s="8">
        <f>6.829 * CHOOSE( CONTROL!$C$12, $D$4, 100%, $F$4)</f>
        <v>6.8289999999999997</v>
      </c>
      <c r="E347" s="12">
        <f>6.8272 * CHOOSE( CONTROL!$C$12, $D$4, 100%, $F$4)</f>
        <v>6.8272000000000004</v>
      </c>
      <c r="F347" s="4">
        <f>7.8308 * CHOOSE(CONTROL!$C$12, $D$4, 100%, $F$4)</f>
        <v>7.8308</v>
      </c>
      <c r="G347" s="8">
        <f>6.7507 * CHOOSE( CONTROL!$C$12, $D$4, 100%, $F$4)</f>
        <v>6.7507000000000001</v>
      </c>
      <c r="H347" s="4">
        <f>7.6367 * CHOOSE(CONTROL!$C$12, $D$4, 100%, $F$4)</f>
        <v>7.6367000000000003</v>
      </c>
      <c r="I347" s="8">
        <f>6.7053 * CHOOSE(CONTROL!$C$12, $D$4, 100%, $F$4)</f>
        <v>6.7053000000000003</v>
      </c>
      <c r="J347" s="4">
        <f>6.6044 * CHOOSE(CONTROL!$C$12, $D$4, 100%, $F$4)</f>
        <v>6.6044</v>
      </c>
      <c r="K347" s="4"/>
      <c r="L347" s="9">
        <v>25.631599999999999</v>
      </c>
      <c r="M347" s="9">
        <v>11.285299999999999</v>
      </c>
      <c r="N347" s="9">
        <v>4.6254999999999997</v>
      </c>
      <c r="O347" s="9">
        <v>0.35039999999999999</v>
      </c>
      <c r="P347" s="9">
        <v>1.2104999999999999</v>
      </c>
      <c r="Q347" s="9">
        <v>19.1417</v>
      </c>
      <c r="R347" s="9"/>
      <c r="S347" s="11"/>
    </row>
    <row r="348" spans="1:19" ht="15.6">
      <c r="A348" s="13">
        <v>52687</v>
      </c>
      <c r="B348" s="8">
        <f>6.6716 * CHOOSE(CONTROL!$C$12, $D$4, 100%, $F$4)</f>
        <v>6.6715999999999998</v>
      </c>
      <c r="C348" s="8">
        <f>6.6819 * CHOOSE(CONTROL!$C$12, $D$4, 100%, $F$4)</f>
        <v>6.6818999999999997</v>
      </c>
      <c r="D348" s="8">
        <f>6.6641 * CHOOSE( CONTROL!$C$12, $D$4, 100%, $F$4)</f>
        <v>6.6641000000000004</v>
      </c>
      <c r="E348" s="12">
        <f>6.6695 * CHOOSE( CONTROL!$C$12, $D$4, 100%, $F$4)</f>
        <v>6.6695000000000002</v>
      </c>
      <c r="F348" s="4">
        <f>7.6697 * CHOOSE(CONTROL!$C$12, $D$4, 100%, $F$4)</f>
        <v>7.6696999999999997</v>
      </c>
      <c r="G348" s="8">
        <f>6.5872 * CHOOSE( CONTROL!$C$12, $D$4, 100%, $F$4)</f>
        <v>6.5872000000000002</v>
      </c>
      <c r="H348" s="4">
        <f>7.4779 * CHOOSE(CONTROL!$C$12, $D$4, 100%, $F$4)</f>
        <v>7.4779</v>
      </c>
      <c r="I348" s="8">
        <f>6.5252 * CHOOSE(CONTROL!$C$12, $D$4, 100%, $F$4)</f>
        <v>6.5251999999999999</v>
      </c>
      <c r="J348" s="4">
        <f>6.4638 * CHOOSE(CONTROL!$C$12, $D$4, 100%, $F$4)</f>
        <v>6.4638</v>
      </c>
      <c r="K348" s="4"/>
      <c r="L348" s="9">
        <v>27.3993</v>
      </c>
      <c r="M348" s="9">
        <v>12.063700000000001</v>
      </c>
      <c r="N348" s="9">
        <v>4.9444999999999997</v>
      </c>
      <c r="O348" s="9">
        <v>0.37459999999999999</v>
      </c>
      <c r="P348" s="9">
        <v>1.2939000000000001</v>
      </c>
      <c r="Q348" s="9">
        <v>20.4619</v>
      </c>
      <c r="R348" s="9"/>
      <c r="S348" s="11"/>
    </row>
    <row r="349" spans="1:19" ht="15.6">
      <c r="A349" s="13">
        <v>52717</v>
      </c>
      <c r="B349" s="8">
        <f>6.7729 * CHOOSE(CONTROL!$C$12, $D$4, 100%, $F$4)</f>
        <v>6.7728999999999999</v>
      </c>
      <c r="C349" s="8">
        <f>6.7833 * CHOOSE(CONTROL!$C$12, $D$4, 100%, $F$4)</f>
        <v>6.7832999999999997</v>
      </c>
      <c r="D349" s="8">
        <f>6.7883 * CHOOSE( CONTROL!$C$12, $D$4, 100%, $F$4)</f>
        <v>6.7882999999999996</v>
      </c>
      <c r="E349" s="12">
        <f>6.7855 * CHOOSE( CONTROL!$C$12, $D$4, 100%, $F$4)</f>
        <v>6.7854999999999999</v>
      </c>
      <c r="F349" s="4">
        <f>7.7794 * CHOOSE(CONTROL!$C$12, $D$4, 100%, $F$4)</f>
        <v>7.7793999999999999</v>
      </c>
      <c r="G349" s="8">
        <f>6.675 * CHOOSE( CONTROL!$C$12, $D$4, 100%, $F$4)</f>
        <v>6.6749999999999998</v>
      </c>
      <c r="H349" s="4">
        <f>7.5859 * CHOOSE(CONTROL!$C$12, $D$4, 100%, $F$4)</f>
        <v>7.5858999999999996</v>
      </c>
      <c r="I349" s="8">
        <f>6.6135 * CHOOSE(CONTROL!$C$12, $D$4, 100%, $F$4)</f>
        <v>6.6135000000000002</v>
      </c>
      <c r="J349" s="4">
        <f>6.562 * CHOOSE(CONTROL!$C$12, $D$4, 100%, $F$4)</f>
        <v>6.5620000000000003</v>
      </c>
      <c r="K349" s="4"/>
      <c r="L349" s="9">
        <v>27.988800000000001</v>
      </c>
      <c r="M349" s="9">
        <v>11.6745</v>
      </c>
      <c r="N349" s="9">
        <v>4.7850000000000001</v>
      </c>
      <c r="O349" s="9">
        <v>0.36249999999999999</v>
      </c>
      <c r="P349" s="9">
        <v>1.1798</v>
      </c>
      <c r="Q349" s="9">
        <v>19.8018</v>
      </c>
      <c r="R349" s="9"/>
      <c r="S349" s="11"/>
    </row>
    <row r="350" spans="1:19" ht="15.6">
      <c r="A350" s="13">
        <v>52748</v>
      </c>
      <c r="B350" s="8">
        <f>CHOOSE( CONTROL!$C$29, 6.9602, 6.9534) * CHOOSE(CONTROL!$C$12, $D$4, 100%, $F$4)</f>
        <v>6.9534000000000002</v>
      </c>
      <c r="C350" s="8">
        <f>CHOOSE( CONTROL!$C$29, 6.9705, 6.9637) * CHOOSE(CONTROL!$C$12, $D$4, 100%, $F$4)</f>
        <v>6.9637000000000002</v>
      </c>
      <c r="D350" s="8">
        <f>CHOOSE( CONTROL!$C$29, 6.9508, 6.944) * CHOOSE( CONTROL!$C$12, $D$4, 100%, $F$4)</f>
        <v>6.944</v>
      </c>
      <c r="E350" s="12">
        <f>CHOOSE( CONTROL!$C$29, 6.9564, 6.9496) * CHOOSE( CONTROL!$C$12, $D$4, 100%, $F$4)</f>
        <v>6.9496000000000002</v>
      </c>
      <c r="F350" s="4">
        <f>CHOOSE( CONTROL!$C$29, 7.9347, 7.9278) * CHOOSE(CONTROL!$C$12, $D$4, 100%, $F$4)</f>
        <v>7.9278000000000004</v>
      </c>
      <c r="G350" s="8">
        <f>CHOOSE( CONTROL!$C$29, 6.8414, 6.8346) * CHOOSE( CONTROL!$C$12, $D$4, 100%, $F$4)</f>
        <v>6.8346</v>
      </c>
      <c r="H350" s="4">
        <f>CHOOSE( CONTROL!$C$29, 7.739, 7.7323) * CHOOSE(CONTROL!$C$12, $D$4, 100%, $F$4)</f>
        <v>7.7323000000000004</v>
      </c>
      <c r="I350" s="8">
        <f>CHOOSE( CONTROL!$C$29, 6.7736, 6.7669) * CHOOSE(CONTROL!$C$12, $D$4, 100%, $F$4)</f>
        <v>6.7668999999999997</v>
      </c>
      <c r="J350" s="4">
        <f>CHOOSE( CONTROL!$C$29, 6.7435, 6.7369) * CHOOSE(CONTROL!$C$12, $D$4, 100%, $F$4)</f>
        <v>6.7369000000000003</v>
      </c>
      <c r="K350" s="4"/>
      <c r="L350" s="9">
        <v>29.520499999999998</v>
      </c>
      <c r="M350" s="9">
        <v>12.063700000000001</v>
      </c>
      <c r="N350" s="9">
        <v>4.9444999999999997</v>
      </c>
      <c r="O350" s="9">
        <v>0.37459999999999999</v>
      </c>
      <c r="P350" s="9">
        <v>1.2192000000000001</v>
      </c>
      <c r="Q350" s="9">
        <v>20.4619</v>
      </c>
      <c r="R350" s="9"/>
      <c r="S350" s="11"/>
    </row>
    <row r="351" spans="1:19" ht="15.6">
      <c r="A351" s="13">
        <v>52778</v>
      </c>
      <c r="B351" s="8">
        <f>CHOOSE( CONTROL!$C$29, 6.8484, 6.8416) * CHOOSE(CONTROL!$C$12, $D$4, 100%, $F$4)</f>
        <v>6.8415999999999997</v>
      </c>
      <c r="C351" s="8">
        <f>CHOOSE( CONTROL!$C$29, 6.8588, 6.8519) * CHOOSE(CONTROL!$C$12, $D$4, 100%, $F$4)</f>
        <v>6.8518999999999997</v>
      </c>
      <c r="D351" s="8">
        <f>CHOOSE( CONTROL!$C$29, 6.8335, 6.8266) * CHOOSE( CONTROL!$C$12, $D$4, 100%, $F$4)</f>
        <v>6.8266</v>
      </c>
      <c r="E351" s="12">
        <f>CHOOSE( CONTROL!$C$29, 6.8411, 6.8342) * CHOOSE( CONTROL!$C$12, $D$4, 100%, $F$4)</f>
        <v>6.8342000000000001</v>
      </c>
      <c r="F351" s="4">
        <f>CHOOSE( CONTROL!$C$29, 7.8126, 7.8057) * CHOOSE(CONTROL!$C$12, $D$4, 100%, $F$4)</f>
        <v>7.8056999999999999</v>
      </c>
      <c r="G351" s="8">
        <f>CHOOSE( CONTROL!$C$29, 6.7299, 6.7232) * CHOOSE( CONTROL!$C$12, $D$4, 100%, $F$4)</f>
        <v>6.7232000000000003</v>
      </c>
      <c r="H351" s="4">
        <f>CHOOSE( CONTROL!$C$29, 7.6187, 7.6119) * CHOOSE(CONTROL!$C$12, $D$4, 100%, $F$4)</f>
        <v>7.6119000000000003</v>
      </c>
      <c r="I351" s="8">
        <f>CHOOSE( CONTROL!$C$29, 6.6674, 6.6607) * CHOOSE(CONTROL!$C$12, $D$4, 100%, $F$4)</f>
        <v>6.6607000000000003</v>
      </c>
      <c r="J351" s="4">
        <f>CHOOSE( CONTROL!$C$29, 6.6352, 6.6286) * CHOOSE(CONTROL!$C$12, $D$4, 100%, $F$4)</f>
        <v>6.6285999999999996</v>
      </c>
      <c r="K351" s="4"/>
      <c r="L351" s="9">
        <v>28.568200000000001</v>
      </c>
      <c r="M351" s="9">
        <v>11.6745</v>
      </c>
      <c r="N351" s="9">
        <v>4.7850000000000001</v>
      </c>
      <c r="O351" s="9">
        <v>0.36249999999999999</v>
      </c>
      <c r="P351" s="9">
        <v>1.1798</v>
      </c>
      <c r="Q351" s="9">
        <v>19.8018</v>
      </c>
      <c r="R351" s="9"/>
      <c r="S351" s="11"/>
    </row>
    <row r="352" spans="1:19" ht="15.6">
      <c r="A352" s="13">
        <v>52809</v>
      </c>
      <c r="B352" s="8">
        <f>CHOOSE( CONTROL!$C$29, 7.1428, 7.136) * CHOOSE(CONTROL!$C$12, $D$4, 100%, $F$4)</f>
        <v>7.1360000000000001</v>
      </c>
      <c r="C352" s="8">
        <f>CHOOSE( CONTROL!$C$29, 7.1531, 7.1463) * CHOOSE(CONTROL!$C$12, $D$4, 100%, $F$4)</f>
        <v>7.1463000000000001</v>
      </c>
      <c r="D352" s="8">
        <f>CHOOSE( CONTROL!$C$29, 7.1613, 7.1544) * CHOOSE( CONTROL!$C$12, $D$4, 100%, $F$4)</f>
        <v>7.1543999999999999</v>
      </c>
      <c r="E352" s="12">
        <f>CHOOSE( CONTROL!$C$29, 7.1568, 7.1499) * CHOOSE( CONTROL!$C$12, $D$4, 100%, $F$4)</f>
        <v>7.1498999999999997</v>
      </c>
      <c r="F352" s="4">
        <f>CHOOSE( CONTROL!$C$29, 8.1518, 8.145) * CHOOSE(CONTROL!$C$12, $D$4, 100%, $F$4)</f>
        <v>8.1449999999999996</v>
      </c>
      <c r="G352" s="8">
        <f>CHOOSE( CONTROL!$C$29, 7.0461, 7.0394) * CHOOSE( CONTROL!$C$12, $D$4, 100%, $F$4)</f>
        <v>7.0393999999999997</v>
      </c>
      <c r="H352" s="4">
        <f>CHOOSE( CONTROL!$C$29, 7.9531, 7.9463) * CHOOSE(CONTROL!$C$12, $D$4, 100%, $F$4)</f>
        <v>7.9462999999999999</v>
      </c>
      <c r="I352" s="8">
        <f>CHOOSE( CONTROL!$C$29, 7.008, 7.0014) * CHOOSE(CONTROL!$C$12, $D$4, 100%, $F$4)</f>
        <v>7.0014000000000003</v>
      </c>
      <c r="J352" s="4">
        <f>CHOOSE( CONTROL!$C$29, 6.9204, 6.9138) * CHOOSE(CONTROL!$C$12, $D$4, 100%, $F$4)</f>
        <v>6.9138000000000002</v>
      </c>
      <c r="K352" s="4"/>
      <c r="L352" s="9">
        <v>29.520499999999998</v>
      </c>
      <c r="M352" s="9">
        <v>12.063700000000001</v>
      </c>
      <c r="N352" s="9">
        <v>4.9444999999999997</v>
      </c>
      <c r="O352" s="9">
        <v>0.37459999999999999</v>
      </c>
      <c r="P352" s="9">
        <v>1.2192000000000001</v>
      </c>
      <c r="Q352" s="9">
        <v>20.4619</v>
      </c>
      <c r="R352" s="9"/>
      <c r="S352" s="11"/>
    </row>
    <row r="353" spans="1:19" ht="15.6">
      <c r="A353" s="13">
        <v>52840</v>
      </c>
      <c r="B353" s="8">
        <f>CHOOSE( CONTROL!$C$29, 6.592, 6.5852) * CHOOSE(CONTROL!$C$12, $D$4, 100%, $F$4)</f>
        <v>6.5852000000000004</v>
      </c>
      <c r="C353" s="8">
        <f>CHOOSE( CONTROL!$C$29, 6.6023, 6.5955) * CHOOSE(CONTROL!$C$12, $D$4, 100%, $F$4)</f>
        <v>6.5955000000000004</v>
      </c>
      <c r="D353" s="8">
        <f>CHOOSE( CONTROL!$C$29, 6.6038, 6.597) * CHOOSE( CONTROL!$C$12, $D$4, 100%, $F$4)</f>
        <v>6.5970000000000004</v>
      </c>
      <c r="E353" s="12">
        <f>CHOOSE( CONTROL!$C$29, 6.6017, 6.5949) * CHOOSE( CONTROL!$C$12, $D$4, 100%, $F$4)</f>
        <v>6.5949</v>
      </c>
      <c r="F353" s="4">
        <f>CHOOSE( CONTROL!$C$29, 7.5985, 7.5916) * CHOOSE(CONTROL!$C$12, $D$4, 100%, $F$4)</f>
        <v>7.5915999999999997</v>
      </c>
      <c r="G353" s="8">
        <f>CHOOSE( CONTROL!$C$29, 6.4933, 6.4865) * CHOOSE( CONTROL!$C$12, $D$4, 100%, $F$4)</f>
        <v>6.4865000000000004</v>
      </c>
      <c r="H353" s="4">
        <f>CHOOSE( CONTROL!$C$29, 7.4076, 7.4009) * CHOOSE(CONTROL!$C$12, $D$4, 100%, $F$4)</f>
        <v>7.4009</v>
      </c>
      <c r="I353" s="8">
        <f>CHOOSE( CONTROL!$C$29, 6.4552, 6.4485) * CHOOSE(CONTROL!$C$12, $D$4, 100%, $F$4)</f>
        <v>6.4485000000000001</v>
      </c>
      <c r="J353" s="4">
        <f>CHOOSE( CONTROL!$C$29, 6.3867, 6.3801) * CHOOSE(CONTROL!$C$12, $D$4, 100%, $F$4)</f>
        <v>6.3800999999999997</v>
      </c>
      <c r="K353" s="4"/>
      <c r="L353" s="9">
        <v>29.520499999999998</v>
      </c>
      <c r="M353" s="9">
        <v>12.063700000000001</v>
      </c>
      <c r="N353" s="9">
        <v>4.9444999999999997</v>
      </c>
      <c r="O353" s="9">
        <v>0.37459999999999999</v>
      </c>
      <c r="P353" s="9">
        <v>1.2192000000000001</v>
      </c>
      <c r="Q353" s="9">
        <v>20.4619</v>
      </c>
      <c r="R353" s="9"/>
      <c r="S353" s="11"/>
    </row>
    <row r="354" spans="1:19" ht="15.6">
      <c r="A354" s="13">
        <v>52870</v>
      </c>
      <c r="B354" s="8">
        <f>CHOOSE( CONTROL!$C$29, 6.4541, 6.4473) * CHOOSE(CONTROL!$C$12, $D$4, 100%, $F$4)</f>
        <v>6.4473000000000003</v>
      </c>
      <c r="C354" s="8">
        <f>CHOOSE( CONTROL!$C$29, 6.4644, 6.4576) * CHOOSE(CONTROL!$C$12, $D$4, 100%, $F$4)</f>
        <v>6.4576000000000002</v>
      </c>
      <c r="D354" s="8">
        <f>CHOOSE( CONTROL!$C$29, 6.4691, 6.4623) * CHOOSE( CONTROL!$C$12, $D$4, 100%, $F$4)</f>
        <v>6.4622999999999999</v>
      </c>
      <c r="E354" s="12">
        <f>CHOOSE( CONTROL!$C$29, 6.4658, 6.459) * CHOOSE( CONTROL!$C$12, $D$4, 100%, $F$4)</f>
        <v>6.4589999999999996</v>
      </c>
      <c r="F354" s="4">
        <f>CHOOSE( CONTROL!$C$29, 7.4657, 7.4589) * CHOOSE(CONTROL!$C$12, $D$4, 100%, $F$4)</f>
        <v>7.4588999999999999</v>
      </c>
      <c r="G354" s="8">
        <f>CHOOSE( CONTROL!$C$29, 6.3594, 6.3526) * CHOOSE( CONTROL!$C$12, $D$4, 100%, $F$4)</f>
        <v>6.3525999999999998</v>
      </c>
      <c r="H354" s="4">
        <f>CHOOSE( CONTROL!$C$29, 7.2767, 7.27) * CHOOSE(CONTROL!$C$12, $D$4, 100%, $F$4)</f>
        <v>7.27</v>
      </c>
      <c r="I354" s="8">
        <f>CHOOSE( CONTROL!$C$29, 6.3293, 6.3226) * CHOOSE(CONTROL!$C$12, $D$4, 100%, $F$4)</f>
        <v>6.3226000000000004</v>
      </c>
      <c r="J354" s="4">
        <f>CHOOSE( CONTROL!$C$29, 6.2531, 6.2465) * CHOOSE(CONTROL!$C$12, $D$4, 100%, $F$4)</f>
        <v>6.2465000000000002</v>
      </c>
      <c r="K354" s="4"/>
      <c r="L354" s="9">
        <v>28.568200000000001</v>
      </c>
      <c r="M354" s="9">
        <v>11.6745</v>
      </c>
      <c r="N354" s="9">
        <v>4.7850000000000001</v>
      </c>
      <c r="O354" s="9">
        <v>0.36249999999999999</v>
      </c>
      <c r="P354" s="9">
        <v>1.1798</v>
      </c>
      <c r="Q354" s="9">
        <v>19.8018</v>
      </c>
      <c r="R354" s="9"/>
      <c r="S354" s="11"/>
    </row>
    <row r="355" spans="1:19" ht="15.6">
      <c r="A355" s="13">
        <v>52901</v>
      </c>
      <c r="B355" s="8">
        <f>6.7336 * CHOOSE(CONTROL!$C$12, $D$4, 100%, $F$4)</f>
        <v>6.7336</v>
      </c>
      <c r="C355" s="8">
        <f>6.744 * CHOOSE(CONTROL!$C$12, $D$4, 100%, $F$4)</f>
        <v>6.7439999999999998</v>
      </c>
      <c r="D355" s="8">
        <f>6.739 * CHOOSE( CONTROL!$C$12, $D$4, 100%, $F$4)</f>
        <v>6.7389999999999999</v>
      </c>
      <c r="E355" s="12">
        <f>6.7395 * CHOOSE( CONTROL!$C$12, $D$4, 100%, $F$4)</f>
        <v>6.7394999999999996</v>
      </c>
      <c r="F355" s="4">
        <f>7.7246 * CHOOSE(CONTROL!$C$12, $D$4, 100%, $F$4)</f>
        <v>7.7245999999999997</v>
      </c>
      <c r="G355" s="8">
        <f>6.6317 * CHOOSE( CONTROL!$C$12, $D$4, 100%, $F$4)</f>
        <v>6.6317000000000004</v>
      </c>
      <c r="H355" s="4">
        <f>7.5319 * CHOOSE(CONTROL!$C$12, $D$4, 100%, $F$4)</f>
        <v>7.5319000000000003</v>
      </c>
      <c r="I355" s="8">
        <f>6.6041 * CHOOSE(CONTROL!$C$12, $D$4, 100%, $F$4)</f>
        <v>6.6040999999999999</v>
      </c>
      <c r="J355" s="4">
        <f>6.5239 * CHOOSE(CONTROL!$C$12, $D$4, 100%, $F$4)</f>
        <v>6.5239000000000003</v>
      </c>
      <c r="K355" s="4"/>
      <c r="L355" s="9">
        <v>28.921800000000001</v>
      </c>
      <c r="M355" s="9">
        <v>12.063700000000001</v>
      </c>
      <c r="N355" s="9">
        <v>4.9444999999999997</v>
      </c>
      <c r="O355" s="9">
        <v>0.37459999999999999</v>
      </c>
      <c r="P355" s="9">
        <v>1.2192000000000001</v>
      </c>
      <c r="Q355" s="9">
        <v>20.4619</v>
      </c>
      <c r="R355" s="9"/>
      <c r="S355" s="11"/>
    </row>
    <row r="356" spans="1:19" ht="15.6">
      <c r="A356" s="13">
        <v>52931</v>
      </c>
      <c r="B356" s="8">
        <f>7.2622 * CHOOSE(CONTROL!$C$12, $D$4, 100%, $F$4)</f>
        <v>7.2622</v>
      </c>
      <c r="C356" s="8">
        <f>7.2725 * CHOOSE(CONTROL!$C$12, $D$4, 100%, $F$4)</f>
        <v>7.2725</v>
      </c>
      <c r="D356" s="8">
        <f>7.2318 * CHOOSE( CONTROL!$C$12, $D$4, 100%, $F$4)</f>
        <v>7.2317999999999998</v>
      </c>
      <c r="E356" s="12">
        <f>7.2456 * CHOOSE( CONTROL!$C$12, $D$4, 100%, $F$4)</f>
        <v>7.2455999999999996</v>
      </c>
      <c r="F356" s="4">
        <f>8.2392 * CHOOSE(CONTROL!$C$12, $D$4, 100%, $F$4)</f>
        <v>8.2392000000000003</v>
      </c>
      <c r="G356" s="8">
        <f>7.1467 * CHOOSE( CONTROL!$C$12, $D$4, 100%, $F$4)</f>
        <v>7.1467000000000001</v>
      </c>
      <c r="H356" s="4">
        <f>8.0393 * CHOOSE(CONTROL!$C$12, $D$4, 100%, $F$4)</f>
        <v>8.0393000000000008</v>
      </c>
      <c r="I356" s="8">
        <f>7.1009 * CHOOSE(CONTROL!$C$12, $D$4, 100%, $F$4)</f>
        <v>7.1009000000000002</v>
      </c>
      <c r="J356" s="4">
        <f>7.0361 * CHOOSE(CONTROL!$C$12, $D$4, 100%, $F$4)</f>
        <v>7.0361000000000002</v>
      </c>
      <c r="K356" s="4"/>
      <c r="L356" s="9">
        <v>26.515499999999999</v>
      </c>
      <c r="M356" s="9">
        <v>11.6745</v>
      </c>
      <c r="N356" s="9">
        <v>4.7850000000000001</v>
      </c>
      <c r="O356" s="9">
        <v>0.36249999999999999</v>
      </c>
      <c r="P356" s="9">
        <v>1.2522</v>
      </c>
      <c r="Q356" s="9">
        <v>19.8018</v>
      </c>
      <c r="R356" s="9"/>
      <c r="S356" s="11"/>
    </row>
    <row r="357" spans="1:19" ht="15.6">
      <c r="A357" s="13">
        <v>52962</v>
      </c>
      <c r="B357" s="8">
        <f>7.249 * CHOOSE(CONTROL!$C$12, $D$4, 100%, $F$4)</f>
        <v>7.2489999999999997</v>
      </c>
      <c r="C357" s="8">
        <f>7.2593 * CHOOSE(CONTROL!$C$12, $D$4, 100%, $F$4)</f>
        <v>7.2592999999999996</v>
      </c>
      <c r="D357" s="8">
        <f>7.2205 * CHOOSE( CONTROL!$C$12, $D$4, 100%, $F$4)</f>
        <v>7.2205000000000004</v>
      </c>
      <c r="E357" s="12">
        <f>7.2336 * CHOOSE( CONTROL!$C$12, $D$4, 100%, $F$4)</f>
        <v>7.2336</v>
      </c>
      <c r="F357" s="4">
        <f>8.2193 * CHOOSE(CONTROL!$C$12, $D$4, 100%, $F$4)</f>
        <v>8.2193000000000005</v>
      </c>
      <c r="G357" s="8">
        <f>7.136 * CHOOSE( CONTROL!$C$12, $D$4, 100%, $F$4)</f>
        <v>7.1360000000000001</v>
      </c>
      <c r="H357" s="4">
        <f>8.0196 * CHOOSE(CONTROL!$C$12, $D$4, 100%, $F$4)</f>
        <v>8.0196000000000005</v>
      </c>
      <c r="I357" s="8">
        <f>7.0988 * CHOOSE(CONTROL!$C$12, $D$4, 100%, $F$4)</f>
        <v>7.0987999999999998</v>
      </c>
      <c r="J357" s="4">
        <f>7.0233 * CHOOSE(CONTROL!$C$12, $D$4, 100%, $F$4)</f>
        <v>7.0232999999999999</v>
      </c>
      <c r="K357" s="4"/>
      <c r="L357" s="9">
        <v>27.3993</v>
      </c>
      <c r="M357" s="9">
        <v>12.063700000000001</v>
      </c>
      <c r="N357" s="9">
        <v>4.9444999999999997</v>
      </c>
      <c r="O357" s="9">
        <v>0.37459999999999999</v>
      </c>
      <c r="P357" s="9">
        <v>1.2939000000000001</v>
      </c>
      <c r="Q357" s="9">
        <v>20.4619</v>
      </c>
      <c r="R357" s="9"/>
      <c r="S357" s="11"/>
    </row>
    <row r="358" spans="1:19" ht="15.6">
      <c r="A358" s="13">
        <v>52993</v>
      </c>
      <c r="B358" s="8">
        <f>7.4182 * CHOOSE(CONTROL!$C$12, $D$4, 100%, $F$4)</f>
        <v>7.4181999999999997</v>
      </c>
      <c r="C358" s="8">
        <f>7.4285 * CHOOSE(CONTROL!$C$12, $D$4, 100%, $F$4)</f>
        <v>7.4284999999999997</v>
      </c>
      <c r="D358" s="8">
        <f>7.4283 * CHOOSE( CONTROL!$C$12, $D$4, 100%, $F$4)</f>
        <v>7.4283000000000001</v>
      </c>
      <c r="E358" s="12">
        <f>7.4273 * CHOOSE( CONTROL!$C$12, $D$4, 100%, $F$4)</f>
        <v>7.4272999999999998</v>
      </c>
      <c r="F358" s="4">
        <f>8.4401 * CHOOSE(CONTROL!$C$12, $D$4, 100%, $F$4)</f>
        <v>8.4400999999999993</v>
      </c>
      <c r="G358" s="8">
        <f>7.3438 * CHOOSE( CONTROL!$C$12, $D$4, 100%, $F$4)</f>
        <v>7.3437999999999999</v>
      </c>
      <c r="H358" s="4">
        <f>8.2372 * CHOOSE(CONTROL!$C$12, $D$4, 100%, $F$4)</f>
        <v>8.2371999999999996</v>
      </c>
      <c r="I358" s="8">
        <f>7.2994 * CHOOSE(CONTROL!$C$12, $D$4, 100%, $F$4)</f>
        <v>7.2994000000000003</v>
      </c>
      <c r="J358" s="4">
        <f>7.1872 * CHOOSE(CONTROL!$C$12, $D$4, 100%, $F$4)</f>
        <v>7.1871999999999998</v>
      </c>
      <c r="K358" s="4"/>
      <c r="L358" s="9">
        <v>27.3993</v>
      </c>
      <c r="M358" s="9">
        <v>12.063700000000001</v>
      </c>
      <c r="N358" s="9">
        <v>4.9444999999999997</v>
      </c>
      <c r="O358" s="9">
        <v>0.37459999999999999</v>
      </c>
      <c r="P358" s="9">
        <v>1.2939000000000001</v>
      </c>
      <c r="Q358" s="9">
        <v>20.396799999999999</v>
      </c>
      <c r="R358" s="9"/>
      <c r="S358" s="11"/>
    </row>
    <row r="359" spans="1:19" ht="15.6">
      <c r="A359" s="13">
        <v>53021</v>
      </c>
      <c r="B359" s="8">
        <f>6.9386 * CHOOSE(CONTROL!$C$12, $D$4, 100%, $F$4)</f>
        <v>6.9386000000000001</v>
      </c>
      <c r="C359" s="8">
        <f>6.949 * CHOOSE(CONTROL!$C$12, $D$4, 100%, $F$4)</f>
        <v>6.9489999999999998</v>
      </c>
      <c r="D359" s="8">
        <f>6.951 * CHOOSE( CONTROL!$C$12, $D$4, 100%, $F$4)</f>
        <v>6.9509999999999996</v>
      </c>
      <c r="E359" s="12">
        <f>6.9492 * CHOOSE( CONTROL!$C$12, $D$4, 100%, $F$4)</f>
        <v>6.9492000000000003</v>
      </c>
      <c r="F359" s="4">
        <f>7.9528 * CHOOSE(CONTROL!$C$12, $D$4, 100%, $F$4)</f>
        <v>7.9527999999999999</v>
      </c>
      <c r="G359" s="8">
        <f>6.8709 * CHOOSE( CONTROL!$C$12, $D$4, 100%, $F$4)</f>
        <v>6.8708999999999998</v>
      </c>
      <c r="H359" s="4">
        <f>7.7569 * CHOOSE(CONTROL!$C$12, $D$4, 100%, $F$4)</f>
        <v>7.7568999999999999</v>
      </c>
      <c r="I359" s="8">
        <f>6.8236 * CHOOSE(CONTROL!$C$12, $D$4, 100%, $F$4)</f>
        <v>6.8235999999999999</v>
      </c>
      <c r="J359" s="4">
        <f>6.7226 * CHOOSE(CONTROL!$C$12, $D$4, 100%, $F$4)</f>
        <v>6.7225999999999999</v>
      </c>
      <c r="K359" s="4"/>
      <c r="L359" s="9">
        <v>24.747800000000002</v>
      </c>
      <c r="M359" s="9">
        <v>10.8962</v>
      </c>
      <c r="N359" s="9">
        <v>4.4660000000000002</v>
      </c>
      <c r="O359" s="9">
        <v>0.33829999999999999</v>
      </c>
      <c r="P359" s="9">
        <v>1.1687000000000001</v>
      </c>
      <c r="Q359" s="9">
        <v>18.422899999999998</v>
      </c>
      <c r="R359" s="9"/>
      <c r="S359" s="11"/>
    </row>
    <row r="360" spans="1:19" ht="15.6">
      <c r="A360" s="13">
        <v>53052</v>
      </c>
      <c r="B360" s="8">
        <f>6.791 * CHOOSE(CONTROL!$C$12, $D$4, 100%, $F$4)</f>
        <v>6.7910000000000004</v>
      </c>
      <c r="C360" s="8">
        <f>6.8013 * CHOOSE(CONTROL!$C$12, $D$4, 100%, $F$4)</f>
        <v>6.8013000000000003</v>
      </c>
      <c r="D360" s="8">
        <f>6.7835 * CHOOSE( CONTROL!$C$12, $D$4, 100%, $F$4)</f>
        <v>6.7835000000000001</v>
      </c>
      <c r="E360" s="12">
        <f>6.7889 * CHOOSE( CONTROL!$C$12, $D$4, 100%, $F$4)</f>
        <v>6.7888999999999999</v>
      </c>
      <c r="F360" s="4">
        <f>7.7891 * CHOOSE(CONTROL!$C$12, $D$4, 100%, $F$4)</f>
        <v>7.7891000000000004</v>
      </c>
      <c r="G360" s="8">
        <f>6.7049 * CHOOSE( CONTROL!$C$12, $D$4, 100%, $F$4)</f>
        <v>6.7049000000000003</v>
      </c>
      <c r="H360" s="4">
        <f>7.5956 * CHOOSE(CONTROL!$C$12, $D$4, 100%, $F$4)</f>
        <v>7.5956000000000001</v>
      </c>
      <c r="I360" s="8">
        <f>6.6409 * CHOOSE(CONTROL!$C$12, $D$4, 100%, $F$4)</f>
        <v>6.6409000000000002</v>
      </c>
      <c r="J360" s="4">
        <f>6.5795 * CHOOSE(CONTROL!$C$12, $D$4, 100%, $F$4)</f>
        <v>6.5795000000000003</v>
      </c>
      <c r="K360" s="4"/>
      <c r="L360" s="9">
        <v>27.3993</v>
      </c>
      <c r="M360" s="9">
        <v>12.063700000000001</v>
      </c>
      <c r="N360" s="9">
        <v>4.9444999999999997</v>
      </c>
      <c r="O360" s="9">
        <v>0.37459999999999999</v>
      </c>
      <c r="P360" s="9">
        <v>1.2939000000000001</v>
      </c>
      <c r="Q360" s="9">
        <v>20.396799999999999</v>
      </c>
      <c r="R360" s="9"/>
      <c r="S360" s="11"/>
    </row>
    <row r="361" spans="1:19" ht="15.6">
      <c r="A361" s="13">
        <v>53082</v>
      </c>
      <c r="B361" s="8">
        <f>6.8942 * CHOOSE(CONTROL!$C$12, $D$4, 100%, $F$4)</f>
        <v>6.8941999999999997</v>
      </c>
      <c r="C361" s="8">
        <f>6.9045 * CHOOSE(CONTROL!$C$12, $D$4, 100%, $F$4)</f>
        <v>6.9044999999999996</v>
      </c>
      <c r="D361" s="8">
        <f>6.9095 * CHOOSE( CONTROL!$C$12, $D$4, 100%, $F$4)</f>
        <v>6.9095000000000004</v>
      </c>
      <c r="E361" s="12">
        <f>6.9067 * CHOOSE( CONTROL!$C$12, $D$4, 100%, $F$4)</f>
        <v>6.9066999999999998</v>
      </c>
      <c r="F361" s="4">
        <f>7.9006 * CHOOSE(CONTROL!$C$12, $D$4, 100%, $F$4)</f>
        <v>7.9005999999999998</v>
      </c>
      <c r="G361" s="8">
        <f>6.7945 * CHOOSE( CONTROL!$C$12, $D$4, 100%, $F$4)</f>
        <v>6.7945000000000002</v>
      </c>
      <c r="H361" s="4">
        <f>7.7054 * CHOOSE(CONTROL!$C$12, $D$4, 100%, $F$4)</f>
        <v>7.7054</v>
      </c>
      <c r="I361" s="8">
        <f>6.7311 * CHOOSE(CONTROL!$C$12, $D$4, 100%, $F$4)</f>
        <v>6.7310999999999996</v>
      </c>
      <c r="J361" s="4">
        <f>6.6795 * CHOOSE(CONTROL!$C$12, $D$4, 100%, $F$4)</f>
        <v>6.6795</v>
      </c>
      <c r="K361" s="4"/>
      <c r="L361" s="9">
        <v>27.988800000000001</v>
      </c>
      <c r="M361" s="9">
        <v>11.6745</v>
      </c>
      <c r="N361" s="9">
        <v>4.7850000000000001</v>
      </c>
      <c r="O361" s="9">
        <v>0.36249999999999999</v>
      </c>
      <c r="P361" s="9">
        <v>1.1798</v>
      </c>
      <c r="Q361" s="9">
        <v>19.738800000000001</v>
      </c>
      <c r="R361" s="9"/>
      <c r="S361" s="11"/>
    </row>
    <row r="362" spans="1:19" ht="15.6">
      <c r="A362" s="13">
        <v>53113</v>
      </c>
      <c r="B362" s="8">
        <f>CHOOSE( CONTROL!$C$29, 7.0847, 7.0778) * CHOOSE(CONTROL!$C$12, $D$4, 100%, $F$4)</f>
        <v>7.0777999999999999</v>
      </c>
      <c r="C362" s="8">
        <f>CHOOSE( CONTROL!$C$29, 7.095, 7.0881) * CHOOSE(CONTROL!$C$12, $D$4, 100%, $F$4)</f>
        <v>7.0880999999999998</v>
      </c>
      <c r="D362" s="8">
        <f>CHOOSE( CONTROL!$C$29, 7.0752, 7.0684) * CHOOSE( CONTROL!$C$12, $D$4, 100%, $F$4)</f>
        <v>7.0683999999999996</v>
      </c>
      <c r="E362" s="12">
        <f>CHOOSE( CONTROL!$C$29, 7.0808, 7.074) * CHOOSE( CONTROL!$C$12, $D$4, 100%, $F$4)</f>
        <v>7.0739999999999998</v>
      </c>
      <c r="F362" s="4">
        <f>CHOOSE( CONTROL!$C$29, 8.0591, 8.0523) * CHOOSE(CONTROL!$C$12, $D$4, 100%, $F$4)</f>
        <v>8.0523000000000007</v>
      </c>
      <c r="G362" s="8">
        <f>CHOOSE( CONTROL!$C$29, 6.9641, 6.9573) * CHOOSE( CONTROL!$C$12, $D$4, 100%, $F$4)</f>
        <v>6.9573</v>
      </c>
      <c r="H362" s="4">
        <f>CHOOSE( CONTROL!$C$29, 7.8617, 7.855) * CHOOSE(CONTROL!$C$12, $D$4, 100%, $F$4)</f>
        <v>7.8550000000000004</v>
      </c>
      <c r="I362" s="8">
        <f>CHOOSE( CONTROL!$C$29, 6.8942, 6.8876) * CHOOSE(CONTROL!$C$12, $D$4, 100%, $F$4)</f>
        <v>6.8875999999999999</v>
      </c>
      <c r="J362" s="4">
        <f>CHOOSE( CONTROL!$C$29, 6.8641, 6.8575) * CHOOSE(CONTROL!$C$12, $D$4, 100%, $F$4)</f>
        <v>6.8574999999999999</v>
      </c>
      <c r="K362" s="4"/>
      <c r="L362" s="9">
        <v>29.520499999999998</v>
      </c>
      <c r="M362" s="9">
        <v>12.063700000000001</v>
      </c>
      <c r="N362" s="9">
        <v>4.9444999999999997</v>
      </c>
      <c r="O362" s="9">
        <v>0.37459999999999999</v>
      </c>
      <c r="P362" s="9">
        <v>1.2192000000000001</v>
      </c>
      <c r="Q362" s="9">
        <v>20.396799999999999</v>
      </c>
      <c r="R362" s="9"/>
      <c r="S362" s="11"/>
    </row>
    <row r="363" spans="1:19" ht="15.6">
      <c r="A363" s="13">
        <v>53143</v>
      </c>
      <c r="B363" s="8">
        <f>CHOOSE( CONTROL!$C$29, 6.9709, 6.9641) * CHOOSE(CONTROL!$C$12, $D$4, 100%, $F$4)</f>
        <v>6.9641000000000002</v>
      </c>
      <c r="C363" s="8">
        <f>CHOOSE( CONTROL!$C$29, 6.9812, 6.9744) * CHOOSE(CONTROL!$C$12, $D$4, 100%, $F$4)</f>
        <v>6.9744000000000002</v>
      </c>
      <c r="D363" s="8">
        <f>CHOOSE( CONTROL!$C$29, 6.9559, 6.9491) * CHOOSE( CONTROL!$C$12, $D$4, 100%, $F$4)</f>
        <v>6.9490999999999996</v>
      </c>
      <c r="E363" s="12">
        <f>CHOOSE( CONTROL!$C$29, 6.9635, 6.9567) * CHOOSE( CONTROL!$C$12, $D$4, 100%, $F$4)</f>
        <v>6.9566999999999997</v>
      </c>
      <c r="F363" s="4">
        <f>CHOOSE( CONTROL!$C$29, 7.935, 7.9282) * CHOOSE(CONTROL!$C$12, $D$4, 100%, $F$4)</f>
        <v>7.9282000000000004</v>
      </c>
      <c r="G363" s="8">
        <f>CHOOSE( CONTROL!$C$29, 6.8506, 6.8439) * CHOOSE( CONTROL!$C$12, $D$4, 100%, $F$4)</f>
        <v>6.8438999999999997</v>
      </c>
      <c r="H363" s="4">
        <f>CHOOSE( CONTROL!$C$29, 7.7394, 7.7326) * CHOOSE(CONTROL!$C$12, $D$4, 100%, $F$4)</f>
        <v>7.7325999999999997</v>
      </c>
      <c r="I363" s="8">
        <f>CHOOSE( CONTROL!$C$29, 6.7861, 6.7795) * CHOOSE(CONTROL!$C$12, $D$4, 100%, $F$4)</f>
        <v>6.7794999999999996</v>
      </c>
      <c r="J363" s="4">
        <f>CHOOSE( CONTROL!$C$29, 6.7538, 6.7472) * CHOOSE(CONTROL!$C$12, $D$4, 100%, $F$4)</f>
        <v>6.7472000000000003</v>
      </c>
      <c r="K363" s="4"/>
      <c r="L363" s="9">
        <v>28.568200000000001</v>
      </c>
      <c r="M363" s="9">
        <v>11.6745</v>
      </c>
      <c r="N363" s="9">
        <v>4.7850000000000001</v>
      </c>
      <c r="O363" s="9">
        <v>0.36249999999999999</v>
      </c>
      <c r="P363" s="9">
        <v>1.1798</v>
      </c>
      <c r="Q363" s="9">
        <v>19.738800000000001</v>
      </c>
      <c r="R363" s="9"/>
      <c r="S363" s="11"/>
    </row>
    <row r="364" spans="1:19" ht="15.6">
      <c r="A364" s="13">
        <v>53174</v>
      </c>
      <c r="B364" s="8">
        <f>CHOOSE( CONTROL!$C$29, 7.2705, 7.2637) * CHOOSE(CONTROL!$C$12, $D$4, 100%, $F$4)</f>
        <v>7.2637</v>
      </c>
      <c r="C364" s="8">
        <f>CHOOSE( CONTROL!$C$29, 7.2808, 7.274) * CHOOSE(CONTROL!$C$12, $D$4, 100%, $F$4)</f>
        <v>7.274</v>
      </c>
      <c r="D364" s="8">
        <f>CHOOSE( CONTROL!$C$29, 7.289, 7.2821) * CHOOSE( CONTROL!$C$12, $D$4, 100%, $F$4)</f>
        <v>7.2820999999999998</v>
      </c>
      <c r="E364" s="12">
        <f>CHOOSE( CONTROL!$C$29, 7.2845, 7.2776) * CHOOSE( CONTROL!$C$12, $D$4, 100%, $F$4)</f>
        <v>7.2775999999999996</v>
      </c>
      <c r="F364" s="4">
        <f>CHOOSE( CONTROL!$C$29, 8.2795, 8.2727) * CHOOSE(CONTROL!$C$12, $D$4, 100%, $F$4)</f>
        <v>8.2727000000000004</v>
      </c>
      <c r="G364" s="8">
        <f>CHOOSE( CONTROL!$C$29, 7.172, 7.1653) * CHOOSE( CONTROL!$C$12, $D$4, 100%, $F$4)</f>
        <v>7.1653000000000002</v>
      </c>
      <c r="H364" s="4">
        <f>CHOOSE( CONTROL!$C$29, 8.079, 8.0722) * CHOOSE(CONTROL!$C$12, $D$4, 100%, $F$4)</f>
        <v>8.0722000000000005</v>
      </c>
      <c r="I364" s="8">
        <f>CHOOSE( CONTROL!$C$29, 7.1319, 7.1252) * CHOOSE(CONTROL!$C$12, $D$4, 100%, $F$4)</f>
        <v>7.1252000000000004</v>
      </c>
      <c r="J364" s="4">
        <f>CHOOSE( CONTROL!$C$29, 7.0442, 7.0376) * CHOOSE(CONTROL!$C$12, $D$4, 100%, $F$4)</f>
        <v>7.0376000000000003</v>
      </c>
      <c r="K364" s="4"/>
      <c r="L364" s="9">
        <v>29.520499999999998</v>
      </c>
      <c r="M364" s="9">
        <v>12.063700000000001</v>
      </c>
      <c r="N364" s="9">
        <v>4.9444999999999997</v>
      </c>
      <c r="O364" s="9">
        <v>0.37459999999999999</v>
      </c>
      <c r="P364" s="9">
        <v>1.2192000000000001</v>
      </c>
      <c r="Q364" s="9">
        <v>20.396799999999999</v>
      </c>
      <c r="R364" s="9"/>
      <c r="S364" s="11"/>
    </row>
    <row r="365" spans="1:19" ht="15.6">
      <c r="A365" s="13">
        <v>53205</v>
      </c>
      <c r="B365" s="8">
        <f>CHOOSE( CONTROL!$C$29, 6.7099, 6.703) * CHOOSE(CONTROL!$C$12, $D$4, 100%, $F$4)</f>
        <v>6.7030000000000003</v>
      </c>
      <c r="C365" s="8">
        <f>CHOOSE( CONTROL!$C$29, 6.7202, 6.7134) * CHOOSE(CONTROL!$C$12, $D$4, 100%, $F$4)</f>
        <v>6.7134</v>
      </c>
      <c r="D365" s="8">
        <f>CHOOSE( CONTROL!$C$29, 6.7217, 6.7148) * CHOOSE( CONTROL!$C$12, $D$4, 100%, $F$4)</f>
        <v>6.7148000000000003</v>
      </c>
      <c r="E365" s="12">
        <f>CHOOSE( CONTROL!$C$29, 6.7196, 6.7127) * CHOOSE( CONTROL!$C$12, $D$4, 100%, $F$4)</f>
        <v>6.7126999999999999</v>
      </c>
      <c r="F365" s="4">
        <f>CHOOSE( CONTROL!$C$29, 7.7163, 7.7095) * CHOOSE(CONTROL!$C$12, $D$4, 100%, $F$4)</f>
        <v>7.7095000000000002</v>
      </c>
      <c r="G365" s="8">
        <f>CHOOSE( CONTROL!$C$29, 6.6095, 6.6027) * CHOOSE( CONTROL!$C$12, $D$4, 100%, $F$4)</f>
        <v>6.6026999999999996</v>
      </c>
      <c r="H365" s="4">
        <f>CHOOSE( CONTROL!$C$29, 7.5238, 7.5171) * CHOOSE(CONTROL!$C$12, $D$4, 100%, $F$4)</f>
        <v>7.5171000000000001</v>
      </c>
      <c r="I365" s="8">
        <f>CHOOSE( CONTROL!$C$29, 6.5694, 6.5628) * CHOOSE(CONTROL!$C$12, $D$4, 100%, $F$4)</f>
        <v>6.5628000000000002</v>
      </c>
      <c r="J365" s="4">
        <f>CHOOSE( CONTROL!$C$29, 6.5009, 6.4943) * CHOOSE(CONTROL!$C$12, $D$4, 100%, $F$4)</f>
        <v>6.4943</v>
      </c>
      <c r="K365" s="4"/>
      <c r="L365" s="9">
        <v>29.520499999999998</v>
      </c>
      <c r="M365" s="9">
        <v>12.063700000000001</v>
      </c>
      <c r="N365" s="9">
        <v>4.9444999999999997</v>
      </c>
      <c r="O365" s="9">
        <v>0.37459999999999999</v>
      </c>
      <c r="P365" s="9">
        <v>1.2192000000000001</v>
      </c>
      <c r="Q365" s="9">
        <v>20.396799999999999</v>
      </c>
      <c r="R365" s="9"/>
      <c r="S365" s="11"/>
    </row>
    <row r="366" spans="1:19" ht="15.6">
      <c r="A366" s="13">
        <v>53235</v>
      </c>
      <c r="B366" s="8">
        <f>CHOOSE( CONTROL!$C$29, 6.5695, 6.5627) * CHOOSE(CONTROL!$C$12, $D$4, 100%, $F$4)</f>
        <v>6.5627000000000004</v>
      </c>
      <c r="C366" s="8">
        <f>CHOOSE( CONTROL!$C$29, 6.5798, 6.573) * CHOOSE(CONTROL!$C$12, $D$4, 100%, $F$4)</f>
        <v>6.5730000000000004</v>
      </c>
      <c r="D366" s="8">
        <f>CHOOSE( CONTROL!$C$29, 6.5845, 6.5777) * CHOOSE( CONTROL!$C$12, $D$4, 100%, $F$4)</f>
        <v>6.5777000000000001</v>
      </c>
      <c r="E366" s="12">
        <f>CHOOSE( CONTROL!$C$29, 6.5812, 6.5744) * CHOOSE( CONTROL!$C$12, $D$4, 100%, $F$4)</f>
        <v>6.5743999999999998</v>
      </c>
      <c r="F366" s="4">
        <f>CHOOSE( CONTROL!$C$29, 7.5811, 7.5743) * CHOOSE(CONTROL!$C$12, $D$4, 100%, $F$4)</f>
        <v>7.5743</v>
      </c>
      <c r="G366" s="8">
        <f>CHOOSE( CONTROL!$C$29, 6.4731, 6.4664) * CHOOSE( CONTROL!$C$12, $D$4, 100%, $F$4)</f>
        <v>6.4664000000000001</v>
      </c>
      <c r="H366" s="4">
        <f>CHOOSE( CONTROL!$C$29, 7.3905, 7.3838) * CHOOSE(CONTROL!$C$12, $D$4, 100%, $F$4)</f>
        <v>7.3837999999999999</v>
      </c>
      <c r="I366" s="8">
        <f>CHOOSE( CONTROL!$C$29, 6.4411, 6.4345) * CHOOSE(CONTROL!$C$12, $D$4, 100%, $F$4)</f>
        <v>6.4344999999999999</v>
      </c>
      <c r="J366" s="4">
        <f>CHOOSE( CONTROL!$C$29, 6.3649, 6.3583) * CHOOSE(CONTROL!$C$12, $D$4, 100%, $F$4)</f>
        <v>6.3582999999999998</v>
      </c>
      <c r="K366" s="4"/>
      <c r="L366" s="9">
        <v>28.568200000000001</v>
      </c>
      <c r="M366" s="9">
        <v>11.6745</v>
      </c>
      <c r="N366" s="9">
        <v>4.7850000000000001</v>
      </c>
      <c r="O366" s="9">
        <v>0.36249999999999999</v>
      </c>
      <c r="P366" s="9">
        <v>1.1798</v>
      </c>
      <c r="Q366" s="9">
        <v>19.738800000000001</v>
      </c>
      <c r="R366" s="9"/>
      <c r="S366" s="11"/>
    </row>
    <row r="367" spans="1:19" ht="15.6">
      <c r="A367" s="13">
        <v>53266</v>
      </c>
      <c r="B367" s="8">
        <f>6.8542 * CHOOSE(CONTROL!$C$12, $D$4, 100%, $F$4)</f>
        <v>6.8541999999999996</v>
      </c>
      <c r="C367" s="8">
        <f>6.8645 * CHOOSE(CONTROL!$C$12, $D$4, 100%, $F$4)</f>
        <v>6.8644999999999996</v>
      </c>
      <c r="D367" s="8">
        <f>6.8595 * CHOOSE( CONTROL!$C$12, $D$4, 100%, $F$4)</f>
        <v>6.8594999999999997</v>
      </c>
      <c r="E367" s="12">
        <f>6.8601 * CHOOSE( CONTROL!$C$12, $D$4, 100%, $F$4)</f>
        <v>6.8601000000000001</v>
      </c>
      <c r="F367" s="4">
        <f>7.8451 * CHOOSE(CONTROL!$C$12, $D$4, 100%, $F$4)</f>
        <v>7.8451000000000004</v>
      </c>
      <c r="G367" s="8">
        <f>6.7505 * CHOOSE( CONTROL!$C$12, $D$4, 100%, $F$4)</f>
        <v>6.7504999999999997</v>
      </c>
      <c r="H367" s="4">
        <f>7.6507 * CHOOSE(CONTROL!$C$12, $D$4, 100%, $F$4)</f>
        <v>7.6506999999999996</v>
      </c>
      <c r="I367" s="8">
        <f>6.721 * CHOOSE(CONTROL!$C$12, $D$4, 100%, $F$4)</f>
        <v>6.7210000000000001</v>
      </c>
      <c r="J367" s="4">
        <f>6.6407 * CHOOSE(CONTROL!$C$12, $D$4, 100%, $F$4)</f>
        <v>6.6406999999999998</v>
      </c>
      <c r="K367" s="4"/>
      <c r="L367" s="9">
        <v>28.921800000000001</v>
      </c>
      <c r="M367" s="9">
        <v>12.063700000000001</v>
      </c>
      <c r="N367" s="9">
        <v>4.9444999999999997</v>
      </c>
      <c r="O367" s="9">
        <v>0.37459999999999999</v>
      </c>
      <c r="P367" s="9">
        <v>1.2192000000000001</v>
      </c>
      <c r="Q367" s="9">
        <v>20.396799999999999</v>
      </c>
      <c r="R367" s="9"/>
      <c r="S367" s="11"/>
    </row>
    <row r="368" spans="1:19" ht="15.6">
      <c r="A368" s="13">
        <v>53296</v>
      </c>
      <c r="B368" s="8">
        <f>7.3922 * CHOOSE(CONTROL!$C$12, $D$4, 100%, $F$4)</f>
        <v>7.3921999999999999</v>
      </c>
      <c r="C368" s="8">
        <f>7.4025 * CHOOSE(CONTROL!$C$12, $D$4, 100%, $F$4)</f>
        <v>7.4024999999999999</v>
      </c>
      <c r="D368" s="8">
        <f>7.3618 * CHOOSE( CONTROL!$C$12, $D$4, 100%, $F$4)</f>
        <v>7.3617999999999997</v>
      </c>
      <c r="E368" s="12">
        <f>7.3756 * CHOOSE( CONTROL!$C$12, $D$4, 100%, $F$4)</f>
        <v>7.3756000000000004</v>
      </c>
      <c r="F368" s="4">
        <f>8.3692 * CHOOSE(CONTROL!$C$12, $D$4, 100%, $F$4)</f>
        <v>8.3691999999999993</v>
      </c>
      <c r="G368" s="8">
        <f>7.2748 * CHOOSE( CONTROL!$C$12, $D$4, 100%, $F$4)</f>
        <v>7.2747999999999999</v>
      </c>
      <c r="H368" s="4">
        <f>8.1674 * CHOOSE(CONTROL!$C$12, $D$4, 100%, $F$4)</f>
        <v>8.1674000000000007</v>
      </c>
      <c r="I368" s="8">
        <f>7.2269 * CHOOSE(CONTROL!$C$12, $D$4, 100%, $F$4)</f>
        <v>7.2268999999999997</v>
      </c>
      <c r="J368" s="4">
        <f>7.1621 * CHOOSE(CONTROL!$C$12, $D$4, 100%, $F$4)</f>
        <v>7.1620999999999997</v>
      </c>
      <c r="K368" s="4"/>
      <c r="L368" s="9">
        <v>26.515499999999999</v>
      </c>
      <c r="M368" s="9">
        <v>11.6745</v>
      </c>
      <c r="N368" s="9">
        <v>4.7850000000000001</v>
      </c>
      <c r="O368" s="9">
        <v>0.36249999999999999</v>
      </c>
      <c r="P368" s="9">
        <v>1.2522</v>
      </c>
      <c r="Q368" s="9">
        <v>19.738800000000001</v>
      </c>
      <c r="R368" s="9"/>
      <c r="S368" s="11"/>
    </row>
    <row r="369" spans="1:19" ht="15.6">
      <c r="A369" s="13">
        <v>53327</v>
      </c>
      <c r="B369" s="8">
        <f>7.3787 * CHOOSE(CONTROL!$C$12, $D$4, 100%, $F$4)</f>
        <v>7.3787000000000003</v>
      </c>
      <c r="C369" s="8">
        <f>7.3891 * CHOOSE(CONTROL!$C$12, $D$4, 100%, $F$4)</f>
        <v>7.3891</v>
      </c>
      <c r="D369" s="8">
        <f>7.3503 * CHOOSE( CONTROL!$C$12, $D$4, 100%, $F$4)</f>
        <v>7.3502999999999998</v>
      </c>
      <c r="E369" s="12">
        <f>7.3634 * CHOOSE( CONTROL!$C$12, $D$4, 100%, $F$4)</f>
        <v>7.3634000000000004</v>
      </c>
      <c r="F369" s="4">
        <f>8.3491 * CHOOSE(CONTROL!$C$12, $D$4, 100%, $F$4)</f>
        <v>8.3491</v>
      </c>
      <c r="G369" s="8">
        <f>7.2639 * CHOOSE( CONTROL!$C$12, $D$4, 100%, $F$4)</f>
        <v>7.2638999999999996</v>
      </c>
      <c r="H369" s="4">
        <f>8.1475 * CHOOSE(CONTROL!$C$12, $D$4, 100%, $F$4)</f>
        <v>8.1475000000000009</v>
      </c>
      <c r="I369" s="8">
        <f>7.2246 * CHOOSE(CONTROL!$C$12, $D$4, 100%, $F$4)</f>
        <v>7.2245999999999997</v>
      </c>
      <c r="J369" s="4">
        <f>7.1491 * CHOOSE(CONTROL!$C$12, $D$4, 100%, $F$4)</f>
        <v>7.1490999999999998</v>
      </c>
      <c r="K369" s="4"/>
      <c r="L369" s="9">
        <v>27.3993</v>
      </c>
      <c r="M369" s="9">
        <v>12.063700000000001</v>
      </c>
      <c r="N369" s="9">
        <v>4.9444999999999997</v>
      </c>
      <c r="O369" s="9">
        <v>0.37459999999999999</v>
      </c>
      <c r="P369" s="9">
        <v>1.2939000000000001</v>
      </c>
      <c r="Q369" s="9">
        <v>20.396799999999999</v>
      </c>
      <c r="R369" s="9"/>
      <c r="S369" s="11"/>
    </row>
    <row r="370" spans="1:19" ht="15.6">
      <c r="A370" s="13">
        <v>53358</v>
      </c>
      <c r="B370" s="8">
        <f>7.5509 * CHOOSE(CONTROL!$C$12, $D$4, 100%, $F$4)</f>
        <v>7.5509000000000004</v>
      </c>
      <c r="C370" s="8">
        <f>7.5612 * CHOOSE(CONTROL!$C$12, $D$4, 100%, $F$4)</f>
        <v>7.5612000000000004</v>
      </c>
      <c r="D370" s="8">
        <f>7.561 * CHOOSE( CONTROL!$C$12, $D$4, 100%, $F$4)</f>
        <v>7.5609999999999999</v>
      </c>
      <c r="E370" s="12">
        <f>7.56 * CHOOSE( CONTROL!$C$12, $D$4, 100%, $F$4)</f>
        <v>7.56</v>
      </c>
      <c r="F370" s="4">
        <f>8.5728 * CHOOSE(CONTROL!$C$12, $D$4, 100%, $F$4)</f>
        <v>8.5728000000000009</v>
      </c>
      <c r="G370" s="8">
        <f>7.4746 * CHOOSE( CONTROL!$C$12, $D$4, 100%, $F$4)</f>
        <v>7.4745999999999997</v>
      </c>
      <c r="H370" s="4">
        <f>8.3681 * CHOOSE(CONTROL!$C$12, $D$4, 100%, $F$4)</f>
        <v>8.3681000000000001</v>
      </c>
      <c r="I370" s="8">
        <f>7.4281 * CHOOSE(CONTROL!$C$12, $D$4, 100%, $F$4)</f>
        <v>7.4280999999999997</v>
      </c>
      <c r="J370" s="4">
        <f>7.3159 * CHOOSE(CONTROL!$C$12, $D$4, 100%, $F$4)</f>
        <v>7.3159000000000001</v>
      </c>
      <c r="K370" s="4"/>
      <c r="L370" s="9">
        <v>27.3993</v>
      </c>
      <c r="M370" s="9">
        <v>12.063700000000001</v>
      </c>
      <c r="N370" s="9">
        <v>4.9444999999999997</v>
      </c>
      <c r="O370" s="9">
        <v>0.37459999999999999</v>
      </c>
      <c r="P370" s="9">
        <v>1.2939000000000001</v>
      </c>
      <c r="Q370" s="9">
        <v>20.331700000000001</v>
      </c>
      <c r="R370" s="9"/>
      <c r="S370" s="11"/>
    </row>
    <row r="371" spans="1:19" ht="15.6">
      <c r="A371" s="13">
        <v>53386</v>
      </c>
      <c r="B371" s="8">
        <f>7.0628 * CHOOSE(CONTROL!$C$12, $D$4, 100%, $F$4)</f>
        <v>7.0628000000000002</v>
      </c>
      <c r="C371" s="8">
        <f>7.0731 * CHOOSE(CONTROL!$C$12, $D$4, 100%, $F$4)</f>
        <v>7.0731000000000002</v>
      </c>
      <c r="D371" s="8">
        <f>7.0752 * CHOOSE( CONTROL!$C$12, $D$4, 100%, $F$4)</f>
        <v>7.0751999999999997</v>
      </c>
      <c r="E371" s="12">
        <f>7.0733 * CHOOSE( CONTROL!$C$12, $D$4, 100%, $F$4)</f>
        <v>7.0732999999999997</v>
      </c>
      <c r="F371" s="4">
        <f>8.077 * CHOOSE(CONTROL!$C$12, $D$4, 100%, $F$4)</f>
        <v>8.077</v>
      </c>
      <c r="G371" s="8">
        <f>6.9934 * CHOOSE( CONTROL!$C$12, $D$4, 100%, $F$4)</f>
        <v>6.9934000000000003</v>
      </c>
      <c r="H371" s="4">
        <f>7.8793 * CHOOSE(CONTROL!$C$12, $D$4, 100%, $F$4)</f>
        <v>7.8792999999999997</v>
      </c>
      <c r="I371" s="8">
        <f>6.944 * CHOOSE(CONTROL!$C$12, $D$4, 100%, $F$4)</f>
        <v>6.944</v>
      </c>
      <c r="J371" s="4">
        <f>6.8429 * CHOOSE(CONTROL!$C$12, $D$4, 100%, $F$4)</f>
        <v>6.8429000000000002</v>
      </c>
      <c r="K371" s="4"/>
      <c r="L371" s="9">
        <v>24.747800000000002</v>
      </c>
      <c r="M371" s="9">
        <v>10.8962</v>
      </c>
      <c r="N371" s="9">
        <v>4.4660000000000002</v>
      </c>
      <c r="O371" s="9">
        <v>0.33829999999999999</v>
      </c>
      <c r="P371" s="9">
        <v>1.1687000000000001</v>
      </c>
      <c r="Q371" s="9">
        <v>18.364100000000001</v>
      </c>
      <c r="R371" s="9"/>
      <c r="S371" s="11"/>
    </row>
    <row r="372" spans="1:19" ht="15.6">
      <c r="A372" s="13">
        <v>53417</v>
      </c>
      <c r="B372" s="8">
        <f>6.9125 * CHOOSE(CONTROL!$C$12, $D$4, 100%, $F$4)</f>
        <v>6.9124999999999996</v>
      </c>
      <c r="C372" s="8">
        <f>6.9228 * CHOOSE(CONTROL!$C$12, $D$4, 100%, $F$4)</f>
        <v>6.9227999999999996</v>
      </c>
      <c r="D372" s="8">
        <f>6.905 * CHOOSE( CONTROL!$C$12, $D$4, 100%, $F$4)</f>
        <v>6.9050000000000002</v>
      </c>
      <c r="E372" s="12">
        <f>6.9104 * CHOOSE( CONTROL!$C$12, $D$4, 100%, $F$4)</f>
        <v>6.9104000000000001</v>
      </c>
      <c r="F372" s="4">
        <f>7.9107 * CHOOSE(CONTROL!$C$12, $D$4, 100%, $F$4)</f>
        <v>7.9107000000000003</v>
      </c>
      <c r="G372" s="8">
        <f>6.8247 * CHOOSE( CONTROL!$C$12, $D$4, 100%, $F$4)</f>
        <v>6.8247</v>
      </c>
      <c r="H372" s="4">
        <f>7.7154 * CHOOSE(CONTROL!$C$12, $D$4, 100%, $F$4)</f>
        <v>7.7153999999999998</v>
      </c>
      <c r="I372" s="8">
        <f>6.7588 * CHOOSE(CONTROL!$C$12, $D$4, 100%, $F$4)</f>
        <v>6.7587999999999999</v>
      </c>
      <c r="J372" s="4">
        <f>6.6973 * CHOOSE(CONTROL!$C$12, $D$4, 100%, $F$4)</f>
        <v>6.6973000000000003</v>
      </c>
      <c r="K372" s="4"/>
      <c r="L372" s="9">
        <v>27.3993</v>
      </c>
      <c r="M372" s="9">
        <v>12.063700000000001</v>
      </c>
      <c r="N372" s="9">
        <v>4.9444999999999997</v>
      </c>
      <c r="O372" s="9">
        <v>0.37459999999999999</v>
      </c>
      <c r="P372" s="9">
        <v>1.2939000000000001</v>
      </c>
      <c r="Q372" s="9">
        <v>20.331700000000001</v>
      </c>
      <c r="R372" s="9"/>
      <c r="S372" s="11"/>
    </row>
    <row r="373" spans="1:19" ht="15.6">
      <c r="A373" s="13">
        <v>53447</v>
      </c>
      <c r="B373" s="8">
        <f>7.0175 * CHOOSE(CONTROL!$C$12, $D$4, 100%, $F$4)</f>
        <v>7.0175000000000001</v>
      </c>
      <c r="C373" s="8">
        <f>7.0279 * CHOOSE(CONTROL!$C$12, $D$4, 100%, $F$4)</f>
        <v>7.0278999999999998</v>
      </c>
      <c r="D373" s="8">
        <f>7.0329 * CHOOSE( CONTROL!$C$12, $D$4, 100%, $F$4)</f>
        <v>7.0328999999999997</v>
      </c>
      <c r="E373" s="12">
        <f>7.0301 * CHOOSE( CONTROL!$C$12, $D$4, 100%, $F$4)</f>
        <v>7.0301</v>
      </c>
      <c r="F373" s="4">
        <f>8.024 * CHOOSE(CONTROL!$C$12, $D$4, 100%, $F$4)</f>
        <v>8.0239999999999991</v>
      </c>
      <c r="G373" s="8">
        <f>6.9161 * CHOOSE( CONTROL!$C$12, $D$4, 100%, $F$4)</f>
        <v>6.9161000000000001</v>
      </c>
      <c r="H373" s="4">
        <f>7.8271 * CHOOSE(CONTROL!$C$12, $D$4, 100%, $F$4)</f>
        <v>7.8270999999999997</v>
      </c>
      <c r="I373" s="8">
        <f>6.8507 * CHOOSE(CONTROL!$C$12, $D$4, 100%, $F$4)</f>
        <v>6.8506999999999998</v>
      </c>
      <c r="J373" s="4">
        <f>6.7991 * CHOOSE(CONTROL!$C$12, $D$4, 100%, $F$4)</f>
        <v>6.7991000000000001</v>
      </c>
      <c r="K373" s="4"/>
      <c r="L373" s="9">
        <v>27.988800000000001</v>
      </c>
      <c r="M373" s="9">
        <v>11.6745</v>
      </c>
      <c r="N373" s="9">
        <v>4.7850000000000001</v>
      </c>
      <c r="O373" s="9">
        <v>0.36249999999999999</v>
      </c>
      <c r="P373" s="9">
        <v>1.1798</v>
      </c>
      <c r="Q373" s="9">
        <v>19.675799999999999</v>
      </c>
      <c r="R373" s="9"/>
      <c r="S373" s="11"/>
    </row>
    <row r="374" spans="1:19" ht="15.6">
      <c r="A374" s="13">
        <v>53478</v>
      </c>
      <c r="B374" s="8">
        <f>CHOOSE( CONTROL!$C$29, 7.2113, 7.2045) * CHOOSE(CONTROL!$C$12, $D$4, 100%, $F$4)</f>
        <v>7.2045000000000003</v>
      </c>
      <c r="C374" s="8">
        <f>CHOOSE( CONTROL!$C$29, 7.2217, 7.2148) * CHOOSE(CONTROL!$C$12, $D$4, 100%, $F$4)</f>
        <v>7.2148000000000003</v>
      </c>
      <c r="D374" s="8">
        <f>CHOOSE( CONTROL!$C$29, 7.2019, 7.1951) * CHOOSE( CONTROL!$C$12, $D$4, 100%, $F$4)</f>
        <v>7.1951000000000001</v>
      </c>
      <c r="E374" s="12">
        <f>CHOOSE( CONTROL!$C$29, 7.2075, 7.2007) * CHOOSE( CONTROL!$C$12, $D$4, 100%, $F$4)</f>
        <v>7.2007000000000003</v>
      </c>
      <c r="F374" s="4">
        <f>CHOOSE( CONTROL!$C$29, 8.1858, 8.179) * CHOOSE(CONTROL!$C$12, $D$4, 100%, $F$4)</f>
        <v>8.1790000000000003</v>
      </c>
      <c r="G374" s="8">
        <f>CHOOSE( CONTROL!$C$29, 7.0889, 7.0822) * CHOOSE( CONTROL!$C$12, $D$4, 100%, $F$4)</f>
        <v>7.0822000000000003</v>
      </c>
      <c r="H374" s="4">
        <f>CHOOSE( CONTROL!$C$29, 7.9866, 7.9798) * CHOOSE(CONTROL!$C$12, $D$4, 100%, $F$4)</f>
        <v>7.9798</v>
      </c>
      <c r="I374" s="8">
        <f>CHOOSE( CONTROL!$C$29, 7.017, 7.0104) * CHOOSE(CONTROL!$C$12, $D$4, 100%, $F$4)</f>
        <v>7.0103999999999997</v>
      </c>
      <c r="J374" s="4">
        <f>CHOOSE( CONTROL!$C$29, 6.9868, 6.9802) * CHOOSE(CONTROL!$C$12, $D$4, 100%, $F$4)</f>
        <v>6.9802</v>
      </c>
      <c r="K374" s="4"/>
      <c r="L374" s="9">
        <v>29.520499999999998</v>
      </c>
      <c r="M374" s="9">
        <v>12.063700000000001</v>
      </c>
      <c r="N374" s="9">
        <v>4.9444999999999997</v>
      </c>
      <c r="O374" s="9">
        <v>0.37459999999999999</v>
      </c>
      <c r="P374" s="9">
        <v>1.2192000000000001</v>
      </c>
      <c r="Q374" s="9">
        <v>20.331700000000001</v>
      </c>
      <c r="R374" s="9"/>
      <c r="S374" s="11"/>
    </row>
    <row r="375" spans="1:19" ht="15.6">
      <c r="A375" s="13">
        <v>53508</v>
      </c>
      <c r="B375" s="8">
        <f>CHOOSE( CONTROL!$C$29, 7.0955, 7.0887) * CHOOSE(CONTROL!$C$12, $D$4, 100%, $F$4)</f>
        <v>7.0887000000000002</v>
      </c>
      <c r="C375" s="8">
        <f>CHOOSE( CONTROL!$C$29, 7.1058, 7.099) * CHOOSE(CONTROL!$C$12, $D$4, 100%, $F$4)</f>
        <v>7.0990000000000002</v>
      </c>
      <c r="D375" s="8">
        <f>CHOOSE( CONTROL!$C$29, 7.0806, 7.0737) * CHOOSE( CONTROL!$C$12, $D$4, 100%, $F$4)</f>
        <v>7.0736999999999997</v>
      </c>
      <c r="E375" s="12">
        <f>CHOOSE( CONTROL!$C$29, 7.0882, 7.0813) * CHOOSE( CONTROL!$C$12, $D$4, 100%, $F$4)</f>
        <v>7.0812999999999997</v>
      </c>
      <c r="F375" s="4">
        <f>CHOOSE( CONTROL!$C$29, 8.0597, 8.0528) * CHOOSE(CONTROL!$C$12, $D$4, 100%, $F$4)</f>
        <v>8.0527999999999995</v>
      </c>
      <c r="G375" s="8">
        <f>CHOOSE( CONTROL!$C$29, 6.9735, 6.9667) * CHOOSE( CONTROL!$C$12, $D$4, 100%, $F$4)</f>
        <v>6.9667000000000003</v>
      </c>
      <c r="H375" s="4">
        <f>CHOOSE( CONTROL!$C$29, 7.8622, 7.8555) * CHOOSE(CONTROL!$C$12, $D$4, 100%, $F$4)</f>
        <v>7.8555000000000001</v>
      </c>
      <c r="I375" s="8">
        <f>CHOOSE( CONTROL!$C$29, 6.9069, 6.9003) * CHOOSE(CONTROL!$C$12, $D$4, 100%, $F$4)</f>
        <v>6.9002999999999997</v>
      </c>
      <c r="J375" s="4">
        <f>CHOOSE( CONTROL!$C$29, 6.8746, 6.868) * CHOOSE(CONTROL!$C$12, $D$4, 100%, $F$4)</f>
        <v>6.8680000000000003</v>
      </c>
      <c r="K375" s="4"/>
      <c r="L375" s="9">
        <v>28.568200000000001</v>
      </c>
      <c r="M375" s="9">
        <v>11.6745</v>
      </c>
      <c r="N375" s="9">
        <v>4.7850000000000001</v>
      </c>
      <c r="O375" s="9">
        <v>0.36249999999999999</v>
      </c>
      <c r="P375" s="9">
        <v>1.1798</v>
      </c>
      <c r="Q375" s="9">
        <v>19.675799999999999</v>
      </c>
      <c r="R375" s="9"/>
      <c r="S375" s="11"/>
    </row>
    <row r="376" spans="1:19" ht="15.6">
      <c r="A376" s="13">
        <v>53539</v>
      </c>
      <c r="B376" s="8">
        <f>CHOOSE( CONTROL!$C$29, 7.4005, 7.3937) * CHOOSE(CONTROL!$C$12, $D$4, 100%, $F$4)</f>
        <v>7.3936999999999999</v>
      </c>
      <c r="C376" s="8">
        <f>CHOOSE( CONTROL!$C$29, 7.4108, 7.404) * CHOOSE(CONTROL!$C$12, $D$4, 100%, $F$4)</f>
        <v>7.4039999999999999</v>
      </c>
      <c r="D376" s="8">
        <f>CHOOSE( CONTROL!$C$29, 7.419, 7.4121) * CHOOSE( CONTROL!$C$12, $D$4, 100%, $F$4)</f>
        <v>7.4120999999999997</v>
      </c>
      <c r="E376" s="12">
        <f>CHOOSE( CONTROL!$C$29, 7.4145, 7.4076) * CHOOSE( CONTROL!$C$12, $D$4, 100%, $F$4)</f>
        <v>7.4076000000000004</v>
      </c>
      <c r="F376" s="4">
        <f>CHOOSE( CONTROL!$C$29, 8.4095, 8.4027) * CHOOSE(CONTROL!$C$12, $D$4, 100%, $F$4)</f>
        <v>8.4026999999999994</v>
      </c>
      <c r="G376" s="8">
        <f>CHOOSE( CONTROL!$C$29, 7.3002, 7.2934) * CHOOSE( CONTROL!$C$12, $D$4, 100%, $F$4)</f>
        <v>7.2934000000000001</v>
      </c>
      <c r="H376" s="4">
        <f>CHOOSE( CONTROL!$C$29, 8.2071, 8.2004) * CHOOSE(CONTROL!$C$12, $D$4, 100%, $F$4)</f>
        <v>8.2004000000000001</v>
      </c>
      <c r="I376" s="8">
        <f>CHOOSE( CONTROL!$C$29, 7.2579, 7.2513) * CHOOSE(CONTROL!$C$12, $D$4, 100%, $F$4)</f>
        <v>7.2512999999999996</v>
      </c>
      <c r="J376" s="4">
        <f>CHOOSE( CONTROL!$C$29, 7.1702, 7.1635) * CHOOSE(CONTROL!$C$12, $D$4, 100%, $F$4)</f>
        <v>7.1635</v>
      </c>
      <c r="K376" s="4"/>
      <c r="L376" s="9">
        <v>29.520499999999998</v>
      </c>
      <c r="M376" s="9">
        <v>12.063700000000001</v>
      </c>
      <c r="N376" s="9">
        <v>4.9444999999999997</v>
      </c>
      <c r="O376" s="9">
        <v>0.37459999999999999</v>
      </c>
      <c r="P376" s="9">
        <v>1.2192000000000001</v>
      </c>
      <c r="Q376" s="9">
        <v>20.331700000000001</v>
      </c>
      <c r="R376" s="9"/>
      <c r="S376" s="11"/>
    </row>
    <row r="377" spans="1:19" ht="15.6">
      <c r="A377" s="13">
        <v>53570</v>
      </c>
      <c r="B377" s="8">
        <f>CHOOSE( CONTROL!$C$29, 6.8299, 6.823) * CHOOSE(CONTROL!$C$12, $D$4, 100%, $F$4)</f>
        <v>6.8230000000000004</v>
      </c>
      <c r="C377" s="8">
        <f>CHOOSE( CONTROL!$C$29, 6.8402, 6.8333) * CHOOSE(CONTROL!$C$12, $D$4, 100%, $F$4)</f>
        <v>6.8333000000000004</v>
      </c>
      <c r="D377" s="8">
        <f>CHOOSE( CONTROL!$C$29, 6.8417, 6.8348) * CHOOSE( CONTROL!$C$12, $D$4, 100%, $F$4)</f>
        <v>6.8348000000000004</v>
      </c>
      <c r="E377" s="12">
        <f>CHOOSE( CONTROL!$C$29, 6.8396, 6.8327) * CHOOSE( CONTROL!$C$12, $D$4, 100%, $F$4)</f>
        <v>6.8327</v>
      </c>
      <c r="F377" s="4">
        <f>CHOOSE( CONTROL!$C$29, 7.8363, 7.8295) * CHOOSE(CONTROL!$C$12, $D$4, 100%, $F$4)</f>
        <v>7.8295000000000003</v>
      </c>
      <c r="G377" s="8">
        <f>CHOOSE( CONTROL!$C$29, 6.7277, 6.721) * CHOOSE( CONTROL!$C$12, $D$4, 100%, $F$4)</f>
        <v>6.7210000000000001</v>
      </c>
      <c r="H377" s="4">
        <f>CHOOSE( CONTROL!$C$29, 7.6421, 7.6353) * CHOOSE(CONTROL!$C$12, $D$4, 100%, $F$4)</f>
        <v>7.6353</v>
      </c>
      <c r="I377" s="8">
        <f>CHOOSE( CONTROL!$C$29, 6.6857, 6.6791) * CHOOSE(CONTROL!$C$12, $D$4, 100%, $F$4)</f>
        <v>6.6791</v>
      </c>
      <c r="J377" s="4">
        <f>CHOOSE( CONTROL!$C$29, 6.6172, 6.6106) * CHOOSE(CONTROL!$C$12, $D$4, 100%, $F$4)</f>
        <v>6.6105999999999998</v>
      </c>
      <c r="K377" s="4"/>
      <c r="L377" s="9">
        <v>29.520499999999998</v>
      </c>
      <c r="M377" s="9">
        <v>12.063700000000001</v>
      </c>
      <c r="N377" s="9">
        <v>4.9444999999999997</v>
      </c>
      <c r="O377" s="9">
        <v>0.37459999999999999</v>
      </c>
      <c r="P377" s="9">
        <v>1.2192000000000001</v>
      </c>
      <c r="Q377" s="9">
        <v>20.331700000000001</v>
      </c>
      <c r="R377" s="9"/>
      <c r="S377" s="11"/>
    </row>
    <row r="378" spans="1:19" ht="15.6">
      <c r="A378" s="13">
        <v>53600</v>
      </c>
      <c r="B378" s="8">
        <f>CHOOSE( CONTROL!$C$29, 6.687, 6.6801) * CHOOSE(CONTROL!$C$12, $D$4, 100%, $F$4)</f>
        <v>6.6801000000000004</v>
      </c>
      <c r="C378" s="8">
        <f>CHOOSE( CONTROL!$C$29, 6.6973, 6.6904) * CHOOSE(CONTROL!$C$12, $D$4, 100%, $F$4)</f>
        <v>6.6904000000000003</v>
      </c>
      <c r="D378" s="8">
        <f>CHOOSE( CONTROL!$C$29, 6.702, 6.6951) * CHOOSE( CONTROL!$C$12, $D$4, 100%, $F$4)</f>
        <v>6.6951000000000001</v>
      </c>
      <c r="E378" s="12">
        <f>CHOOSE( CONTROL!$C$29, 6.6987, 6.6918) * CHOOSE( CONTROL!$C$12, $D$4, 100%, $F$4)</f>
        <v>6.6917999999999997</v>
      </c>
      <c r="F378" s="4">
        <f>CHOOSE( CONTROL!$C$29, 7.6986, 7.6917) * CHOOSE(CONTROL!$C$12, $D$4, 100%, $F$4)</f>
        <v>7.6917</v>
      </c>
      <c r="G378" s="8">
        <f>CHOOSE( CONTROL!$C$29, 6.5889, 6.5822) * CHOOSE( CONTROL!$C$12, $D$4, 100%, $F$4)</f>
        <v>6.5822000000000003</v>
      </c>
      <c r="H378" s="4">
        <f>CHOOSE( CONTROL!$C$29, 7.5063, 7.4995) * CHOOSE(CONTROL!$C$12, $D$4, 100%, $F$4)</f>
        <v>7.4995000000000003</v>
      </c>
      <c r="I378" s="8">
        <f>CHOOSE( CONTROL!$C$29, 6.555, 6.5484) * CHOOSE(CONTROL!$C$12, $D$4, 100%, $F$4)</f>
        <v>6.5484</v>
      </c>
      <c r="J378" s="4">
        <f>CHOOSE( CONTROL!$C$29, 6.4787, 6.4721) * CHOOSE(CONTROL!$C$12, $D$4, 100%, $F$4)</f>
        <v>6.4721000000000002</v>
      </c>
      <c r="K378" s="4"/>
      <c r="L378" s="9">
        <v>28.568200000000001</v>
      </c>
      <c r="M378" s="9">
        <v>11.6745</v>
      </c>
      <c r="N378" s="9">
        <v>4.7850000000000001</v>
      </c>
      <c r="O378" s="9">
        <v>0.36249999999999999</v>
      </c>
      <c r="P378" s="9">
        <v>1.1798</v>
      </c>
      <c r="Q378" s="9">
        <v>19.675799999999999</v>
      </c>
      <c r="R378" s="9"/>
      <c r="S378" s="11"/>
    </row>
    <row r="379" spans="1:19" ht="15.6">
      <c r="A379" s="13">
        <v>53631</v>
      </c>
      <c r="B379" s="8">
        <f>6.9768 * CHOOSE(CONTROL!$C$12, $D$4, 100%, $F$4)</f>
        <v>6.9767999999999999</v>
      </c>
      <c r="C379" s="8">
        <f>6.9871 * CHOOSE(CONTROL!$C$12, $D$4, 100%, $F$4)</f>
        <v>6.9870999999999999</v>
      </c>
      <c r="D379" s="8">
        <f>6.9822 * CHOOSE( CONTROL!$C$12, $D$4, 100%, $F$4)</f>
        <v>6.9821999999999997</v>
      </c>
      <c r="E379" s="12">
        <f>6.9827 * CHOOSE( CONTROL!$C$12, $D$4, 100%, $F$4)</f>
        <v>6.9827000000000004</v>
      </c>
      <c r="F379" s="4">
        <f>7.9678 * CHOOSE(CONTROL!$C$12, $D$4, 100%, $F$4)</f>
        <v>7.9678000000000004</v>
      </c>
      <c r="G379" s="8">
        <f>6.8714 * CHOOSE( CONTROL!$C$12, $D$4, 100%, $F$4)</f>
        <v>6.8714000000000004</v>
      </c>
      <c r="H379" s="4">
        <f>7.7717 * CHOOSE(CONTROL!$C$12, $D$4, 100%, $F$4)</f>
        <v>7.7717000000000001</v>
      </c>
      <c r="I379" s="8">
        <f>6.8399 * CHOOSE(CONTROL!$C$12, $D$4, 100%, $F$4)</f>
        <v>6.8399000000000001</v>
      </c>
      <c r="J379" s="4">
        <f>6.7596 * CHOOSE(CONTROL!$C$12, $D$4, 100%, $F$4)</f>
        <v>6.7595999999999998</v>
      </c>
      <c r="K379" s="4"/>
      <c r="L379" s="9">
        <v>28.921800000000001</v>
      </c>
      <c r="M379" s="9">
        <v>12.063700000000001</v>
      </c>
      <c r="N379" s="9">
        <v>4.9444999999999997</v>
      </c>
      <c r="O379" s="9">
        <v>0.37459999999999999</v>
      </c>
      <c r="P379" s="9">
        <v>1.2192000000000001</v>
      </c>
      <c r="Q379" s="9">
        <v>20.331700000000001</v>
      </c>
      <c r="R379" s="9"/>
      <c r="S379" s="11"/>
    </row>
    <row r="380" spans="1:19" ht="15.6">
      <c r="A380" s="13">
        <v>53661</v>
      </c>
      <c r="B380" s="8">
        <f>7.5245 * CHOOSE(CONTROL!$C$12, $D$4, 100%, $F$4)</f>
        <v>7.5244999999999997</v>
      </c>
      <c r="C380" s="8">
        <f>7.5348 * CHOOSE(CONTROL!$C$12, $D$4, 100%, $F$4)</f>
        <v>7.5347999999999997</v>
      </c>
      <c r="D380" s="8">
        <f>7.4941 * CHOOSE( CONTROL!$C$12, $D$4, 100%, $F$4)</f>
        <v>7.4941000000000004</v>
      </c>
      <c r="E380" s="12">
        <f>7.5079 * CHOOSE( CONTROL!$C$12, $D$4, 100%, $F$4)</f>
        <v>7.5079000000000002</v>
      </c>
      <c r="F380" s="4">
        <f>8.5015 * CHOOSE(CONTROL!$C$12, $D$4, 100%, $F$4)</f>
        <v>8.5015000000000001</v>
      </c>
      <c r="G380" s="8">
        <f>7.4053 * CHOOSE( CONTROL!$C$12, $D$4, 100%, $F$4)</f>
        <v>7.4053000000000004</v>
      </c>
      <c r="H380" s="4">
        <f>8.2978 * CHOOSE(CONTROL!$C$12, $D$4, 100%, $F$4)</f>
        <v>8.2978000000000005</v>
      </c>
      <c r="I380" s="8">
        <f>7.3551 * CHOOSE(CONTROL!$C$12, $D$4, 100%, $F$4)</f>
        <v>7.3551000000000002</v>
      </c>
      <c r="J380" s="4">
        <f>7.2903 * CHOOSE(CONTROL!$C$12, $D$4, 100%, $F$4)</f>
        <v>7.2903000000000002</v>
      </c>
      <c r="K380" s="4"/>
      <c r="L380" s="9">
        <v>26.515499999999999</v>
      </c>
      <c r="M380" s="9">
        <v>11.6745</v>
      </c>
      <c r="N380" s="9">
        <v>4.7850000000000001</v>
      </c>
      <c r="O380" s="9">
        <v>0.36249999999999999</v>
      </c>
      <c r="P380" s="9">
        <v>1.2522</v>
      </c>
      <c r="Q380" s="9">
        <v>19.675799999999999</v>
      </c>
      <c r="R380" s="9"/>
      <c r="S380" s="11"/>
    </row>
    <row r="381" spans="1:19" ht="15.6">
      <c r="A381" s="13">
        <v>53692</v>
      </c>
      <c r="B381" s="8">
        <f>7.5108 * CHOOSE(CONTROL!$C$12, $D$4, 100%, $F$4)</f>
        <v>7.5107999999999997</v>
      </c>
      <c r="C381" s="8">
        <f>7.5211 * CHOOSE(CONTROL!$C$12, $D$4, 100%, $F$4)</f>
        <v>7.5210999999999997</v>
      </c>
      <c r="D381" s="8">
        <f>7.4823 * CHOOSE( CONTROL!$C$12, $D$4, 100%, $F$4)</f>
        <v>7.4823000000000004</v>
      </c>
      <c r="E381" s="12">
        <f>7.4954 * CHOOSE( CONTROL!$C$12, $D$4, 100%, $F$4)</f>
        <v>7.4954000000000001</v>
      </c>
      <c r="F381" s="4">
        <f>8.4811 * CHOOSE(CONTROL!$C$12, $D$4, 100%, $F$4)</f>
        <v>8.4810999999999996</v>
      </c>
      <c r="G381" s="8">
        <f>7.3941 * CHOOSE( CONTROL!$C$12, $D$4, 100%, $F$4)</f>
        <v>7.3940999999999999</v>
      </c>
      <c r="H381" s="4">
        <f>8.2777 * CHOOSE(CONTROL!$C$12, $D$4, 100%, $F$4)</f>
        <v>8.2776999999999994</v>
      </c>
      <c r="I381" s="8">
        <f>7.3526 * CHOOSE(CONTROL!$C$12, $D$4, 100%, $F$4)</f>
        <v>7.3525999999999998</v>
      </c>
      <c r="J381" s="4">
        <f>7.277 * CHOOSE(CONTROL!$C$12, $D$4, 100%, $F$4)</f>
        <v>7.2770000000000001</v>
      </c>
      <c r="K381" s="4"/>
      <c r="L381" s="9">
        <v>27.3993</v>
      </c>
      <c r="M381" s="9">
        <v>12.063700000000001</v>
      </c>
      <c r="N381" s="9">
        <v>4.9444999999999997</v>
      </c>
      <c r="O381" s="9">
        <v>0.37459999999999999</v>
      </c>
      <c r="P381" s="9">
        <v>1.2939000000000001</v>
      </c>
      <c r="Q381" s="9">
        <v>20.331700000000001</v>
      </c>
      <c r="R381" s="9"/>
      <c r="S381" s="11"/>
    </row>
    <row r="382" spans="1:19" ht="15.6">
      <c r="A382" s="13">
        <v>53723</v>
      </c>
      <c r="B382" s="8">
        <f>7.6861 * CHOOSE(CONTROL!$C$12, $D$4, 100%, $F$4)</f>
        <v>7.6860999999999997</v>
      </c>
      <c r="C382" s="8">
        <f>7.6964 * CHOOSE(CONTROL!$C$12, $D$4, 100%, $F$4)</f>
        <v>7.6963999999999997</v>
      </c>
      <c r="D382" s="8">
        <f>7.6962 * CHOOSE( CONTROL!$C$12, $D$4, 100%, $F$4)</f>
        <v>7.6962000000000002</v>
      </c>
      <c r="E382" s="12">
        <f>7.6952 * CHOOSE( CONTROL!$C$12, $D$4, 100%, $F$4)</f>
        <v>7.6951999999999998</v>
      </c>
      <c r="F382" s="4">
        <f>8.708 * CHOOSE(CONTROL!$C$12, $D$4, 100%, $F$4)</f>
        <v>8.7080000000000002</v>
      </c>
      <c r="G382" s="8">
        <f>7.6079 * CHOOSE( CONTROL!$C$12, $D$4, 100%, $F$4)</f>
        <v>7.6078999999999999</v>
      </c>
      <c r="H382" s="4">
        <f>8.5013 * CHOOSE(CONTROL!$C$12, $D$4, 100%, $F$4)</f>
        <v>8.5013000000000005</v>
      </c>
      <c r="I382" s="8">
        <f>7.5592 * CHOOSE(CONTROL!$C$12, $D$4, 100%, $F$4)</f>
        <v>7.5591999999999997</v>
      </c>
      <c r="J382" s="4">
        <f>7.4468 * CHOOSE(CONTROL!$C$12, $D$4, 100%, $F$4)</f>
        <v>7.4467999999999996</v>
      </c>
      <c r="K382" s="4"/>
      <c r="L382" s="9">
        <v>27.3993</v>
      </c>
      <c r="M382" s="9">
        <v>12.063700000000001</v>
      </c>
      <c r="N382" s="9">
        <v>4.9444999999999997</v>
      </c>
      <c r="O382" s="9">
        <v>0.37459999999999999</v>
      </c>
      <c r="P382" s="9">
        <v>1.2939000000000001</v>
      </c>
      <c r="Q382" s="9">
        <v>20.2666</v>
      </c>
      <c r="R382" s="9"/>
      <c r="S382" s="11"/>
    </row>
    <row r="383" spans="1:19" ht="15.6">
      <c r="A383" s="13">
        <v>53751</v>
      </c>
      <c r="B383" s="8">
        <f>7.1892 * CHOOSE(CONTROL!$C$12, $D$4, 100%, $F$4)</f>
        <v>7.1891999999999996</v>
      </c>
      <c r="C383" s="8">
        <f>7.1996 * CHOOSE(CONTROL!$C$12, $D$4, 100%, $F$4)</f>
        <v>7.1996000000000002</v>
      </c>
      <c r="D383" s="8">
        <f>7.2016 * CHOOSE( CONTROL!$C$12, $D$4, 100%, $F$4)</f>
        <v>7.2016</v>
      </c>
      <c r="E383" s="12">
        <f>7.1998 * CHOOSE( CONTROL!$C$12, $D$4, 100%, $F$4)</f>
        <v>7.1997999999999998</v>
      </c>
      <c r="F383" s="4">
        <f>8.2034 * CHOOSE(CONTROL!$C$12, $D$4, 100%, $F$4)</f>
        <v>8.2034000000000002</v>
      </c>
      <c r="G383" s="8">
        <f>7.118 * CHOOSE( CONTROL!$C$12, $D$4, 100%, $F$4)</f>
        <v>7.1180000000000003</v>
      </c>
      <c r="H383" s="4">
        <f>8.0039 * CHOOSE(CONTROL!$C$12, $D$4, 100%, $F$4)</f>
        <v>8.0038999999999998</v>
      </c>
      <c r="I383" s="8">
        <f>7.0666 * CHOOSE(CONTROL!$C$12, $D$4, 100%, $F$4)</f>
        <v>7.0666000000000002</v>
      </c>
      <c r="J383" s="4">
        <f>6.9654 * CHOOSE(CONTROL!$C$12, $D$4, 100%, $F$4)</f>
        <v>6.9653999999999998</v>
      </c>
      <c r="K383" s="4"/>
      <c r="L383" s="9">
        <v>24.747800000000002</v>
      </c>
      <c r="M383" s="9">
        <v>10.8962</v>
      </c>
      <c r="N383" s="9">
        <v>4.4660000000000002</v>
      </c>
      <c r="O383" s="9">
        <v>0.33829999999999999</v>
      </c>
      <c r="P383" s="9">
        <v>1.1687000000000001</v>
      </c>
      <c r="Q383" s="9">
        <v>18.305299999999999</v>
      </c>
      <c r="R383" s="9"/>
      <c r="S383" s="11"/>
    </row>
    <row r="384" spans="1:19" ht="15.6">
      <c r="A384" s="13">
        <v>53782</v>
      </c>
      <c r="B384" s="8">
        <f>7.0362 * CHOOSE(CONTROL!$C$12, $D$4, 100%, $F$4)</f>
        <v>7.0362</v>
      </c>
      <c r="C384" s="8">
        <f>7.0465 * CHOOSE(CONTROL!$C$12, $D$4, 100%, $F$4)</f>
        <v>7.0465</v>
      </c>
      <c r="D384" s="8">
        <f>7.0287 * CHOOSE( CONTROL!$C$12, $D$4, 100%, $F$4)</f>
        <v>7.0286999999999997</v>
      </c>
      <c r="E384" s="12">
        <f>7.0341 * CHOOSE( CONTROL!$C$12, $D$4, 100%, $F$4)</f>
        <v>7.0340999999999996</v>
      </c>
      <c r="F384" s="4">
        <f>8.0344 * CHOOSE(CONTROL!$C$12, $D$4, 100%, $F$4)</f>
        <v>8.0343999999999998</v>
      </c>
      <c r="G384" s="8">
        <f>6.9466 * CHOOSE( CONTROL!$C$12, $D$4, 100%, $F$4)</f>
        <v>6.9466000000000001</v>
      </c>
      <c r="H384" s="4">
        <f>7.8373 * CHOOSE(CONTROL!$C$12, $D$4, 100%, $F$4)</f>
        <v>7.8372999999999999</v>
      </c>
      <c r="I384" s="8">
        <f>6.8787 * CHOOSE(CONTROL!$C$12, $D$4, 100%, $F$4)</f>
        <v>6.8787000000000003</v>
      </c>
      <c r="J384" s="4">
        <f>6.8171 * CHOOSE(CONTROL!$C$12, $D$4, 100%, $F$4)</f>
        <v>6.8170999999999999</v>
      </c>
      <c r="K384" s="4"/>
      <c r="L384" s="9">
        <v>27.3993</v>
      </c>
      <c r="M384" s="9">
        <v>12.063700000000001</v>
      </c>
      <c r="N384" s="9">
        <v>4.9444999999999997</v>
      </c>
      <c r="O384" s="9">
        <v>0.37459999999999999</v>
      </c>
      <c r="P384" s="9">
        <v>1.2939000000000001</v>
      </c>
      <c r="Q384" s="9">
        <v>20.2666</v>
      </c>
      <c r="R384" s="9"/>
      <c r="S384" s="11"/>
    </row>
    <row r="385" spans="1:19" ht="15.6">
      <c r="A385" s="13">
        <v>53812</v>
      </c>
      <c r="B385" s="8">
        <f>7.1431 * CHOOSE(CONTROL!$C$12, $D$4, 100%, $F$4)</f>
        <v>7.1430999999999996</v>
      </c>
      <c r="C385" s="8">
        <f>7.1535 * CHOOSE(CONTROL!$C$12, $D$4, 100%, $F$4)</f>
        <v>7.1535000000000002</v>
      </c>
      <c r="D385" s="8">
        <f>7.1585 * CHOOSE( CONTROL!$C$12, $D$4, 100%, $F$4)</f>
        <v>7.1585000000000001</v>
      </c>
      <c r="E385" s="12">
        <f>7.1557 * CHOOSE( CONTROL!$C$12, $D$4, 100%, $F$4)</f>
        <v>7.1557000000000004</v>
      </c>
      <c r="F385" s="4">
        <f>8.1496 * CHOOSE(CONTROL!$C$12, $D$4, 100%, $F$4)</f>
        <v>8.1495999999999995</v>
      </c>
      <c r="G385" s="8">
        <f>7.0399 * CHOOSE( CONTROL!$C$12, $D$4, 100%, $F$4)</f>
        <v>7.0399000000000003</v>
      </c>
      <c r="H385" s="4">
        <f>7.9509 * CHOOSE(CONTROL!$C$12, $D$4, 100%, $F$4)</f>
        <v>7.9508999999999999</v>
      </c>
      <c r="I385" s="8">
        <f>6.9725 * CHOOSE(CONTROL!$C$12, $D$4, 100%, $F$4)</f>
        <v>6.9725000000000001</v>
      </c>
      <c r="J385" s="4">
        <f>6.9208 * CHOOSE(CONTROL!$C$12, $D$4, 100%, $F$4)</f>
        <v>6.9207999999999998</v>
      </c>
      <c r="K385" s="4"/>
      <c r="L385" s="9">
        <v>27.988800000000001</v>
      </c>
      <c r="M385" s="9">
        <v>11.6745</v>
      </c>
      <c r="N385" s="9">
        <v>4.7850000000000001</v>
      </c>
      <c r="O385" s="9">
        <v>0.36249999999999999</v>
      </c>
      <c r="P385" s="9">
        <v>1.1798</v>
      </c>
      <c r="Q385" s="9">
        <v>19.6128</v>
      </c>
      <c r="R385" s="9"/>
      <c r="S385" s="11"/>
    </row>
    <row r="386" spans="1:19" ht="15.6">
      <c r="A386" s="13">
        <v>53843</v>
      </c>
      <c r="B386" s="8">
        <f>CHOOSE( CONTROL!$C$29, 7.3403, 7.3334) * CHOOSE(CONTROL!$C$12, $D$4, 100%, $F$4)</f>
        <v>7.3334000000000001</v>
      </c>
      <c r="C386" s="8">
        <f>CHOOSE( CONTROL!$C$29, 7.3506, 7.3438) * CHOOSE(CONTROL!$C$12, $D$4, 100%, $F$4)</f>
        <v>7.3437999999999999</v>
      </c>
      <c r="D386" s="8">
        <f>CHOOSE( CONTROL!$C$29, 7.3309, 7.324) * CHOOSE( CONTROL!$C$12, $D$4, 100%, $F$4)</f>
        <v>7.3239999999999998</v>
      </c>
      <c r="E386" s="12">
        <f>CHOOSE( CONTROL!$C$29, 7.3365, 7.3296) * CHOOSE( CONTROL!$C$12, $D$4, 100%, $F$4)</f>
        <v>7.3296000000000001</v>
      </c>
      <c r="F386" s="4">
        <f>CHOOSE( CONTROL!$C$29, 8.3147, 8.3079) * CHOOSE(CONTROL!$C$12, $D$4, 100%, $F$4)</f>
        <v>8.3079000000000001</v>
      </c>
      <c r="G386" s="8">
        <f>CHOOSE( CONTROL!$C$29, 7.216, 7.2093) * CHOOSE( CONTROL!$C$12, $D$4, 100%, $F$4)</f>
        <v>7.2092999999999998</v>
      </c>
      <c r="H386" s="4">
        <f>CHOOSE( CONTROL!$C$29, 8.1137, 8.1069) * CHOOSE(CONTROL!$C$12, $D$4, 100%, $F$4)</f>
        <v>8.1068999999999996</v>
      </c>
      <c r="I386" s="8">
        <f>CHOOSE( CONTROL!$C$29, 7.142, 7.1354) * CHOOSE(CONTROL!$C$12, $D$4, 100%, $F$4)</f>
        <v>7.1353999999999997</v>
      </c>
      <c r="J386" s="4">
        <f>CHOOSE( CONTROL!$C$29, 7.1118, 7.1052) * CHOOSE(CONTROL!$C$12, $D$4, 100%, $F$4)</f>
        <v>7.1052</v>
      </c>
      <c r="K386" s="4"/>
      <c r="L386" s="9">
        <v>29.520499999999998</v>
      </c>
      <c r="M386" s="9">
        <v>12.063700000000001</v>
      </c>
      <c r="N386" s="9">
        <v>4.9444999999999997</v>
      </c>
      <c r="O386" s="9">
        <v>0.37459999999999999</v>
      </c>
      <c r="P386" s="9">
        <v>1.2192000000000001</v>
      </c>
      <c r="Q386" s="9">
        <v>20.2666</v>
      </c>
      <c r="R386" s="9"/>
      <c r="S386" s="11"/>
    </row>
    <row r="387" spans="1:19" ht="15.6">
      <c r="A387" s="13">
        <v>53873</v>
      </c>
      <c r="B387" s="8">
        <f>CHOOSE( CONTROL!$C$29, 7.2224, 7.2156) * CHOOSE(CONTROL!$C$12, $D$4, 100%, $F$4)</f>
        <v>7.2156000000000002</v>
      </c>
      <c r="C387" s="8">
        <f>CHOOSE( CONTROL!$C$29, 7.2327, 7.2259) * CHOOSE(CONTROL!$C$12, $D$4, 100%, $F$4)</f>
        <v>7.2259000000000002</v>
      </c>
      <c r="D387" s="8">
        <f>CHOOSE( CONTROL!$C$29, 7.2074, 7.2006) * CHOOSE( CONTROL!$C$12, $D$4, 100%, $F$4)</f>
        <v>7.2005999999999997</v>
      </c>
      <c r="E387" s="12">
        <f>CHOOSE( CONTROL!$C$29, 7.215, 7.2082) * CHOOSE( CONTROL!$C$12, $D$4, 100%, $F$4)</f>
        <v>7.2081999999999997</v>
      </c>
      <c r="F387" s="4">
        <f>CHOOSE( CONTROL!$C$29, 8.1865, 8.1797) * CHOOSE(CONTROL!$C$12, $D$4, 100%, $F$4)</f>
        <v>8.1797000000000004</v>
      </c>
      <c r="G387" s="8">
        <f>CHOOSE( CONTROL!$C$29, 7.0986, 7.0918) * CHOOSE( CONTROL!$C$12, $D$4, 100%, $F$4)</f>
        <v>7.0918000000000001</v>
      </c>
      <c r="H387" s="4">
        <f>CHOOSE( CONTROL!$C$29, 7.9873, 7.9806) * CHOOSE(CONTROL!$C$12, $D$4, 100%, $F$4)</f>
        <v>7.9805999999999999</v>
      </c>
      <c r="I387" s="8">
        <f>CHOOSE( CONTROL!$C$29, 7.0299, 7.0233) * CHOOSE(CONTROL!$C$12, $D$4, 100%, $F$4)</f>
        <v>7.0232999999999999</v>
      </c>
      <c r="J387" s="4">
        <f>CHOOSE( CONTROL!$C$29, 6.9976, 6.9909) * CHOOSE(CONTROL!$C$12, $D$4, 100%, $F$4)</f>
        <v>6.9908999999999999</v>
      </c>
      <c r="K387" s="4"/>
      <c r="L387" s="9">
        <v>28.568200000000001</v>
      </c>
      <c r="M387" s="9">
        <v>11.6745</v>
      </c>
      <c r="N387" s="9">
        <v>4.7850000000000001</v>
      </c>
      <c r="O387" s="9">
        <v>0.36249999999999999</v>
      </c>
      <c r="P387" s="9">
        <v>1.1798</v>
      </c>
      <c r="Q387" s="9">
        <v>19.6128</v>
      </c>
      <c r="R387" s="9"/>
      <c r="S387" s="11"/>
    </row>
    <row r="388" spans="1:19" ht="15.6">
      <c r="A388" s="13">
        <v>53904</v>
      </c>
      <c r="B388" s="8">
        <f>CHOOSE( CONTROL!$C$29, 7.5328, 7.526) * CHOOSE(CONTROL!$C$12, $D$4, 100%, $F$4)</f>
        <v>7.5259999999999998</v>
      </c>
      <c r="C388" s="8">
        <f>CHOOSE( CONTROL!$C$29, 7.5432, 7.5363) * CHOOSE(CONTROL!$C$12, $D$4, 100%, $F$4)</f>
        <v>7.5362999999999998</v>
      </c>
      <c r="D388" s="8">
        <f>CHOOSE( CONTROL!$C$29, 7.5513, 7.5445) * CHOOSE( CONTROL!$C$12, $D$4, 100%, $F$4)</f>
        <v>7.5445000000000002</v>
      </c>
      <c r="E388" s="12">
        <f>CHOOSE( CONTROL!$C$29, 7.5468, 7.54) * CHOOSE( CONTROL!$C$12, $D$4, 100%, $F$4)</f>
        <v>7.54</v>
      </c>
      <c r="F388" s="4">
        <f>CHOOSE( CONTROL!$C$29, 8.5419, 8.535) * CHOOSE(CONTROL!$C$12, $D$4, 100%, $F$4)</f>
        <v>8.5350000000000001</v>
      </c>
      <c r="G388" s="8">
        <f>CHOOSE( CONTROL!$C$29, 7.4306, 7.4239) * CHOOSE( CONTROL!$C$12, $D$4, 100%, $F$4)</f>
        <v>7.4238999999999997</v>
      </c>
      <c r="H388" s="4">
        <f>CHOOSE( CONTROL!$C$29, 8.3376, 8.3308) * CHOOSE(CONTROL!$C$12, $D$4, 100%, $F$4)</f>
        <v>8.3308</v>
      </c>
      <c r="I388" s="8">
        <f>CHOOSE( CONTROL!$C$29, 7.3862, 7.3795) * CHOOSE(CONTROL!$C$12, $D$4, 100%, $F$4)</f>
        <v>7.3795000000000002</v>
      </c>
      <c r="J388" s="4">
        <f>CHOOSE( CONTROL!$C$29, 7.2984, 7.2917) * CHOOSE(CONTROL!$C$12, $D$4, 100%, $F$4)</f>
        <v>7.2916999999999996</v>
      </c>
      <c r="K388" s="4"/>
      <c r="L388" s="9">
        <v>29.520499999999998</v>
      </c>
      <c r="M388" s="9">
        <v>12.063700000000001</v>
      </c>
      <c r="N388" s="9">
        <v>4.9444999999999997</v>
      </c>
      <c r="O388" s="9">
        <v>0.37459999999999999</v>
      </c>
      <c r="P388" s="9">
        <v>1.2192000000000001</v>
      </c>
      <c r="Q388" s="9">
        <v>20.2666</v>
      </c>
      <c r="R388" s="9"/>
      <c r="S388" s="11"/>
    </row>
    <row r="389" spans="1:19" ht="15.6">
      <c r="A389" s="13">
        <v>53935</v>
      </c>
      <c r="B389" s="8">
        <f>CHOOSE( CONTROL!$C$29, 6.952, 6.9451) * CHOOSE(CONTROL!$C$12, $D$4, 100%, $F$4)</f>
        <v>6.9451000000000001</v>
      </c>
      <c r="C389" s="8">
        <f>CHOOSE( CONTROL!$C$29, 6.9623, 6.9554) * CHOOSE(CONTROL!$C$12, $D$4, 100%, $F$4)</f>
        <v>6.9554</v>
      </c>
      <c r="D389" s="8">
        <f>CHOOSE( CONTROL!$C$29, 6.9638, 6.9569) * CHOOSE( CONTROL!$C$12, $D$4, 100%, $F$4)</f>
        <v>6.9569000000000001</v>
      </c>
      <c r="E389" s="12">
        <f>CHOOSE( CONTROL!$C$29, 6.9617, 6.9548) * CHOOSE( CONTROL!$C$12, $D$4, 100%, $F$4)</f>
        <v>6.9547999999999996</v>
      </c>
      <c r="F389" s="4">
        <f>CHOOSE( CONTROL!$C$29, 7.9584, 7.9516) * CHOOSE(CONTROL!$C$12, $D$4, 100%, $F$4)</f>
        <v>7.9516</v>
      </c>
      <c r="G389" s="8">
        <f>CHOOSE( CONTROL!$C$29, 6.8481, 6.8414) * CHOOSE( CONTROL!$C$12, $D$4, 100%, $F$4)</f>
        <v>6.8414000000000001</v>
      </c>
      <c r="H389" s="4">
        <f>CHOOSE( CONTROL!$C$29, 7.7624, 7.7557) * CHOOSE(CONTROL!$C$12, $D$4, 100%, $F$4)</f>
        <v>7.7557</v>
      </c>
      <c r="I389" s="8">
        <f>CHOOSE( CONTROL!$C$29, 6.8041, 6.7975) * CHOOSE(CONTROL!$C$12, $D$4, 100%, $F$4)</f>
        <v>6.7975000000000003</v>
      </c>
      <c r="J389" s="4">
        <f>CHOOSE( CONTROL!$C$29, 6.7355, 6.7289) * CHOOSE(CONTROL!$C$12, $D$4, 100%, $F$4)</f>
        <v>6.7289000000000003</v>
      </c>
      <c r="K389" s="4"/>
      <c r="L389" s="9">
        <v>29.520499999999998</v>
      </c>
      <c r="M389" s="9">
        <v>12.063700000000001</v>
      </c>
      <c r="N389" s="9">
        <v>4.9444999999999997</v>
      </c>
      <c r="O389" s="9">
        <v>0.37459999999999999</v>
      </c>
      <c r="P389" s="9">
        <v>1.2192000000000001</v>
      </c>
      <c r="Q389" s="9">
        <v>20.2666</v>
      </c>
      <c r="R389" s="9"/>
      <c r="S389" s="11"/>
    </row>
    <row r="390" spans="1:19" ht="15.6">
      <c r="A390" s="13">
        <v>53965</v>
      </c>
      <c r="B390" s="8">
        <f>CHOOSE( CONTROL!$C$29, 6.8065, 6.7997) * CHOOSE(CONTROL!$C$12, $D$4, 100%, $F$4)</f>
        <v>6.7996999999999996</v>
      </c>
      <c r="C390" s="8">
        <f>CHOOSE( CONTROL!$C$29, 6.8168, 6.81) * CHOOSE(CONTROL!$C$12, $D$4, 100%, $F$4)</f>
        <v>6.81</v>
      </c>
      <c r="D390" s="8">
        <f>CHOOSE( CONTROL!$C$29, 6.8215, 6.8147) * CHOOSE( CONTROL!$C$12, $D$4, 100%, $F$4)</f>
        <v>6.8147000000000002</v>
      </c>
      <c r="E390" s="12">
        <f>CHOOSE( CONTROL!$C$29, 6.8182, 6.8114) * CHOOSE( CONTROL!$C$12, $D$4, 100%, $F$4)</f>
        <v>6.8113999999999999</v>
      </c>
      <c r="F390" s="4">
        <f>CHOOSE( CONTROL!$C$29, 7.8181, 7.8113) * CHOOSE(CONTROL!$C$12, $D$4, 100%, $F$4)</f>
        <v>7.8113000000000001</v>
      </c>
      <c r="G390" s="8">
        <f>CHOOSE( CONTROL!$C$29, 6.7068, 6.7) * CHOOSE( CONTROL!$C$12, $D$4, 100%, $F$4)</f>
        <v>6.7</v>
      </c>
      <c r="H390" s="4">
        <f>CHOOSE( CONTROL!$C$29, 7.6241, 7.6174) * CHOOSE(CONTROL!$C$12, $D$4, 100%, $F$4)</f>
        <v>7.6173999999999999</v>
      </c>
      <c r="I390" s="8">
        <f>CHOOSE( CONTROL!$C$29, 6.6709, 6.6643) * CHOOSE(CONTROL!$C$12, $D$4, 100%, $F$4)</f>
        <v>6.6642999999999999</v>
      </c>
      <c r="J390" s="4">
        <f>CHOOSE( CONTROL!$C$29, 6.5946, 6.5879) * CHOOSE(CONTROL!$C$12, $D$4, 100%, $F$4)</f>
        <v>6.5879000000000003</v>
      </c>
      <c r="K390" s="4"/>
      <c r="L390" s="9">
        <v>28.568200000000001</v>
      </c>
      <c r="M390" s="9">
        <v>11.6745</v>
      </c>
      <c r="N390" s="9">
        <v>4.7850000000000001</v>
      </c>
      <c r="O390" s="9">
        <v>0.36249999999999999</v>
      </c>
      <c r="P390" s="9">
        <v>1.1798</v>
      </c>
      <c r="Q390" s="9">
        <v>19.6128</v>
      </c>
      <c r="R390" s="9"/>
      <c r="S390" s="11"/>
    </row>
    <row r="391" spans="1:19" ht="15.6">
      <c r="A391" s="13">
        <v>53996</v>
      </c>
      <c r="B391" s="8">
        <f>7.1017 * CHOOSE(CONTROL!$C$12, $D$4, 100%, $F$4)</f>
        <v>7.1017000000000001</v>
      </c>
      <c r="C391" s="8">
        <f>7.112 * CHOOSE(CONTROL!$C$12, $D$4, 100%, $F$4)</f>
        <v>7.1120000000000001</v>
      </c>
      <c r="D391" s="8">
        <f>7.1071 * CHOOSE( CONTROL!$C$12, $D$4, 100%, $F$4)</f>
        <v>7.1071</v>
      </c>
      <c r="E391" s="12">
        <f>7.1076 * CHOOSE( CONTROL!$C$12, $D$4, 100%, $F$4)</f>
        <v>7.1075999999999997</v>
      </c>
      <c r="F391" s="4">
        <f>8.0927 * CHOOSE(CONTROL!$C$12, $D$4, 100%, $F$4)</f>
        <v>8.0927000000000007</v>
      </c>
      <c r="G391" s="8">
        <f>6.9945 * CHOOSE( CONTROL!$C$12, $D$4, 100%, $F$4)</f>
        <v>6.9945000000000004</v>
      </c>
      <c r="H391" s="4">
        <f>7.8948 * CHOOSE(CONTROL!$C$12, $D$4, 100%, $F$4)</f>
        <v>7.8948</v>
      </c>
      <c r="I391" s="8">
        <f>6.961 * CHOOSE(CONTROL!$C$12, $D$4, 100%, $F$4)</f>
        <v>6.9610000000000003</v>
      </c>
      <c r="J391" s="4">
        <f>6.8806 * CHOOSE(CONTROL!$C$12, $D$4, 100%, $F$4)</f>
        <v>6.8806000000000003</v>
      </c>
      <c r="K391" s="4"/>
      <c r="L391" s="9">
        <v>28.921800000000001</v>
      </c>
      <c r="M391" s="9">
        <v>12.063700000000001</v>
      </c>
      <c r="N391" s="9">
        <v>4.9444999999999997</v>
      </c>
      <c r="O391" s="9">
        <v>0.37459999999999999</v>
      </c>
      <c r="P391" s="9">
        <v>1.2192000000000001</v>
      </c>
      <c r="Q391" s="9">
        <v>20.2666</v>
      </c>
      <c r="R391" s="9"/>
      <c r="S391" s="11"/>
    </row>
    <row r="392" spans="1:19" ht="15.6">
      <c r="A392" s="13">
        <v>54026</v>
      </c>
      <c r="B392" s="8">
        <f>7.6592 * CHOOSE(CONTROL!$C$12, $D$4, 100%, $F$4)</f>
        <v>7.6592000000000002</v>
      </c>
      <c r="C392" s="8">
        <f>7.6695 * CHOOSE(CONTROL!$C$12, $D$4, 100%, $F$4)</f>
        <v>7.6695000000000002</v>
      </c>
      <c r="D392" s="8">
        <f>7.6288 * CHOOSE( CONTROL!$C$12, $D$4, 100%, $F$4)</f>
        <v>7.6288</v>
      </c>
      <c r="E392" s="12">
        <f>7.6426 * CHOOSE( CONTROL!$C$12, $D$4, 100%, $F$4)</f>
        <v>7.6425999999999998</v>
      </c>
      <c r="F392" s="4">
        <f>8.6362 * CHOOSE(CONTROL!$C$12, $D$4, 100%, $F$4)</f>
        <v>8.6362000000000005</v>
      </c>
      <c r="G392" s="8">
        <f>7.538 * CHOOSE( CONTROL!$C$12, $D$4, 100%, $F$4)</f>
        <v>7.5380000000000003</v>
      </c>
      <c r="H392" s="4">
        <f>8.4306 * CHOOSE(CONTROL!$C$12, $D$4, 100%, $F$4)</f>
        <v>8.4306000000000001</v>
      </c>
      <c r="I392" s="8">
        <f>7.4857 * CHOOSE(CONTROL!$C$12, $D$4, 100%, $F$4)</f>
        <v>7.4856999999999996</v>
      </c>
      <c r="J392" s="4">
        <f>7.4208 * CHOOSE(CONTROL!$C$12, $D$4, 100%, $F$4)</f>
        <v>7.4207999999999998</v>
      </c>
      <c r="K392" s="4"/>
      <c r="L392" s="9">
        <v>26.515499999999999</v>
      </c>
      <c r="M392" s="9">
        <v>11.6745</v>
      </c>
      <c r="N392" s="9">
        <v>4.7850000000000001</v>
      </c>
      <c r="O392" s="9">
        <v>0.36249999999999999</v>
      </c>
      <c r="P392" s="9">
        <v>1.2522</v>
      </c>
      <c r="Q392" s="9">
        <v>19.6128</v>
      </c>
      <c r="R392" s="9"/>
      <c r="S392" s="11"/>
    </row>
    <row r="393" spans="1:19" ht="15.6">
      <c r="A393" s="13">
        <v>54057</v>
      </c>
      <c r="B393" s="8">
        <f>7.6452 * CHOOSE(CONTROL!$C$12, $D$4, 100%, $F$4)</f>
        <v>7.6452</v>
      </c>
      <c r="C393" s="8">
        <f>7.6556 * CHOOSE(CONTROL!$C$12, $D$4, 100%, $F$4)</f>
        <v>7.6555999999999997</v>
      </c>
      <c r="D393" s="8">
        <f>7.6168 * CHOOSE( CONTROL!$C$12, $D$4, 100%, $F$4)</f>
        <v>7.6167999999999996</v>
      </c>
      <c r="E393" s="12">
        <f>7.6299 * CHOOSE( CONTROL!$C$12, $D$4, 100%, $F$4)</f>
        <v>7.6299000000000001</v>
      </c>
      <c r="F393" s="4">
        <f>8.6156 * CHOOSE(CONTROL!$C$12, $D$4, 100%, $F$4)</f>
        <v>8.6156000000000006</v>
      </c>
      <c r="G393" s="8">
        <f>7.5266 * CHOOSE( CONTROL!$C$12, $D$4, 100%, $F$4)</f>
        <v>7.5266000000000002</v>
      </c>
      <c r="H393" s="4">
        <f>8.4102 * CHOOSE(CONTROL!$C$12, $D$4, 100%, $F$4)</f>
        <v>8.4101999999999997</v>
      </c>
      <c r="I393" s="8">
        <f>7.483 * CHOOSE(CONTROL!$C$12, $D$4, 100%, $F$4)</f>
        <v>7.4829999999999997</v>
      </c>
      <c r="J393" s="4">
        <f>7.4073 * CHOOSE(CONTROL!$C$12, $D$4, 100%, $F$4)</f>
        <v>7.4073000000000002</v>
      </c>
      <c r="K393" s="4"/>
      <c r="L393" s="9">
        <v>27.3993</v>
      </c>
      <c r="M393" s="9">
        <v>12.063700000000001</v>
      </c>
      <c r="N393" s="9">
        <v>4.9444999999999997</v>
      </c>
      <c r="O393" s="9">
        <v>0.37459999999999999</v>
      </c>
      <c r="P393" s="9">
        <v>1.2939000000000001</v>
      </c>
      <c r="Q393" s="9">
        <v>20.2666</v>
      </c>
      <c r="R393" s="9"/>
      <c r="S393" s="11"/>
    </row>
    <row r="394" spans="1:19" ht="15.6">
      <c r="A394" s="13">
        <v>54088</v>
      </c>
      <c r="B394" s="8">
        <f>7.8236 * CHOOSE(CONTROL!$C$12, $D$4, 100%, $F$4)</f>
        <v>7.8235999999999999</v>
      </c>
      <c r="C394" s="8">
        <f>7.8339 * CHOOSE(CONTROL!$C$12, $D$4, 100%, $F$4)</f>
        <v>7.8338999999999999</v>
      </c>
      <c r="D394" s="8">
        <f>7.8337 * CHOOSE( CONTROL!$C$12, $D$4, 100%, $F$4)</f>
        <v>7.8337000000000003</v>
      </c>
      <c r="E394" s="12">
        <f>7.8327 * CHOOSE( CONTROL!$C$12, $D$4, 100%, $F$4)</f>
        <v>7.8327</v>
      </c>
      <c r="F394" s="4">
        <f>8.8455 * CHOOSE(CONTROL!$C$12, $D$4, 100%, $F$4)</f>
        <v>8.8454999999999995</v>
      </c>
      <c r="G394" s="8">
        <f>7.7435 * CHOOSE( CONTROL!$C$12, $D$4, 100%, $F$4)</f>
        <v>7.7435</v>
      </c>
      <c r="H394" s="4">
        <f>8.6369 * CHOOSE(CONTROL!$C$12, $D$4, 100%, $F$4)</f>
        <v>8.6369000000000007</v>
      </c>
      <c r="I394" s="8">
        <f>7.6925 * CHOOSE(CONTROL!$C$12, $D$4, 100%, $F$4)</f>
        <v>7.6924999999999999</v>
      </c>
      <c r="J394" s="4">
        <f>7.5801 * CHOOSE(CONTROL!$C$12, $D$4, 100%, $F$4)</f>
        <v>7.5800999999999998</v>
      </c>
      <c r="K394" s="4"/>
      <c r="L394" s="9">
        <v>27.3993</v>
      </c>
      <c r="M394" s="9">
        <v>12.063700000000001</v>
      </c>
      <c r="N394" s="9">
        <v>4.9444999999999997</v>
      </c>
      <c r="O394" s="9">
        <v>0.37459999999999999</v>
      </c>
      <c r="P394" s="9">
        <v>1.2939000000000001</v>
      </c>
      <c r="Q394" s="9">
        <v>20.201499999999999</v>
      </c>
      <c r="R394" s="9"/>
      <c r="S394" s="11"/>
    </row>
    <row r="395" spans="1:19" ht="15.6">
      <c r="A395" s="13">
        <v>54116</v>
      </c>
      <c r="B395" s="8">
        <f>7.3179 * CHOOSE(CONTROL!$C$12, $D$4, 100%, $F$4)</f>
        <v>7.3178999999999998</v>
      </c>
      <c r="C395" s="8">
        <f>7.3282 * CHOOSE(CONTROL!$C$12, $D$4, 100%, $F$4)</f>
        <v>7.3281999999999998</v>
      </c>
      <c r="D395" s="8">
        <f>7.3303 * CHOOSE( CONTROL!$C$12, $D$4, 100%, $F$4)</f>
        <v>7.3303000000000003</v>
      </c>
      <c r="E395" s="12">
        <f>7.3284 * CHOOSE( CONTROL!$C$12, $D$4, 100%, $F$4)</f>
        <v>7.3284000000000002</v>
      </c>
      <c r="F395" s="4">
        <f>8.3321 * CHOOSE(CONTROL!$C$12, $D$4, 100%, $F$4)</f>
        <v>8.3321000000000005</v>
      </c>
      <c r="G395" s="8">
        <f>7.2448 * CHOOSE( CONTROL!$C$12, $D$4, 100%, $F$4)</f>
        <v>7.2447999999999997</v>
      </c>
      <c r="H395" s="4">
        <f>8.1308 * CHOOSE(CONTROL!$C$12, $D$4, 100%, $F$4)</f>
        <v>8.1308000000000007</v>
      </c>
      <c r="I395" s="8">
        <f>7.1913 * CHOOSE(CONTROL!$C$12, $D$4, 100%, $F$4)</f>
        <v>7.1913</v>
      </c>
      <c r="J395" s="4">
        <f>7.0901 * CHOOSE(CONTROL!$C$12, $D$4, 100%, $F$4)</f>
        <v>7.0900999999999996</v>
      </c>
      <c r="K395" s="4"/>
      <c r="L395" s="9">
        <v>25.631599999999999</v>
      </c>
      <c r="M395" s="9">
        <v>11.285299999999999</v>
      </c>
      <c r="N395" s="9">
        <v>4.6254999999999997</v>
      </c>
      <c r="O395" s="9">
        <v>0.35039999999999999</v>
      </c>
      <c r="P395" s="9">
        <v>1.2104999999999999</v>
      </c>
      <c r="Q395" s="9">
        <v>18.898099999999999</v>
      </c>
      <c r="R395" s="9"/>
      <c r="S395" s="11"/>
    </row>
    <row r="396" spans="1:19" ht="15.6">
      <c r="A396" s="13">
        <v>54148</v>
      </c>
      <c r="B396" s="8">
        <f>7.1621 * CHOOSE(CONTROL!$C$12, $D$4, 100%, $F$4)</f>
        <v>7.1620999999999997</v>
      </c>
      <c r="C396" s="8">
        <f>7.1725 * CHOOSE(CONTROL!$C$12, $D$4, 100%, $F$4)</f>
        <v>7.1725000000000003</v>
      </c>
      <c r="D396" s="8">
        <f>7.1546 * CHOOSE( CONTROL!$C$12, $D$4, 100%, $F$4)</f>
        <v>7.1546000000000003</v>
      </c>
      <c r="E396" s="12">
        <f>7.16 * CHOOSE( CONTROL!$C$12, $D$4, 100%, $F$4)</f>
        <v>7.16</v>
      </c>
      <c r="F396" s="4">
        <f>8.1603 * CHOOSE(CONTROL!$C$12, $D$4, 100%, $F$4)</f>
        <v>8.1602999999999994</v>
      </c>
      <c r="G396" s="8">
        <f>7.0708 * CHOOSE( CONTROL!$C$12, $D$4, 100%, $F$4)</f>
        <v>7.0708000000000002</v>
      </c>
      <c r="H396" s="4">
        <f>7.9615 * CHOOSE(CONTROL!$C$12, $D$4, 100%, $F$4)</f>
        <v>7.9615</v>
      </c>
      <c r="I396" s="8">
        <f>7.0008 * CHOOSE(CONTROL!$C$12, $D$4, 100%, $F$4)</f>
        <v>7.0007999999999999</v>
      </c>
      <c r="J396" s="4">
        <f>6.9392 * CHOOSE(CONTROL!$C$12, $D$4, 100%, $F$4)</f>
        <v>6.9391999999999996</v>
      </c>
      <c r="K396" s="4"/>
      <c r="L396" s="9">
        <v>27.3993</v>
      </c>
      <c r="M396" s="9">
        <v>12.063700000000001</v>
      </c>
      <c r="N396" s="9">
        <v>4.9444999999999997</v>
      </c>
      <c r="O396" s="9">
        <v>0.37459999999999999</v>
      </c>
      <c r="P396" s="9">
        <v>1.2939000000000001</v>
      </c>
      <c r="Q396" s="9">
        <v>20.201499999999999</v>
      </c>
      <c r="R396" s="9"/>
      <c r="S396" s="11"/>
    </row>
    <row r="397" spans="1:19" ht="15.6">
      <c r="A397" s="13">
        <v>54178</v>
      </c>
      <c r="B397" s="8">
        <f>7.271 * CHOOSE(CONTROL!$C$12, $D$4, 100%, $F$4)</f>
        <v>7.2709999999999999</v>
      </c>
      <c r="C397" s="8">
        <f>7.2813 * CHOOSE(CONTROL!$C$12, $D$4, 100%, $F$4)</f>
        <v>7.2812999999999999</v>
      </c>
      <c r="D397" s="8">
        <f>7.2863 * CHOOSE( CONTROL!$C$12, $D$4, 100%, $F$4)</f>
        <v>7.2862999999999998</v>
      </c>
      <c r="E397" s="12">
        <f>7.2835 * CHOOSE( CONTROL!$C$12, $D$4, 100%, $F$4)</f>
        <v>7.2835000000000001</v>
      </c>
      <c r="F397" s="4">
        <f>8.2774 * CHOOSE(CONTROL!$C$12, $D$4, 100%, $F$4)</f>
        <v>8.2774000000000001</v>
      </c>
      <c r="G397" s="8">
        <f>7.1659 * CHOOSE( CONTROL!$C$12, $D$4, 100%, $F$4)</f>
        <v>7.1658999999999997</v>
      </c>
      <c r="H397" s="4">
        <f>8.0769 * CHOOSE(CONTROL!$C$12, $D$4, 100%, $F$4)</f>
        <v>8.0769000000000002</v>
      </c>
      <c r="I397" s="8">
        <f>7.0964 * CHOOSE(CONTROL!$C$12, $D$4, 100%, $F$4)</f>
        <v>7.0964</v>
      </c>
      <c r="J397" s="4">
        <f>7.0446 * CHOOSE(CONTROL!$C$12, $D$4, 100%, $F$4)</f>
        <v>7.0446</v>
      </c>
      <c r="K397" s="4"/>
      <c r="L397" s="9">
        <v>27.988800000000001</v>
      </c>
      <c r="M397" s="9">
        <v>11.6745</v>
      </c>
      <c r="N397" s="9">
        <v>4.7850000000000001</v>
      </c>
      <c r="O397" s="9">
        <v>0.36249999999999999</v>
      </c>
      <c r="P397" s="9">
        <v>1.1798</v>
      </c>
      <c r="Q397" s="9">
        <v>19.549800000000001</v>
      </c>
      <c r="R397" s="9"/>
      <c r="S397" s="11"/>
    </row>
    <row r="398" spans="1:19" ht="15.6">
      <c r="A398" s="13">
        <v>54209</v>
      </c>
      <c r="B398" s="8">
        <f>CHOOSE( CONTROL!$C$29, 7.4715, 7.4647) * CHOOSE(CONTROL!$C$12, $D$4, 100%, $F$4)</f>
        <v>7.4646999999999997</v>
      </c>
      <c r="C398" s="8">
        <f>CHOOSE( CONTROL!$C$29, 7.4819, 7.475) * CHOOSE(CONTROL!$C$12, $D$4, 100%, $F$4)</f>
        <v>7.4749999999999996</v>
      </c>
      <c r="D398" s="8">
        <f>CHOOSE( CONTROL!$C$29, 7.4621, 7.4553) * CHOOSE( CONTROL!$C$12, $D$4, 100%, $F$4)</f>
        <v>7.4553000000000003</v>
      </c>
      <c r="E398" s="12">
        <f>CHOOSE( CONTROL!$C$29, 7.4677, 7.4609) * CHOOSE( CONTROL!$C$12, $D$4, 100%, $F$4)</f>
        <v>7.4608999999999996</v>
      </c>
      <c r="F398" s="4">
        <f>CHOOSE( CONTROL!$C$29, 8.446, 8.4391) * CHOOSE(CONTROL!$C$12, $D$4, 100%, $F$4)</f>
        <v>8.4390999999999998</v>
      </c>
      <c r="G398" s="8">
        <f>CHOOSE( CONTROL!$C$29, 7.3454, 7.3387) * CHOOSE( CONTROL!$C$12, $D$4, 100%, $F$4)</f>
        <v>7.3387000000000002</v>
      </c>
      <c r="H398" s="4">
        <f>CHOOSE( CONTROL!$C$29, 8.2431, 8.2363) * CHOOSE(CONTROL!$C$12, $D$4, 100%, $F$4)</f>
        <v>8.2363</v>
      </c>
      <c r="I398" s="8">
        <f>CHOOSE( CONTROL!$C$29, 7.2693, 7.2627) * CHOOSE(CONTROL!$C$12, $D$4, 100%, $F$4)</f>
        <v>7.2626999999999997</v>
      </c>
      <c r="J398" s="4">
        <f>CHOOSE( CONTROL!$C$29, 7.239, 7.2323) * CHOOSE(CONTROL!$C$12, $D$4, 100%, $F$4)</f>
        <v>7.2323000000000004</v>
      </c>
      <c r="K398" s="4"/>
      <c r="L398" s="9">
        <v>29.520499999999998</v>
      </c>
      <c r="M398" s="9">
        <v>12.063700000000001</v>
      </c>
      <c r="N398" s="9">
        <v>4.9444999999999997</v>
      </c>
      <c r="O398" s="9">
        <v>0.37459999999999999</v>
      </c>
      <c r="P398" s="9">
        <v>1.2192000000000001</v>
      </c>
      <c r="Q398" s="9">
        <v>20.201499999999999</v>
      </c>
      <c r="R398" s="9"/>
      <c r="S398" s="11"/>
    </row>
    <row r="399" spans="1:19" ht="15.6">
      <c r="A399" s="13">
        <v>54239</v>
      </c>
      <c r="B399" s="8">
        <f>CHOOSE( CONTROL!$C$29, 7.3515, 7.3447) * CHOOSE(CONTROL!$C$12, $D$4, 100%, $F$4)</f>
        <v>7.3446999999999996</v>
      </c>
      <c r="C399" s="8">
        <f>CHOOSE( CONTROL!$C$29, 7.3619, 7.355) * CHOOSE(CONTROL!$C$12, $D$4, 100%, $F$4)</f>
        <v>7.3550000000000004</v>
      </c>
      <c r="D399" s="8">
        <f>CHOOSE( CONTROL!$C$29, 7.3366, 7.3297) * CHOOSE( CONTROL!$C$12, $D$4, 100%, $F$4)</f>
        <v>7.3296999999999999</v>
      </c>
      <c r="E399" s="12">
        <f>CHOOSE( CONTROL!$C$29, 7.3442, 7.3373) * CHOOSE( CONTROL!$C$12, $D$4, 100%, $F$4)</f>
        <v>7.3372999999999999</v>
      </c>
      <c r="F399" s="4">
        <f>CHOOSE( CONTROL!$C$29, 8.3157, 8.3088) * CHOOSE(CONTROL!$C$12, $D$4, 100%, $F$4)</f>
        <v>8.3087999999999997</v>
      </c>
      <c r="G399" s="8">
        <f>CHOOSE( CONTROL!$C$29, 7.2259, 7.2191) * CHOOSE( CONTROL!$C$12, $D$4, 100%, $F$4)</f>
        <v>7.2191000000000001</v>
      </c>
      <c r="H399" s="4">
        <f>CHOOSE( CONTROL!$C$29, 8.1146, 8.1079) * CHOOSE(CONTROL!$C$12, $D$4, 100%, $F$4)</f>
        <v>8.1079000000000008</v>
      </c>
      <c r="I399" s="8">
        <f>CHOOSE( CONTROL!$C$29, 7.1551, 7.1485) * CHOOSE(CONTROL!$C$12, $D$4, 100%, $F$4)</f>
        <v>7.1485000000000003</v>
      </c>
      <c r="J399" s="4">
        <f>CHOOSE( CONTROL!$C$29, 7.1227, 7.1161) * CHOOSE(CONTROL!$C$12, $D$4, 100%, $F$4)</f>
        <v>7.1161000000000003</v>
      </c>
      <c r="K399" s="4"/>
      <c r="L399" s="9">
        <v>28.568200000000001</v>
      </c>
      <c r="M399" s="9">
        <v>11.6745</v>
      </c>
      <c r="N399" s="9">
        <v>4.7850000000000001</v>
      </c>
      <c r="O399" s="9">
        <v>0.36249999999999999</v>
      </c>
      <c r="P399" s="9">
        <v>1.1798</v>
      </c>
      <c r="Q399" s="9">
        <v>19.549800000000001</v>
      </c>
      <c r="R399" s="9"/>
      <c r="S399" s="11"/>
    </row>
    <row r="400" spans="1:19" ht="15.6">
      <c r="A400" s="13">
        <v>54270</v>
      </c>
      <c r="B400" s="8">
        <f>CHOOSE( CONTROL!$C$29, 7.6675, 7.6607) * CHOOSE(CONTROL!$C$12, $D$4, 100%, $F$4)</f>
        <v>7.6607000000000003</v>
      </c>
      <c r="C400" s="8">
        <f>CHOOSE( CONTROL!$C$29, 7.6779, 7.671) * CHOOSE(CONTROL!$C$12, $D$4, 100%, $F$4)</f>
        <v>7.6710000000000003</v>
      </c>
      <c r="D400" s="8">
        <f>CHOOSE( CONTROL!$C$29, 7.686, 7.6792) * CHOOSE( CONTROL!$C$12, $D$4, 100%, $F$4)</f>
        <v>7.6791999999999998</v>
      </c>
      <c r="E400" s="12">
        <f>CHOOSE( CONTROL!$C$29, 7.6815, 7.6747) * CHOOSE( CONTROL!$C$12, $D$4, 100%, $F$4)</f>
        <v>7.6746999999999996</v>
      </c>
      <c r="F400" s="4">
        <f>CHOOSE( CONTROL!$C$29, 8.6766, 8.6697) * CHOOSE(CONTROL!$C$12, $D$4, 100%, $F$4)</f>
        <v>8.6697000000000006</v>
      </c>
      <c r="G400" s="8">
        <f>CHOOSE( CONTROL!$C$29, 7.5634, 7.5567) * CHOOSE( CONTROL!$C$12, $D$4, 100%, $F$4)</f>
        <v>7.5567000000000002</v>
      </c>
      <c r="H400" s="4">
        <f>CHOOSE( CONTROL!$C$29, 8.4704, 8.4636) * CHOOSE(CONTROL!$C$12, $D$4, 100%, $F$4)</f>
        <v>8.4635999999999996</v>
      </c>
      <c r="I400" s="8">
        <f>CHOOSE( CONTROL!$C$29, 7.5168, 7.5101) * CHOOSE(CONTROL!$C$12, $D$4, 100%, $F$4)</f>
        <v>7.5101000000000004</v>
      </c>
      <c r="J400" s="4">
        <f>CHOOSE( CONTROL!$C$29, 7.4289, 7.4223) * CHOOSE(CONTROL!$C$12, $D$4, 100%, $F$4)</f>
        <v>7.4222999999999999</v>
      </c>
      <c r="K400" s="4"/>
      <c r="L400" s="9">
        <v>29.520499999999998</v>
      </c>
      <c r="M400" s="9">
        <v>12.063700000000001</v>
      </c>
      <c r="N400" s="9">
        <v>4.9444999999999997</v>
      </c>
      <c r="O400" s="9">
        <v>0.37459999999999999</v>
      </c>
      <c r="P400" s="9">
        <v>1.2192000000000001</v>
      </c>
      <c r="Q400" s="9">
        <v>20.201499999999999</v>
      </c>
      <c r="R400" s="9"/>
      <c r="S400" s="11"/>
    </row>
    <row r="401" spans="1:19" ht="15.6">
      <c r="A401" s="13">
        <v>54301</v>
      </c>
      <c r="B401" s="8">
        <f>CHOOSE( CONTROL!$C$29, 7.0763, 7.0694) * CHOOSE(CONTROL!$C$12, $D$4, 100%, $F$4)</f>
        <v>7.0693999999999999</v>
      </c>
      <c r="C401" s="8">
        <f>CHOOSE( CONTROL!$C$29, 7.0866, 7.0797) * CHOOSE(CONTROL!$C$12, $D$4, 100%, $F$4)</f>
        <v>7.0796999999999999</v>
      </c>
      <c r="D401" s="8">
        <f>CHOOSE( CONTROL!$C$29, 7.0881, 7.0812) * CHOOSE( CONTROL!$C$12, $D$4, 100%, $F$4)</f>
        <v>7.0811999999999999</v>
      </c>
      <c r="E401" s="12">
        <f>CHOOSE( CONTROL!$C$29, 7.086, 7.0791) * CHOOSE( CONTROL!$C$12, $D$4, 100%, $F$4)</f>
        <v>7.0791000000000004</v>
      </c>
      <c r="F401" s="4">
        <f>CHOOSE( CONTROL!$C$29, 8.0827, 8.0759) * CHOOSE(CONTROL!$C$12, $D$4, 100%, $F$4)</f>
        <v>8.0759000000000007</v>
      </c>
      <c r="G401" s="8">
        <f>CHOOSE( CONTROL!$C$29, 6.9706, 6.9639) * CHOOSE( CONTROL!$C$12, $D$4, 100%, $F$4)</f>
        <v>6.9638999999999998</v>
      </c>
      <c r="H401" s="4">
        <f>CHOOSE( CONTROL!$C$29, 7.885, 7.8782) * CHOOSE(CONTROL!$C$12, $D$4, 100%, $F$4)</f>
        <v>7.8781999999999996</v>
      </c>
      <c r="I401" s="8">
        <f>CHOOSE( CONTROL!$C$29, 6.9246, 6.918) * CHOOSE(CONTROL!$C$12, $D$4, 100%, $F$4)</f>
        <v>6.9180000000000001</v>
      </c>
      <c r="J401" s="4">
        <f>CHOOSE( CONTROL!$C$29, 6.856, 6.8493) * CHOOSE(CONTROL!$C$12, $D$4, 100%, $F$4)</f>
        <v>6.8493000000000004</v>
      </c>
      <c r="K401" s="4"/>
      <c r="L401" s="9">
        <v>29.520499999999998</v>
      </c>
      <c r="M401" s="9">
        <v>12.063700000000001</v>
      </c>
      <c r="N401" s="9">
        <v>4.9444999999999997</v>
      </c>
      <c r="O401" s="9">
        <v>0.37459999999999999</v>
      </c>
      <c r="P401" s="9">
        <v>1.2192000000000001</v>
      </c>
      <c r="Q401" s="9">
        <v>20.201499999999999</v>
      </c>
      <c r="R401" s="9"/>
      <c r="S401" s="11"/>
    </row>
    <row r="402" spans="1:19" ht="15.6">
      <c r="A402" s="13">
        <v>54331</v>
      </c>
      <c r="B402" s="8">
        <f>CHOOSE( CONTROL!$C$29, 6.9282, 6.9214) * CHOOSE(CONTROL!$C$12, $D$4, 100%, $F$4)</f>
        <v>6.9214000000000002</v>
      </c>
      <c r="C402" s="8">
        <f>CHOOSE( CONTROL!$C$29, 6.9385, 6.9317) * CHOOSE(CONTROL!$C$12, $D$4, 100%, $F$4)</f>
        <v>6.9317000000000002</v>
      </c>
      <c r="D402" s="8">
        <f>CHOOSE( CONTROL!$C$29, 6.9432, 6.9364) * CHOOSE( CONTROL!$C$12, $D$4, 100%, $F$4)</f>
        <v>6.9363999999999999</v>
      </c>
      <c r="E402" s="12">
        <f>CHOOSE( CONTROL!$C$29, 6.9399, 6.9331) * CHOOSE( CONTROL!$C$12, $D$4, 100%, $F$4)</f>
        <v>6.9330999999999996</v>
      </c>
      <c r="F402" s="4">
        <f>CHOOSE( CONTROL!$C$29, 7.9398, 7.933) * CHOOSE(CONTROL!$C$12, $D$4, 100%, $F$4)</f>
        <v>7.9329999999999998</v>
      </c>
      <c r="G402" s="8">
        <f>CHOOSE( CONTROL!$C$29, 6.8267, 6.82) * CHOOSE( CONTROL!$C$12, $D$4, 100%, $F$4)</f>
        <v>6.82</v>
      </c>
      <c r="H402" s="4">
        <f>CHOOSE( CONTROL!$C$29, 7.7441, 7.7373) * CHOOSE(CONTROL!$C$12, $D$4, 100%, $F$4)</f>
        <v>7.7373000000000003</v>
      </c>
      <c r="I402" s="8">
        <f>CHOOSE( CONTROL!$C$29, 6.7889, 6.7822) * CHOOSE(CONTROL!$C$12, $D$4, 100%, $F$4)</f>
        <v>6.7821999999999996</v>
      </c>
      <c r="J402" s="4">
        <f>CHOOSE( CONTROL!$C$29, 6.7125, 6.7059) * CHOOSE(CONTROL!$C$12, $D$4, 100%, $F$4)</f>
        <v>6.7058999999999997</v>
      </c>
      <c r="K402" s="4"/>
      <c r="L402" s="9">
        <v>28.568200000000001</v>
      </c>
      <c r="M402" s="9">
        <v>11.6745</v>
      </c>
      <c r="N402" s="9">
        <v>4.7850000000000001</v>
      </c>
      <c r="O402" s="9">
        <v>0.36249999999999999</v>
      </c>
      <c r="P402" s="9">
        <v>1.1798</v>
      </c>
      <c r="Q402" s="9">
        <v>19.549800000000001</v>
      </c>
      <c r="R402" s="9"/>
      <c r="S402" s="11"/>
    </row>
    <row r="403" spans="1:19" ht="15.6">
      <c r="A403" s="13">
        <v>54362</v>
      </c>
      <c r="B403" s="8">
        <f>7.2288 * CHOOSE(CONTROL!$C$12, $D$4, 100%, $F$4)</f>
        <v>7.2287999999999997</v>
      </c>
      <c r="C403" s="8">
        <f>7.2391 * CHOOSE(CONTROL!$C$12, $D$4, 100%, $F$4)</f>
        <v>7.2390999999999996</v>
      </c>
      <c r="D403" s="8">
        <f>7.2342 * CHOOSE( CONTROL!$C$12, $D$4, 100%, $F$4)</f>
        <v>7.2342000000000004</v>
      </c>
      <c r="E403" s="12">
        <f>7.2347 * CHOOSE( CONTROL!$C$12, $D$4, 100%, $F$4)</f>
        <v>7.2347000000000001</v>
      </c>
      <c r="F403" s="4">
        <f>8.2198 * CHOOSE(CONTROL!$C$12, $D$4, 100%, $F$4)</f>
        <v>8.2197999999999993</v>
      </c>
      <c r="G403" s="8">
        <f>7.1198 * CHOOSE( CONTROL!$C$12, $D$4, 100%, $F$4)</f>
        <v>7.1197999999999997</v>
      </c>
      <c r="H403" s="4">
        <f>8.0201 * CHOOSE(CONTROL!$C$12, $D$4, 100%, $F$4)</f>
        <v>8.0200999999999993</v>
      </c>
      <c r="I403" s="8">
        <f>7.0842 * CHOOSE(CONTROL!$C$12, $D$4, 100%, $F$4)</f>
        <v>7.0842000000000001</v>
      </c>
      <c r="J403" s="4">
        <f>7.0038 * CHOOSE(CONTROL!$C$12, $D$4, 100%, $F$4)</f>
        <v>7.0038</v>
      </c>
      <c r="K403" s="4"/>
      <c r="L403" s="9">
        <v>28.921800000000001</v>
      </c>
      <c r="M403" s="9">
        <v>12.063700000000001</v>
      </c>
      <c r="N403" s="9">
        <v>4.9444999999999997</v>
      </c>
      <c r="O403" s="9">
        <v>0.37459999999999999</v>
      </c>
      <c r="P403" s="9">
        <v>1.2192000000000001</v>
      </c>
      <c r="Q403" s="9">
        <v>20.201499999999999</v>
      </c>
      <c r="R403" s="9"/>
      <c r="S403" s="11"/>
    </row>
    <row r="404" spans="1:19" ht="15.6">
      <c r="A404" s="13">
        <v>54392</v>
      </c>
      <c r="B404" s="8">
        <f>7.7962 * CHOOSE(CONTROL!$C$12, $D$4, 100%, $F$4)</f>
        <v>7.7961999999999998</v>
      </c>
      <c r="C404" s="8">
        <f>7.8066 * CHOOSE(CONTROL!$C$12, $D$4, 100%, $F$4)</f>
        <v>7.8066000000000004</v>
      </c>
      <c r="D404" s="8">
        <f>7.7659 * CHOOSE( CONTROL!$C$12, $D$4, 100%, $F$4)</f>
        <v>7.7659000000000002</v>
      </c>
      <c r="E404" s="12">
        <f>7.7797 * CHOOSE( CONTROL!$C$12, $D$4, 100%, $F$4)</f>
        <v>7.7797000000000001</v>
      </c>
      <c r="F404" s="4">
        <f>8.7733 * CHOOSE(CONTROL!$C$12, $D$4, 100%, $F$4)</f>
        <v>8.7733000000000008</v>
      </c>
      <c r="G404" s="8">
        <f>7.6731 * CHOOSE( CONTROL!$C$12, $D$4, 100%, $F$4)</f>
        <v>7.6730999999999998</v>
      </c>
      <c r="H404" s="4">
        <f>8.5657 * CHOOSE(CONTROL!$C$12, $D$4, 100%, $F$4)</f>
        <v>8.5656999999999996</v>
      </c>
      <c r="I404" s="8">
        <f>7.6186 * CHOOSE(CONTROL!$C$12, $D$4, 100%, $F$4)</f>
        <v>7.6185999999999998</v>
      </c>
      <c r="J404" s="4">
        <f>7.5536 * CHOOSE(CONTROL!$C$12, $D$4, 100%, $F$4)</f>
        <v>7.5536000000000003</v>
      </c>
      <c r="K404" s="4"/>
      <c r="L404" s="9">
        <v>26.515499999999999</v>
      </c>
      <c r="M404" s="9">
        <v>11.6745</v>
      </c>
      <c r="N404" s="9">
        <v>4.7850000000000001</v>
      </c>
      <c r="O404" s="9">
        <v>0.36249999999999999</v>
      </c>
      <c r="P404" s="9">
        <v>1.2522</v>
      </c>
      <c r="Q404" s="9">
        <v>19.549800000000001</v>
      </c>
      <c r="R404" s="9"/>
      <c r="S404" s="11"/>
    </row>
    <row r="405" spans="1:19" ht="15.6">
      <c r="A405" s="13">
        <v>54423</v>
      </c>
      <c r="B405" s="8">
        <f>7.7821 * CHOOSE(CONTROL!$C$12, $D$4, 100%, $F$4)</f>
        <v>7.7820999999999998</v>
      </c>
      <c r="C405" s="8">
        <f>7.7924 * CHOOSE(CONTROL!$C$12, $D$4, 100%, $F$4)</f>
        <v>7.7923999999999998</v>
      </c>
      <c r="D405" s="8">
        <f>7.7536 * CHOOSE( CONTROL!$C$12, $D$4, 100%, $F$4)</f>
        <v>7.7535999999999996</v>
      </c>
      <c r="E405" s="12">
        <f>7.7667 * CHOOSE( CONTROL!$C$12, $D$4, 100%, $F$4)</f>
        <v>7.7667000000000002</v>
      </c>
      <c r="F405" s="4">
        <f>8.7524 * CHOOSE(CONTROL!$C$12, $D$4, 100%, $F$4)</f>
        <v>8.7523999999999997</v>
      </c>
      <c r="G405" s="8">
        <f>7.6615 * CHOOSE( CONTROL!$C$12, $D$4, 100%, $F$4)</f>
        <v>7.6615000000000002</v>
      </c>
      <c r="H405" s="4">
        <f>8.5451 * CHOOSE(CONTROL!$C$12, $D$4, 100%, $F$4)</f>
        <v>8.5450999999999997</v>
      </c>
      <c r="I405" s="8">
        <f>7.6156 * CHOOSE(CONTROL!$C$12, $D$4, 100%, $F$4)</f>
        <v>7.6155999999999997</v>
      </c>
      <c r="J405" s="4">
        <f>7.5399 * CHOOSE(CONTROL!$C$12, $D$4, 100%, $F$4)</f>
        <v>7.5399000000000003</v>
      </c>
      <c r="K405" s="4"/>
      <c r="L405" s="9">
        <v>27.3993</v>
      </c>
      <c r="M405" s="9">
        <v>12.063700000000001</v>
      </c>
      <c r="N405" s="9">
        <v>4.9444999999999997</v>
      </c>
      <c r="O405" s="9">
        <v>0.37459999999999999</v>
      </c>
      <c r="P405" s="9">
        <v>1.2939000000000001</v>
      </c>
      <c r="Q405" s="9">
        <v>20.201499999999999</v>
      </c>
      <c r="R405" s="9"/>
      <c r="S405" s="11"/>
    </row>
    <row r="406" spans="1:19" ht="15.6">
      <c r="A406" s="13">
        <v>54454</v>
      </c>
      <c r="B406" s="8">
        <f>7.9637 * CHOOSE(CONTROL!$C$12, $D$4, 100%, $F$4)</f>
        <v>7.9637000000000002</v>
      </c>
      <c r="C406" s="8">
        <f>7.974 * CHOOSE(CONTROL!$C$12, $D$4, 100%, $F$4)</f>
        <v>7.9740000000000002</v>
      </c>
      <c r="D406" s="8">
        <f>7.9738 * CHOOSE( CONTROL!$C$12, $D$4, 100%, $F$4)</f>
        <v>7.9737999999999998</v>
      </c>
      <c r="E406" s="12">
        <f>7.9728 * CHOOSE( CONTROL!$C$12, $D$4, 100%, $F$4)</f>
        <v>7.9728000000000003</v>
      </c>
      <c r="F406" s="4">
        <f>8.9856 * CHOOSE(CONTROL!$C$12, $D$4, 100%, $F$4)</f>
        <v>8.9855999999999998</v>
      </c>
      <c r="G406" s="8">
        <f>7.8815 * CHOOSE( CONTROL!$C$12, $D$4, 100%, $F$4)</f>
        <v>7.8815</v>
      </c>
      <c r="H406" s="4">
        <f>8.775 * CHOOSE(CONTROL!$C$12, $D$4, 100%, $F$4)</f>
        <v>8.7750000000000004</v>
      </c>
      <c r="I406" s="8">
        <f>7.8283 * CHOOSE(CONTROL!$C$12, $D$4, 100%, $F$4)</f>
        <v>7.8282999999999996</v>
      </c>
      <c r="J406" s="4">
        <f>7.7158 * CHOOSE(CONTROL!$C$12, $D$4, 100%, $F$4)</f>
        <v>7.7157999999999998</v>
      </c>
      <c r="K406" s="4"/>
      <c r="L406" s="9">
        <v>27.3993</v>
      </c>
      <c r="M406" s="9">
        <v>12.063700000000001</v>
      </c>
      <c r="N406" s="9">
        <v>4.9444999999999997</v>
      </c>
      <c r="O406" s="9">
        <v>0.37459999999999999</v>
      </c>
      <c r="P406" s="9">
        <v>1.2939000000000001</v>
      </c>
      <c r="Q406" s="9">
        <v>20.136399999999998</v>
      </c>
      <c r="R406" s="9"/>
      <c r="S406" s="11"/>
    </row>
    <row r="407" spans="1:19" ht="15.6">
      <c r="A407" s="13">
        <v>54482</v>
      </c>
      <c r="B407" s="8">
        <f>7.4489 * CHOOSE(CONTROL!$C$12, $D$4, 100%, $F$4)</f>
        <v>7.4489000000000001</v>
      </c>
      <c r="C407" s="8">
        <f>7.4592 * CHOOSE(CONTROL!$C$12, $D$4, 100%, $F$4)</f>
        <v>7.4592000000000001</v>
      </c>
      <c r="D407" s="8">
        <f>7.4613 * CHOOSE( CONTROL!$C$12, $D$4, 100%, $F$4)</f>
        <v>7.4612999999999996</v>
      </c>
      <c r="E407" s="12">
        <f>7.4594 * CHOOSE( CONTROL!$C$12, $D$4, 100%, $F$4)</f>
        <v>7.4593999999999996</v>
      </c>
      <c r="F407" s="4">
        <f>8.4631 * CHOOSE(CONTROL!$C$12, $D$4, 100%, $F$4)</f>
        <v>8.4631000000000007</v>
      </c>
      <c r="G407" s="8">
        <f>7.3739 * CHOOSE( CONTROL!$C$12, $D$4, 100%, $F$4)</f>
        <v>7.3738999999999999</v>
      </c>
      <c r="H407" s="4">
        <f>8.2599 * CHOOSE(CONTROL!$C$12, $D$4, 100%, $F$4)</f>
        <v>8.2599</v>
      </c>
      <c r="I407" s="8">
        <f>7.3183 * CHOOSE(CONTROL!$C$12, $D$4, 100%, $F$4)</f>
        <v>7.3182999999999998</v>
      </c>
      <c r="J407" s="4">
        <f>7.217 * CHOOSE(CONTROL!$C$12, $D$4, 100%, $F$4)</f>
        <v>7.2169999999999996</v>
      </c>
      <c r="K407" s="4"/>
      <c r="L407" s="9">
        <v>24.747800000000002</v>
      </c>
      <c r="M407" s="9">
        <v>10.8962</v>
      </c>
      <c r="N407" s="9">
        <v>4.4660000000000002</v>
      </c>
      <c r="O407" s="9">
        <v>0.33829999999999999</v>
      </c>
      <c r="P407" s="9">
        <v>1.1687000000000001</v>
      </c>
      <c r="Q407" s="9">
        <v>18.1877</v>
      </c>
      <c r="R407" s="9"/>
      <c r="S407" s="11"/>
    </row>
    <row r="408" spans="1:19" ht="15.6">
      <c r="A408" s="13">
        <v>54513</v>
      </c>
      <c r="B408" s="8">
        <f>7.2903 * CHOOSE(CONTROL!$C$12, $D$4, 100%, $F$4)</f>
        <v>7.2903000000000002</v>
      </c>
      <c r="C408" s="8">
        <f>7.3006 * CHOOSE(CONTROL!$C$12, $D$4, 100%, $F$4)</f>
        <v>7.3006000000000002</v>
      </c>
      <c r="D408" s="8">
        <f>7.2828 * CHOOSE( CONTROL!$C$12, $D$4, 100%, $F$4)</f>
        <v>7.2827999999999999</v>
      </c>
      <c r="E408" s="12">
        <f>7.2882 * CHOOSE( CONTROL!$C$12, $D$4, 100%, $F$4)</f>
        <v>7.2881999999999998</v>
      </c>
      <c r="F408" s="4">
        <f>8.2885 * CHOOSE(CONTROL!$C$12, $D$4, 100%, $F$4)</f>
        <v>8.2885000000000009</v>
      </c>
      <c r="G408" s="8">
        <f>7.1971 * CHOOSE( CONTROL!$C$12, $D$4, 100%, $F$4)</f>
        <v>7.1970999999999998</v>
      </c>
      <c r="H408" s="4">
        <f>8.0878 * CHOOSE(CONTROL!$C$12, $D$4, 100%, $F$4)</f>
        <v>8.0877999999999997</v>
      </c>
      <c r="I408" s="8">
        <f>7.1251 * CHOOSE(CONTROL!$C$12, $D$4, 100%, $F$4)</f>
        <v>7.1250999999999998</v>
      </c>
      <c r="J408" s="4">
        <f>7.0634 * CHOOSE(CONTROL!$C$12, $D$4, 100%, $F$4)</f>
        <v>7.0633999999999997</v>
      </c>
      <c r="K408" s="4"/>
      <c r="L408" s="9">
        <v>27.3993</v>
      </c>
      <c r="M408" s="9">
        <v>12.063700000000001</v>
      </c>
      <c r="N408" s="9">
        <v>4.9444999999999997</v>
      </c>
      <c r="O408" s="9">
        <v>0.37459999999999999</v>
      </c>
      <c r="P408" s="9">
        <v>1.2939000000000001</v>
      </c>
      <c r="Q408" s="9">
        <v>20.136399999999998</v>
      </c>
      <c r="R408" s="9"/>
      <c r="S408" s="11"/>
    </row>
    <row r="409" spans="1:19" ht="15.6">
      <c r="A409" s="13">
        <v>54543</v>
      </c>
      <c r="B409" s="8">
        <f>7.4011 * CHOOSE(CONTROL!$C$12, $D$4, 100%, $F$4)</f>
        <v>7.4010999999999996</v>
      </c>
      <c r="C409" s="8">
        <f>7.4114 * CHOOSE(CONTROL!$C$12, $D$4, 100%, $F$4)</f>
        <v>7.4114000000000004</v>
      </c>
      <c r="D409" s="8">
        <f>7.4165 * CHOOSE( CONTROL!$C$12, $D$4, 100%, $F$4)</f>
        <v>7.4165000000000001</v>
      </c>
      <c r="E409" s="12">
        <f>7.4136 * CHOOSE( CONTROL!$C$12, $D$4, 100%, $F$4)</f>
        <v>7.4135999999999997</v>
      </c>
      <c r="F409" s="4">
        <f>8.4076 * CHOOSE(CONTROL!$C$12, $D$4, 100%, $F$4)</f>
        <v>8.4076000000000004</v>
      </c>
      <c r="G409" s="8">
        <f>7.2942 * CHOOSE( CONTROL!$C$12, $D$4, 100%, $F$4)</f>
        <v>7.2942</v>
      </c>
      <c r="H409" s="4">
        <f>8.2052 * CHOOSE(CONTROL!$C$12, $D$4, 100%, $F$4)</f>
        <v>8.2051999999999996</v>
      </c>
      <c r="I409" s="8">
        <f>7.2226 * CHOOSE(CONTROL!$C$12, $D$4, 100%, $F$4)</f>
        <v>7.2225999999999999</v>
      </c>
      <c r="J409" s="4">
        <f>7.1707 * CHOOSE(CONTROL!$C$12, $D$4, 100%, $F$4)</f>
        <v>7.1707000000000001</v>
      </c>
      <c r="K409" s="4"/>
      <c r="L409" s="9">
        <v>27.988800000000001</v>
      </c>
      <c r="M409" s="9">
        <v>11.6745</v>
      </c>
      <c r="N409" s="9">
        <v>4.7850000000000001</v>
      </c>
      <c r="O409" s="9">
        <v>0.36249999999999999</v>
      </c>
      <c r="P409" s="9">
        <v>1.1798</v>
      </c>
      <c r="Q409" s="9">
        <v>19.486799999999999</v>
      </c>
      <c r="R409" s="9"/>
      <c r="S409" s="11"/>
    </row>
    <row r="410" spans="1:19" ht="15.6">
      <c r="A410" s="13">
        <v>54574</v>
      </c>
      <c r="B410" s="8">
        <f>CHOOSE( CONTROL!$C$29, 7.6051, 7.5983) * CHOOSE(CONTROL!$C$12, $D$4, 100%, $F$4)</f>
        <v>7.5983000000000001</v>
      </c>
      <c r="C410" s="8">
        <f>CHOOSE( CONTROL!$C$29, 7.6155, 7.6086) * CHOOSE(CONTROL!$C$12, $D$4, 100%, $F$4)</f>
        <v>7.6086</v>
      </c>
      <c r="D410" s="8">
        <f>CHOOSE( CONTROL!$C$29, 7.5957, 7.5889) * CHOOSE( CONTROL!$C$12, $D$4, 100%, $F$4)</f>
        <v>7.5888999999999998</v>
      </c>
      <c r="E410" s="12">
        <f>CHOOSE( CONTROL!$C$29, 7.6013, 7.5945) * CHOOSE( CONTROL!$C$12, $D$4, 100%, $F$4)</f>
        <v>7.5945</v>
      </c>
      <c r="F410" s="4">
        <f>CHOOSE( CONTROL!$C$29, 8.5796, 8.5727) * CHOOSE(CONTROL!$C$12, $D$4, 100%, $F$4)</f>
        <v>8.5726999999999993</v>
      </c>
      <c r="G410" s="8">
        <f>CHOOSE( CONTROL!$C$29, 7.4771, 7.4704) * CHOOSE( CONTROL!$C$12, $D$4, 100%, $F$4)</f>
        <v>7.4703999999999997</v>
      </c>
      <c r="H410" s="4">
        <f>CHOOSE( CONTROL!$C$29, 8.3748, 8.368) * CHOOSE(CONTROL!$C$12, $D$4, 100%, $F$4)</f>
        <v>8.3680000000000003</v>
      </c>
      <c r="I410" s="8">
        <f>CHOOSE( CONTROL!$C$29, 7.3988, 7.3922) * CHOOSE(CONTROL!$C$12, $D$4, 100%, $F$4)</f>
        <v>7.3921999999999999</v>
      </c>
      <c r="J410" s="4">
        <f>CHOOSE( CONTROL!$C$29, 7.3684, 7.3618) * CHOOSE(CONTROL!$C$12, $D$4, 100%, $F$4)</f>
        <v>7.3617999999999997</v>
      </c>
      <c r="K410" s="4"/>
      <c r="L410" s="9">
        <v>29.520499999999998</v>
      </c>
      <c r="M410" s="9">
        <v>12.063700000000001</v>
      </c>
      <c r="N410" s="9">
        <v>4.9444999999999997</v>
      </c>
      <c r="O410" s="9">
        <v>0.37459999999999999</v>
      </c>
      <c r="P410" s="9">
        <v>1.2192000000000001</v>
      </c>
      <c r="Q410" s="9">
        <v>20.136399999999998</v>
      </c>
      <c r="R410" s="9"/>
      <c r="S410" s="11"/>
    </row>
    <row r="411" spans="1:19" ht="15.6">
      <c r="A411" s="13">
        <v>54604</v>
      </c>
      <c r="B411" s="8">
        <f>CHOOSE( CONTROL!$C$29, 7.483, 7.4762) * CHOOSE(CONTROL!$C$12, $D$4, 100%, $F$4)</f>
        <v>7.4762000000000004</v>
      </c>
      <c r="C411" s="8">
        <f>CHOOSE( CONTROL!$C$29, 7.4933, 7.4865) * CHOOSE(CONTROL!$C$12, $D$4, 100%, $F$4)</f>
        <v>7.4865000000000004</v>
      </c>
      <c r="D411" s="8">
        <f>CHOOSE( CONTROL!$C$29, 7.468, 7.4612) * CHOOSE( CONTROL!$C$12, $D$4, 100%, $F$4)</f>
        <v>7.4611999999999998</v>
      </c>
      <c r="E411" s="12">
        <f>CHOOSE( CONTROL!$C$29, 7.4756, 7.4688) * CHOOSE( CONTROL!$C$12, $D$4, 100%, $F$4)</f>
        <v>7.4687999999999999</v>
      </c>
      <c r="F411" s="4">
        <f>CHOOSE( CONTROL!$C$29, 8.4471, 8.4403) * CHOOSE(CONTROL!$C$12, $D$4, 100%, $F$4)</f>
        <v>8.4403000000000006</v>
      </c>
      <c r="G411" s="8">
        <f>CHOOSE( CONTROL!$C$29, 7.3554, 7.3487) * CHOOSE( CONTROL!$C$12, $D$4, 100%, $F$4)</f>
        <v>7.3487</v>
      </c>
      <c r="H411" s="4">
        <f>CHOOSE( CONTROL!$C$29, 8.2442, 8.2374) * CHOOSE(CONTROL!$C$12, $D$4, 100%, $F$4)</f>
        <v>8.2373999999999992</v>
      </c>
      <c r="I411" s="8">
        <f>CHOOSE( CONTROL!$C$29, 7.2826, 7.2759) * CHOOSE(CONTROL!$C$12, $D$4, 100%, $F$4)</f>
        <v>7.2759</v>
      </c>
      <c r="J411" s="4">
        <f>CHOOSE( CONTROL!$C$29, 7.2501, 7.2434) * CHOOSE(CONTROL!$C$12, $D$4, 100%, $F$4)</f>
        <v>7.2434000000000003</v>
      </c>
      <c r="K411" s="4"/>
      <c r="L411" s="9">
        <v>28.568200000000001</v>
      </c>
      <c r="M411" s="9">
        <v>11.6745</v>
      </c>
      <c r="N411" s="9">
        <v>4.7850000000000001</v>
      </c>
      <c r="O411" s="9">
        <v>0.36249999999999999</v>
      </c>
      <c r="P411" s="9">
        <v>1.1798</v>
      </c>
      <c r="Q411" s="9">
        <v>19.486799999999999</v>
      </c>
      <c r="R411" s="9"/>
      <c r="S411" s="11"/>
    </row>
    <row r="412" spans="1:19" ht="15.6">
      <c r="A412" s="13">
        <v>54635</v>
      </c>
      <c r="B412" s="8">
        <f>CHOOSE( CONTROL!$C$29, 7.8047, 7.7978) * CHOOSE(CONTROL!$C$12, $D$4, 100%, $F$4)</f>
        <v>7.7977999999999996</v>
      </c>
      <c r="C412" s="8">
        <f>CHOOSE( CONTROL!$C$29, 7.815, 7.8081) * CHOOSE(CONTROL!$C$12, $D$4, 100%, $F$4)</f>
        <v>7.8080999999999996</v>
      </c>
      <c r="D412" s="8">
        <f>CHOOSE( CONTROL!$C$29, 7.8231, 7.8163) * CHOOSE( CONTROL!$C$12, $D$4, 100%, $F$4)</f>
        <v>7.8163</v>
      </c>
      <c r="E412" s="12">
        <f>CHOOSE( CONTROL!$C$29, 7.8186, 7.8118) * CHOOSE( CONTROL!$C$12, $D$4, 100%, $F$4)</f>
        <v>7.8117999999999999</v>
      </c>
      <c r="F412" s="4">
        <f>CHOOSE( CONTROL!$C$29, 8.8137, 8.8068) * CHOOSE(CONTROL!$C$12, $D$4, 100%, $F$4)</f>
        <v>8.8068000000000008</v>
      </c>
      <c r="G412" s="8">
        <f>CHOOSE( CONTROL!$C$29, 7.6986, 7.6918) * CHOOSE( CONTROL!$C$12, $D$4, 100%, $F$4)</f>
        <v>7.6917999999999997</v>
      </c>
      <c r="H412" s="4">
        <f>CHOOSE( CONTROL!$C$29, 8.6055, 8.5988) * CHOOSE(CONTROL!$C$12, $D$4, 100%, $F$4)</f>
        <v>8.5988000000000007</v>
      </c>
      <c r="I412" s="8">
        <f>CHOOSE( CONTROL!$C$29, 7.6497, 7.6431) * CHOOSE(CONTROL!$C$12, $D$4, 100%, $F$4)</f>
        <v>7.6430999999999996</v>
      </c>
      <c r="J412" s="4">
        <f>CHOOSE( CONTROL!$C$29, 7.5618, 7.5551) * CHOOSE(CONTROL!$C$12, $D$4, 100%, $F$4)</f>
        <v>7.5551000000000004</v>
      </c>
      <c r="K412" s="4"/>
      <c r="L412" s="9">
        <v>29.520499999999998</v>
      </c>
      <c r="M412" s="9">
        <v>12.063700000000001</v>
      </c>
      <c r="N412" s="9">
        <v>4.9444999999999997</v>
      </c>
      <c r="O412" s="9">
        <v>0.37459999999999999</v>
      </c>
      <c r="P412" s="9">
        <v>1.2192000000000001</v>
      </c>
      <c r="Q412" s="9">
        <v>20.136399999999998</v>
      </c>
      <c r="R412" s="9"/>
      <c r="S412" s="11"/>
    </row>
    <row r="413" spans="1:19" ht="15.6">
      <c r="A413" s="13">
        <v>54666</v>
      </c>
      <c r="B413" s="8">
        <f>CHOOSE( CONTROL!$C$29, 7.2028, 7.196) * CHOOSE(CONTROL!$C$12, $D$4, 100%, $F$4)</f>
        <v>7.1959999999999997</v>
      </c>
      <c r="C413" s="8">
        <f>CHOOSE( CONTROL!$C$29, 7.2131, 7.2063) * CHOOSE(CONTROL!$C$12, $D$4, 100%, $F$4)</f>
        <v>7.2062999999999997</v>
      </c>
      <c r="D413" s="8">
        <f>CHOOSE( CONTROL!$C$29, 7.2146, 7.2078) * CHOOSE( CONTROL!$C$12, $D$4, 100%, $F$4)</f>
        <v>7.2077999999999998</v>
      </c>
      <c r="E413" s="12">
        <f>CHOOSE( CONTROL!$C$29, 7.2125, 7.2057) * CHOOSE( CONTROL!$C$12, $D$4, 100%, $F$4)</f>
        <v>7.2057000000000002</v>
      </c>
      <c r="F413" s="4">
        <f>CHOOSE( CONTROL!$C$29, 8.2092, 8.2024) * CHOOSE(CONTROL!$C$12, $D$4, 100%, $F$4)</f>
        <v>8.2024000000000008</v>
      </c>
      <c r="G413" s="8">
        <f>CHOOSE( CONTROL!$C$29, 7.0954, 7.0886) * CHOOSE( CONTROL!$C$12, $D$4, 100%, $F$4)</f>
        <v>7.0885999999999996</v>
      </c>
      <c r="H413" s="4">
        <f>CHOOSE( CONTROL!$C$29, 8.0097, 8.0029) * CHOOSE(CONTROL!$C$12, $D$4, 100%, $F$4)</f>
        <v>8.0029000000000003</v>
      </c>
      <c r="I413" s="8">
        <f>CHOOSE( CONTROL!$C$29, 7.0473, 7.0407) * CHOOSE(CONTROL!$C$12, $D$4, 100%, $F$4)</f>
        <v>7.0407000000000002</v>
      </c>
      <c r="J413" s="4">
        <f>CHOOSE( CONTROL!$C$29, 6.9786, 6.9719) * CHOOSE(CONTROL!$C$12, $D$4, 100%, $F$4)</f>
        <v>6.9718999999999998</v>
      </c>
      <c r="K413" s="4"/>
      <c r="L413" s="9">
        <v>29.520499999999998</v>
      </c>
      <c r="M413" s="9">
        <v>12.063700000000001</v>
      </c>
      <c r="N413" s="9">
        <v>4.9444999999999997</v>
      </c>
      <c r="O413" s="9">
        <v>0.37459999999999999</v>
      </c>
      <c r="P413" s="9">
        <v>1.2192000000000001</v>
      </c>
      <c r="Q413" s="9">
        <v>20.136399999999998</v>
      </c>
      <c r="R413" s="9"/>
      <c r="S413" s="11"/>
    </row>
    <row r="414" spans="1:19" ht="15.6">
      <c r="A414" s="13">
        <v>54696</v>
      </c>
      <c r="B414" s="8">
        <f>CHOOSE( CONTROL!$C$29, 7.0521, 7.0452) * CHOOSE(CONTROL!$C$12, $D$4, 100%, $F$4)</f>
        <v>7.0452000000000004</v>
      </c>
      <c r="C414" s="8">
        <f>CHOOSE( CONTROL!$C$29, 7.0624, 7.0556) * CHOOSE(CONTROL!$C$12, $D$4, 100%, $F$4)</f>
        <v>7.0556000000000001</v>
      </c>
      <c r="D414" s="8">
        <f>CHOOSE( CONTROL!$C$29, 7.0671, 7.0602) * CHOOSE( CONTROL!$C$12, $D$4, 100%, $F$4)</f>
        <v>7.0602</v>
      </c>
      <c r="E414" s="12">
        <f>CHOOSE( CONTROL!$C$29, 7.0638, 7.0569) * CHOOSE( CONTROL!$C$12, $D$4, 100%, $F$4)</f>
        <v>7.0568999999999997</v>
      </c>
      <c r="F414" s="4">
        <f>CHOOSE( CONTROL!$C$29, 8.0637, 8.0568) * CHOOSE(CONTROL!$C$12, $D$4, 100%, $F$4)</f>
        <v>8.0568000000000008</v>
      </c>
      <c r="G414" s="8">
        <f>CHOOSE( CONTROL!$C$29, 6.9488, 6.9421) * CHOOSE( CONTROL!$C$12, $D$4, 100%, $F$4)</f>
        <v>6.9420999999999999</v>
      </c>
      <c r="H414" s="4">
        <f>CHOOSE( CONTROL!$C$29, 7.8662, 7.8595) * CHOOSE(CONTROL!$C$12, $D$4, 100%, $F$4)</f>
        <v>7.8594999999999997</v>
      </c>
      <c r="I414" s="8">
        <f>CHOOSE( CONTROL!$C$29, 6.909, 6.9023) * CHOOSE(CONTROL!$C$12, $D$4, 100%, $F$4)</f>
        <v>6.9023000000000003</v>
      </c>
      <c r="J414" s="4">
        <f>CHOOSE( CONTROL!$C$29, 6.8325, 6.8259) * CHOOSE(CONTROL!$C$12, $D$4, 100%, $F$4)</f>
        <v>6.8258999999999999</v>
      </c>
      <c r="K414" s="4"/>
      <c r="L414" s="9">
        <v>28.568200000000001</v>
      </c>
      <c r="M414" s="9">
        <v>11.6745</v>
      </c>
      <c r="N414" s="9">
        <v>4.7850000000000001</v>
      </c>
      <c r="O414" s="9">
        <v>0.36249999999999999</v>
      </c>
      <c r="P414" s="9">
        <v>1.1798</v>
      </c>
      <c r="Q414" s="9">
        <v>19.486799999999999</v>
      </c>
      <c r="R414" s="9"/>
      <c r="S414" s="11"/>
    </row>
    <row r="415" spans="1:19" ht="15.6">
      <c r="A415" s="13">
        <v>54727</v>
      </c>
      <c r="B415" s="8">
        <f>7.3582 * CHOOSE(CONTROL!$C$12, $D$4, 100%, $F$4)</f>
        <v>7.3582000000000001</v>
      </c>
      <c r="C415" s="8">
        <f>7.3685 * CHOOSE(CONTROL!$C$12, $D$4, 100%, $F$4)</f>
        <v>7.3685</v>
      </c>
      <c r="D415" s="8">
        <f>7.3635 * CHOOSE( CONTROL!$C$12, $D$4, 100%, $F$4)</f>
        <v>7.3635000000000002</v>
      </c>
      <c r="E415" s="12">
        <f>7.3641 * CHOOSE( CONTROL!$C$12, $D$4, 100%, $F$4)</f>
        <v>7.3640999999999996</v>
      </c>
      <c r="F415" s="4">
        <f>8.3491 * CHOOSE(CONTROL!$C$12, $D$4, 100%, $F$4)</f>
        <v>8.3491</v>
      </c>
      <c r="G415" s="8">
        <f>7.2474 * CHOOSE( CONTROL!$C$12, $D$4, 100%, $F$4)</f>
        <v>7.2473999999999998</v>
      </c>
      <c r="H415" s="4">
        <f>8.1476 * CHOOSE(CONTROL!$C$12, $D$4, 100%, $F$4)</f>
        <v>8.1476000000000006</v>
      </c>
      <c r="I415" s="8">
        <f>7.2096 * CHOOSE(CONTROL!$C$12, $D$4, 100%, $F$4)</f>
        <v>7.2096</v>
      </c>
      <c r="J415" s="4">
        <f>7.1291 * CHOOSE(CONTROL!$C$12, $D$4, 100%, $F$4)</f>
        <v>7.1291000000000002</v>
      </c>
      <c r="K415" s="4"/>
      <c r="L415" s="9">
        <v>28.921800000000001</v>
      </c>
      <c r="M415" s="9">
        <v>12.063700000000001</v>
      </c>
      <c r="N415" s="9">
        <v>4.9444999999999997</v>
      </c>
      <c r="O415" s="9">
        <v>0.37459999999999999</v>
      </c>
      <c r="P415" s="9">
        <v>1.2192000000000001</v>
      </c>
      <c r="Q415" s="9">
        <v>20.136399999999998</v>
      </c>
      <c r="R415" s="9"/>
      <c r="S415" s="11"/>
    </row>
    <row r="416" spans="1:19" ht="15.6">
      <c r="A416" s="13">
        <v>54757</v>
      </c>
      <c r="B416" s="8">
        <f>7.9358 * CHOOSE(CONTROL!$C$12, $D$4, 100%, $F$4)</f>
        <v>7.9358000000000004</v>
      </c>
      <c r="C416" s="8">
        <f>7.9461 * CHOOSE(CONTROL!$C$12, $D$4, 100%, $F$4)</f>
        <v>7.9461000000000004</v>
      </c>
      <c r="D416" s="8">
        <f>7.9054 * CHOOSE( CONTROL!$C$12, $D$4, 100%, $F$4)</f>
        <v>7.9054000000000002</v>
      </c>
      <c r="E416" s="12">
        <f>7.9192 * CHOOSE( CONTROL!$C$12, $D$4, 100%, $F$4)</f>
        <v>7.9192</v>
      </c>
      <c r="F416" s="4">
        <f>8.9128 * CHOOSE(CONTROL!$C$12, $D$4, 100%, $F$4)</f>
        <v>8.9128000000000007</v>
      </c>
      <c r="G416" s="8">
        <f>7.8107 * CHOOSE( CONTROL!$C$12, $D$4, 100%, $F$4)</f>
        <v>7.8106999999999998</v>
      </c>
      <c r="H416" s="4">
        <f>8.7032 * CHOOSE(CONTROL!$C$12, $D$4, 100%, $F$4)</f>
        <v>8.7032000000000007</v>
      </c>
      <c r="I416" s="8">
        <f>7.7539 * CHOOSE(CONTROL!$C$12, $D$4, 100%, $F$4)</f>
        <v>7.7538999999999998</v>
      </c>
      <c r="J416" s="4">
        <f>7.6888 * CHOOSE(CONTROL!$C$12, $D$4, 100%, $F$4)</f>
        <v>7.6887999999999996</v>
      </c>
      <c r="K416" s="4"/>
      <c r="L416" s="9">
        <v>26.515499999999999</v>
      </c>
      <c r="M416" s="9">
        <v>11.6745</v>
      </c>
      <c r="N416" s="9">
        <v>4.7850000000000001</v>
      </c>
      <c r="O416" s="9">
        <v>0.36249999999999999</v>
      </c>
      <c r="P416" s="9">
        <v>1.2522</v>
      </c>
      <c r="Q416" s="9">
        <v>19.486799999999999</v>
      </c>
      <c r="R416" s="9"/>
      <c r="S416" s="11"/>
    </row>
    <row r="417" spans="1:19" ht="15.6">
      <c r="A417" s="13">
        <v>54788</v>
      </c>
      <c r="B417" s="8">
        <f>7.9213 * CHOOSE(CONTROL!$C$12, $D$4, 100%, $F$4)</f>
        <v>7.9212999999999996</v>
      </c>
      <c r="C417" s="8">
        <f>7.9317 * CHOOSE(CONTROL!$C$12, $D$4, 100%, $F$4)</f>
        <v>7.9317000000000002</v>
      </c>
      <c r="D417" s="8">
        <f>7.8929 * CHOOSE( CONTROL!$C$12, $D$4, 100%, $F$4)</f>
        <v>7.8929</v>
      </c>
      <c r="E417" s="12">
        <f>7.906 * CHOOSE( CONTROL!$C$12, $D$4, 100%, $F$4)</f>
        <v>7.9059999999999997</v>
      </c>
      <c r="F417" s="4">
        <f>8.8917 * CHOOSE(CONTROL!$C$12, $D$4, 100%, $F$4)</f>
        <v>8.8917000000000002</v>
      </c>
      <c r="G417" s="8">
        <f>7.7988 * CHOOSE( CONTROL!$C$12, $D$4, 100%, $F$4)</f>
        <v>7.7988</v>
      </c>
      <c r="H417" s="4">
        <f>8.6824 * CHOOSE(CONTROL!$C$12, $D$4, 100%, $F$4)</f>
        <v>8.6823999999999995</v>
      </c>
      <c r="I417" s="8">
        <f>7.7507 * CHOOSE(CONTROL!$C$12, $D$4, 100%, $F$4)</f>
        <v>7.7507000000000001</v>
      </c>
      <c r="J417" s="4">
        <f>7.6748 * CHOOSE(CONTROL!$C$12, $D$4, 100%, $F$4)</f>
        <v>7.6748000000000003</v>
      </c>
      <c r="K417" s="4"/>
      <c r="L417" s="9">
        <v>27.3993</v>
      </c>
      <c r="M417" s="9">
        <v>12.063700000000001</v>
      </c>
      <c r="N417" s="9">
        <v>4.9444999999999997</v>
      </c>
      <c r="O417" s="9">
        <v>0.37459999999999999</v>
      </c>
      <c r="P417" s="9">
        <v>1.2939000000000001</v>
      </c>
      <c r="Q417" s="9">
        <v>20.136399999999998</v>
      </c>
      <c r="R417" s="9"/>
      <c r="S417" s="11"/>
    </row>
    <row r="418" spans="1:19" ht="15.6">
      <c r="A418" s="13">
        <v>54819</v>
      </c>
      <c r="B418" s="8">
        <f>8.1062 * CHOOSE(CONTROL!$C$12, $D$4, 100%, $F$4)</f>
        <v>8.1061999999999994</v>
      </c>
      <c r="C418" s="8">
        <f>8.1165 * CHOOSE(CONTROL!$C$12, $D$4, 100%, $F$4)</f>
        <v>8.1165000000000003</v>
      </c>
      <c r="D418" s="8">
        <f>8.1163 * CHOOSE( CONTROL!$C$12, $D$4, 100%, $F$4)</f>
        <v>8.1163000000000007</v>
      </c>
      <c r="E418" s="12">
        <f>8.1153 * CHOOSE( CONTROL!$C$12, $D$4, 100%, $F$4)</f>
        <v>8.1152999999999995</v>
      </c>
      <c r="F418" s="4">
        <f>9.1281 * CHOOSE(CONTROL!$C$12, $D$4, 100%, $F$4)</f>
        <v>9.1280999999999999</v>
      </c>
      <c r="G418" s="8">
        <f>8.022 * CHOOSE( CONTROL!$C$12, $D$4, 100%, $F$4)</f>
        <v>8.0220000000000002</v>
      </c>
      <c r="H418" s="4">
        <f>8.9155 * CHOOSE(CONTROL!$C$12, $D$4, 100%, $F$4)</f>
        <v>8.9154999999999998</v>
      </c>
      <c r="I418" s="8">
        <f>7.9665 * CHOOSE(CONTROL!$C$12, $D$4, 100%, $F$4)</f>
        <v>7.9664999999999999</v>
      </c>
      <c r="J418" s="4">
        <f>7.8539 * CHOOSE(CONTROL!$C$12, $D$4, 100%, $F$4)</f>
        <v>7.8539000000000003</v>
      </c>
      <c r="K418" s="4"/>
      <c r="L418" s="9">
        <v>27.3993</v>
      </c>
      <c r="M418" s="9">
        <v>12.063700000000001</v>
      </c>
      <c r="N418" s="9">
        <v>4.9444999999999997</v>
      </c>
      <c r="O418" s="9">
        <v>0.37459999999999999</v>
      </c>
      <c r="P418" s="9">
        <v>1.2939000000000001</v>
      </c>
      <c r="Q418" s="9">
        <v>20.071300000000001</v>
      </c>
      <c r="R418" s="9"/>
      <c r="S418" s="11"/>
    </row>
    <row r="419" spans="1:19" ht="15.6">
      <c r="A419" s="13">
        <v>54847</v>
      </c>
      <c r="B419" s="8">
        <f>7.5822 * CHOOSE(CONTROL!$C$12, $D$4, 100%, $F$4)</f>
        <v>7.5822000000000003</v>
      </c>
      <c r="C419" s="8">
        <f>7.5925 * CHOOSE(CONTROL!$C$12, $D$4, 100%, $F$4)</f>
        <v>7.5925000000000002</v>
      </c>
      <c r="D419" s="8">
        <f>7.5946 * CHOOSE( CONTROL!$C$12, $D$4, 100%, $F$4)</f>
        <v>7.5945999999999998</v>
      </c>
      <c r="E419" s="12">
        <f>7.5927 * CHOOSE( CONTROL!$C$12, $D$4, 100%, $F$4)</f>
        <v>7.5926999999999998</v>
      </c>
      <c r="F419" s="4">
        <f>8.5964 * CHOOSE(CONTROL!$C$12, $D$4, 100%, $F$4)</f>
        <v>8.5963999999999992</v>
      </c>
      <c r="G419" s="8">
        <f>7.5053 * CHOOSE( CONTROL!$C$12, $D$4, 100%, $F$4)</f>
        <v>7.5053000000000001</v>
      </c>
      <c r="H419" s="4">
        <f>8.3913 * CHOOSE(CONTROL!$C$12, $D$4, 100%, $F$4)</f>
        <v>8.3912999999999993</v>
      </c>
      <c r="I419" s="8">
        <f>7.4475 * CHOOSE(CONTROL!$C$12, $D$4, 100%, $F$4)</f>
        <v>7.4474999999999998</v>
      </c>
      <c r="J419" s="4">
        <f>7.3462 * CHOOSE(CONTROL!$C$12, $D$4, 100%, $F$4)</f>
        <v>7.3461999999999996</v>
      </c>
      <c r="K419" s="4"/>
      <c r="L419" s="9">
        <v>24.747800000000002</v>
      </c>
      <c r="M419" s="9">
        <v>10.8962</v>
      </c>
      <c r="N419" s="9">
        <v>4.4660000000000002</v>
      </c>
      <c r="O419" s="9">
        <v>0.33829999999999999</v>
      </c>
      <c r="P419" s="9">
        <v>1.1687000000000001</v>
      </c>
      <c r="Q419" s="9">
        <v>18.128900000000002</v>
      </c>
      <c r="R419" s="9"/>
      <c r="S419" s="11"/>
    </row>
    <row r="420" spans="1:19" ht="15.6">
      <c r="A420" s="13">
        <v>54878</v>
      </c>
      <c r="B420" s="8">
        <f>7.4208 * CHOOSE(CONTROL!$C$12, $D$4, 100%, $F$4)</f>
        <v>7.4207999999999998</v>
      </c>
      <c r="C420" s="8">
        <f>7.4311 * CHOOSE(CONTROL!$C$12, $D$4, 100%, $F$4)</f>
        <v>7.4310999999999998</v>
      </c>
      <c r="D420" s="8">
        <f>7.4133 * CHOOSE( CONTROL!$C$12, $D$4, 100%, $F$4)</f>
        <v>7.4132999999999996</v>
      </c>
      <c r="E420" s="12">
        <f>7.4187 * CHOOSE( CONTROL!$C$12, $D$4, 100%, $F$4)</f>
        <v>7.4187000000000003</v>
      </c>
      <c r="F420" s="4">
        <f>8.419 * CHOOSE(CONTROL!$C$12, $D$4, 100%, $F$4)</f>
        <v>8.4190000000000005</v>
      </c>
      <c r="G420" s="8">
        <f>7.3258 * CHOOSE( CONTROL!$C$12, $D$4, 100%, $F$4)</f>
        <v>7.3258000000000001</v>
      </c>
      <c r="H420" s="4">
        <f>8.2165 * CHOOSE(CONTROL!$C$12, $D$4, 100%, $F$4)</f>
        <v>8.2164999999999999</v>
      </c>
      <c r="I420" s="8">
        <f>7.2516 * CHOOSE(CONTROL!$C$12, $D$4, 100%, $F$4)</f>
        <v>7.2515999999999998</v>
      </c>
      <c r="J420" s="4">
        <f>7.1898 * CHOOSE(CONTROL!$C$12, $D$4, 100%, $F$4)</f>
        <v>7.1898</v>
      </c>
      <c r="K420" s="4"/>
      <c r="L420" s="9">
        <v>27.3993</v>
      </c>
      <c r="M420" s="9">
        <v>12.063700000000001</v>
      </c>
      <c r="N420" s="9">
        <v>4.9444999999999997</v>
      </c>
      <c r="O420" s="9">
        <v>0.37459999999999999</v>
      </c>
      <c r="P420" s="9">
        <v>1.2939000000000001</v>
      </c>
      <c r="Q420" s="9">
        <v>20.071300000000001</v>
      </c>
      <c r="R420" s="9"/>
      <c r="S420" s="11"/>
    </row>
    <row r="421" spans="1:19" ht="15.6">
      <c r="A421" s="13">
        <v>54908</v>
      </c>
      <c r="B421" s="8">
        <f>7.5336 * CHOOSE(CONTROL!$C$12, $D$4, 100%, $F$4)</f>
        <v>7.5335999999999999</v>
      </c>
      <c r="C421" s="8">
        <f>7.5439 * CHOOSE(CONTROL!$C$12, $D$4, 100%, $F$4)</f>
        <v>7.5438999999999998</v>
      </c>
      <c r="D421" s="8">
        <f>7.5489 * CHOOSE( CONTROL!$C$12, $D$4, 100%, $F$4)</f>
        <v>7.5488999999999997</v>
      </c>
      <c r="E421" s="12">
        <f>7.5461 * CHOOSE( CONTROL!$C$12, $D$4, 100%, $F$4)</f>
        <v>7.5461</v>
      </c>
      <c r="F421" s="4">
        <f>8.54 * CHOOSE(CONTROL!$C$12, $D$4, 100%, $F$4)</f>
        <v>8.5399999999999991</v>
      </c>
      <c r="G421" s="8">
        <f>7.4248 * CHOOSE( CONTROL!$C$12, $D$4, 100%, $F$4)</f>
        <v>7.4248000000000003</v>
      </c>
      <c r="H421" s="4">
        <f>8.3358 * CHOOSE(CONTROL!$C$12, $D$4, 100%, $F$4)</f>
        <v>8.3358000000000008</v>
      </c>
      <c r="I421" s="8">
        <f>7.351 * CHOOSE(CONTROL!$C$12, $D$4, 100%, $F$4)</f>
        <v>7.351</v>
      </c>
      <c r="J421" s="4">
        <f>7.2991 * CHOOSE(CONTROL!$C$12, $D$4, 100%, $F$4)</f>
        <v>7.2991000000000001</v>
      </c>
      <c r="K421" s="4"/>
      <c r="L421" s="9">
        <v>27.988800000000001</v>
      </c>
      <c r="M421" s="9">
        <v>11.6745</v>
      </c>
      <c r="N421" s="9">
        <v>4.7850000000000001</v>
      </c>
      <c r="O421" s="9">
        <v>0.36249999999999999</v>
      </c>
      <c r="P421" s="9">
        <v>1.1798</v>
      </c>
      <c r="Q421" s="9">
        <v>19.4238</v>
      </c>
      <c r="R421" s="9"/>
      <c r="S421" s="11"/>
    </row>
    <row r="422" spans="1:19" ht="15.6">
      <c r="A422" s="13">
        <v>54939</v>
      </c>
      <c r="B422" s="8">
        <f>CHOOSE( CONTROL!$C$29, 7.7411, 7.7343) * CHOOSE(CONTROL!$C$12, $D$4, 100%, $F$4)</f>
        <v>7.7343000000000002</v>
      </c>
      <c r="C422" s="8">
        <f>CHOOSE( CONTROL!$C$29, 7.7515, 7.7446) * CHOOSE(CONTROL!$C$12, $D$4, 100%, $F$4)</f>
        <v>7.7446000000000002</v>
      </c>
      <c r="D422" s="8">
        <f>CHOOSE( CONTROL!$C$29, 7.7317, 7.7249) * CHOOSE( CONTROL!$C$12, $D$4, 100%, $F$4)</f>
        <v>7.7248999999999999</v>
      </c>
      <c r="E422" s="12">
        <f>CHOOSE( CONTROL!$C$29, 7.7373, 7.7305) * CHOOSE( CONTROL!$C$12, $D$4, 100%, $F$4)</f>
        <v>7.7305000000000001</v>
      </c>
      <c r="F422" s="4">
        <f>CHOOSE( CONTROL!$C$29, 8.7156, 8.7087) * CHOOSE(CONTROL!$C$12, $D$4, 100%, $F$4)</f>
        <v>8.7087000000000003</v>
      </c>
      <c r="G422" s="8">
        <f>CHOOSE( CONTROL!$C$29, 7.6112, 7.6044) * CHOOSE( CONTROL!$C$12, $D$4, 100%, $F$4)</f>
        <v>7.6044</v>
      </c>
      <c r="H422" s="4">
        <f>CHOOSE( CONTROL!$C$29, 8.5088, 8.5021) * CHOOSE(CONTROL!$C$12, $D$4, 100%, $F$4)</f>
        <v>8.5021000000000004</v>
      </c>
      <c r="I422" s="8">
        <f>CHOOSE( CONTROL!$C$29, 7.5307, 7.524) * CHOOSE(CONTROL!$C$12, $D$4, 100%, $F$4)</f>
        <v>7.524</v>
      </c>
      <c r="J422" s="4">
        <f>CHOOSE( CONTROL!$C$29, 7.5002, 7.4936) * CHOOSE(CONTROL!$C$12, $D$4, 100%, $F$4)</f>
        <v>7.4935999999999998</v>
      </c>
      <c r="K422" s="4"/>
      <c r="L422" s="9">
        <v>29.520499999999998</v>
      </c>
      <c r="M422" s="9">
        <v>12.063700000000001</v>
      </c>
      <c r="N422" s="9">
        <v>4.9444999999999997</v>
      </c>
      <c r="O422" s="9">
        <v>0.37459999999999999</v>
      </c>
      <c r="P422" s="9">
        <v>1.2192000000000001</v>
      </c>
      <c r="Q422" s="9">
        <v>20.071300000000001</v>
      </c>
      <c r="R422" s="9"/>
      <c r="S422" s="11"/>
    </row>
    <row r="423" spans="1:19" ht="15.6">
      <c r="A423" s="13">
        <v>54969</v>
      </c>
      <c r="B423" s="8">
        <f>CHOOSE( CONTROL!$C$29, 7.6168, 7.61) * CHOOSE(CONTROL!$C$12, $D$4, 100%, $F$4)</f>
        <v>7.61</v>
      </c>
      <c r="C423" s="8">
        <f>CHOOSE( CONTROL!$C$29, 7.6271, 7.6203) * CHOOSE(CONTROL!$C$12, $D$4, 100%, $F$4)</f>
        <v>7.6203000000000003</v>
      </c>
      <c r="D423" s="8">
        <f>CHOOSE( CONTROL!$C$29, 7.6018, 7.595) * CHOOSE( CONTROL!$C$12, $D$4, 100%, $F$4)</f>
        <v>7.5949999999999998</v>
      </c>
      <c r="E423" s="12">
        <f>CHOOSE( CONTROL!$C$29, 7.6094, 7.6026) * CHOOSE( CONTROL!$C$12, $D$4, 100%, $F$4)</f>
        <v>7.6025999999999998</v>
      </c>
      <c r="F423" s="4">
        <f>CHOOSE( CONTROL!$C$29, 8.5809, 8.5741) * CHOOSE(CONTROL!$C$12, $D$4, 100%, $F$4)</f>
        <v>8.5740999999999996</v>
      </c>
      <c r="G423" s="8">
        <f>CHOOSE( CONTROL!$C$29, 7.4873, 7.4806) * CHOOSE( CONTROL!$C$12, $D$4, 100%, $F$4)</f>
        <v>7.4805999999999999</v>
      </c>
      <c r="H423" s="4">
        <f>CHOOSE( CONTROL!$C$29, 8.3761, 8.3693) * CHOOSE(CONTROL!$C$12, $D$4, 100%, $F$4)</f>
        <v>8.3693000000000008</v>
      </c>
      <c r="I423" s="8">
        <f>CHOOSE( CONTROL!$C$29, 7.4123, 7.4057) * CHOOSE(CONTROL!$C$12, $D$4, 100%, $F$4)</f>
        <v>7.4057000000000004</v>
      </c>
      <c r="J423" s="4">
        <f>CHOOSE( CONTROL!$C$29, 7.3797, 7.3731) * CHOOSE(CONTROL!$C$12, $D$4, 100%, $F$4)</f>
        <v>7.3731</v>
      </c>
      <c r="K423" s="4"/>
      <c r="L423" s="9">
        <v>28.568200000000001</v>
      </c>
      <c r="M423" s="9">
        <v>11.6745</v>
      </c>
      <c r="N423" s="9">
        <v>4.7850000000000001</v>
      </c>
      <c r="O423" s="9">
        <v>0.36249999999999999</v>
      </c>
      <c r="P423" s="9">
        <v>1.1798</v>
      </c>
      <c r="Q423" s="9">
        <v>19.4238</v>
      </c>
      <c r="R423" s="9"/>
      <c r="S423" s="11"/>
    </row>
    <row r="424" spans="1:19" ht="15.6">
      <c r="A424" s="13">
        <v>55000</v>
      </c>
      <c r="B424" s="8">
        <f>CHOOSE( CONTROL!$C$29, 7.9442, 7.9374) * CHOOSE(CONTROL!$C$12, $D$4, 100%, $F$4)</f>
        <v>7.9374000000000002</v>
      </c>
      <c r="C424" s="8">
        <f>CHOOSE( CONTROL!$C$29, 7.9545, 7.9477) * CHOOSE(CONTROL!$C$12, $D$4, 100%, $F$4)</f>
        <v>7.9477000000000002</v>
      </c>
      <c r="D424" s="8">
        <f>CHOOSE( CONTROL!$C$29, 7.9627, 7.9558) * CHOOSE( CONTROL!$C$12, $D$4, 100%, $F$4)</f>
        <v>7.9558</v>
      </c>
      <c r="E424" s="12">
        <f>CHOOSE( CONTROL!$C$29, 7.9582, 7.9513) * CHOOSE( CONTROL!$C$12, $D$4, 100%, $F$4)</f>
        <v>7.9512999999999998</v>
      </c>
      <c r="F424" s="4">
        <f>CHOOSE( CONTROL!$C$29, 8.9532, 8.9464) * CHOOSE(CONTROL!$C$12, $D$4, 100%, $F$4)</f>
        <v>8.9464000000000006</v>
      </c>
      <c r="G424" s="8">
        <f>CHOOSE( CONTROL!$C$29, 7.8361, 7.8294) * CHOOSE( CONTROL!$C$12, $D$4, 100%, $F$4)</f>
        <v>7.8293999999999997</v>
      </c>
      <c r="H424" s="4">
        <f>CHOOSE( CONTROL!$C$29, 8.7431, 8.7363) * CHOOSE(CONTROL!$C$12, $D$4, 100%, $F$4)</f>
        <v>8.7363</v>
      </c>
      <c r="I424" s="8">
        <f>CHOOSE( CONTROL!$C$29, 7.785, 7.7784) * CHOOSE(CONTROL!$C$12, $D$4, 100%, $F$4)</f>
        <v>7.7784000000000004</v>
      </c>
      <c r="J424" s="4">
        <f>CHOOSE( CONTROL!$C$29, 7.697, 7.6904) * CHOOSE(CONTROL!$C$12, $D$4, 100%, $F$4)</f>
        <v>7.6904000000000003</v>
      </c>
      <c r="K424" s="4"/>
      <c r="L424" s="9">
        <v>29.520499999999998</v>
      </c>
      <c r="M424" s="9">
        <v>12.063700000000001</v>
      </c>
      <c r="N424" s="9">
        <v>4.9444999999999997</v>
      </c>
      <c r="O424" s="9">
        <v>0.37459999999999999</v>
      </c>
      <c r="P424" s="9">
        <v>1.2192000000000001</v>
      </c>
      <c r="Q424" s="9">
        <v>20.071300000000001</v>
      </c>
      <c r="R424" s="9"/>
      <c r="S424" s="11"/>
    </row>
    <row r="425" spans="1:19" ht="15.6">
      <c r="A425" s="13">
        <v>55031</v>
      </c>
      <c r="B425" s="8">
        <f>CHOOSE( CONTROL!$C$29, 7.3316, 7.3247) * CHOOSE(CONTROL!$C$12, $D$4, 100%, $F$4)</f>
        <v>7.3247</v>
      </c>
      <c r="C425" s="8">
        <f>CHOOSE( CONTROL!$C$29, 7.3419, 7.3351) * CHOOSE(CONTROL!$C$12, $D$4, 100%, $F$4)</f>
        <v>7.3350999999999997</v>
      </c>
      <c r="D425" s="8">
        <f>CHOOSE( CONTROL!$C$29, 7.3434, 7.3365) * CHOOSE( CONTROL!$C$12, $D$4, 100%, $F$4)</f>
        <v>7.3365</v>
      </c>
      <c r="E425" s="12">
        <f>CHOOSE( CONTROL!$C$29, 7.3413, 7.3344) * CHOOSE( CONTROL!$C$12, $D$4, 100%, $F$4)</f>
        <v>7.3343999999999996</v>
      </c>
      <c r="F425" s="4">
        <f>CHOOSE( CONTROL!$C$29, 8.338, 8.3312) * CHOOSE(CONTROL!$C$12, $D$4, 100%, $F$4)</f>
        <v>8.3312000000000008</v>
      </c>
      <c r="G425" s="8">
        <f>CHOOSE( CONTROL!$C$29, 7.2223, 7.2156) * CHOOSE( CONTROL!$C$12, $D$4, 100%, $F$4)</f>
        <v>7.2156000000000002</v>
      </c>
      <c r="H425" s="4">
        <f>CHOOSE( CONTROL!$C$29, 8.1366, 8.1299) * CHOOSE(CONTROL!$C$12, $D$4, 100%, $F$4)</f>
        <v>8.1298999999999992</v>
      </c>
      <c r="I425" s="8">
        <f>CHOOSE( CONTROL!$C$29, 7.1722, 7.1655) * CHOOSE(CONTROL!$C$12, $D$4, 100%, $F$4)</f>
        <v>7.1654999999999998</v>
      </c>
      <c r="J425" s="4">
        <f>CHOOSE( CONTROL!$C$29, 7.1034, 7.0967) * CHOOSE(CONTROL!$C$12, $D$4, 100%, $F$4)</f>
        <v>7.0967000000000002</v>
      </c>
      <c r="K425" s="4"/>
      <c r="L425" s="9">
        <v>29.520499999999998</v>
      </c>
      <c r="M425" s="9">
        <v>12.063700000000001</v>
      </c>
      <c r="N425" s="9">
        <v>4.9444999999999997</v>
      </c>
      <c r="O425" s="9">
        <v>0.37459999999999999</v>
      </c>
      <c r="P425" s="9">
        <v>1.2192000000000001</v>
      </c>
      <c r="Q425" s="9">
        <v>20.071300000000001</v>
      </c>
      <c r="R425" s="9"/>
      <c r="S425" s="11"/>
    </row>
    <row r="426" spans="1:19" ht="15.6">
      <c r="A426" s="13">
        <v>55061</v>
      </c>
      <c r="B426" s="8">
        <f>CHOOSE( CONTROL!$C$29, 7.1782, 7.1713) * CHOOSE(CONTROL!$C$12, $D$4, 100%, $F$4)</f>
        <v>7.1712999999999996</v>
      </c>
      <c r="C426" s="8">
        <f>CHOOSE( CONTROL!$C$29, 7.1885, 7.1817) * CHOOSE(CONTROL!$C$12, $D$4, 100%, $F$4)</f>
        <v>7.1817000000000002</v>
      </c>
      <c r="D426" s="8">
        <f>CHOOSE( CONTROL!$C$29, 7.1932, 7.1863) * CHOOSE( CONTROL!$C$12, $D$4, 100%, $F$4)</f>
        <v>7.1863000000000001</v>
      </c>
      <c r="E426" s="12">
        <f>CHOOSE( CONTROL!$C$29, 7.1899, 7.183) * CHOOSE( CONTROL!$C$12, $D$4, 100%, $F$4)</f>
        <v>7.1829999999999998</v>
      </c>
      <c r="F426" s="4">
        <f>CHOOSE( CONTROL!$C$29, 8.1898, 8.1829) * CHOOSE(CONTROL!$C$12, $D$4, 100%, $F$4)</f>
        <v>8.1829000000000001</v>
      </c>
      <c r="G426" s="8">
        <f>CHOOSE( CONTROL!$C$29, 7.0731, 7.0664) * CHOOSE( CONTROL!$C$12, $D$4, 100%, $F$4)</f>
        <v>7.0663999999999998</v>
      </c>
      <c r="H426" s="4">
        <f>CHOOSE( CONTROL!$C$29, 7.9905, 7.9838) * CHOOSE(CONTROL!$C$12, $D$4, 100%, $F$4)</f>
        <v>7.9837999999999996</v>
      </c>
      <c r="I426" s="8">
        <f>CHOOSE( CONTROL!$C$29, 7.0312, 7.0246) * CHOOSE(CONTROL!$C$12, $D$4, 100%, $F$4)</f>
        <v>7.0246000000000004</v>
      </c>
      <c r="J426" s="4">
        <f>CHOOSE( CONTROL!$C$29, 6.9547, 6.9481) * CHOOSE(CONTROL!$C$12, $D$4, 100%, $F$4)</f>
        <v>6.9481000000000002</v>
      </c>
      <c r="K426" s="4"/>
      <c r="L426" s="9">
        <v>28.568200000000001</v>
      </c>
      <c r="M426" s="9">
        <v>11.6745</v>
      </c>
      <c r="N426" s="9">
        <v>4.7850000000000001</v>
      </c>
      <c r="O426" s="9">
        <v>0.36249999999999999</v>
      </c>
      <c r="P426" s="9">
        <v>1.1798</v>
      </c>
      <c r="Q426" s="9">
        <v>19.4238</v>
      </c>
      <c r="R426" s="9"/>
      <c r="S426" s="11"/>
    </row>
    <row r="427" spans="1:19" ht="15.6">
      <c r="A427" s="13">
        <v>55092</v>
      </c>
      <c r="B427" s="8">
        <f>7.4899 * CHOOSE(CONTROL!$C$12, $D$4, 100%, $F$4)</f>
        <v>7.4898999999999996</v>
      </c>
      <c r="C427" s="8">
        <f>7.5002 * CHOOSE(CONTROL!$C$12, $D$4, 100%, $F$4)</f>
        <v>7.5002000000000004</v>
      </c>
      <c r="D427" s="8">
        <f>7.4952 * CHOOSE( CONTROL!$C$12, $D$4, 100%, $F$4)</f>
        <v>7.4951999999999996</v>
      </c>
      <c r="E427" s="12">
        <f>7.4958 * CHOOSE( CONTROL!$C$12, $D$4, 100%, $F$4)</f>
        <v>7.4958</v>
      </c>
      <c r="F427" s="4">
        <f>8.4808 * CHOOSE(CONTROL!$C$12, $D$4, 100%, $F$4)</f>
        <v>8.4808000000000003</v>
      </c>
      <c r="G427" s="8">
        <f>7.3772 * CHOOSE( CONTROL!$C$12, $D$4, 100%, $F$4)</f>
        <v>7.3772000000000002</v>
      </c>
      <c r="H427" s="4">
        <f>8.2774 * CHOOSE(CONTROL!$C$12, $D$4, 100%, $F$4)</f>
        <v>8.2774000000000001</v>
      </c>
      <c r="I427" s="8">
        <f>7.3373 * CHOOSE(CONTROL!$C$12, $D$4, 100%, $F$4)</f>
        <v>7.3372999999999999</v>
      </c>
      <c r="J427" s="4">
        <f>7.2567 * CHOOSE(CONTROL!$C$12, $D$4, 100%, $F$4)</f>
        <v>7.2567000000000004</v>
      </c>
      <c r="K427" s="4"/>
      <c r="L427" s="9">
        <v>28.921800000000001</v>
      </c>
      <c r="M427" s="9">
        <v>12.063700000000001</v>
      </c>
      <c r="N427" s="9">
        <v>4.9444999999999997</v>
      </c>
      <c r="O427" s="9">
        <v>0.37459999999999999</v>
      </c>
      <c r="P427" s="9">
        <v>1.2192000000000001</v>
      </c>
      <c r="Q427" s="9">
        <v>20.071300000000001</v>
      </c>
      <c r="R427" s="9"/>
      <c r="S427" s="11"/>
    </row>
    <row r="428" spans="1:19" ht="15.6">
      <c r="A428" s="13">
        <v>55122</v>
      </c>
      <c r="B428" s="8">
        <f>8.0778 * CHOOSE(CONTROL!$C$12, $D$4, 100%, $F$4)</f>
        <v>8.0777999999999999</v>
      </c>
      <c r="C428" s="8">
        <f>8.0881 * CHOOSE(CONTROL!$C$12, $D$4, 100%, $F$4)</f>
        <v>8.0881000000000007</v>
      </c>
      <c r="D428" s="8">
        <f>8.0474 * CHOOSE( CONTROL!$C$12, $D$4, 100%, $F$4)</f>
        <v>8.0473999999999997</v>
      </c>
      <c r="E428" s="12">
        <f>8.0612 * CHOOSE( CONTROL!$C$12, $D$4, 100%, $F$4)</f>
        <v>8.0611999999999995</v>
      </c>
      <c r="F428" s="4">
        <f>9.0548 * CHOOSE(CONTROL!$C$12, $D$4, 100%, $F$4)</f>
        <v>9.0548000000000002</v>
      </c>
      <c r="G428" s="8">
        <f>7.9507 * CHOOSE( CONTROL!$C$12, $D$4, 100%, $F$4)</f>
        <v>7.9507000000000003</v>
      </c>
      <c r="H428" s="4">
        <f>8.8432 * CHOOSE(CONTROL!$C$12, $D$4, 100%, $F$4)</f>
        <v>8.8431999999999995</v>
      </c>
      <c r="I428" s="8">
        <f>7.8916 * CHOOSE(CONTROL!$C$12, $D$4, 100%, $F$4)</f>
        <v>7.8916000000000004</v>
      </c>
      <c r="J428" s="4">
        <f>7.8265 * CHOOSE(CONTROL!$C$12, $D$4, 100%, $F$4)</f>
        <v>7.8265000000000002</v>
      </c>
      <c r="K428" s="4"/>
      <c r="L428" s="9">
        <v>26.515499999999999</v>
      </c>
      <c r="M428" s="9">
        <v>11.6745</v>
      </c>
      <c r="N428" s="9">
        <v>4.7850000000000001</v>
      </c>
      <c r="O428" s="9">
        <v>0.36249999999999999</v>
      </c>
      <c r="P428" s="9">
        <v>1.2522</v>
      </c>
      <c r="Q428" s="9">
        <v>19.4238</v>
      </c>
      <c r="R428" s="9"/>
      <c r="S428" s="11"/>
    </row>
    <row r="429" spans="1:19" ht="15.6">
      <c r="A429" s="13">
        <v>55153</v>
      </c>
      <c r="B429" s="8">
        <f>8.0631 * CHOOSE(CONTROL!$C$12, $D$4, 100%, $F$4)</f>
        <v>8.0631000000000004</v>
      </c>
      <c r="C429" s="8">
        <f>8.0734 * CHOOSE(CONTROL!$C$12, $D$4, 100%, $F$4)</f>
        <v>8.0733999999999995</v>
      </c>
      <c r="D429" s="8">
        <f>8.0346 * CHOOSE( CONTROL!$C$12, $D$4, 100%, $F$4)</f>
        <v>8.0345999999999993</v>
      </c>
      <c r="E429" s="12">
        <f>8.0477 * CHOOSE( CONTROL!$C$12, $D$4, 100%, $F$4)</f>
        <v>8.0477000000000007</v>
      </c>
      <c r="F429" s="4">
        <f>9.0334 * CHOOSE(CONTROL!$C$12, $D$4, 100%, $F$4)</f>
        <v>9.0334000000000003</v>
      </c>
      <c r="G429" s="8">
        <f>7.9386 * CHOOSE( CONTROL!$C$12, $D$4, 100%, $F$4)</f>
        <v>7.9386000000000001</v>
      </c>
      <c r="H429" s="4">
        <f>8.8222 * CHOOSE(CONTROL!$C$12, $D$4, 100%, $F$4)</f>
        <v>8.8222000000000005</v>
      </c>
      <c r="I429" s="8">
        <f>7.8881 * CHOOSE(CONTROL!$C$12, $D$4, 100%, $F$4)</f>
        <v>7.8880999999999997</v>
      </c>
      <c r="J429" s="4">
        <f>7.8122 * CHOOSE(CONTROL!$C$12, $D$4, 100%, $F$4)</f>
        <v>7.8121999999999998</v>
      </c>
      <c r="K429" s="4"/>
      <c r="L429" s="9">
        <v>27.3993</v>
      </c>
      <c r="M429" s="9">
        <v>12.063700000000001</v>
      </c>
      <c r="N429" s="9">
        <v>4.9444999999999997</v>
      </c>
      <c r="O429" s="9">
        <v>0.37459999999999999</v>
      </c>
      <c r="P429" s="9">
        <v>1.2939000000000001</v>
      </c>
      <c r="Q429" s="9">
        <v>20.071300000000001</v>
      </c>
      <c r="R429" s="9"/>
      <c r="S429" s="11"/>
    </row>
    <row r="430" spans="1:19" ht="15.6">
      <c r="A430" s="13">
        <v>55184</v>
      </c>
      <c r="B430" s="8">
        <f>8.2513 * CHOOSE(CONTROL!$C$12, $D$4, 100%, $F$4)</f>
        <v>8.2513000000000005</v>
      </c>
      <c r="C430" s="8">
        <f>8.2616 * CHOOSE(CONTROL!$C$12, $D$4, 100%, $F$4)</f>
        <v>8.2615999999999996</v>
      </c>
      <c r="D430" s="8">
        <f>8.2614 * CHOOSE( CONTROL!$C$12, $D$4, 100%, $F$4)</f>
        <v>8.2614000000000001</v>
      </c>
      <c r="E430" s="12">
        <f>8.2604 * CHOOSE( CONTROL!$C$12, $D$4, 100%, $F$4)</f>
        <v>8.2604000000000006</v>
      </c>
      <c r="F430" s="4">
        <f>9.2732 * CHOOSE(CONTROL!$C$12, $D$4, 100%, $F$4)</f>
        <v>9.2731999999999992</v>
      </c>
      <c r="G430" s="8">
        <f>8.165 * CHOOSE( CONTROL!$C$12, $D$4, 100%, $F$4)</f>
        <v>8.1649999999999991</v>
      </c>
      <c r="H430" s="4">
        <f>9.0585 * CHOOSE(CONTROL!$C$12, $D$4, 100%, $F$4)</f>
        <v>9.0585000000000004</v>
      </c>
      <c r="I430" s="8">
        <f>8.1071 * CHOOSE(CONTROL!$C$12, $D$4, 100%, $F$4)</f>
        <v>8.1071000000000009</v>
      </c>
      <c r="J430" s="4">
        <f>7.9945 * CHOOSE(CONTROL!$C$12, $D$4, 100%, $F$4)</f>
        <v>7.9945000000000004</v>
      </c>
      <c r="K430" s="4"/>
      <c r="L430" s="9">
        <v>27.3993</v>
      </c>
      <c r="M430" s="9">
        <v>12.063700000000001</v>
      </c>
      <c r="N430" s="9">
        <v>4.9444999999999997</v>
      </c>
      <c r="O430" s="9">
        <v>0.37459999999999999</v>
      </c>
      <c r="P430" s="9">
        <v>1.2939000000000001</v>
      </c>
      <c r="Q430" s="9">
        <v>20.007999999999999</v>
      </c>
      <c r="R430" s="9"/>
      <c r="S430" s="11"/>
    </row>
    <row r="431" spans="1:19" ht="15.6">
      <c r="A431" s="13">
        <v>55212</v>
      </c>
      <c r="B431" s="8">
        <f>7.7179 * CHOOSE(CONTROL!$C$12, $D$4, 100%, $F$4)</f>
        <v>7.7179000000000002</v>
      </c>
      <c r="C431" s="8">
        <f>7.7282 * CHOOSE(CONTROL!$C$12, $D$4, 100%, $F$4)</f>
        <v>7.7282000000000002</v>
      </c>
      <c r="D431" s="8">
        <f>7.7303 * CHOOSE( CONTROL!$C$12, $D$4, 100%, $F$4)</f>
        <v>7.7302999999999997</v>
      </c>
      <c r="E431" s="12">
        <f>7.7284 * CHOOSE( CONTROL!$C$12, $D$4, 100%, $F$4)</f>
        <v>7.7283999999999997</v>
      </c>
      <c r="F431" s="4">
        <f>8.7321 * CHOOSE(CONTROL!$C$12, $D$4, 100%, $F$4)</f>
        <v>8.7321000000000009</v>
      </c>
      <c r="G431" s="8">
        <f>7.6391 * CHOOSE( CONTROL!$C$12, $D$4, 100%, $F$4)</f>
        <v>7.6391</v>
      </c>
      <c r="H431" s="4">
        <f>8.5251 * CHOOSE(CONTROL!$C$12, $D$4, 100%, $F$4)</f>
        <v>8.5251000000000001</v>
      </c>
      <c r="I431" s="8">
        <f>7.5791 * CHOOSE(CONTROL!$C$12, $D$4, 100%, $F$4)</f>
        <v>7.5791000000000004</v>
      </c>
      <c r="J431" s="4">
        <f>7.4777 * CHOOSE(CONTROL!$C$12, $D$4, 100%, $F$4)</f>
        <v>7.4776999999999996</v>
      </c>
      <c r="K431" s="4"/>
      <c r="L431" s="9">
        <v>24.747800000000002</v>
      </c>
      <c r="M431" s="9">
        <v>10.8962</v>
      </c>
      <c r="N431" s="9">
        <v>4.4660000000000002</v>
      </c>
      <c r="O431" s="9">
        <v>0.33829999999999999</v>
      </c>
      <c r="P431" s="9">
        <v>1.1687000000000001</v>
      </c>
      <c r="Q431" s="9">
        <v>18.0718</v>
      </c>
      <c r="R431" s="9"/>
      <c r="S431" s="11"/>
    </row>
    <row r="432" spans="1:19" ht="15.6">
      <c r="A432" s="13">
        <v>55243</v>
      </c>
      <c r="B432" s="8">
        <f>7.5536 * CHOOSE(CONTROL!$C$12, $D$4, 100%, $F$4)</f>
        <v>7.5536000000000003</v>
      </c>
      <c r="C432" s="8">
        <f>7.5639 * CHOOSE(CONTROL!$C$12, $D$4, 100%, $F$4)</f>
        <v>7.5639000000000003</v>
      </c>
      <c r="D432" s="8">
        <f>7.5461 * CHOOSE( CONTROL!$C$12, $D$4, 100%, $F$4)</f>
        <v>7.5461</v>
      </c>
      <c r="E432" s="12">
        <f>7.5515 * CHOOSE( CONTROL!$C$12, $D$4, 100%, $F$4)</f>
        <v>7.5514999999999999</v>
      </c>
      <c r="F432" s="4">
        <f>8.5518 * CHOOSE(CONTROL!$C$12, $D$4, 100%, $F$4)</f>
        <v>8.5518000000000001</v>
      </c>
      <c r="G432" s="8">
        <f>7.4567 * CHOOSE( CONTROL!$C$12, $D$4, 100%, $F$4)</f>
        <v>7.4566999999999997</v>
      </c>
      <c r="H432" s="4">
        <f>8.3474 * CHOOSE(CONTROL!$C$12, $D$4, 100%, $F$4)</f>
        <v>8.3474000000000004</v>
      </c>
      <c r="I432" s="8">
        <f>7.3803 * CHOOSE(CONTROL!$C$12, $D$4, 100%, $F$4)</f>
        <v>7.3803000000000001</v>
      </c>
      <c r="J432" s="4">
        <f>7.3185 * CHOOSE(CONTROL!$C$12, $D$4, 100%, $F$4)</f>
        <v>7.3185000000000002</v>
      </c>
      <c r="K432" s="4"/>
      <c r="L432" s="9">
        <v>27.3993</v>
      </c>
      <c r="M432" s="9">
        <v>12.063700000000001</v>
      </c>
      <c r="N432" s="9">
        <v>4.9444999999999997</v>
      </c>
      <c r="O432" s="9">
        <v>0.37459999999999999</v>
      </c>
      <c r="P432" s="9">
        <v>1.2939000000000001</v>
      </c>
      <c r="Q432" s="9">
        <v>20.007999999999999</v>
      </c>
      <c r="R432" s="9"/>
      <c r="S432" s="11"/>
    </row>
    <row r="433" spans="1:19" ht="15.6">
      <c r="A433" s="13">
        <v>55273</v>
      </c>
      <c r="B433" s="8">
        <f>7.6684 * CHOOSE(CONTROL!$C$12, $D$4, 100%, $F$4)</f>
        <v>7.6684000000000001</v>
      </c>
      <c r="C433" s="8">
        <f>7.6787 * CHOOSE(CONTROL!$C$12, $D$4, 100%, $F$4)</f>
        <v>7.6787000000000001</v>
      </c>
      <c r="D433" s="8">
        <f>7.6838 * CHOOSE( CONTROL!$C$12, $D$4, 100%, $F$4)</f>
        <v>7.6837999999999997</v>
      </c>
      <c r="E433" s="12">
        <f>7.6809 * CHOOSE( CONTROL!$C$12, $D$4, 100%, $F$4)</f>
        <v>7.6809000000000003</v>
      </c>
      <c r="F433" s="4">
        <f>8.6749 * CHOOSE(CONTROL!$C$12, $D$4, 100%, $F$4)</f>
        <v>8.6748999999999992</v>
      </c>
      <c r="G433" s="8">
        <f>7.5577 * CHOOSE( CONTROL!$C$12, $D$4, 100%, $F$4)</f>
        <v>7.5576999999999996</v>
      </c>
      <c r="H433" s="4">
        <f>8.4687 * CHOOSE(CONTROL!$C$12, $D$4, 100%, $F$4)</f>
        <v>8.4687000000000001</v>
      </c>
      <c r="I433" s="8">
        <f>7.4817 * CHOOSE(CONTROL!$C$12, $D$4, 100%, $F$4)</f>
        <v>7.4817</v>
      </c>
      <c r="J433" s="4">
        <f>7.4297 * CHOOSE(CONTROL!$C$12, $D$4, 100%, $F$4)</f>
        <v>7.4297000000000004</v>
      </c>
      <c r="K433" s="4"/>
      <c r="L433" s="9">
        <v>27.988800000000001</v>
      </c>
      <c r="M433" s="9">
        <v>11.6745</v>
      </c>
      <c r="N433" s="9">
        <v>4.7850000000000001</v>
      </c>
      <c r="O433" s="9">
        <v>0.36249999999999999</v>
      </c>
      <c r="P433" s="9">
        <v>1.1798</v>
      </c>
      <c r="Q433" s="9">
        <v>19.3626</v>
      </c>
      <c r="R433" s="9"/>
      <c r="S433" s="11"/>
    </row>
    <row r="434" spans="1:19" ht="15.6">
      <c r="A434" s="13">
        <v>55304</v>
      </c>
      <c r="B434" s="8">
        <f>CHOOSE( CONTROL!$C$29, 7.8796, 7.8727) * CHOOSE(CONTROL!$C$12, $D$4, 100%, $F$4)</f>
        <v>7.8727</v>
      </c>
      <c r="C434" s="8">
        <f>CHOOSE( CONTROL!$C$29, 7.8899, 7.883) * CHOOSE(CONTROL!$C$12, $D$4, 100%, $F$4)</f>
        <v>7.883</v>
      </c>
      <c r="D434" s="8">
        <f>CHOOSE( CONTROL!$C$29, 7.8701, 7.8633) * CHOOSE( CONTROL!$C$12, $D$4, 100%, $F$4)</f>
        <v>7.8632999999999997</v>
      </c>
      <c r="E434" s="12">
        <f>CHOOSE( CONTROL!$C$29, 7.8757, 7.8689) * CHOOSE( CONTROL!$C$12, $D$4, 100%, $F$4)</f>
        <v>7.8689</v>
      </c>
      <c r="F434" s="4">
        <f>CHOOSE( CONTROL!$C$29, 8.854, 8.8472) * CHOOSE(CONTROL!$C$12, $D$4, 100%, $F$4)</f>
        <v>8.8472000000000008</v>
      </c>
      <c r="G434" s="8">
        <f>CHOOSE( CONTROL!$C$29, 7.7476, 7.7409) * CHOOSE( CONTROL!$C$12, $D$4, 100%, $F$4)</f>
        <v>7.7408999999999999</v>
      </c>
      <c r="H434" s="4">
        <f>CHOOSE( CONTROL!$C$29, 8.6453, 8.6385) * CHOOSE(CONTROL!$C$12, $D$4, 100%, $F$4)</f>
        <v>8.6385000000000005</v>
      </c>
      <c r="I434" s="8">
        <f>CHOOSE( CONTROL!$C$29, 7.6649, 7.6582) * CHOOSE(CONTROL!$C$12, $D$4, 100%, $F$4)</f>
        <v>7.6581999999999999</v>
      </c>
      <c r="J434" s="4">
        <f>CHOOSE( CONTROL!$C$29, 7.6343, 7.6277) * CHOOSE(CONTROL!$C$12, $D$4, 100%, $F$4)</f>
        <v>7.6276999999999999</v>
      </c>
      <c r="K434" s="4"/>
      <c r="L434" s="9">
        <v>29.520499999999998</v>
      </c>
      <c r="M434" s="9">
        <v>12.063700000000001</v>
      </c>
      <c r="N434" s="9">
        <v>4.9444999999999997</v>
      </c>
      <c r="O434" s="9">
        <v>0.37459999999999999</v>
      </c>
      <c r="P434" s="9">
        <v>1.2192000000000001</v>
      </c>
      <c r="Q434" s="9">
        <v>20.007999999999999</v>
      </c>
      <c r="R434" s="9"/>
      <c r="S434" s="11"/>
    </row>
    <row r="435" spans="1:19" ht="15.6">
      <c r="A435" s="13">
        <v>55334</v>
      </c>
      <c r="B435" s="8">
        <f>CHOOSE( CONTROL!$C$29, 7.753, 7.7462) * CHOOSE(CONTROL!$C$12, $D$4, 100%, $F$4)</f>
        <v>7.7462</v>
      </c>
      <c r="C435" s="8">
        <f>CHOOSE( CONTROL!$C$29, 7.7633, 7.7565) * CHOOSE(CONTROL!$C$12, $D$4, 100%, $F$4)</f>
        <v>7.7565</v>
      </c>
      <c r="D435" s="8">
        <f>CHOOSE( CONTROL!$C$29, 7.738, 7.7312) * CHOOSE( CONTROL!$C$12, $D$4, 100%, $F$4)</f>
        <v>7.7312000000000003</v>
      </c>
      <c r="E435" s="12">
        <f>CHOOSE( CONTROL!$C$29, 7.7456, 7.7388) * CHOOSE( CONTROL!$C$12, $D$4, 100%, $F$4)</f>
        <v>7.7388000000000003</v>
      </c>
      <c r="F435" s="4">
        <f>CHOOSE( CONTROL!$C$29, 8.7171, 8.7103) * CHOOSE(CONTROL!$C$12, $D$4, 100%, $F$4)</f>
        <v>8.7103000000000002</v>
      </c>
      <c r="G435" s="8">
        <f>CHOOSE( CONTROL!$C$29, 7.6216, 7.6149) * CHOOSE( CONTROL!$C$12, $D$4, 100%, $F$4)</f>
        <v>7.6148999999999996</v>
      </c>
      <c r="H435" s="4">
        <f>CHOOSE( CONTROL!$C$29, 8.5103, 8.5036) * CHOOSE(CONTROL!$C$12, $D$4, 100%, $F$4)</f>
        <v>8.5036000000000005</v>
      </c>
      <c r="I435" s="8">
        <f>CHOOSE( CONTROL!$C$29, 7.5443, 7.5377) * CHOOSE(CONTROL!$C$12, $D$4, 100%, $F$4)</f>
        <v>7.5377000000000001</v>
      </c>
      <c r="J435" s="4">
        <f>CHOOSE( CONTROL!$C$29, 7.5117, 7.5051) * CHOOSE(CONTROL!$C$12, $D$4, 100%, $F$4)</f>
        <v>7.5050999999999997</v>
      </c>
      <c r="K435" s="4"/>
      <c r="L435" s="9">
        <v>28.568200000000001</v>
      </c>
      <c r="M435" s="9">
        <v>11.6745</v>
      </c>
      <c r="N435" s="9">
        <v>4.7850000000000001</v>
      </c>
      <c r="O435" s="9">
        <v>0.36249999999999999</v>
      </c>
      <c r="P435" s="9">
        <v>1.1798</v>
      </c>
      <c r="Q435" s="9">
        <v>19.3626</v>
      </c>
      <c r="R435" s="9"/>
      <c r="S435" s="11"/>
    </row>
    <row r="436" spans="1:19" ht="15.6">
      <c r="A436" s="13">
        <v>55365</v>
      </c>
      <c r="B436" s="8">
        <f>CHOOSE( CONTROL!$C$29, 8.0863, 8.0794) * CHOOSE(CONTROL!$C$12, $D$4, 100%, $F$4)</f>
        <v>8.0793999999999997</v>
      </c>
      <c r="C436" s="8">
        <f>CHOOSE( CONTROL!$C$29, 8.0966, 8.0898) * CHOOSE(CONTROL!$C$12, $D$4, 100%, $F$4)</f>
        <v>8.0898000000000003</v>
      </c>
      <c r="D436" s="8">
        <f>CHOOSE( CONTROL!$C$29, 8.1047, 8.0979) * CHOOSE( CONTROL!$C$12, $D$4, 100%, $F$4)</f>
        <v>8.0978999999999992</v>
      </c>
      <c r="E436" s="12">
        <f>CHOOSE( CONTROL!$C$29, 8.1002, 8.0934) * CHOOSE( CONTROL!$C$12, $D$4, 100%, $F$4)</f>
        <v>8.0934000000000008</v>
      </c>
      <c r="F436" s="4">
        <f>CHOOSE( CONTROL!$C$29, 9.0953, 9.0885) * CHOOSE(CONTROL!$C$12, $D$4, 100%, $F$4)</f>
        <v>9.0884999999999998</v>
      </c>
      <c r="G436" s="8">
        <f>CHOOSE( CONTROL!$C$29, 7.9762, 7.9694) * CHOOSE( CONTROL!$C$12, $D$4, 100%, $F$4)</f>
        <v>7.9694000000000003</v>
      </c>
      <c r="H436" s="4">
        <f>CHOOSE( CONTROL!$C$29, 8.8831, 8.8764) * CHOOSE(CONTROL!$C$12, $D$4, 100%, $F$4)</f>
        <v>8.8764000000000003</v>
      </c>
      <c r="I436" s="8">
        <f>CHOOSE( CONTROL!$C$29, 7.9227, 7.9161) * CHOOSE(CONTROL!$C$12, $D$4, 100%, $F$4)</f>
        <v>7.9161000000000001</v>
      </c>
      <c r="J436" s="4">
        <f>CHOOSE( CONTROL!$C$29, 7.8347, 7.828) * CHOOSE(CONTROL!$C$12, $D$4, 100%, $F$4)</f>
        <v>7.8280000000000003</v>
      </c>
      <c r="K436" s="4"/>
      <c r="L436" s="9">
        <v>29.520499999999998</v>
      </c>
      <c r="M436" s="9">
        <v>12.063700000000001</v>
      </c>
      <c r="N436" s="9">
        <v>4.9444999999999997</v>
      </c>
      <c r="O436" s="9">
        <v>0.37459999999999999</v>
      </c>
      <c r="P436" s="9">
        <v>1.2192000000000001</v>
      </c>
      <c r="Q436" s="9">
        <v>20.007999999999999</v>
      </c>
      <c r="R436" s="9"/>
      <c r="S436" s="11"/>
    </row>
    <row r="437" spans="1:19" ht="15.6">
      <c r="A437" s="13">
        <v>55396</v>
      </c>
      <c r="B437" s="8">
        <f>CHOOSE( CONTROL!$C$29, 7.4627, 7.4558) * CHOOSE(CONTROL!$C$12, $D$4, 100%, $F$4)</f>
        <v>7.4558</v>
      </c>
      <c r="C437" s="8">
        <f>CHOOSE( CONTROL!$C$29, 7.473, 7.4662) * CHOOSE(CONTROL!$C$12, $D$4, 100%, $F$4)</f>
        <v>7.4661999999999997</v>
      </c>
      <c r="D437" s="8">
        <f>CHOOSE( CONTROL!$C$29, 7.4745, 7.4676) * CHOOSE( CONTROL!$C$12, $D$4, 100%, $F$4)</f>
        <v>7.4676</v>
      </c>
      <c r="E437" s="12">
        <f>CHOOSE( CONTROL!$C$29, 7.4724, 7.4655) * CHOOSE( CONTROL!$C$12, $D$4, 100%, $F$4)</f>
        <v>7.4654999999999996</v>
      </c>
      <c r="F437" s="4">
        <f>CHOOSE( CONTROL!$C$29, 8.4691, 8.4623) * CHOOSE(CONTROL!$C$12, $D$4, 100%, $F$4)</f>
        <v>8.4623000000000008</v>
      </c>
      <c r="G437" s="8">
        <f>CHOOSE( CONTROL!$C$29, 7.3515, 7.3448) * CHOOSE( CONTROL!$C$12, $D$4, 100%, $F$4)</f>
        <v>7.3448000000000002</v>
      </c>
      <c r="H437" s="4">
        <f>CHOOSE( CONTROL!$C$29, 8.2659, 8.2591) * CHOOSE(CONTROL!$C$12, $D$4, 100%, $F$4)</f>
        <v>8.2591000000000001</v>
      </c>
      <c r="I437" s="8">
        <f>CHOOSE( CONTROL!$C$29, 7.2993, 7.2926) * CHOOSE(CONTROL!$C$12, $D$4, 100%, $F$4)</f>
        <v>7.2926000000000002</v>
      </c>
      <c r="J437" s="4">
        <f>CHOOSE( CONTROL!$C$29, 7.2304, 7.2238) * CHOOSE(CONTROL!$C$12, $D$4, 100%, $F$4)</f>
        <v>7.2237999999999998</v>
      </c>
      <c r="K437" s="4"/>
      <c r="L437" s="9">
        <v>29.520499999999998</v>
      </c>
      <c r="M437" s="9">
        <v>12.063700000000001</v>
      </c>
      <c r="N437" s="9">
        <v>4.9444999999999997</v>
      </c>
      <c r="O437" s="9">
        <v>0.37459999999999999</v>
      </c>
      <c r="P437" s="9">
        <v>1.2192000000000001</v>
      </c>
      <c r="Q437" s="9">
        <v>20.007999999999999</v>
      </c>
      <c r="R437" s="9"/>
      <c r="S437" s="11"/>
    </row>
    <row r="438" spans="1:19" ht="15.6">
      <c r="A438" s="13">
        <v>55426</v>
      </c>
      <c r="B438" s="8">
        <f>CHOOSE( CONTROL!$C$29, 7.3065, 7.2997) * CHOOSE(CONTROL!$C$12, $D$4, 100%, $F$4)</f>
        <v>7.2996999999999996</v>
      </c>
      <c r="C438" s="8">
        <f>CHOOSE( CONTROL!$C$29, 7.3168, 7.31) * CHOOSE(CONTROL!$C$12, $D$4, 100%, $F$4)</f>
        <v>7.31</v>
      </c>
      <c r="D438" s="8">
        <f>CHOOSE( CONTROL!$C$29, 7.3215, 7.3147) * CHOOSE( CONTROL!$C$12, $D$4, 100%, $F$4)</f>
        <v>7.3147000000000002</v>
      </c>
      <c r="E438" s="12">
        <f>CHOOSE( CONTROL!$C$29, 7.3182, 7.3114) * CHOOSE( CONTROL!$C$12, $D$4, 100%, $F$4)</f>
        <v>7.3113999999999999</v>
      </c>
      <c r="F438" s="4">
        <f>CHOOSE( CONTROL!$C$29, 8.3181, 8.3113) * CHOOSE(CONTROL!$C$12, $D$4, 100%, $F$4)</f>
        <v>8.3112999999999992</v>
      </c>
      <c r="G438" s="8">
        <f>CHOOSE( CONTROL!$C$29, 7.1997, 7.1929) * CHOOSE( CONTROL!$C$12, $D$4, 100%, $F$4)</f>
        <v>7.1928999999999998</v>
      </c>
      <c r="H438" s="4">
        <f>CHOOSE( CONTROL!$C$29, 8.117, 8.1103) * CHOOSE(CONTROL!$C$12, $D$4, 100%, $F$4)</f>
        <v>8.1103000000000005</v>
      </c>
      <c r="I438" s="8">
        <f>CHOOSE( CONTROL!$C$29, 7.1557, 7.149) * CHOOSE(CONTROL!$C$12, $D$4, 100%, $F$4)</f>
        <v>7.149</v>
      </c>
      <c r="J438" s="4">
        <f>CHOOSE( CONTROL!$C$29, 7.0791, 7.0724) * CHOOSE(CONTROL!$C$12, $D$4, 100%, $F$4)</f>
        <v>7.0724</v>
      </c>
      <c r="K438" s="4"/>
      <c r="L438" s="9">
        <v>28.568200000000001</v>
      </c>
      <c r="M438" s="9">
        <v>11.6745</v>
      </c>
      <c r="N438" s="9">
        <v>4.7850000000000001</v>
      </c>
      <c r="O438" s="9">
        <v>0.36249999999999999</v>
      </c>
      <c r="P438" s="9">
        <v>1.1798</v>
      </c>
      <c r="Q438" s="9">
        <v>19.3626</v>
      </c>
      <c r="R438" s="9"/>
      <c r="S438" s="11"/>
    </row>
    <row r="439" spans="1:19" ht="15.6">
      <c r="A439" s="13">
        <v>55457</v>
      </c>
      <c r="B439" s="8">
        <f>7.6239 * CHOOSE(CONTROL!$C$12, $D$4, 100%, $F$4)</f>
        <v>7.6238999999999999</v>
      </c>
      <c r="C439" s="8">
        <f>7.6342 * CHOOSE(CONTROL!$C$12, $D$4, 100%, $F$4)</f>
        <v>7.6341999999999999</v>
      </c>
      <c r="D439" s="8">
        <f>7.6293 * CHOOSE( CONTROL!$C$12, $D$4, 100%, $F$4)</f>
        <v>7.6292999999999997</v>
      </c>
      <c r="E439" s="12">
        <f>7.6298 * CHOOSE( CONTROL!$C$12, $D$4, 100%, $F$4)</f>
        <v>7.6298000000000004</v>
      </c>
      <c r="F439" s="4">
        <f>8.6149 * CHOOSE(CONTROL!$C$12, $D$4, 100%, $F$4)</f>
        <v>8.6149000000000004</v>
      </c>
      <c r="G439" s="8">
        <f>7.5093 * CHOOSE( CONTROL!$C$12, $D$4, 100%, $F$4)</f>
        <v>7.5092999999999996</v>
      </c>
      <c r="H439" s="4">
        <f>8.4095 * CHOOSE(CONTROL!$C$12, $D$4, 100%, $F$4)</f>
        <v>8.4094999999999995</v>
      </c>
      <c r="I439" s="8">
        <f>7.4672 * CHOOSE(CONTROL!$C$12, $D$4, 100%, $F$4)</f>
        <v>7.4672000000000001</v>
      </c>
      <c r="J439" s="4">
        <f>7.3866 * CHOOSE(CONTROL!$C$12, $D$4, 100%, $F$4)</f>
        <v>7.3865999999999996</v>
      </c>
      <c r="K439" s="4"/>
      <c r="L439" s="9">
        <v>28.921800000000001</v>
      </c>
      <c r="M439" s="9">
        <v>12.063700000000001</v>
      </c>
      <c r="N439" s="9">
        <v>4.9444999999999997</v>
      </c>
      <c r="O439" s="9">
        <v>0.37459999999999999</v>
      </c>
      <c r="P439" s="9">
        <v>1.2192000000000001</v>
      </c>
      <c r="Q439" s="9">
        <v>20.007999999999999</v>
      </c>
      <c r="R439" s="9"/>
      <c r="S439" s="11"/>
    </row>
    <row r="440" spans="1:19" ht="15.6">
      <c r="A440" s="13">
        <v>55487</v>
      </c>
      <c r="B440" s="8">
        <f>8.2224 * CHOOSE(CONTROL!$C$12, $D$4, 100%, $F$4)</f>
        <v>8.2224000000000004</v>
      </c>
      <c r="C440" s="8">
        <f>8.2327 * CHOOSE(CONTROL!$C$12, $D$4, 100%, $F$4)</f>
        <v>8.2326999999999995</v>
      </c>
      <c r="D440" s="8">
        <f>8.192 * CHOOSE( CONTROL!$C$12, $D$4, 100%, $F$4)</f>
        <v>8.1920000000000002</v>
      </c>
      <c r="E440" s="12">
        <f>8.2058 * CHOOSE( CONTROL!$C$12, $D$4, 100%, $F$4)</f>
        <v>8.2058</v>
      </c>
      <c r="F440" s="4">
        <f>9.1994 * CHOOSE(CONTROL!$C$12, $D$4, 100%, $F$4)</f>
        <v>9.1994000000000007</v>
      </c>
      <c r="G440" s="8">
        <f>8.0932 * CHOOSE( CONTROL!$C$12, $D$4, 100%, $F$4)</f>
        <v>8.0931999999999995</v>
      </c>
      <c r="H440" s="4">
        <f>8.9858 * CHOOSE(CONTROL!$C$12, $D$4, 100%, $F$4)</f>
        <v>8.9857999999999993</v>
      </c>
      <c r="I440" s="8">
        <f>8.0317 * CHOOSE(CONTROL!$C$12, $D$4, 100%, $F$4)</f>
        <v>8.0317000000000007</v>
      </c>
      <c r="J440" s="4">
        <f>7.9665 * CHOOSE(CONTROL!$C$12, $D$4, 100%, $F$4)</f>
        <v>7.9664999999999999</v>
      </c>
      <c r="K440" s="4"/>
      <c r="L440" s="9">
        <v>26.515499999999999</v>
      </c>
      <c r="M440" s="9">
        <v>11.6745</v>
      </c>
      <c r="N440" s="9">
        <v>4.7850000000000001</v>
      </c>
      <c r="O440" s="9">
        <v>0.36249999999999999</v>
      </c>
      <c r="P440" s="9">
        <v>1.2522</v>
      </c>
      <c r="Q440" s="9">
        <v>19.3626</v>
      </c>
      <c r="R440" s="9"/>
      <c r="S440" s="11"/>
    </row>
    <row r="441" spans="1:19" ht="15.6">
      <c r="A441" s="13">
        <v>55518</v>
      </c>
      <c r="B441" s="8">
        <f>8.2074 * CHOOSE(CONTROL!$C$12, $D$4, 100%, $F$4)</f>
        <v>8.2073999999999998</v>
      </c>
      <c r="C441" s="8">
        <f>8.2178 * CHOOSE(CONTROL!$C$12, $D$4, 100%, $F$4)</f>
        <v>8.2178000000000004</v>
      </c>
      <c r="D441" s="8">
        <f>8.179 * CHOOSE( CONTROL!$C$12, $D$4, 100%, $F$4)</f>
        <v>8.1790000000000003</v>
      </c>
      <c r="E441" s="12">
        <f>8.1921 * CHOOSE( CONTROL!$C$12, $D$4, 100%, $F$4)</f>
        <v>8.1920999999999999</v>
      </c>
      <c r="F441" s="4">
        <f>9.1778 * CHOOSE(CONTROL!$C$12, $D$4, 100%, $F$4)</f>
        <v>9.1777999999999995</v>
      </c>
      <c r="G441" s="8">
        <f>8.0808 * CHOOSE( CONTROL!$C$12, $D$4, 100%, $F$4)</f>
        <v>8.0808</v>
      </c>
      <c r="H441" s="4">
        <f>8.9644 * CHOOSE(CONTROL!$C$12, $D$4, 100%, $F$4)</f>
        <v>8.9643999999999995</v>
      </c>
      <c r="I441" s="8">
        <f>8.028 * CHOOSE(CONTROL!$C$12, $D$4, 100%, $F$4)</f>
        <v>8.0280000000000005</v>
      </c>
      <c r="J441" s="4">
        <f>7.9521 * CHOOSE(CONTROL!$C$12, $D$4, 100%, $F$4)</f>
        <v>7.9520999999999997</v>
      </c>
      <c r="K441" s="4"/>
      <c r="L441" s="9">
        <v>27.3993</v>
      </c>
      <c r="M441" s="9">
        <v>12.063700000000001</v>
      </c>
      <c r="N441" s="9">
        <v>4.9444999999999997</v>
      </c>
      <c r="O441" s="9">
        <v>0.37459999999999999</v>
      </c>
      <c r="P441" s="9">
        <v>1.2939000000000001</v>
      </c>
      <c r="Q441" s="9">
        <v>20.007999999999999</v>
      </c>
      <c r="R441" s="9"/>
      <c r="S441" s="11"/>
    </row>
    <row r="442" spans="1:19" ht="15.6">
      <c r="A442" s="13">
        <v>55549</v>
      </c>
      <c r="B442" s="8">
        <f>8.3989 * CHOOSE(CONTROL!$C$12, $D$4, 100%, $F$4)</f>
        <v>8.3988999999999994</v>
      </c>
      <c r="C442" s="8">
        <f>8.4093 * CHOOSE(CONTROL!$C$12, $D$4, 100%, $F$4)</f>
        <v>8.4093</v>
      </c>
      <c r="D442" s="8">
        <f>8.4091 * CHOOSE( CONTROL!$C$12, $D$4, 100%, $F$4)</f>
        <v>8.4091000000000005</v>
      </c>
      <c r="E442" s="12">
        <f>8.4081 * CHOOSE( CONTROL!$C$12, $D$4, 100%, $F$4)</f>
        <v>8.4080999999999992</v>
      </c>
      <c r="F442" s="4">
        <f>9.4209 * CHOOSE(CONTROL!$C$12, $D$4, 100%, $F$4)</f>
        <v>9.4208999999999996</v>
      </c>
      <c r="G442" s="8">
        <f>8.3106 * CHOOSE( CONTROL!$C$12, $D$4, 100%, $F$4)</f>
        <v>8.3106000000000009</v>
      </c>
      <c r="H442" s="4">
        <f>9.2041 * CHOOSE(CONTROL!$C$12, $D$4, 100%, $F$4)</f>
        <v>9.2041000000000004</v>
      </c>
      <c r="I442" s="8">
        <f>8.2503 * CHOOSE(CONTROL!$C$12, $D$4, 100%, $F$4)</f>
        <v>8.2502999999999993</v>
      </c>
      <c r="J442" s="4">
        <f>8.1376 * CHOOSE(CONTROL!$C$12, $D$4, 100%, $F$4)</f>
        <v>8.1376000000000008</v>
      </c>
      <c r="K442" s="4"/>
      <c r="L442" s="9">
        <v>27.3993</v>
      </c>
      <c r="M442" s="9">
        <v>12.063700000000001</v>
      </c>
      <c r="N442" s="9">
        <v>4.9444999999999997</v>
      </c>
      <c r="O442" s="9">
        <v>0.37459999999999999</v>
      </c>
      <c r="P442" s="9">
        <v>1.2939000000000001</v>
      </c>
      <c r="Q442" s="9">
        <v>19.942900000000002</v>
      </c>
      <c r="R442" s="9"/>
      <c r="S442" s="11"/>
    </row>
    <row r="443" spans="1:19" ht="15.6">
      <c r="A443" s="13">
        <v>55577</v>
      </c>
      <c r="B443" s="8">
        <f>7.856 * CHOOSE(CONTROL!$C$12, $D$4, 100%, $F$4)</f>
        <v>7.8559999999999999</v>
      </c>
      <c r="C443" s="8">
        <f>7.8664 * CHOOSE(CONTROL!$C$12, $D$4, 100%, $F$4)</f>
        <v>7.8663999999999996</v>
      </c>
      <c r="D443" s="8">
        <f>7.8684 * CHOOSE( CONTROL!$C$12, $D$4, 100%, $F$4)</f>
        <v>7.8684000000000003</v>
      </c>
      <c r="E443" s="12">
        <f>7.8666 * CHOOSE( CONTROL!$C$12, $D$4, 100%, $F$4)</f>
        <v>7.8666</v>
      </c>
      <c r="F443" s="4">
        <f>8.8702 * CHOOSE(CONTROL!$C$12, $D$4, 100%, $F$4)</f>
        <v>8.8702000000000005</v>
      </c>
      <c r="G443" s="8">
        <f>7.7753 * CHOOSE( CONTROL!$C$12, $D$4, 100%, $F$4)</f>
        <v>7.7752999999999997</v>
      </c>
      <c r="H443" s="4">
        <f>8.6612 * CHOOSE(CONTROL!$C$12, $D$4, 100%, $F$4)</f>
        <v>8.6611999999999991</v>
      </c>
      <c r="I443" s="8">
        <f>7.713 * CHOOSE(CONTROL!$C$12, $D$4, 100%, $F$4)</f>
        <v>7.7130000000000001</v>
      </c>
      <c r="J443" s="4">
        <f>7.6115 * CHOOSE(CONTROL!$C$12, $D$4, 100%, $F$4)</f>
        <v>7.6115000000000004</v>
      </c>
      <c r="K443" s="4"/>
      <c r="L443" s="9">
        <v>25.631599999999999</v>
      </c>
      <c r="M443" s="9">
        <v>11.285299999999999</v>
      </c>
      <c r="N443" s="9">
        <v>4.6254999999999997</v>
      </c>
      <c r="O443" s="9">
        <v>0.35039999999999999</v>
      </c>
      <c r="P443" s="9">
        <v>1.2104999999999999</v>
      </c>
      <c r="Q443" s="9">
        <v>18.656300000000002</v>
      </c>
      <c r="R443" s="9"/>
      <c r="S443" s="11"/>
    </row>
    <row r="444" spans="1:19" ht="15.6">
      <c r="A444" s="13">
        <v>55609</v>
      </c>
      <c r="B444" s="8">
        <f>7.6888 * CHOOSE(CONTROL!$C$12, $D$4, 100%, $F$4)</f>
        <v>7.6887999999999996</v>
      </c>
      <c r="C444" s="8">
        <f>7.6991 * CHOOSE(CONTROL!$C$12, $D$4, 100%, $F$4)</f>
        <v>7.6990999999999996</v>
      </c>
      <c r="D444" s="8">
        <f>7.6813 * CHOOSE( CONTROL!$C$12, $D$4, 100%, $F$4)</f>
        <v>7.6813000000000002</v>
      </c>
      <c r="E444" s="12">
        <f>7.6867 * CHOOSE( CONTROL!$C$12, $D$4, 100%, $F$4)</f>
        <v>7.6867000000000001</v>
      </c>
      <c r="F444" s="4">
        <f>8.687 * CHOOSE(CONTROL!$C$12, $D$4, 100%, $F$4)</f>
        <v>8.6869999999999994</v>
      </c>
      <c r="G444" s="8">
        <f>7.5899 * CHOOSE( CONTROL!$C$12, $D$4, 100%, $F$4)</f>
        <v>7.5899000000000001</v>
      </c>
      <c r="H444" s="4">
        <f>8.4806 * CHOOSE(CONTROL!$C$12, $D$4, 100%, $F$4)</f>
        <v>8.4806000000000008</v>
      </c>
      <c r="I444" s="8">
        <f>7.5114 * CHOOSE(CONTROL!$C$12, $D$4, 100%, $F$4)</f>
        <v>7.5114000000000001</v>
      </c>
      <c r="J444" s="4">
        <f>7.4495 * CHOOSE(CONTROL!$C$12, $D$4, 100%, $F$4)</f>
        <v>7.4494999999999996</v>
      </c>
      <c r="K444" s="4"/>
      <c r="L444" s="9">
        <v>27.3993</v>
      </c>
      <c r="M444" s="9">
        <v>12.063700000000001</v>
      </c>
      <c r="N444" s="9">
        <v>4.9444999999999997</v>
      </c>
      <c r="O444" s="9">
        <v>0.37459999999999999</v>
      </c>
      <c r="P444" s="9">
        <v>1.2939000000000001</v>
      </c>
      <c r="Q444" s="9">
        <v>19.942900000000002</v>
      </c>
      <c r="R444" s="9"/>
      <c r="S444" s="11"/>
    </row>
    <row r="445" spans="1:19" ht="15.6">
      <c r="A445" s="13">
        <v>55639</v>
      </c>
      <c r="B445" s="8">
        <f>7.8057 * CHOOSE(CONTROL!$C$12, $D$4, 100%, $F$4)</f>
        <v>7.8056999999999999</v>
      </c>
      <c r="C445" s="8">
        <f>7.816 * CHOOSE(CONTROL!$C$12, $D$4, 100%, $F$4)</f>
        <v>7.8159999999999998</v>
      </c>
      <c r="D445" s="8">
        <f>7.821 * CHOOSE( CONTROL!$C$12, $D$4, 100%, $F$4)</f>
        <v>7.8209999999999997</v>
      </c>
      <c r="E445" s="12">
        <f>7.8182 * CHOOSE( CONTROL!$C$12, $D$4, 100%, $F$4)</f>
        <v>7.8182</v>
      </c>
      <c r="F445" s="4">
        <f>8.8121 * CHOOSE(CONTROL!$C$12, $D$4, 100%, $F$4)</f>
        <v>8.8120999999999992</v>
      </c>
      <c r="G445" s="8">
        <f>7.693 * CHOOSE( CONTROL!$C$12, $D$4, 100%, $F$4)</f>
        <v>7.6929999999999996</v>
      </c>
      <c r="H445" s="4">
        <f>8.604 * CHOOSE(CONTROL!$C$12, $D$4, 100%, $F$4)</f>
        <v>8.6039999999999992</v>
      </c>
      <c r="I445" s="8">
        <f>7.6148 * CHOOSE(CONTROL!$C$12, $D$4, 100%, $F$4)</f>
        <v>7.6147999999999998</v>
      </c>
      <c r="J445" s="4">
        <f>7.5627 * CHOOSE(CONTROL!$C$12, $D$4, 100%, $F$4)</f>
        <v>7.5627000000000004</v>
      </c>
      <c r="K445" s="4"/>
      <c r="L445" s="9">
        <v>27.988800000000001</v>
      </c>
      <c r="M445" s="9">
        <v>11.6745</v>
      </c>
      <c r="N445" s="9">
        <v>4.7850000000000001</v>
      </c>
      <c r="O445" s="9">
        <v>0.36249999999999999</v>
      </c>
      <c r="P445" s="9">
        <v>1.1798</v>
      </c>
      <c r="Q445" s="9">
        <v>19.299600000000002</v>
      </c>
      <c r="R445" s="9"/>
      <c r="S445" s="11"/>
    </row>
    <row r="446" spans="1:19" ht="15.6">
      <c r="A446" s="13">
        <v>55670</v>
      </c>
      <c r="B446" s="8">
        <f>CHOOSE( CONTROL!$C$29, 8.0205, 8.0136) * CHOOSE(CONTROL!$C$12, $D$4, 100%, $F$4)</f>
        <v>8.0136000000000003</v>
      </c>
      <c r="C446" s="8">
        <f>CHOOSE( CONTROL!$C$29, 8.0308, 8.0239) * CHOOSE(CONTROL!$C$12, $D$4, 100%, $F$4)</f>
        <v>8.0238999999999994</v>
      </c>
      <c r="D446" s="8">
        <f>CHOOSE( CONTROL!$C$29, 8.011, 8.0042) * CHOOSE( CONTROL!$C$12, $D$4, 100%, $F$4)</f>
        <v>8.0042000000000009</v>
      </c>
      <c r="E446" s="12">
        <f>CHOOSE( CONTROL!$C$29, 8.0166, 8.0098) * CHOOSE( CONTROL!$C$12, $D$4, 100%, $F$4)</f>
        <v>8.0098000000000003</v>
      </c>
      <c r="F446" s="4">
        <f>CHOOSE( CONTROL!$C$29, 8.9949, 8.9881) * CHOOSE(CONTROL!$C$12, $D$4, 100%, $F$4)</f>
        <v>8.9880999999999993</v>
      </c>
      <c r="G446" s="8">
        <f>CHOOSE( CONTROL!$C$29, 7.8865, 7.8798) * CHOOSE( CONTROL!$C$12, $D$4, 100%, $F$4)</f>
        <v>7.8798000000000004</v>
      </c>
      <c r="H446" s="4">
        <f>CHOOSE( CONTROL!$C$29, 8.7842, 8.7774) * CHOOSE(CONTROL!$C$12, $D$4, 100%, $F$4)</f>
        <v>8.7774000000000001</v>
      </c>
      <c r="I446" s="8">
        <f>CHOOSE( CONTROL!$C$29, 7.8015, 7.7948) * CHOOSE(CONTROL!$C$12, $D$4, 100%, $F$4)</f>
        <v>7.7948000000000004</v>
      </c>
      <c r="J446" s="4">
        <f>CHOOSE( CONTROL!$C$29, 7.7709, 7.7643) * CHOOSE(CONTROL!$C$12, $D$4, 100%, $F$4)</f>
        <v>7.7643000000000004</v>
      </c>
      <c r="K446" s="4"/>
      <c r="L446" s="9">
        <v>29.520499999999998</v>
      </c>
      <c r="M446" s="9">
        <v>12.063700000000001</v>
      </c>
      <c r="N446" s="9">
        <v>4.9444999999999997</v>
      </c>
      <c r="O446" s="9">
        <v>0.37459999999999999</v>
      </c>
      <c r="P446" s="9">
        <v>1.2192000000000001</v>
      </c>
      <c r="Q446" s="9">
        <v>19.942900000000002</v>
      </c>
      <c r="R446" s="9"/>
      <c r="S446" s="11"/>
    </row>
    <row r="447" spans="1:19" ht="15.6">
      <c r="A447" s="13">
        <v>55700</v>
      </c>
      <c r="B447" s="8">
        <f>CHOOSE( CONTROL!$C$29, 7.8916, 7.8848) * CHOOSE(CONTROL!$C$12, $D$4, 100%, $F$4)</f>
        <v>7.8848000000000003</v>
      </c>
      <c r="C447" s="8">
        <f>CHOOSE( CONTROL!$C$29, 7.902, 7.8951) * CHOOSE(CONTROL!$C$12, $D$4, 100%, $F$4)</f>
        <v>7.8951000000000002</v>
      </c>
      <c r="D447" s="8">
        <f>CHOOSE( CONTROL!$C$29, 7.8767, 7.8698) * CHOOSE( CONTROL!$C$12, $D$4, 100%, $F$4)</f>
        <v>7.8697999999999997</v>
      </c>
      <c r="E447" s="12">
        <f>CHOOSE( CONTROL!$C$29, 7.8843, 7.8774) * CHOOSE( CONTROL!$C$12, $D$4, 100%, $F$4)</f>
        <v>7.8773999999999997</v>
      </c>
      <c r="F447" s="4">
        <f>CHOOSE( CONTROL!$C$29, 8.8558, 8.8489) * CHOOSE(CONTROL!$C$12, $D$4, 100%, $F$4)</f>
        <v>8.8489000000000004</v>
      </c>
      <c r="G447" s="8">
        <f>CHOOSE( CONTROL!$C$29, 7.7583, 7.7515) * CHOOSE( CONTROL!$C$12, $D$4, 100%, $F$4)</f>
        <v>7.7515000000000001</v>
      </c>
      <c r="H447" s="4">
        <f>CHOOSE( CONTROL!$C$29, 8.647, 8.6403) * CHOOSE(CONTROL!$C$12, $D$4, 100%, $F$4)</f>
        <v>8.6402999999999999</v>
      </c>
      <c r="I447" s="8">
        <f>CHOOSE( CONTROL!$C$29, 7.6787, 7.6721) * CHOOSE(CONTROL!$C$12, $D$4, 100%, $F$4)</f>
        <v>7.6721000000000004</v>
      </c>
      <c r="J447" s="4">
        <f>CHOOSE( CONTROL!$C$29, 7.646, 7.6394) * CHOOSE(CONTROL!$C$12, $D$4, 100%, $F$4)</f>
        <v>7.6394000000000002</v>
      </c>
      <c r="K447" s="4"/>
      <c r="L447" s="9">
        <v>28.568200000000001</v>
      </c>
      <c r="M447" s="9">
        <v>11.6745</v>
      </c>
      <c r="N447" s="9">
        <v>4.7850000000000001</v>
      </c>
      <c r="O447" s="9">
        <v>0.36249999999999999</v>
      </c>
      <c r="P447" s="9">
        <v>1.1798</v>
      </c>
      <c r="Q447" s="9">
        <v>19.299600000000002</v>
      </c>
      <c r="R447" s="9"/>
      <c r="S447" s="11"/>
    </row>
    <row r="448" spans="1:19" ht="15.6">
      <c r="A448" s="13">
        <v>55731</v>
      </c>
      <c r="B448" s="8">
        <f>CHOOSE( CONTROL!$C$29, 8.2309, 8.224) * CHOOSE(CONTROL!$C$12, $D$4, 100%, $F$4)</f>
        <v>8.2240000000000002</v>
      </c>
      <c r="C448" s="8">
        <f>CHOOSE( CONTROL!$C$29, 8.2412, 8.2344) * CHOOSE(CONTROL!$C$12, $D$4, 100%, $F$4)</f>
        <v>8.2344000000000008</v>
      </c>
      <c r="D448" s="8">
        <f>CHOOSE( CONTROL!$C$29, 8.2493, 8.2425) * CHOOSE( CONTROL!$C$12, $D$4, 100%, $F$4)</f>
        <v>8.2424999999999997</v>
      </c>
      <c r="E448" s="12">
        <f>CHOOSE( CONTROL!$C$29, 8.2448, 8.238) * CHOOSE( CONTROL!$C$12, $D$4, 100%, $F$4)</f>
        <v>8.2379999999999995</v>
      </c>
      <c r="F448" s="4">
        <f>CHOOSE( CONTROL!$C$29, 9.2399, 9.2331) * CHOOSE(CONTROL!$C$12, $D$4, 100%, $F$4)</f>
        <v>9.2331000000000003</v>
      </c>
      <c r="G448" s="8">
        <f>CHOOSE( CONTROL!$C$29, 8.1187, 8.112) * CHOOSE( CONTROL!$C$12, $D$4, 100%, $F$4)</f>
        <v>8.1120000000000001</v>
      </c>
      <c r="H448" s="4">
        <f>CHOOSE( CONTROL!$C$29, 9.0257, 9.0189) * CHOOSE(CONTROL!$C$12, $D$4, 100%, $F$4)</f>
        <v>9.0189000000000004</v>
      </c>
      <c r="I448" s="8">
        <f>CHOOSE( CONTROL!$C$29, 8.0629, 8.0563) * CHOOSE(CONTROL!$C$12, $D$4, 100%, $F$4)</f>
        <v>8.0563000000000002</v>
      </c>
      <c r="J448" s="4">
        <f>CHOOSE( CONTROL!$C$29, 7.9748, 7.9681) * CHOOSE(CONTROL!$C$12, $D$4, 100%, $F$4)</f>
        <v>7.9680999999999997</v>
      </c>
      <c r="K448" s="4"/>
      <c r="L448" s="9">
        <v>29.520499999999998</v>
      </c>
      <c r="M448" s="9">
        <v>12.063700000000001</v>
      </c>
      <c r="N448" s="9">
        <v>4.9444999999999997</v>
      </c>
      <c r="O448" s="9">
        <v>0.37459999999999999</v>
      </c>
      <c r="P448" s="9">
        <v>1.2192000000000001</v>
      </c>
      <c r="Q448" s="9">
        <v>19.942900000000002</v>
      </c>
      <c r="R448" s="9"/>
      <c r="S448" s="11"/>
    </row>
    <row r="449" spans="1:19" ht="15.6">
      <c r="A449" s="13">
        <v>55762</v>
      </c>
      <c r="B449" s="8">
        <f>CHOOSE( CONTROL!$C$29, 7.5961, 7.5893) * CHOOSE(CONTROL!$C$12, $D$4, 100%, $F$4)</f>
        <v>7.5892999999999997</v>
      </c>
      <c r="C449" s="8">
        <f>CHOOSE( CONTROL!$C$29, 7.6064, 7.5996) * CHOOSE(CONTROL!$C$12, $D$4, 100%, $F$4)</f>
        <v>7.5995999999999997</v>
      </c>
      <c r="D449" s="8">
        <f>CHOOSE( CONTROL!$C$29, 7.6079, 7.6011) * CHOOSE( CONTROL!$C$12, $D$4, 100%, $F$4)</f>
        <v>7.6010999999999997</v>
      </c>
      <c r="E449" s="12">
        <f>CHOOSE( CONTROL!$C$29, 7.6058, 7.599) * CHOOSE( CONTROL!$C$12, $D$4, 100%, $F$4)</f>
        <v>7.5990000000000002</v>
      </c>
      <c r="F449" s="4">
        <f>CHOOSE( CONTROL!$C$29, 8.6026, 8.5957) * CHOOSE(CONTROL!$C$12, $D$4, 100%, $F$4)</f>
        <v>8.5957000000000008</v>
      </c>
      <c r="G449" s="8">
        <f>CHOOSE( CONTROL!$C$29, 7.4831, 7.4763) * CHOOSE( CONTROL!$C$12, $D$4, 100%, $F$4)</f>
        <v>7.4763000000000002</v>
      </c>
      <c r="H449" s="4">
        <f>CHOOSE( CONTROL!$C$29, 8.3974, 8.3907) * CHOOSE(CONTROL!$C$12, $D$4, 100%, $F$4)</f>
        <v>8.3907000000000007</v>
      </c>
      <c r="I449" s="8">
        <f>CHOOSE( CONTROL!$C$29, 7.4286, 7.422) * CHOOSE(CONTROL!$C$12, $D$4, 100%, $F$4)</f>
        <v>7.4219999999999997</v>
      </c>
      <c r="J449" s="4">
        <f>CHOOSE( CONTROL!$C$29, 7.3597, 7.3531) * CHOOSE(CONTROL!$C$12, $D$4, 100%, $F$4)</f>
        <v>7.3531000000000004</v>
      </c>
      <c r="K449" s="4"/>
      <c r="L449" s="9">
        <v>29.520499999999998</v>
      </c>
      <c r="M449" s="9">
        <v>12.063700000000001</v>
      </c>
      <c r="N449" s="9">
        <v>4.9444999999999997</v>
      </c>
      <c r="O449" s="9">
        <v>0.37459999999999999</v>
      </c>
      <c r="P449" s="9">
        <v>1.2192000000000001</v>
      </c>
      <c r="Q449" s="9">
        <v>19.942900000000002</v>
      </c>
      <c r="R449" s="9"/>
      <c r="S449" s="11"/>
    </row>
    <row r="450" spans="1:19" ht="15.6">
      <c r="A450" s="13">
        <v>55792</v>
      </c>
      <c r="B450" s="8">
        <f>CHOOSE( CONTROL!$C$29, 7.4372, 7.4303) * CHOOSE(CONTROL!$C$12, $D$4, 100%, $F$4)</f>
        <v>7.4302999999999999</v>
      </c>
      <c r="C450" s="8">
        <f>CHOOSE( CONTROL!$C$29, 7.4475, 7.4406) * CHOOSE(CONTROL!$C$12, $D$4, 100%, $F$4)</f>
        <v>7.4405999999999999</v>
      </c>
      <c r="D450" s="8">
        <f>CHOOSE( CONTROL!$C$29, 7.4522, 7.4453) * CHOOSE( CONTROL!$C$12, $D$4, 100%, $F$4)</f>
        <v>7.4452999999999996</v>
      </c>
      <c r="E450" s="12">
        <f>CHOOSE( CONTROL!$C$29, 7.4489, 7.442) * CHOOSE( CONTROL!$C$12, $D$4, 100%, $F$4)</f>
        <v>7.4420000000000002</v>
      </c>
      <c r="F450" s="4">
        <f>CHOOSE( CONTROL!$C$29, 8.4488, 8.4419) * CHOOSE(CONTROL!$C$12, $D$4, 100%, $F$4)</f>
        <v>8.4419000000000004</v>
      </c>
      <c r="G450" s="8">
        <f>CHOOSE( CONTROL!$C$29, 7.3284, 7.3217) * CHOOSE( CONTROL!$C$12, $D$4, 100%, $F$4)</f>
        <v>7.3216999999999999</v>
      </c>
      <c r="H450" s="4">
        <f>CHOOSE( CONTROL!$C$29, 8.2458, 8.2391) * CHOOSE(CONTROL!$C$12, $D$4, 100%, $F$4)</f>
        <v>8.2391000000000005</v>
      </c>
      <c r="I450" s="8">
        <f>CHOOSE( CONTROL!$C$29, 7.2823, 7.2757) * CHOOSE(CONTROL!$C$12, $D$4, 100%, $F$4)</f>
        <v>7.2756999999999996</v>
      </c>
      <c r="J450" s="4">
        <f>CHOOSE( CONTROL!$C$29, 7.2057, 7.199) * CHOOSE(CONTROL!$C$12, $D$4, 100%, $F$4)</f>
        <v>7.1989999999999998</v>
      </c>
      <c r="K450" s="4"/>
      <c r="L450" s="9">
        <v>28.568200000000001</v>
      </c>
      <c r="M450" s="9">
        <v>11.6745</v>
      </c>
      <c r="N450" s="9">
        <v>4.7850000000000001</v>
      </c>
      <c r="O450" s="9">
        <v>0.36249999999999999</v>
      </c>
      <c r="P450" s="9">
        <v>1.1798</v>
      </c>
      <c r="Q450" s="9">
        <v>19.299600000000002</v>
      </c>
      <c r="R450" s="9"/>
      <c r="S450" s="11"/>
    </row>
    <row r="451" spans="1:19" ht="15.6">
      <c r="A451" s="13">
        <v>55823</v>
      </c>
      <c r="B451" s="8">
        <f>7.7604 * CHOOSE(CONTROL!$C$12, $D$4, 100%, $F$4)</f>
        <v>7.7603999999999997</v>
      </c>
      <c r="C451" s="8">
        <f>7.7707 * CHOOSE(CONTROL!$C$12, $D$4, 100%, $F$4)</f>
        <v>7.7706999999999997</v>
      </c>
      <c r="D451" s="8">
        <f>7.7657 * CHOOSE( CONTROL!$C$12, $D$4, 100%, $F$4)</f>
        <v>7.7656999999999998</v>
      </c>
      <c r="E451" s="12">
        <f>7.7663 * CHOOSE( CONTROL!$C$12, $D$4, 100%, $F$4)</f>
        <v>7.7663000000000002</v>
      </c>
      <c r="F451" s="4">
        <f>8.7513 * CHOOSE(CONTROL!$C$12, $D$4, 100%, $F$4)</f>
        <v>8.7513000000000005</v>
      </c>
      <c r="G451" s="8">
        <f>7.6438 * CHOOSE( CONTROL!$C$12, $D$4, 100%, $F$4)</f>
        <v>7.6437999999999997</v>
      </c>
      <c r="H451" s="4">
        <f>8.5441 * CHOOSE(CONTROL!$C$12, $D$4, 100%, $F$4)</f>
        <v>8.5441000000000003</v>
      </c>
      <c r="I451" s="8">
        <f>7.5995 * CHOOSE(CONTROL!$C$12, $D$4, 100%, $F$4)</f>
        <v>7.5994999999999999</v>
      </c>
      <c r="J451" s="4">
        <f>7.5188 * CHOOSE(CONTROL!$C$12, $D$4, 100%, $F$4)</f>
        <v>7.5187999999999997</v>
      </c>
      <c r="K451" s="4"/>
      <c r="L451" s="9">
        <v>28.921800000000001</v>
      </c>
      <c r="M451" s="9">
        <v>12.063700000000001</v>
      </c>
      <c r="N451" s="9">
        <v>4.9444999999999997</v>
      </c>
      <c r="O451" s="9">
        <v>0.37459999999999999</v>
      </c>
      <c r="P451" s="9">
        <v>1.2192000000000001</v>
      </c>
      <c r="Q451" s="9">
        <v>19.942900000000002</v>
      </c>
      <c r="R451" s="9"/>
      <c r="S451" s="11"/>
    </row>
    <row r="452" spans="1:19" ht="15.6">
      <c r="A452" s="13">
        <v>55853</v>
      </c>
      <c r="B452" s="8">
        <f>8.3696 * CHOOSE(CONTROL!$C$12, $D$4, 100%, $F$4)</f>
        <v>8.3696000000000002</v>
      </c>
      <c r="C452" s="8">
        <f>8.3799 * CHOOSE(CONTROL!$C$12, $D$4, 100%, $F$4)</f>
        <v>8.3798999999999992</v>
      </c>
      <c r="D452" s="8">
        <f>8.3392 * CHOOSE( CONTROL!$C$12, $D$4, 100%, $F$4)</f>
        <v>8.3391999999999999</v>
      </c>
      <c r="E452" s="12">
        <f>8.353 * CHOOSE( CONTROL!$C$12, $D$4, 100%, $F$4)</f>
        <v>8.3529999999999998</v>
      </c>
      <c r="F452" s="4">
        <f>9.3466 * CHOOSE(CONTROL!$C$12, $D$4, 100%, $F$4)</f>
        <v>9.3466000000000005</v>
      </c>
      <c r="G452" s="8">
        <f>8.2383 * CHOOSE( CONTROL!$C$12, $D$4, 100%, $F$4)</f>
        <v>8.2383000000000006</v>
      </c>
      <c r="H452" s="4">
        <f>9.1308 * CHOOSE(CONTROL!$C$12, $D$4, 100%, $F$4)</f>
        <v>9.1308000000000007</v>
      </c>
      <c r="I452" s="8">
        <f>8.1744 * CHOOSE(CONTROL!$C$12, $D$4, 100%, $F$4)</f>
        <v>8.1744000000000003</v>
      </c>
      <c r="J452" s="4">
        <f>8.1091 * CHOOSE(CONTROL!$C$12, $D$4, 100%, $F$4)</f>
        <v>8.1090999999999998</v>
      </c>
      <c r="K452" s="4"/>
      <c r="L452" s="9">
        <v>26.515499999999999</v>
      </c>
      <c r="M452" s="9">
        <v>11.6745</v>
      </c>
      <c r="N452" s="9">
        <v>4.7850000000000001</v>
      </c>
      <c r="O452" s="9">
        <v>0.36249999999999999</v>
      </c>
      <c r="P452" s="9">
        <v>1.2522</v>
      </c>
      <c r="Q452" s="9">
        <v>19.299600000000002</v>
      </c>
      <c r="R452" s="9"/>
      <c r="S452" s="11"/>
    </row>
    <row r="453" spans="1:19" ht="15.6">
      <c r="A453" s="13">
        <v>55884</v>
      </c>
      <c r="B453" s="8">
        <f>8.3543 * CHOOSE(CONTROL!$C$12, $D$4, 100%, $F$4)</f>
        <v>8.3543000000000003</v>
      </c>
      <c r="C453" s="8">
        <f>8.3647 * CHOOSE(CONTROL!$C$12, $D$4, 100%, $F$4)</f>
        <v>8.3646999999999991</v>
      </c>
      <c r="D453" s="8">
        <f>8.3259 * CHOOSE( CONTROL!$C$12, $D$4, 100%, $F$4)</f>
        <v>8.3259000000000007</v>
      </c>
      <c r="E453" s="12">
        <f>8.339 * CHOOSE( CONTROL!$C$12, $D$4, 100%, $F$4)</f>
        <v>8.3390000000000004</v>
      </c>
      <c r="F453" s="4">
        <f>9.3247 * CHOOSE(CONTROL!$C$12, $D$4, 100%, $F$4)</f>
        <v>9.3247</v>
      </c>
      <c r="G453" s="8">
        <f>8.2256 * CHOOSE( CONTROL!$C$12, $D$4, 100%, $F$4)</f>
        <v>8.2256</v>
      </c>
      <c r="H453" s="4">
        <f>9.1092 * CHOOSE(CONTROL!$C$12, $D$4, 100%, $F$4)</f>
        <v>9.1091999999999995</v>
      </c>
      <c r="I453" s="8">
        <f>8.1704 * CHOOSE(CONTROL!$C$12, $D$4, 100%, $F$4)</f>
        <v>8.1704000000000008</v>
      </c>
      <c r="J453" s="4">
        <f>8.0944 * CHOOSE(CONTROL!$C$12, $D$4, 100%, $F$4)</f>
        <v>8.0944000000000003</v>
      </c>
      <c r="K453" s="4"/>
      <c r="L453" s="9">
        <v>27.3993</v>
      </c>
      <c r="M453" s="9">
        <v>12.063700000000001</v>
      </c>
      <c r="N453" s="9">
        <v>4.9444999999999997</v>
      </c>
      <c r="O453" s="9">
        <v>0.37459999999999999</v>
      </c>
      <c r="P453" s="9">
        <v>1.2939000000000001</v>
      </c>
      <c r="Q453" s="9">
        <v>19.942900000000002</v>
      </c>
      <c r="R453" s="9"/>
      <c r="S453" s="11"/>
    </row>
    <row r="454" spans="1:19" ht="15.6">
      <c r="A454" s="13">
        <v>55915</v>
      </c>
      <c r="B454" s="8">
        <f>8.5493 * CHOOSE(CONTROL!$C$12, $D$4, 100%, $F$4)</f>
        <v>8.5493000000000006</v>
      </c>
      <c r="C454" s="8">
        <f>8.5596 * CHOOSE(CONTROL!$C$12, $D$4, 100%, $F$4)</f>
        <v>8.5595999999999997</v>
      </c>
      <c r="D454" s="8">
        <f>8.5594 * CHOOSE( CONTROL!$C$12, $D$4, 100%, $F$4)</f>
        <v>8.5594000000000001</v>
      </c>
      <c r="E454" s="12">
        <f>8.5584 * CHOOSE( CONTROL!$C$12, $D$4, 100%, $F$4)</f>
        <v>8.5584000000000007</v>
      </c>
      <c r="F454" s="4">
        <f>9.5712 * CHOOSE(CONTROL!$C$12, $D$4, 100%, $F$4)</f>
        <v>9.5711999999999993</v>
      </c>
      <c r="G454" s="8">
        <f>8.4588 * CHOOSE( CONTROL!$C$12, $D$4, 100%, $F$4)</f>
        <v>8.4588000000000001</v>
      </c>
      <c r="H454" s="4">
        <f>9.3522 * CHOOSE(CONTROL!$C$12, $D$4, 100%, $F$4)</f>
        <v>9.3521999999999998</v>
      </c>
      <c r="I454" s="8">
        <f>8.396 * CHOOSE(CONTROL!$C$12, $D$4, 100%, $F$4)</f>
        <v>8.3960000000000008</v>
      </c>
      <c r="J454" s="4">
        <f>8.2833 * CHOOSE(CONTROL!$C$12, $D$4, 100%, $F$4)</f>
        <v>8.2833000000000006</v>
      </c>
      <c r="K454" s="4"/>
      <c r="L454" s="9">
        <v>27.3993</v>
      </c>
      <c r="M454" s="9">
        <v>12.063700000000001</v>
      </c>
      <c r="N454" s="9">
        <v>4.9444999999999997</v>
      </c>
      <c r="O454" s="9">
        <v>0.37459999999999999</v>
      </c>
      <c r="P454" s="9">
        <v>1.2939000000000001</v>
      </c>
      <c r="Q454" s="9">
        <v>19.877800000000001</v>
      </c>
      <c r="R454" s="9"/>
      <c r="S454" s="11"/>
    </row>
    <row r="455" spans="1:19" ht="15.6">
      <c r="A455" s="13">
        <v>55943</v>
      </c>
      <c r="B455" s="8">
        <f>7.9966 * CHOOSE(CONTROL!$C$12, $D$4, 100%, $F$4)</f>
        <v>7.9965999999999999</v>
      </c>
      <c r="C455" s="8">
        <f>8.007 * CHOOSE(CONTROL!$C$12, $D$4, 100%, $F$4)</f>
        <v>8.0069999999999997</v>
      </c>
      <c r="D455" s="8">
        <f>8.009 * CHOOSE( CONTROL!$C$12, $D$4, 100%, $F$4)</f>
        <v>8.0090000000000003</v>
      </c>
      <c r="E455" s="12">
        <f>8.0072 * CHOOSE( CONTROL!$C$12, $D$4, 100%, $F$4)</f>
        <v>8.0071999999999992</v>
      </c>
      <c r="F455" s="4">
        <f>9.0108 * CHOOSE(CONTROL!$C$12, $D$4, 100%, $F$4)</f>
        <v>9.0107999999999997</v>
      </c>
      <c r="G455" s="8">
        <f>7.9139 * CHOOSE( CONTROL!$C$12, $D$4, 100%, $F$4)</f>
        <v>7.9138999999999999</v>
      </c>
      <c r="H455" s="4">
        <f>8.7998 * CHOOSE(CONTROL!$C$12, $D$4, 100%, $F$4)</f>
        <v>8.7997999999999994</v>
      </c>
      <c r="I455" s="8">
        <f>7.8493 * CHOOSE(CONTROL!$C$12, $D$4, 100%, $F$4)</f>
        <v>7.8493000000000004</v>
      </c>
      <c r="J455" s="4">
        <f>7.7478 * CHOOSE(CONTROL!$C$12, $D$4, 100%, $F$4)</f>
        <v>7.7477999999999998</v>
      </c>
      <c r="K455" s="4"/>
      <c r="L455" s="9">
        <v>24.747800000000002</v>
      </c>
      <c r="M455" s="9">
        <v>10.8962</v>
      </c>
      <c r="N455" s="9">
        <v>4.4660000000000002</v>
      </c>
      <c r="O455" s="9">
        <v>0.33829999999999999</v>
      </c>
      <c r="P455" s="9">
        <v>1.1687000000000001</v>
      </c>
      <c r="Q455" s="9">
        <v>17.9542</v>
      </c>
      <c r="R455" s="9"/>
      <c r="S455" s="11"/>
    </row>
    <row r="456" spans="1:19" ht="15.6">
      <c r="A456" s="13">
        <v>55974</v>
      </c>
      <c r="B456" s="8">
        <f>7.8264 * CHOOSE(CONTROL!$C$12, $D$4, 100%, $F$4)</f>
        <v>7.8263999999999996</v>
      </c>
      <c r="C456" s="8">
        <f>7.8367 * CHOOSE(CONTROL!$C$12, $D$4, 100%, $F$4)</f>
        <v>7.8367000000000004</v>
      </c>
      <c r="D456" s="8">
        <f>7.8189 * CHOOSE( CONTROL!$C$12, $D$4, 100%, $F$4)</f>
        <v>7.8189000000000002</v>
      </c>
      <c r="E456" s="12">
        <f>7.8243 * CHOOSE( CONTROL!$C$12, $D$4, 100%, $F$4)</f>
        <v>7.8243</v>
      </c>
      <c r="F456" s="4">
        <f>8.8246 * CHOOSE(CONTROL!$C$12, $D$4, 100%, $F$4)</f>
        <v>8.8246000000000002</v>
      </c>
      <c r="G456" s="8">
        <f>7.7256 * CHOOSE( CONTROL!$C$12, $D$4, 100%, $F$4)</f>
        <v>7.7256</v>
      </c>
      <c r="H456" s="4">
        <f>8.6163 * CHOOSE(CONTROL!$C$12, $D$4, 100%, $F$4)</f>
        <v>8.6163000000000007</v>
      </c>
      <c r="I456" s="8">
        <f>7.6448 * CHOOSE(CONTROL!$C$12, $D$4, 100%, $F$4)</f>
        <v>7.6448</v>
      </c>
      <c r="J456" s="4">
        <f>7.5829 * CHOOSE(CONTROL!$C$12, $D$4, 100%, $F$4)</f>
        <v>7.5829000000000004</v>
      </c>
      <c r="K456" s="4"/>
      <c r="L456" s="9">
        <v>27.3993</v>
      </c>
      <c r="M456" s="9">
        <v>12.063700000000001</v>
      </c>
      <c r="N456" s="9">
        <v>4.9444999999999997</v>
      </c>
      <c r="O456" s="9">
        <v>0.37459999999999999</v>
      </c>
      <c r="P456" s="9">
        <v>1.2939000000000001</v>
      </c>
      <c r="Q456" s="9">
        <v>19.877800000000001</v>
      </c>
      <c r="R456" s="9"/>
      <c r="S456" s="11"/>
    </row>
    <row r="457" spans="1:19" ht="15.6">
      <c r="A457" s="13">
        <v>56004</v>
      </c>
      <c r="B457" s="8">
        <f>7.9454 * CHOOSE(CONTROL!$C$12, $D$4, 100%, $F$4)</f>
        <v>7.9454000000000002</v>
      </c>
      <c r="C457" s="8">
        <f>7.9557 * CHOOSE(CONTROL!$C$12, $D$4, 100%, $F$4)</f>
        <v>7.9557000000000002</v>
      </c>
      <c r="D457" s="8">
        <f>7.9607 * CHOOSE( CONTROL!$C$12, $D$4, 100%, $F$4)</f>
        <v>7.9607000000000001</v>
      </c>
      <c r="E457" s="12">
        <f>7.9579 * CHOOSE( CONTROL!$C$12, $D$4, 100%, $F$4)</f>
        <v>7.9579000000000004</v>
      </c>
      <c r="F457" s="4">
        <f>8.9518 * CHOOSE(CONTROL!$C$12, $D$4, 100%, $F$4)</f>
        <v>8.9518000000000004</v>
      </c>
      <c r="G457" s="8">
        <f>7.8307 * CHOOSE( CONTROL!$C$12, $D$4, 100%, $F$4)</f>
        <v>7.8307000000000002</v>
      </c>
      <c r="H457" s="4">
        <f>8.7417 * CHOOSE(CONTROL!$C$12, $D$4, 100%, $F$4)</f>
        <v>8.7416999999999998</v>
      </c>
      <c r="I457" s="8">
        <f>7.7502 * CHOOSE(CONTROL!$C$12, $D$4, 100%, $F$4)</f>
        <v>7.7502000000000004</v>
      </c>
      <c r="J457" s="4">
        <f>7.6981 * CHOOSE(CONTROL!$C$12, $D$4, 100%, $F$4)</f>
        <v>7.6981000000000002</v>
      </c>
      <c r="K457" s="4"/>
      <c r="L457" s="9">
        <v>27.988800000000001</v>
      </c>
      <c r="M457" s="9">
        <v>11.6745</v>
      </c>
      <c r="N457" s="9">
        <v>4.7850000000000001</v>
      </c>
      <c r="O457" s="9">
        <v>0.36249999999999999</v>
      </c>
      <c r="P457" s="9">
        <v>1.1798</v>
      </c>
      <c r="Q457" s="9">
        <v>19.236599999999999</v>
      </c>
      <c r="R457" s="9"/>
      <c r="S457" s="11"/>
    </row>
    <row r="458" spans="1:19" ht="15.6">
      <c r="A458" s="13">
        <v>56035</v>
      </c>
      <c r="B458" s="8">
        <f>CHOOSE( CONTROL!$C$29, 8.1639, 8.157) * CHOOSE(CONTROL!$C$12, $D$4, 100%, $F$4)</f>
        <v>8.157</v>
      </c>
      <c r="C458" s="8">
        <f>CHOOSE( CONTROL!$C$29, 8.1742, 8.1674) * CHOOSE(CONTROL!$C$12, $D$4, 100%, $F$4)</f>
        <v>8.1674000000000007</v>
      </c>
      <c r="D458" s="8">
        <f>CHOOSE( CONTROL!$C$29, 8.1545, 8.1476) * CHOOSE( CONTROL!$C$12, $D$4, 100%, $F$4)</f>
        <v>8.1476000000000006</v>
      </c>
      <c r="E458" s="12">
        <f>CHOOSE( CONTROL!$C$29, 8.1601, 8.1532) * CHOOSE( CONTROL!$C$12, $D$4, 100%, $F$4)</f>
        <v>8.1532</v>
      </c>
      <c r="F458" s="4">
        <f>CHOOSE( CONTROL!$C$29, 9.1383, 9.1315) * CHOOSE(CONTROL!$C$12, $D$4, 100%, $F$4)</f>
        <v>9.1315000000000008</v>
      </c>
      <c r="G458" s="8">
        <f>CHOOSE( CONTROL!$C$29, 8.0279, 8.0212) * CHOOSE( CONTROL!$C$12, $D$4, 100%, $F$4)</f>
        <v>8.0212000000000003</v>
      </c>
      <c r="H458" s="4">
        <f>CHOOSE( CONTROL!$C$29, 8.9256, 8.9188) * CHOOSE(CONTROL!$C$12, $D$4, 100%, $F$4)</f>
        <v>8.9187999999999992</v>
      </c>
      <c r="I458" s="8">
        <f>CHOOSE( CONTROL!$C$29, 7.9405, 7.9339) * CHOOSE(CONTROL!$C$12, $D$4, 100%, $F$4)</f>
        <v>7.9339000000000004</v>
      </c>
      <c r="J458" s="4">
        <f>CHOOSE( CONTROL!$C$29, 7.9099, 7.9032) * CHOOSE(CONTROL!$C$12, $D$4, 100%, $F$4)</f>
        <v>7.9032</v>
      </c>
      <c r="K458" s="4"/>
      <c r="L458" s="9">
        <v>29.520499999999998</v>
      </c>
      <c r="M458" s="9">
        <v>12.063700000000001</v>
      </c>
      <c r="N458" s="9">
        <v>4.9444999999999997</v>
      </c>
      <c r="O458" s="9">
        <v>0.37459999999999999</v>
      </c>
      <c r="P458" s="9">
        <v>1.2192000000000001</v>
      </c>
      <c r="Q458" s="9">
        <v>19.877800000000001</v>
      </c>
      <c r="R458" s="9"/>
      <c r="S458" s="11"/>
    </row>
    <row r="459" spans="1:19" ht="15.6">
      <c r="A459" s="13">
        <v>56065</v>
      </c>
      <c r="B459" s="8">
        <f>CHOOSE( CONTROL!$C$29, 8.0328, 8.0259) * CHOOSE(CONTROL!$C$12, $D$4, 100%, $F$4)</f>
        <v>8.0259</v>
      </c>
      <c r="C459" s="8">
        <f>CHOOSE( CONTROL!$C$29, 8.0431, 8.0362) * CHOOSE(CONTROL!$C$12, $D$4, 100%, $F$4)</f>
        <v>8.0361999999999991</v>
      </c>
      <c r="D459" s="8">
        <f>CHOOSE( CONTROL!$C$29, 8.0178, 8.011) * CHOOSE( CONTROL!$C$12, $D$4, 100%, $F$4)</f>
        <v>8.0109999999999992</v>
      </c>
      <c r="E459" s="12">
        <f>CHOOSE( CONTROL!$C$29, 8.0254, 8.0186) * CHOOSE( CONTROL!$C$12, $D$4, 100%, $F$4)</f>
        <v>8.0185999999999993</v>
      </c>
      <c r="F459" s="4">
        <f>CHOOSE( CONTROL!$C$29, 8.9969, 8.99) * CHOOSE(CONTROL!$C$12, $D$4, 100%, $F$4)</f>
        <v>8.99</v>
      </c>
      <c r="G459" s="8">
        <f>CHOOSE( CONTROL!$C$29, 7.8974, 7.8906) * CHOOSE( CONTROL!$C$12, $D$4, 100%, $F$4)</f>
        <v>7.8906000000000001</v>
      </c>
      <c r="H459" s="4">
        <f>CHOOSE( CONTROL!$C$29, 8.7861, 8.7794) * CHOOSE(CONTROL!$C$12, $D$4, 100%, $F$4)</f>
        <v>8.7794000000000008</v>
      </c>
      <c r="I459" s="8">
        <f>CHOOSE( CONTROL!$C$29, 7.8155, 7.8089) * CHOOSE(CONTROL!$C$12, $D$4, 100%, $F$4)</f>
        <v>7.8089000000000004</v>
      </c>
      <c r="J459" s="4">
        <f>CHOOSE( CONTROL!$C$29, 7.7828, 7.7762) * CHOOSE(CONTROL!$C$12, $D$4, 100%, $F$4)</f>
        <v>7.7762000000000002</v>
      </c>
      <c r="K459" s="4"/>
      <c r="L459" s="9">
        <v>28.568200000000001</v>
      </c>
      <c r="M459" s="9">
        <v>11.6745</v>
      </c>
      <c r="N459" s="9">
        <v>4.7850000000000001</v>
      </c>
      <c r="O459" s="9">
        <v>0.36249999999999999</v>
      </c>
      <c r="P459" s="9">
        <v>1.1798</v>
      </c>
      <c r="Q459" s="9">
        <v>19.236599999999999</v>
      </c>
      <c r="R459" s="9"/>
      <c r="S459" s="11"/>
    </row>
    <row r="460" spans="1:19" ht="15.6">
      <c r="A460" s="13">
        <v>56096</v>
      </c>
      <c r="B460" s="8">
        <f>CHOOSE( CONTROL!$C$29, 8.3781, 8.3712) * CHOOSE(CONTROL!$C$12, $D$4, 100%, $F$4)</f>
        <v>8.3712</v>
      </c>
      <c r="C460" s="8">
        <f>CHOOSE( CONTROL!$C$29, 8.3884, 8.3816) * CHOOSE(CONTROL!$C$12, $D$4, 100%, $F$4)</f>
        <v>8.3816000000000006</v>
      </c>
      <c r="D460" s="8">
        <f>CHOOSE( CONTROL!$C$29, 8.3965, 8.3897) * CHOOSE( CONTROL!$C$12, $D$4, 100%, $F$4)</f>
        <v>8.3896999999999995</v>
      </c>
      <c r="E460" s="12">
        <f>CHOOSE( CONTROL!$C$29, 8.392, 8.3852) * CHOOSE( CONTROL!$C$12, $D$4, 100%, $F$4)</f>
        <v>8.3851999999999993</v>
      </c>
      <c r="F460" s="4">
        <f>CHOOSE( CONTROL!$C$29, 9.3871, 9.3803) * CHOOSE(CONTROL!$C$12, $D$4, 100%, $F$4)</f>
        <v>9.3803000000000001</v>
      </c>
      <c r="G460" s="8">
        <f>CHOOSE( CONTROL!$C$29, 8.2638, 8.2571) * CHOOSE( CONTROL!$C$12, $D$4, 100%, $F$4)</f>
        <v>8.2570999999999994</v>
      </c>
      <c r="H460" s="4">
        <f>CHOOSE( CONTROL!$C$29, 9.1708, 9.164) * CHOOSE(CONTROL!$C$12, $D$4, 100%, $F$4)</f>
        <v>9.1639999999999997</v>
      </c>
      <c r="I460" s="8">
        <f>CHOOSE( CONTROL!$C$29, 8.2056, 8.199) * CHOOSE(CONTROL!$C$12, $D$4, 100%, $F$4)</f>
        <v>8.1989999999999998</v>
      </c>
      <c r="J460" s="4">
        <f>CHOOSE( CONTROL!$C$29, 8.1174, 8.1108) * CHOOSE(CONTROL!$C$12, $D$4, 100%, $F$4)</f>
        <v>8.1107999999999993</v>
      </c>
      <c r="K460" s="4"/>
      <c r="L460" s="9">
        <v>29.520499999999998</v>
      </c>
      <c r="M460" s="9">
        <v>12.063700000000001</v>
      </c>
      <c r="N460" s="9">
        <v>4.9444999999999997</v>
      </c>
      <c r="O460" s="9">
        <v>0.37459999999999999</v>
      </c>
      <c r="P460" s="9">
        <v>1.2192000000000001</v>
      </c>
      <c r="Q460" s="9">
        <v>19.877800000000001</v>
      </c>
      <c r="R460" s="9"/>
      <c r="S460" s="11"/>
    </row>
    <row r="461" spans="1:19" ht="15.6">
      <c r="A461" s="13">
        <v>56127</v>
      </c>
      <c r="B461" s="8">
        <f>CHOOSE( CONTROL!$C$29, 7.732, 7.7251) * CHOOSE(CONTROL!$C$12, $D$4, 100%, $F$4)</f>
        <v>7.7251000000000003</v>
      </c>
      <c r="C461" s="8">
        <f>CHOOSE( CONTROL!$C$29, 7.7423, 7.7354) * CHOOSE(CONTROL!$C$12, $D$4, 100%, $F$4)</f>
        <v>7.7354000000000003</v>
      </c>
      <c r="D461" s="8">
        <f>CHOOSE( CONTROL!$C$29, 7.7438, 7.7369) * CHOOSE( CONTROL!$C$12, $D$4, 100%, $F$4)</f>
        <v>7.7369000000000003</v>
      </c>
      <c r="E461" s="12">
        <f>CHOOSE( CONTROL!$C$29, 7.7417, 7.7348) * CHOOSE( CONTROL!$C$12, $D$4, 100%, $F$4)</f>
        <v>7.7347999999999999</v>
      </c>
      <c r="F461" s="4">
        <f>CHOOSE( CONTROL!$C$29, 8.7384, 8.7316) * CHOOSE(CONTROL!$C$12, $D$4, 100%, $F$4)</f>
        <v>8.7316000000000003</v>
      </c>
      <c r="G461" s="8">
        <f>CHOOSE( CONTROL!$C$29, 7.617, 7.6102) * CHOOSE( CONTROL!$C$12, $D$4, 100%, $F$4)</f>
        <v>7.6101999999999999</v>
      </c>
      <c r="H461" s="4">
        <f>CHOOSE( CONTROL!$C$29, 8.5313, 8.5246) * CHOOSE(CONTROL!$C$12, $D$4, 100%, $F$4)</f>
        <v>8.5245999999999995</v>
      </c>
      <c r="I461" s="8">
        <f>CHOOSE( CONTROL!$C$29, 7.5603, 7.5537) * CHOOSE(CONTROL!$C$12, $D$4, 100%, $F$4)</f>
        <v>7.5537000000000001</v>
      </c>
      <c r="J461" s="4">
        <f>CHOOSE( CONTROL!$C$29, 7.4913, 7.4847) * CHOOSE(CONTROL!$C$12, $D$4, 100%, $F$4)</f>
        <v>7.4847000000000001</v>
      </c>
      <c r="K461" s="4"/>
      <c r="L461" s="9">
        <v>29.520499999999998</v>
      </c>
      <c r="M461" s="9">
        <v>12.063700000000001</v>
      </c>
      <c r="N461" s="9">
        <v>4.9444999999999997</v>
      </c>
      <c r="O461" s="9">
        <v>0.37459999999999999</v>
      </c>
      <c r="P461" s="9">
        <v>1.2192000000000001</v>
      </c>
      <c r="Q461" s="9">
        <v>19.877800000000001</v>
      </c>
      <c r="R461" s="9"/>
      <c r="S461" s="11"/>
    </row>
    <row r="462" spans="1:19" ht="15.6">
      <c r="A462" s="13">
        <v>56157</v>
      </c>
      <c r="B462" s="8">
        <f>CHOOSE( CONTROL!$C$29, 7.5702, 7.5633) * CHOOSE(CONTROL!$C$12, $D$4, 100%, $F$4)</f>
        <v>7.5632999999999999</v>
      </c>
      <c r="C462" s="8">
        <f>CHOOSE( CONTROL!$C$29, 7.5805, 7.5736) * CHOOSE(CONTROL!$C$12, $D$4, 100%, $F$4)</f>
        <v>7.5735999999999999</v>
      </c>
      <c r="D462" s="8">
        <f>CHOOSE( CONTROL!$C$29, 7.5852, 7.5783) * CHOOSE( CONTROL!$C$12, $D$4, 100%, $F$4)</f>
        <v>7.5782999999999996</v>
      </c>
      <c r="E462" s="12">
        <f>CHOOSE( CONTROL!$C$29, 7.5819, 7.575) * CHOOSE( CONTROL!$C$12, $D$4, 100%, $F$4)</f>
        <v>7.5750000000000002</v>
      </c>
      <c r="F462" s="4">
        <f>CHOOSE( CONTROL!$C$29, 8.5818, 8.5749) * CHOOSE(CONTROL!$C$12, $D$4, 100%, $F$4)</f>
        <v>8.5748999999999995</v>
      </c>
      <c r="G462" s="8">
        <f>CHOOSE( CONTROL!$C$29, 7.4595, 7.4528) * CHOOSE( CONTROL!$C$12, $D$4, 100%, $F$4)</f>
        <v>7.4527999999999999</v>
      </c>
      <c r="H462" s="4">
        <f>CHOOSE( CONTROL!$C$29, 8.3769, 8.3702) * CHOOSE(CONTROL!$C$12, $D$4, 100%, $F$4)</f>
        <v>8.3702000000000005</v>
      </c>
      <c r="I462" s="8">
        <f>CHOOSE( CONTROL!$C$29, 7.4112, 7.4046) * CHOOSE(CONTROL!$C$12, $D$4, 100%, $F$4)</f>
        <v>7.4046000000000003</v>
      </c>
      <c r="J462" s="4">
        <f>CHOOSE( CONTROL!$C$29, 7.3345, 7.3279) * CHOOSE(CONTROL!$C$12, $D$4, 100%, $F$4)</f>
        <v>7.3278999999999996</v>
      </c>
      <c r="K462" s="4"/>
      <c r="L462" s="9">
        <v>28.568200000000001</v>
      </c>
      <c r="M462" s="9">
        <v>11.6745</v>
      </c>
      <c r="N462" s="9">
        <v>4.7850000000000001</v>
      </c>
      <c r="O462" s="9">
        <v>0.36249999999999999</v>
      </c>
      <c r="P462" s="9">
        <v>1.1798</v>
      </c>
      <c r="Q462" s="9">
        <v>19.236599999999999</v>
      </c>
      <c r="R462" s="9"/>
      <c r="S462" s="11"/>
    </row>
    <row r="463" spans="1:19" ht="15.6">
      <c r="A463" s="13">
        <v>56188</v>
      </c>
      <c r="B463" s="8">
        <f>7.8993 * CHOOSE(CONTROL!$C$12, $D$4, 100%, $F$4)</f>
        <v>7.8993000000000002</v>
      </c>
      <c r="C463" s="8">
        <f>7.9096 * CHOOSE(CONTROL!$C$12, $D$4, 100%, $F$4)</f>
        <v>7.9096000000000002</v>
      </c>
      <c r="D463" s="8">
        <f>7.9046 * CHOOSE( CONTROL!$C$12, $D$4, 100%, $F$4)</f>
        <v>7.9046000000000003</v>
      </c>
      <c r="E463" s="12">
        <f>7.9052 * CHOOSE( CONTROL!$C$12, $D$4, 100%, $F$4)</f>
        <v>7.9051999999999998</v>
      </c>
      <c r="F463" s="4">
        <f>8.8902 * CHOOSE(CONTROL!$C$12, $D$4, 100%, $F$4)</f>
        <v>8.8902000000000001</v>
      </c>
      <c r="G463" s="8">
        <f>7.7807 * CHOOSE( CONTROL!$C$12, $D$4, 100%, $F$4)</f>
        <v>7.7807000000000004</v>
      </c>
      <c r="H463" s="4">
        <f>8.681 * CHOOSE(CONTROL!$C$12, $D$4, 100%, $F$4)</f>
        <v>8.6809999999999992</v>
      </c>
      <c r="I463" s="8">
        <f>7.7342 * CHOOSE(CONTROL!$C$12, $D$4, 100%, $F$4)</f>
        <v>7.7342000000000004</v>
      </c>
      <c r="J463" s="4">
        <f>7.6534 * CHOOSE(CONTROL!$C$12, $D$4, 100%, $F$4)</f>
        <v>7.6534000000000004</v>
      </c>
      <c r="K463" s="4"/>
      <c r="L463" s="9">
        <v>28.921800000000001</v>
      </c>
      <c r="M463" s="9">
        <v>12.063700000000001</v>
      </c>
      <c r="N463" s="9">
        <v>4.9444999999999997</v>
      </c>
      <c r="O463" s="9">
        <v>0.37459999999999999</v>
      </c>
      <c r="P463" s="9">
        <v>1.2192000000000001</v>
      </c>
      <c r="Q463" s="9">
        <v>19.877800000000001</v>
      </c>
      <c r="R463" s="9"/>
      <c r="S463" s="11"/>
    </row>
    <row r="464" spans="1:19" ht="15.6">
      <c r="A464" s="13">
        <v>56218</v>
      </c>
      <c r="B464" s="8">
        <f>8.5193 * CHOOSE(CONTROL!$C$12, $D$4, 100%, $F$4)</f>
        <v>8.5192999999999994</v>
      </c>
      <c r="C464" s="8">
        <f>8.5297 * CHOOSE(CONTROL!$C$12, $D$4, 100%, $F$4)</f>
        <v>8.5297000000000001</v>
      </c>
      <c r="D464" s="8">
        <f>8.489 * CHOOSE( CONTROL!$C$12, $D$4, 100%, $F$4)</f>
        <v>8.4890000000000008</v>
      </c>
      <c r="E464" s="12">
        <f>8.5028 * CHOOSE( CONTROL!$C$12, $D$4, 100%, $F$4)</f>
        <v>8.5028000000000006</v>
      </c>
      <c r="F464" s="4">
        <f>9.4964 * CHOOSE(CONTROL!$C$12, $D$4, 100%, $F$4)</f>
        <v>9.4963999999999995</v>
      </c>
      <c r="G464" s="8">
        <f>8.3859 * CHOOSE( CONTROL!$C$12, $D$4, 100%, $F$4)</f>
        <v>8.3858999999999995</v>
      </c>
      <c r="H464" s="4">
        <f>9.2785 * CHOOSE(CONTROL!$C$12, $D$4, 100%, $F$4)</f>
        <v>9.2784999999999993</v>
      </c>
      <c r="I464" s="8">
        <f>8.3196 * CHOOSE(CONTROL!$C$12, $D$4, 100%, $F$4)</f>
        <v>8.3195999999999994</v>
      </c>
      <c r="J464" s="4">
        <f>8.2543 * CHOOSE(CONTROL!$C$12, $D$4, 100%, $F$4)</f>
        <v>8.2543000000000006</v>
      </c>
      <c r="K464" s="4"/>
      <c r="L464" s="9">
        <v>26.515499999999999</v>
      </c>
      <c r="M464" s="9">
        <v>11.6745</v>
      </c>
      <c r="N464" s="9">
        <v>4.7850000000000001</v>
      </c>
      <c r="O464" s="9">
        <v>0.36249999999999999</v>
      </c>
      <c r="P464" s="9">
        <v>1.2522</v>
      </c>
      <c r="Q464" s="9">
        <v>19.236599999999999</v>
      </c>
      <c r="R464" s="9"/>
      <c r="S464" s="11"/>
    </row>
    <row r="465" spans="1:19" ht="15.6">
      <c r="A465" s="13">
        <v>56249</v>
      </c>
      <c r="B465" s="8">
        <f>8.5039 * CHOOSE(CONTROL!$C$12, $D$4, 100%, $F$4)</f>
        <v>8.5038999999999998</v>
      </c>
      <c r="C465" s="8">
        <f>8.5142 * CHOOSE(CONTROL!$C$12, $D$4, 100%, $F$4)</f>
        <v>8.5142000000000007</v>
      </c>
      <c r="D465" s="8">
        <f>8.4754 * CHOOSE( CONTROL!$C$12, $D$4, 100%, $F$4)</f>
        <v>8.4754000000000005</v>
      </c>
      <c r="E465" s="12">
        <f>8.4885 * CHOOSE( CONTROL!$C$12, $D$4, 100%, $F$4)</f>
        <v>8.4885000000000002</v>
      </c>
      <c r="F465" s="4">
        <f>9.4742 * CHOOSE(CONTROL!$C$12, $D$4, 100%, $F$4)</f>
        <v>9.4741999999999997</v>
      </c>
      <c r="G465" s="8">
        <f>8.373 * CHOOSE( CONTROL!$C$12, $D$4, 100%, $F$4)</f>
        <v>8.3729999999999993</v>
      </c>
      <c r="H465" s="4">
        <f>9.2566 * CHOOSE(CONTROL!$C$12, $D$4, 100%, $F$4)</f>
        <v>9.2566000000000006</v>
      </c>
      <c r="I465" s="8">
        <f>8.3154 * CHOOSE(CONTROL!$C$12, $D$4, 100%, $F$4)</f>
        <v>8.3154000000000003</v>
      </c>
      <c r="J465" s="4">
        <f>8.2393 * CHOOSE(CONTROL!$C$12, $D$4, 100%, $F$4)</f>
        <v>8.2393000000000001</v>
      </c>
      <c r="K465" s="4"/>
      <c r="L465" s="9">
        <v>27.3993</v>
      </c>
      <c r="M465" s="9">
        <v>12.063700000000001</v>
      </c>
      <c r="N465" s="9">
        <v>4.9444999999999997</v>
      </c>
      <c r="O465" s="9">
        <v>0.37459999999999999</v>
      </c>
      <c r="P465" s="9">
        <v>1.2939000000000001</v>
      </c>
      <c r="Q465" s="9">
        <v>19.877800000000001</v>
      </c>
      <c r="R465" s="9"/>
      <c r="S465" s="11"/>
    </row>
    <row r="466" spans="1:19" ht="15.6">
      <c r="A466" s="13">
        <v>56280</v>
      </c>
      <c r="B466" s="8">
        <f>8.7023 * CHOOSE(CONTROL!$C$12, $D$4, 100%, $F$4)</f>
        <v>8.7022999999999993</v>
      </c>
      <c r="C466" s="8">
        <f>8.7126 * CHOOSE(CONTROL!$C$12, $D$4, 100%, $F$4)</f>
        <v>8.7126000000000001</v>
      </c>
      <c r="D466" s="8">
        <f>8.7124 * CHOOSE( CONTROL!$C$12, $D$4, 100%, $F$4)</f>
        <v>8.7124000000000006</v>
      </c>
      <c r="E466" s="12">
        <f>8.7114 * CHOOSE( CONTROL!$C$12, $D$4, 100%, $F$4)</f>
        <v>8.7113999999999994</v>
      </c>
      <c r="F466" s="4">
        <f>9.7242 * CHOOSE(CONTROL!$C$12, $D$4, 100%, $F$4)</f>
        <v>9.7241999999999997</v>
      </c>
      <c r="G466" s="8">
        <f>8.6096 * CHOOSE( CONTROL!$C$12, $D$4, 100%, $F$4)</f>
        <v>8.6096000000000004</v>
      </c>
      <c r="H466" s="4">
        <f>9.5031 * CHOOSE(CONTROL!$C$12, $D$4, 100%, $F$4)</f>
        <v>9.5030999999999999</v>
      </c>
      <c r="I466" s="8">
        <f>8.5444 * CHOOSE(CONTROL!$C$12, $D$4, 100%, $F$4)</f>
        <v>8.5443999999999996</v>
      </c>
      <c r="J466" s="4">
        <f>8.4316 * CHOOSE(CONTROL!$C$12, $D$4, 100%, $F$4)</f>
        <v>8.4315999999999995</v>
      </c>
      <c r="K466" s="4"/>
      <c r="L466" s="9">
        <v>27.3993</v>
      </c>
      <c r="M466" s="9">
        <v>12.063700000000001</v>
      </c>
      <c r="N466" s="9">
        <v>4.9444999999999997</v>
      </c>
      <c r="O466" s="9">
        <v>0.37459999999999999</v>
      </c>
      <c r="P466" s="9">
        <v>1.2939000000000001</v>
      </c>
      <c r="Q466" s="9">
        <v>19.814599999999999</v>
      </c>
      <c r="R466" s="9"/>
      <c r="S466" s="11"/>
    </row>
    <row r="467" spans="1:19" ht="15.6">
      <c r="A467" s="13">
        <v>56308</v>
      </c>
      <c r="B467" s="8">
        <f>8.1398 * CHOOSE(CONTROL!$C$12, $D$4, 100%, $F$4)</f>
        <v>8.1397999999999993</v>
      </c>
      <c r="C467" s="8">
        <f>8.1501 * CHOOSE(CONTROL!$C$12, $D$4, 100%, $F$4)</f>
        <v>8.1501000000000001</v>
      </c>
      <c r="D467" s="8">
        <f>8.1522 * CHOOSE( CONTROL!$C$12, $D$4, 100%, $F$4)</f>
        <v>8.1522000000000006</v>
      </c>
      <c r="E467" s="12">
        <f>8.1503 * CHOOSE( CONTROL!$C$12, $D$4, 100%, $F$4)</f>
        <v>8.1502999999999997</v>
      </c>
      <c r="F467" s="4">
        <f>9.1539 * CHOOSE(CONTROL!$C$12, $D$4, 100%, $F$4)</f>
        <v>9.1539000000000001</v>
      </c>
      <c r="G467" s="8">
        <f>8.055 * CHOOSE( CONTROL!$C$12, $D$4, 100%, $F$4)</f>
        <v>8.0549999999999997</v>
      </c>
      <c r="H467" s="4">
        <f>8.9409 * CHOOSE(CONTROL!$C$12, $D$4, 100%, $F$4)</f>
        <v>8.9408999999999992</v>
      </c>
      <c r="I467" s="8">
        <f>7.9881 * CHOOSE(CONTROL!$C$12, $D$4, 100%, $F$4)</f>
        <v>7.9881000000000002</v>
      </c>
      <c r="J467" s="4">
        <f>7.8865 * CHOOSE(CONTROL!$C$12, $D$4, 100%, $F$4)</f>
        <v>7.8864999999999998</v>
      </c>
      <c r="K467" s="4"/>
      <c r="L467" s="9">
        <v>24.747800000000002</v>
      </c>
      <c r="M467" s="9">
        <v>10.8962</v>
      </c>
      <c r="N467" s="9">
        <v>4.4660000000000002</v>
      </c>
      <c r="O467" s="9">
        <v>0.33829999999999999</v>
      </c>
      <c r="P467" s="9">
        <v>1.1687000000000001</v>
      </c>
      <c r="Q467" s="9">
        <v>17.896999999999998</v>
      </c>
      <c r="R467" s="9"/>
      <c r="S467" s="11"/>
    </row>
    <row r="468" spans="1:19" ht="15.6">
      <c r="A468" s="13">
        <v>56339</v>
      </c>
      <c r="B468" s="8">
        <f>7.9665 * CHOOSE(CONTROL!$C$12, $D$4, 100%, $F$4)</f>
        <v>7.9664999999999999</v>
      </c>
      <c r="C468" s="8">
        <f>7.9768 * CHOOSE(CONTROL!$C$12, $D$4, 100%, $F$4)</f>
        <v>7.9767999999999999</v>
      </c>
      <c r="D468" s="8">
        <f>7.959 * CHOOSE( CONTROL!$C$12, $D$4, 100%, $F$4)</f>
        <v>7.9589999999999996</v>
      </c>
      <c r="E468" s="12">
        <f>7.9644 * CHOOSE( CONTROL!$C$12, $D$4, 100%, $F$4)</f>
        <v>7.9644000000000004</v>
      </c>
      <c r="F468" s="4">
        <f>8.9647 * CHOOSE(CONTROL!$C$12, $D$4, 100%, $F$4)</f>
        <v>8.9647000000000006</v>
      </c>
      <c r="G468" s="8">
        <f>7.8637 * CHOOSE( CONTROL!$C$12, $D$4, 100%, $F$4)</f>
        <v>7.8636999999999997</v>
      </c>
      <c r="H468" s="4">
        <f>8.7544 * CHOOSE(CONTROL!$C$12, $D$4, 100%, $F$4)</f>
        <v>8.7544000000000004</v>
      </c>
      <c r="I468" s="8">
        <f>7.7806 * CHOOSE(CONTROL!$C$12, $D$4, 100%, $F$4)</f>
        <v>7.7805999999999997</v>
      </c>
      <c r="J468" s="4">
        <f>7.7186 * CHOOSE(CONTROL!$C$12, $D$4, 100%, $F$4)</f>
        <v>7.7186000000000003</v>
      </c>
      <c r="K468" s="4"/>
      <c r="L468" s="9">
        <v>27.3993</v>
      </c>
      <c r="M468" s="9">
        <v>12.063700000000001</v>
      </c>
      <c r="N468" s="9">
        <v>4.9444999999999997</v>
      </c>
      <c r="O468" s="9">
        <v>0.37459999999999999</v>
      </c>
      <c r="P468" s="9">
        <v>1.2939000000000001</v>
      </c>
      <c r="Q468" s="9">
        <v>19.814599999999999</v>
      </c>
      <c r="R468" s="9"/>
      <c r="S468" s="11"/>
    </row>
    <row r="469" spans="1:19" ht="15.6">
      <c r="A469" s="13">
        <v>56369</v>
      </c>
      <c r="B469" s="8">
        <f>8.0876 * CHOOSE(CONTROL!$C$12, $D$4, 100%, $F$4)</f>
        <v>8.0876000000000001</v>
      </c>
      <c r="C469" s="8">
        <f>8.0979 * CHOOSE(CONTROL!$C$12, $D$4, 100%, $F$4)</f>
        <v>8.0978999999999992</v>
      </c>
      <c r="D469" s="8">
        <f>8.1029 * CHOOSE( CONTROL!$C$12, $D$4, 100%, $F$4)</f>
        <v>8.1029</v>
      </c>
      <c r="E469" s="12">
        <f>8.1001 * CHOOSE( CONTROL!$C$12, $D$4, 100%, $F$4)</f>
        <v>8.1000999999999994</v>
      </c>
      <c r="F469" s="4">
        <f>9.094 * CHOOSE(CONTROL!$C$12, $D$4, 100%, $F$4)</f>
        <v>9.0939999999999994</v>
      </c>
      <c r="G469" s="8">
        <f>7.9709 * CHOOSE( CONTROL!$C$12, $D$4, 100%, $F$4)</f>
        <v>7.9709000000000003</v>
      </c>
      <c r="H469" s="4">
        <f>8.8819 * CHOOSE(CONTROL!$C$12, $D$4, 100%, $F$4)</f>
        <v>8.8818999999999999</v>
      </c>
      <c r="I469" s="8">
        <f>7.8881 * CHOOSE(CONTROL!$C$12, $D$4, 100%, $F$4)</f>
        <v>7.8880999999999997</v>
      </c>
      <c r="J469" s="4">
        <f>7.8359 * CHOOSE(CONTROL!$C$12, $D$4, 100%, $F$4)</f>
        <v>7.8358999999999996</v>
      </c>
      <c r="K469" s="4"/>
      <c r="L469" s="9">
        <v>27.988800000000001</v>
      </c>
      <c r="M469" s="9">
        <v>11.6745</v>
      </c>
      <c r="N469" s="9">
        <v>4.7850000000000001</v>
      </c>
      <c r="O469" s="9">
        <v>0.36249999999999999</v>
      </c>
      <c r="P469" s="9">
        <v>1.1798</v>
      </c>
      <c r="Q469" s="9">
        <v>19.1754</v>
      </c>
      <c r="R469" s="9"/>
      <c r="S469" s="11"/>
    </row>
    <row r="470" spans="1:19" ht="15.6">
      <c r="A470" s="13">
        <v>56400</v>
      </c>
      <c r="B470" s="8">
        <f>CHOOSE( CONTROL!$C$29, 8.3099, 8.303) * CHOOSE(CONTROL!$C$12, $D$4, 100%, $F$4)</f>
        <v>8.3030000000000008</v>
      </c>
      <c r="C470" s="8">
        <f>CHOOSE( CONTROL!$C$29, 8.3202, 8.3134) * CHOOSE(CONTROL!$C$12, $D$4, 100%, $F$4)</f>
        <v>8.3133999999999997</v>
      </c>
      <c r="D470" s="8">
        <f>CHOOSE( CONTROL!$C$29, 8.3005, 8.2936) * CHOOSE( CONTROL!$C$12, $D$4, 100%, $F$4)</f>
        <v>8.2935999999999996</v>
      </c>
      <c r="E470" s="12">
        <f>CHOOSE( CONTROL!$C$29, 8.3061, 8.2992) * CHOOSE( CONTROL!$C$12, $D$4, 100%, $F$4)</f>
        <v>8.2992000000000008</v>
      </c>
      <c r="F470" s="4">
        <f>CHOOSE( CONTROL!$C$29, 9.2843, 9.2775) * CHOOSE(CONTROL!$C$12, $D$4, 100%, $F$4)</f>
        <v>9.2774999999999999</v>
      </c>
      <c r="G470" s="8">
        <f>CHOOSE( CONTROL!$C$29, 8.1718, 8.1651) * CHOOSE( CONTROL!$C$12, $D$4, 100%, $F$4)</f>
        <v>8.1651000000000007</v>
      </c>
      <c r="H470" s="4">
        <f>CHOOSE( CONTROL!$C$29, 9.0695, 9.0627) * CHOOSE(CONTROL!$C$12, $D$4, 100%, $F$4)</f>
        <v>9.0626999999999995</v>
      </c>
      <c r="I470" s="8">
        <f>CHOOSE( CONTROL!$C$29, 8.0821, 8.0754) * CHOOSE(CONTROL!$C$12, $D$4, 100%, $F$4)</f>
        <v>8.0754000000000001</v>
      </c>
      <c r="J470" s="4">
        <f>CHOOSE( CONTROL!$C$29, 8.0513, 8.0447) * CHOOSE(CONTROL!$C$12, $D$4, 100%, $F$4)</f>
        <v>8.0447000000000006</v>
      </c>
      <c r="K470" s="4"/>
      <c r="L470" s="9">
        <v>29.520499999999998</v>
      </c>
      <c r="M470" s="9">
        <v>12.063700000000001</v>
      </c>
      <c r="N470" s="9">
        <v>4.9444999999999997</v>
      </c>
      <c r="O470" s="9">
        <v>0.37459999999999999</v>
      </c>
      <c r="P470" s="9">
        <v>1.2192000000000001</v>
      </c>
      <c r="Q470" s="9">
        <v>19.814599999999999</v>
      </c>
      <c r="R470" s="9"/>
      <c r="S470" s="11"/>
    </row>
    <row r="471" spans="1:19" ht="15.6">
      <c r="A471" s="13">
        <v>56430</v>
      </c>
      <c r="B471" s="8">
        <f>CHOOSE( CONTROL!$C$29, 8.1764, 8.1696) * CHOOSE(CONTROL!$C$12, $D$4, 100%, $F$4)</f>
        <v>8.1696000000000009</v>
      </c>
      <c r="C471" s="8">
        <f>CHOOSE( CONTROL!$C$29, 8.1867, 8.1799) * CHOOSE(CONTROL!$C$12, $D$4, 100%, $F$4)</f>
        <v>8.1798999999999999</v>
      </c>
      <c r="D471" s="8">
        <f>CHOOSE( CONTROL!$C$29, 8.1614, 8.1546) * CHOOSE( CONTROL!$C$12, $D$4, 100%, $F$4)</f>
        <v>8.1546000000000003</v>
      </c>
      <c r="E471" s="12">
        <f>CHOOSE( CONTROL!$C$29, 8.169, 8.1622) * CHOOSE( CONTROL!$C$12, $D$4, 100%, $F$4)</f>
        <v>8.1622000000000003</v>
      </c>
      <c r="F471" s="4">
        <f>CHOOSE( CONTROL!$C$29, 9.1405, 9.1337) * CHOOSE(CONTROL!$C$12, $D$4, 100%, $F$4)</f>
        <v>9.1336999999999993</v>
      </c>
      <c r="G471" s="8">
        <f>CHOOSE( CONTROL!$C$29, 8.039, 8.0322) * CHOOSE( CONTROL!$C$12, $D$4, 100%, $F$4)</f>
        <v>8.0321999999999996</v>
      </c>
      <c r="H471" s="4">
        <f>CHOOSE( CONTROL!$C$29, 8.9277, 8.921) * CHOOSE(CONTROL!$C$12, $D$4, 100%, $F$4)</f>
        <v>8.9209999999999994</v>
      </c>
      <c r="I471" s="8">
        <f>CHOOSE( CONTROL!$C$29, 7.9548, 7.9482) * CHOOSE(CONTROL!$C$12, $D$4, 100%, $F$4)</f>
        <v>7.9481999999999999</v>
      </c>
      <c r="J471" s="4">
        <f>CHOOSE( CONTROL!$C$29, 7.922, 7.9154) * CHOOSE(CONTROL!$C$12, $D$4, 100%, $F$4)</f>
        <v>7.9154</v>
      </c>
      <c r="K471" s="4"/>
      <c r="L471" s="9">
        <v>28.568200000000001</v>
      </c>
      <c r="M471" s="9">
        <v>11.6745</v>
      </c>
      <c r="N471" s="9">
        <v>4.7850000000000001</v>
      </c>
      <c r="O471" s="9">
        <v>0.36249999999999999</v>
      </c>
      <c r="P471" s="9">
        <v>1.1798</v>
      </c>
      <c r="Q471" s="9">
        <v>19.1754</v>
      </c>
      <c r="R471" s="9"/>
      <c r="S471" s="11"/>
    </row>
    <row r="472" spans="1:19" ht="15.6">
      <c r="A472" s="13">
        <v>56461</v>
      </c>
      <c r="B472" s="8">
        <f>CHOOSE( CONTROL!$C$29, 8.5279, 8.5211) * CHOOSE(CONTROL!$C$12, $D$4, 100%, $F$4)</f>
        <v>8.5211000000000006</v>
      </c>
      <c r="C472" s="8">
        <f>CHOOSE( CONTROL!$C$29, 8.5382, 8.5314) * CHOOSE(CONTROL!$C$12, $D$4, 100%, $F$4)</f>
        <v>8.5313999999999997</v>
      </c>
      <c r="D472" s="8">
        <f>CHOOSE( CONTROL!$C$29, 8.5464, 8.5395) * CHOOSE( CONTROL!$C$12, $D$4, 100%, $F$4)</f>
        <v>8.5395000000000003</v>
      </c>
      <c r="E472" s="12">
        <f>CHOOSE( CONTROL!$C$29, 8.5419, 8.535) * CHOOSE( CONTROL!$C$12, $D$4, 100%, $F$4)</f>
        <v>8.5350000000000001</v>
      </c>
      <c r="F472" s="4">
        <f>CHOOSE( CONTROL!$C$29, 9.5369, 9.5301) * CHOOSE(CONTROL!$C$12, $D$4, 100%, $F$4)</f>
        <v>9.5300999999999991</v>
      </c>
      <c r="G472" s="8">
        <f>CHOOSE( CONTROL!$C$29, 8.4115, 8.4048) * CHOOSE( CONTROL!$C$12, $D$4, 100%, $F$4)</f>
        <v>8.4047999999999998</v>
      </c>
      <c r="H472" s="4">
        <f>CHOOSE( CONTROL!$C$29, 9.3185, 9.3117) * CHOOSE(CONTROL!$C$12, $D$4, 100%, $F$4)</f>
        <v>9.3117000000000001</v>
      </c>
      <c r="I472" s="8">
        <f>CHOOSE( CONTROL!$C$29, 8.3509, 8.3442) * CHOOSE(CONTROL!$C$12, $D$4, 100%, $F$4)</f>
        <v>8.3442000000000007</v>
      </c>
      <c r="J472" s="4">
        <f>CHOOSE( CONTROL!$C$29, 8.2626, 8.256) * CHOOSE(CONTROL!$C$12, $D$4, 100%, $F$4)</f>
        <v>8.2560000000000002</v>
      </c>
      <c r="K472" s="4"/>
      <c r="L472" s="9">
        <v>29.520499999999998</v>
      </c>
      <c r="M472" s="9">
        <v>12.063700000000001</v>
      </c>
      <c r="N472" s="9">
        <v>4.9444999999999997</v>
      </c>
      <c r="O472" s="9">
        <v>0.37459999999999999</v>
      </c>
      <c r="P472" s="9">
        <v>1.2192000000000001</v>
      </c>
      <c r="Q472" s="9">
        <v>19.814599999999999</v>
      </c>
      <c r="R472" s="9"/>
      <c r="S472" s="11"/>
    </row>
    <row r="473" spans="1:19" ht="15.6">
      <c r="A473" s="13">
        <v>56492</v>
      </c>
      <c r="B473" s="8">
        <f>CHOOSE( CONTROL!$C$29, 7.8702, 7.8634) * CHOOSE(CONTROL!$C$12, $D$4, 100%, $F$4)</f>
        <v>7.8634000000000004</v>
      </c>
      <c r="C473" s="8">
        <f>CHOOSE( CONTROL!$C$29, 7.8805, 7.8737) * CHOOSE(CONTROL!$C$12, $D$4, 100%, $F$4)</f>
        <v>7.8737000000000004</v>
      </c>
      <c r="D473" s="8">
        <f>CHOOSE( CONTROL!$C$29, 7.882, 7.8752) * CHOOSE( CONTROL!$C$12, $D$4, 100%, $F$4)</f>
        <v>7.8752000000000004</v>
      </c>
      <c r="E473" s="12">
        <f>CHOOSE( CONTROL!$C$29, 7.8799, 7.8731) * CHOOSE( CONTROL!$C$12, $D$4, 100%, $F$4)</f>
        <v>7.8731</v>
      </c>
      <c r="F473" s="4">
        <f>CHOOSE( CONTROL!$C$29, 8.8767, 8.8698) * CHOOSE(CONTROL!$C$12, $D$4, 100%, $F$4)</f>
        <v>8.8697999999999997</v>
      </c>
      <c r="G473" s="8">
        <f>CHOOSE( CONTROL!$C$29, 7.7533, 7.7465) * CHOOSE( CONTROL!$C$12, $D$4, 100%, $F$4)</f>
        <v>7.7465000000000002</v>
      </c>
      <c r="H473" s="4">
        <f>CHOOSE( CONTROL!$C$29, 8.6676, 8.6609) * CHOOSE(CONTROL!$C$12, $D$4, 100%, $F$4)</f>
        <v>8.6608999999999998</v>
      </c>
      <c r="I473" s="8">
        <f>CHOOSE( CONTROL!$C$29, 7.6944, 7.6877) * CHOOSE(CONTROL!$C$12, $D$4, 100%, $F$4)</f>
        <v>7.6877000000000004</v>
      </c>
      <c r="J473" s="4">
        <f>CHOOSE( CONTROL!$C$29, 7.6253, 7.6187) * CHOOSE(CONTROL!$C$12, $D$4, 100%, $F$4)</f>
        <v>7.6186999999999996</v>
      </c>
      <c r="K473" s="4"/>
      <c r="L473" s="9">
        <v>29.520499999999998</v>
      </c>
      <c r="M473" s="9">
        <v>12.063700000000001</v>
      </c>
      <c r="N473" s="9">
        <v>4.9444999999999997</v>
      </c>
      <c r="O473" s="9">
        <v>0.37459999999999999</v>
      </c>
      <c r="P473" s="9">
        <v>1.2192000000000001</v>
      </c>
      <c r="Q473" s="9">
        <v>19.814599999999999</v>
      </c>
      <c r="R473" s="9"/>
      <c r="S473" s="11"/>
    </row>
    <row r="474" spans="1:19" ht="15.6">
      <c r="A474" s="13">
        <v>56522</v>
      </c>
      <c r="B474" s="8">
        <f>CHOOSE( CONTROL!$C$29, 7.7055, 7.6987) * CHOOSE(CONTROL!$C$12, $D$4, 100%, $F$4)</f>
        <v>7.6986999999999997</v>
      </c>
      <c r="C474" s="8">
        <f>CHOOSE( CONTROL!$C$29, 7.7158, 7.709) * CHOOSE(CONTROL!$C$12, $D$4, 100%, $F$4)</f>
        <v>7.7089999999999996</v>
      </c>
      <c r="D474" s="8">
        <f>CHOOSE( CONTROL!$C$29, 7.7205, 7.7137) * CHOOSE( CONTROL!$C$12, $D$4, 100%, $F$4)</f>
        <v>7.7137000000000002</v>
      </c>
      <c r="E474" s="12">
        <f>CHOOSE( CONTROL!$C$29, 7.7172, 7.7104) * CHOOSE( CONTROL!$C$12, $D$4, 100%, $F$4)</f>
        <v>7.7103999999999999</v>
      </c>
      <c r="F474" s="4">
        <f>CHOOSE( CONTROL!$C$29, 8.7171, 8.7103) * CHOOSE(CONTROL!$C$12, $D$4, 100%, $F$4)</f>
        <v>8.7103000000000002</v>
      </c>
      <c r="G474" s="8">
        <f>CHOOSE( CONTROL!$C$29, 7.593, 7.5862) * CHOOSE( CONTROL!$C$12, $D$4, 100%, $F$4)</f>
        <v>7.5861999999999998</v>
      </c>
      <c r="H474" s="4">
        <f>CHOOSE( CONTROL!$C$29, 8.5103, 8.5036) * CHOOSE(CONTROL!$C$12, $D$4, 100%, $F$4)</f>
        <v>8.5036000000000005</v>
      </c>
      <c r="I474" s="8">
        <f>CHOOSE( CONTROL!$C$29, 7.5425, 7.5358) * CHOOSE(CONTROL!$C$12, $D$4, 100%, $F$4)</f>
        <v>7.5358000000000001</v>
      </c>
      <c r="J474" s="4">
        <f>CHOOSE( CONTROL!$C$29, 7.4657, 7.4591) * CHOOSE(CONTROL!$C$12, $D$4, 100%, $F$4)</f>
        <v>7.4591000000000003</v>
      </c>
      <c r="K474" s="4"/>
      <c r="L474" s="9">
        <v>28.568200000000001</v>
      </c>
      <c r="M474" s="9">
        <v>11.6745</v>
      </c>
      <c r="N474" s="9">
        <v>4.7850000000000001</v>
      </c>
      <c r="O474" s="9">
        <v>0.36249999999999999</v>
      </c>
      <c r="P474" s="9">
        <v>1.1798</v>
      </c>
      <c r="Q474" s="9">
        <v>19.1754</v>
      </c>
      <c r="R474" s="9"/>
      <c r="S474" s="11"/>
    </row>
    <row r="475" spans="1:19" ht="15.6">
      <c r="A475" s="13">
        <v>56553</v>
      </c>
      <c r="B475" s="8">
        <f>8.0406 * CHOOSE(CONTROL!$C$12, $D$4, 100%, $F$4)</f>
        <v>8.0405999999999995</v>
      </c>
      <c r="C475" s="8">
        <f>8.051 * CHOOSE(CONTROL!$C$12, $D$4, 100%, $F$4)</f>
        <v>8.0510000000000002</v>
      </c>
      <c r="D475" s="8">
        <f>8.046 * CHOOSE( CONTROL!$C$12, $D$4, 100%, $F$4)</f>
        <v>8.0459999999999994</v>
      </c>
      <c r="E475" s="12">
        <f>8.0465 * CHOOSE( CONTROL!$C$12, $D$4, 100%, $F$4)</f>
        <v>8.0465</v>
      </c>
      <c r="F475" s="4">
        <f>9.0316 * CHOOSE(CONTROL!$C$12, $D$4, 100%, $F$4)</f>
        <v>9.0315999999999992</v>
      </c>
      <c r="G475" s="8">
        <f>7.9201 * CHOOSE( CONTROL!$C$12, $D$4, 100%, $F$4)</f>
        <v>7.9200999999999997</v>
      </c>
      <c r="H475" s="4">
        <f>8.8203 * CHOOSE(CONTROL!$C$12, $D$4, 100%, $F$4)</f>
        <v>8.8202999999999996</v>
      </c>
      <c r="I475" s="8">
        <f>7.8713 * CHOOSE(CONTROL!$C$12, $D$4, 100%, $F$4)</f>
        <v>7.8712999999999997</v>
      </c>
      <c r="J475" s="4">
        <f>7.7904 * CHOOSE(CONTROL!$C$12, $D$4, 100%, $F$4)</f>
        <v>7.7904</v>
      </c>
      <c r="K475" s="4"/>
      <c r="L475" s="9">
        <v>28.921800000000001</v>
      </c>
      <c r="M475" s="9">
        <v>12.063700000000001</v>
      </c>
      <c r="N475" s="9">
        <v>4.9444999999999997</v>
      </c>
      <c r="O475" s="9">
        <v>0.37459999999999999</v>
      </c>
      <c r="P475" s="9">
        <v>1.2192000000000001</v>
      </c>
      <c r="Q475" s="9">
        <v>19.814599999999999</v>
      </c>
      <c r="R475" s="9"/>
      <c r="S475" s="11"/>
    </row>
    <row r="476" spans="1:19" ht="15.6">
      <c r="A476" s="13">
        <v>56583</v>
      </c>
      <c r="B476" s="8">
        <f>8.6718 * CHOOSE(CONTROL!$C$12, $D$4, 100%, $F$4)</f>
        <v>8.6717999999999993</v>
      </c>
      <c r="C476" s="8">
        <f>8.6821 * CHOOSE(CONTROL!$C$12, $D$4, 100%, $F$4)</f>
        <v>8.6821000000000002</v>
      </c>
      <c r="D476" s="8">
        <f>8.6415 * CHOOSE( CONTROL!$C$12, $D$4, 100%, $F$4)</f>
        <v>8.6415000000000006</v>
      </c>
      <c r="E476" s="12">
        <f>8.6552 * CHOOSE( CONTROL!$C$12, $D$4, 100%, $F$4)</f>
        <v>8.6552000000000007</v>
      </c>
      <c r="F476" s="4">
        <f>9.6489 * CHOOSE(CONTROL!$C$12, $D$4, 100%, $F$4)</f>
        <v>9.6488999999999994</v>
      </c>
      <c r="G476" s="8">
        <f>8.5362 * CHOOSE( CONTROL!$C$12, $D$4, 100%, $F$4)</f>
        <v>8.5361999999999991</v>
      </c>
      <c r="H476" s="4">
        <f>9.4288 * CHOOSE(CONTROL!$C$12, $D$4, 100%, $F$4)</f>
        <v>9.4288000000000007</v>
      </c>
      <c r="I476" s="8">
        <f>8.4675 * CHOOSE(CONTROL!$C$12, $D$4, 100%, $F$4)</f>
        <v>8.4674999999999994</v>
      </c>
      <c r="J476" s="4">
        <f>8.4021 * CHOOSE(CONTROL!$C$12, $D$4, 100%, $F$4)</f>
        <v>8.4021000000000008</v>
      </c>
      <c r="K476" s="4"/>
      <c r="L476" s="9">
        <v>26.515499999999999</v>
      </c>
      <c r="M476" s="9">
        <v>11.6745</v>
      </c>
      <c r="N476" s="9">
        <v>4.7850000000000001</v>
      </c>
      <c r="O476" s="9">
        <v>0.36249999999999999</v>
      </c>
      <c r="P476" s="9">
        <v>1.2522</v>
      </c>
      <c r="Q476" s="9">
        <v>19.1754</v>
      </c>
      <c r="R476" s="9"/>
      <c r="S476" s="11"/>
    </row>
    <row r="477" spans="1:19" ht="15.6">
      <c r="A477" s="13">
        <v>56614</v>
      </c>
      <c r="B477" s="8">
        <f>8.6561 * CHOOSE(CONTROL!$C$12, $D$4, 100%, $F$4)</f>
        <v>8.6561000000000003</v>
      </c>
      <c r="C477" s="8">
        <f>8.6664 * CHOOSE(CONTROL!$C$12, $D$4, 100%, $F$4)</f>
        <v>8.6663999999999994</v>
      </c>
      <c r="D477" s="8">
        <f>8.6276 * CHOOSE( CONTROL!$C$12, $D$4, 100%, $F$4)</f>
        <v>8.6275999999999993</v>
      </c>
      <c r="E477" s="12">
        <f>8.6407 * CHOOSE( CONTROL!$C$12, $D$4, 100%, $F$4)</f>
        <v>8.6407000000000007</v>
      </c>
      <c r="F477" s="4">
        <f>9.6264 * CHOOSE(CONTROL!$C$12, $D$4, 100%, $F$4)</f>
        <v>9.6264000000000003</v>
      </c>
      <c r="G477" s="8">
        <f>8.5231 * CHOOSE( CONTROL!$C$12, $D$4, 100%, $F$4)</f>
        <v>8.5230999999999995</v>
      </c>
      <c r="H477" s="4">
        <f>9.4066 * CHOOSE(CONTROL!$C$12, $D$4, 100%, $F$4)</f>
        <v>9.4065999999999992</v>
      </c>
      <c r="I477" s="8">
        <f>8.4629 * CHOOSE(CONTROL!$C$12, $D$4, 100%, $F$4)</f>
        <v>8.4628999999999994</v>
      </c>
      <c r="J477" s="4">
        <f>8.3868 * CHOOSE(CONTROL!$C$12, $D$4, 100%, $F$4)</f>
        <v>8.3867999999999991</v>
      </c>
      <c r="K477" s="4"/>
      <c r="L477" s="9">
        <v>27.3993</v>
      </c>
      <c r="M477" s="9">
        <v>12.063700000000001</v>
      </c>
      <c r="N477" s="9">
        <v>4.9444999999999997</v>
      </c>
      <c r="O477" s="9">
        <v>0.37459999999999999</v>
      </c>
      <c r="P477" s="9">
        <v>1.2939000000000001</v>
      </c>
      <c r="Q477" s="9">
        <v>19.814599999999999</v>
      </c>
      <c r="R477" s="9"/>
      <c r="S477" s="11"/>
    </row>
    <row r="478" spans="1:19" ht="15.6">
      <c r="A478" s="13">
        <v>56645</v>
      </c>
      <c r="B478" s="8">
        <f>8.858 * CHOOSE(CONTROL!$C$12, $D$4, 100%, $F$4)</f>
        <v>8.8580000000000005</v>
      </c>
      <c r="C478" s="8">
        <f>8.8684 * CHOOSE(CONTROL!$C$12, $D$4, 100%, $F$4)</f>
        <v>8.8683999999999994</v>
      </c>
      <c r="D478" s="8">
        <f>8.8682 * CHOOSE( CONTROL!$C$12, $D$4, 100%, $F$4)</f>
        <v>8.8681999999999999</v>
      </c>
      <c r="E478" s="12">
        <f>8.8672 * CHOOSE( CONTROL!$C$12, $D$4, 100%, $F$4)</f>
        <v>8.8672000000000004</v>
      </c>
      <c r="F478" s="4">
        <f>9.88 * CHOOSE(CONTROL!$C$12, $D$4, 100%, $F$4)</f>
        <v>9.8800000000000008</v>
      </c>
      <c r="G478" s="8">
        <f>8.7631 * CHOOSE( CONTROL!$C$12, $D$4, 100%, $F$4)</f>
        <v>8.7630999999999997</v>
      </c>
      <c r="H478" s="4">
        <f>9.6566 * CHOOSE(CONTROL!$C$12, $D$4, 100%, $F$4)</f>
        <v>9.6565999999999992</v>
      </c>
      <c r="I478" s="8">
        <f>8.6954 * CHOOSE(CONTROL!$C$12, $D$4, 100%, $F$4)</f>
        <v>8.6953999999999994</v>
      </c>
      <c r="J478" s="4">
        <f>8.5825 * CHOOSE(CONTROL!$C$12, $D$4, 100%, $F$4)</f>
        <v>8.5824999999999996</v>
      </c>
      <c r="K478" s="4"/>
      <c r="L478" s="9">
        <v>27.3993</v>
      </c>
      <c r="M478" s="9">
        <v>12.063700000000001</v>
      </c>
      <c r="N478" s="9">
        <v>4.9444999999999997</v>
      </c>
      <c r="O478" s="9">
        <v>0.37459999999999999</v>
      </c>
      <c r="P478" s="9">
        <v>1.2939000000000001</v>
      </c>
      <c r="Q478" s="9">
        <v>19.751300000000001</v>
      </c>
      <c r="R478" s="9"/>
      <c r="S478" s="11"/>
    </row>
    <row r="479" spans="1:19" ht="15.6">
      <c r="A479" s="13">
        <v>56673</v>
      </c>
      <c r="B479" s="8">
        <f>8.2854 * CHOOSE(CONTROL!$C$12, $D$4, 100%, $F$4)</f>
        <v>8.2853999999999992</v>
      </c>
      <c r="C479" s="8">
        <f>8.2958 * CHOOSE(CONTROL!$C$12, $D$4, 100%, $F$4)</f>
        <v>8.2957999999999998</v>
      </c>
      <c r="D479" s="8">
        <f>8.2978 * CHOOSE( CONTROL!$C$12, $D$4, 100%, $F$4)</f>
        <v>8.2978000000000005</v>
      </c>
      <c r="E479" s="12">
        <f>8.296 * CHOOSE( CONTROL!$C$12, $D$4, 100%, $F$4)</f>
        <v>8.2959999999999994</v>
      </c>
      <c r="F479" s="4">
        <f>9.2996 * CHOOSE(CONTROL!$C$12, $D$4, 100%, $F$4)</f>
        <v>9.2995999999999999</v>
      </c>
      <c r="G479" s="8">
        <f>8.1986 * CHOOSE( CONTROL!$C$12, $D$4, 100%, $F$4)</f>
        <v>8.1986000000000008</v>
      </c>
      <c r="H479" s="4">
        <f>9.0845 * CHOOSE(CONTROL!$C$12, $D$4, 100%, $F$4)</f>
        <v>9.0845000000000002</v>
      </c>
      <c r="I479" s="8">
        <f>8.1293 * CHOOSE(CONTROL!$C$12, $D$4, 100%, $F$4)</f>
        <v>8.1293000000000006</v>
      </c>
      <c r="J479" s="4">
        <f>8.0276 * CHOOSE(CONTROL!$C$12, $D$4, 100%, $F$4)</f>
        <v>8.0275999999999996</v>
      </c>
      <c r="K479" s="4"/>
      <c r="L479" s="9">
        <v>24.747800000000002</v>
      </c>
      <c r="M479" s="9">
        <v>10.8962</v>
      </c>
      <c r="N479" s="9">
        <v>4.4660000000000002</v>
      </c>
      <c r="O479" s="9">
        <v>0.33829999999999999</v>
      </c>
      <c r="P479" s="9">
        <v>1.1687000000000001</v>
      </c>
      <c r="Q479" s="9">
        <v>17.8399</v>
      </c>
      <c r="R479" s="9"/>
      <c r="S479" s="11"/>
    </row>
    <row r="480" spans="1:19" ht="15.6">
      <c r="A480" s="13">
        <v>56704</v>
      </c>
      <c r="B480" s="8">
        <f>8.1091 * CHOOSE(CONTROL!$C$12, $D$4, 100%, $F$4)</f>
        <v>8.1090999999999998</v>
      </c>
      <c r="C480" s="8">
        <f>8.1194 * CHOOSE(CONTROL!$C$12, $D$4, 100%, $F$4)</f>
        <v>8.1194000000000006</v>
      </c>
      <c r="D480" s="8">
        <f>8.1016 * CHOOSE( CONTROL!$C$12, $D$4, 100%, $F$4)</f>
        <v>8.1015999999999995</v>
      </c>
      <c r="E480" s="12">
        <f>8.107 * CHOOSE( CONTROL!$C$12, $D$4, 100%, $F$4)</f>
        <v>8.1069999999999993</v>
      </c>
      <c r="F480" s="4">
        <f>9.1073 * CHOOSE(CONTROL!$C$12, $D$4, 100%, $F$4)</f>
        <v>9.1073000000000004</v>
      </c>
      <c r="G480" s="8">
        <f>8.0042 * CHOOSE( CONTROL!$C$12, $D$4, 100%, $F$4)</f>
        <v>8.0042000000000009</v>
      </c>
      <c r="H480" s="4">
        <f>8.8949 * CHOOSE(CONTROL!$C$12, $D$4, 100%, $F$4)</f>
        <v>8.8948999999999998</v>
      </c>
      <c r="I480" s="8">
        <f>7.9188 * CHOOSE(CONTROL!$C$12, $D$4, 100%, $F$4)</f>
        <v>7.9188000000000001</v>
      </c>
      <c r="J480" s="4">
        <f>7.8568 * CHOOSE(CONTROL!$C$12, $D$4, 100%, $F$4)</f>
        <v>7.8567999999999998</v>
      </c>
      <c r="K480" s="4"/>
      <c r="L480" s="9">
        <v>27.3993</v>
      </c>
      <c r="M480" s="9">
        <v>12.063700000000001</v>
      </c>
      <c r="N480" s="9">
        <v>4.9444999999999997</v>
      </c>
      <c r="O480" s="9">
        <v>0.37459999999999999</v>
      </c>
      <c r="P480" s="9">
        <v>1.2939000000000001</v>
      </c>
      <c r="Q480" s="9">
        <v>19.751300000000001</v>
      </c>
      <c r="R480" s="9"/>
      <c r="S480" s="11"/>
    </row>
    <row r="481" spans="1:19" ht="15.6">
      <c r="A481" s="13">
        <v>56734</v>
      </c>
      <c r="B481" s="8">
        <f>8.2323 * CHOOSE(CONTROL!$C$12, $D$4, 100%, $F$4)</f>
        <v>8.2323000000000004</v>
      </c>
      <c r="C481" s="8">
        <f>8.2426 * CHOOSE(CONTROL!$C$12, $D$4, 100%, $F$4)</f>
        <v>8.2425999999999995</v>
      </c>
      <c r="D481" s="8">
        <f>8.2477 * CHOOSE( CONTROL!$C$12, $D$4, 100%, $F$4)</f>
        <v>8.2477</v>
      </c>
      <c r="E481" s="12">
        <f>8.2448 * CHOOSE( CONTROL!$C$12, $D$4, 100%, $F$4)</f>
        <v>8.2447999999999997</v>
      </c>
      <c r="F481" s="4">
        <f>9.2388 * CHOOSE(CONTROL!$C$12, $D$4, 100%, $F$4)</f>
        <v>9.2387999999999995</v>
      </c>
      <c r="G481" s="8">
        <f>8.1136 * CHOOSE( CONTROL!$C$12, $D$4, 100%, $F$4)</f>
        <v>8.1135999999999999</v>
      </c>
      <c r="H481" s="4">
        <f>9.0245 * CHOOSE(CONTROL!$C$12, $D$4, 100%, $F$4)</f>
        <v>9.0244999999999997</v>
      </c>
      <c r="I481" s="8">
        <f>8.0284 * CHOOSE(CONTROL!$C$12, $D$4, 100%, $F$4)</f>
        <v>8.0283999999999995</v>
      </c>
      <c r="J481" s="4">
        <f>7.9762 * CHOOSE(CONTROL!$C$12, $D$4, 100%, $F$4)</f>
        <v>7.9762000000000004</v>
      </c>
      <c r="K481" s="4"/>
      <c r="L481" s="9">
        <v>27.988800000000001</v>
      </c>
      <c r="M481" s="9">
        <v>11.6745</v>
      </c>
      <c r="N481" s="9">
        <v>4.7850000000000001</v>
      </c>
      <c r="O481" s="9">
        <v>0.36249999999999999</v>
      </c>
      <c r="P481" s="9">
        <v>1.1798</v>
      </c>
      <c r="Q481" s="9">
        <v>19.1142</v>
      </c>
      <c r="R481" s="9"/>
      <c r="S481" s="11"/>
    </row>
    <row r="482" spans="1:19" ht="15.6">
      <c r="A482" s="13">
        <v>56765</v>
      </c>
      <c r="B482" s="8">
        <f>CHOOSE( CONTROL!$C$29, 8.4585, 8.4516) * CHOOSE(CONTROL!$C$12, $D$4, 100%, $F$4)</f>
        <v>8.4515999999999991</v>
      </c>
      <c r="C482" s="8">
        <f>CHOOSE( CONTROL!$C$29, 8.4688, 8.462) * CHOOSE(CONTROL!$C$12, $D$4, 100%, $F$4)</f>
        <v>8.4619999999999997</v>
      </c>
      <c r="D482" s="8">
        <f>CHOOSE( CONTROL!$C$29, 8.4491, 8.4422) * CHOOSE( CONTROL!$C$12, $D$4, 100%, $F$4)</f>
        <v>8.4421999999999997</v>
      </c>
      <c r="E482" s="12">
        <f>CHOOSE( CONTROL!$C$29, 8.4547, 8.4478) * CHOOSE( CONTROL!$C$12, $D$4, 100%, $F$4)</f>
        <v>8.4478000000000009</v>
      </c>
      <c r="F482" s="4">
        <f>CHOOSE( CONTROL!$C$29, 9.4329, 9.4261) * CHOOSE(CONTROL!$C$12, $D$4, 100%, $F$4)</f>
        <v>9.4260999999999999</v>
      </c>
      <c r="G482" s="8">
        <f>CHOOSE( CONTROL!$C$29, 8.3183, 8.3116) * CHOOSE( CONTROL!$C$12, $D$4, 100%, $F$4)</f>
        <v>8.3116000000000003</v>
      </c>
      <c r="H482" s="4">
        <f>CHOOSE( CONTROL!$C$29, 9.216, 9.2092) * CHOOSE(CONTROL!$C$12, $D$4, 100%, $F$4)</f>
        <v>9.2091999999999992</v>
      </c>
      <c r="I482" s="8">
        <f>CHOOSE( CONTROL!$C$29, 8.2261, 8.2195) * CHOOSE(CONTROL!$C$12, $D$4, 100%, $F$4)</f>
        <v>8.2195</v>
      </c>
      <c r="J482" s="4">
        <f>CHOOSE( CONTROL!$C$29, 8.1953, 8.1887) * CHOOSE(CONTROL!$C$12, $D$4, 100%, $F$4)</f>
        <v>8.1887000000000008</v>
      </c>
      <c r="K482" s="4"/>
      <c r="L482" s="9">
        <v>29.520499999999998</v>
      </c>
      <c r="M482" s="9">
        <v>12.063700000000001</v>
      </c>
      <c r="N482" s="9">
        <v>4.9444999999999997</v>
      </c>
      <c r="O482" s="9">
        <v>0.37459999999999999</v>
      </c>
      <c r="P482" s="9">
        <v>1.2192000000000001</v>
      </c>
      <c r="Q482" s="9">
        <v>19.751300000000001</v>
      </c>
      <c r="R482" s="9"/>
      <c r="S482" s="11"/>
    </row>
    <row r="483" spans="1:19" ht="15.6">
      <c r="A483" s="13">
        <v>56795</v>
      </c>
      <c r="B483" s="8">
        <f>CHOOSE( CONTROL!$C$29, 8.3226, 8.3158) * CHOOSE(CONTROL!$C$12, $D$4, 100%, $F$4)</f>
        <v>8.3157999999999994</v>
      </c>
      <c r="C483" s="8">
        <f>CHOOSE( CONTROL!$C$29, 8.3329, 8.3261) * CHOOSE(CONTROL!$C$12, $D$4, 100%, $F$4)</f>
        <v>8.3261000000000003</v>
      </c>
      <c r="D483" s="8">
        <f>CHOOSE( CONTROL!$C$29, 8.3077, 8.3008) * CHOOSE( CONTROL!$C$12, $D$4, 100%, $F$4)</f>
        <v>8.3008000000000006</v>
      </c>
      <c r="E483" s="12">
        <f>CHOOSE( CONTROL!$C$29, 8.3153, 8.3084) * CHOOSE( CONTROL!$C$12, $D$4, 100%, $F$4)</f>
        <v>8.3084000000000007</v>
      </c>
      <c r="F483" s="4">
        <f>CHOOSE( CONTROL!$C$29, 9.2868, 9.2799) * CHOOSE(CONTROL!$C$12, $D$4, 100%, $F$4)</f>
        <v>9.2798999999999996</v>
      </c>
      <c r="G483" s="8">
        <f>CHOOSE( CONTROL!$C$29, 8.1831, 8.1764) * CHOOSE( CONTROL!$C$12, $D$4, 100%, $F$4)</f>
        <v>8.1763999999999992</v>
      </c>
      <c r="H483" s="4">
        <f>CHOOSE( CONTROL!$C$29, 9.0719, 9.0651) * CHOOSE(CONTROL!$C$12, $D$4, 100%, $F$4)</f>
        <v>9.0650999999999993</v>
      </c>
      <c r="I483" s="8">
        <f>CHOOSE( CONTROL!$C$29, 8.0966, 8.0899) * CHOOSE(CONTROL!$C$12, $D$4, 100%, $F$4)</f>
        <v>8.0899000000000001</v>
      </c>
      <c r="J483" s="4">
        <f>CHOOSE( CONTROL!$C$29, 8.0637, 8.057) * CHOOSE(CONTROL!$C$12, $D$4, 100%, $F$4)</f>
        <v>8.0570000000000004</v>
      </c>
      <c r="K483" s="4"/>
      <c r="L483" s="9">
        <v>28.568200000000001</v>
      </c>
      <c r="M483" s="9">
        <v>11.6745</v>
      </c>
      <c r="N483" s="9">
        <v>4.7850000000000001</v>
      </c>
      <c r="O483" s="9">
        <v>0.36249999999999999</v>
      </c>
      <c r="P483" s="9">
        <v>1.1798</v>
      </c>
      <c r="Q483" s="9">
        <v>19.1142</v>
      </c>
      <c r="R483" s="9"/>
      <c r="S483" s="11"/>
    </row>
    <row r="484" spans="1:19" ht="15.6">
      <c r="A484" s="13">
        <v>56826</v>
      </c>
      <c r="B484" s="8">
        <f>CHOOSE( CONTROL!$C$29, 8.6804, 8.6736) * CHOOSE(CONTROL!$C$12, $D$4, 100%, $F$4)</f>
        <v>8.6736000000000004</v>
      </c>
      <c r="C484" s="8">
        <f>CHOOSE( CONTROL!$C$29, 8.6907, 8.6839) * CHOOSE(CONTROL!$C$12, $D$4, 100%, $F$4)</f>
        <v>8.6838999999999995</v>
      </c>
      <c r="D484" s="8">
        <f>CHOOSE( CONTROL!$C$29, 8.6989, 8.692) * CHOOSE( CONTROL!$C$12, $D$4, 100%, $F$4)</f>
        <v>8.6920000000000002</v>
      </c>
      <c r="E484" s="12">
        <f>CHOOSE( CONTROL!$C$29, 8.6944, 8.6875) * CHOOSE( CONTROL!$C$12, $D$4, 100%, $F$4)</f>
        <v>8.6875</v>
      </c>
      <c r="F484" s="4">
        <f>CHOOSE( CONTROL!$C$29, 9.6894, 9.6826) * CHOOSE(CONTROL!$C$12, $D$4, 100%, $F$4)</f>
        <v>9.6826000000000008</v>
      </c>
      <c r="G484" s="8">
        <f>CHOOSE( CONTROL!$C$29, 8.5618, 8.5551) * CHOOSE( CONTROL!$C$12, $D$4, 100%, $F$4)</f>
        <v>8.5550999999999995</v>
      </c>
      <c r="H484" s="4">
        <f>CHOOSE( CONTROL!$C$29, 9.4688, 9.4621) * CHOOSE(CONTROL!$C$12, $D$4, 100%, $F$4)</f>
        <v>9.4620999999999995</v>
      </c>
      <c r="I484" s="8">
        <f>CHOOSE( CONTROL!$C$29, 8.4987, 8.4921) * CHOOSE(CONTROL!$C$12, $D$4, 100%, $F$4)</f>
        <v>8.4921000000000006</v>
      </c>
      <c r="J484" s="4">
        <f>CHOOSE( CONTROL!$C$29, 8.4104, 8.4037) * CHOOSE(CONTROL!$C$12, $D$4, 100%, $F$4)</f>
        <v>8.4037000000000006</v>
      </c>
      <c r="K484" s="4"/>
      <c r="L484" s="9">
        <v>29.520499999999998</v>
      </c>
      <c r="M484" s="9">
        <v>12.063700000000001</v>
      </c>
      <c r="N484" s="9">
        <v>4.9444999999999997</v>
      </c>
      <c r="O484" s="9">
        <v>0.37459999999999999</v>
      </c>
      <c r="P484" s="9">
        <v>1.2192000000000001</v>
      </c>
      <c r="Q484" s="9">
        <v>19.751300000000001</v>
      </c>
      <c r="R484" s="9"/>
      <c r="S484" s="11"/>
    </row>
    <row r="485" spans="1:19" ht="15.6">
      <c r="A485" s="13">
        <v>56857</v>
      </c>
      <c r="B485" s="8">
        <f>CHOOSE( CONTROL!$C$29, 8.011, 8.0041) * CHOOSE(CONTROL!$C$12, $D$4, 100%, $F$4)</f>
        <v>8.0040999999999993</v>
      </c>
      <c r="C485" s="8">
        <f>CHOOSE( CONTROL!$C$29, 8.0213, 8.0144) * CHOOSE(CONTROL!$C$12, $D$4, 100%, $F$4)</f>
        <v>8.0144000000000002</v>
      </c>
      <c r="D485" s="8">
        <f>CHOOSE( CONTROL!$C$29, 8.0227, 8.0159) * CHOOSE( CONTROL!$C$12, $D$4, 100%, $F$4)</f>
        <v>8.0159000000000002</v>
      </c>
      <c r="E485" s="12">
        <f>CHOOSE( CONTROL!$C$29, 8.0206, 8.0138) * CHOOSE( CONTROL!$C$12, $D$4, 100%, $F$4)</f>
        <v>8.0137999999999998</v>
      </c>
      <c r="F485" s="4">
        <f>CHOOSE( CONTROL!$C$29, 9.0174, 9.0106) * CHOOSE(CONTROL!$C$12, $D$4, 100%, $F$4)</f>
        <v>9.0106000000000002</v>
      </c>
      <c r="G485" s="8">
        <f>CHOOSE( CONTROL!$C$29, 7.892, 7.8853) * CHOOSE( CONTROL!$C$12, $D$4, 100%, $F$4)</f>
        <v>7.8853</v>
      </c>
      <c r="H485" s="4">
        <f>CHOOSE( CONTROL!$C$29, 8.8063, 8.7996) * CHOOSE(CONTROL!$C$12, $D$4, 100%, $F$4)</f>
        <v>8.7995999999999999</v>
      </c>
      <c r="I485" s="8">
        <f>CHOOSE( CONTROL!$C$29, 7.8308, 7.8242) * CHOOSE(CONTROL!$C$12, $D$4, 100%, $F$4)</f>
        <v>7.8242000000000003</v>
      </c>
      <c r="J485" s="4">
        <f>CHOOSE( CONTROL!$C$29, 7.7617, 7.755) * CHOOSE(CONTROL!$C$12, $D$4, 100%, $F$4)</f>
        <v>7.7549999999999999</v>
      </c>
      <c r="K485" s="4"/>
      <c r="L485" s="9">
        <v>29.520499999999998</v>
      </c>
      <c r="M485" s="9">
        <v>12.063700000000001</v>
      </c>
      <c r="N485" s="9">
        <v>4.9444999999999997</v>
      </c>
      <c r="O485" s="9">
        <v>0.37459999999999999</v>
      </c>
      <c r="P485" s="9">
        <v>1.2192000000000001</v>
      </c>
      <c r="Q485" s="9">
        <v>19.751300000000001</v>
      </c>
      <c r="R485" s="9"/>
      <c r="S485" s="11"/>
    </row>
    <row r="486" spans="1:19" ht="15.6">
      <c r="A486" s="13">
        <v>56887</v>
      </c>
      <c r="B486" s="8">
        <f>CHOOSE( CONTROL!$C$29, 7.8433, 7.8365) * CHOOSE(CONTROL!$C$12, $D$4, 100%, $F$4)</f>
        <v>7.8365</v>
      </c>
      <c r="C486" s="8">
        <f>CHOOSE( CONTROL!$C$29, 7.8536, 7.8468) * CHOOSE(CONTROL!$C$12, $D$4, 100%, $F$4)</f>
        <v>7.8468</v>
      </c>
      <c r="D486" s="8">
        <f>CHOOSE( CONTROL!$C$29, 7.8583, 7.8515) * CHOOSE( CONTROL!$C$12, $D$4, 100%, $F$4)</f>
        <v>7.8514999999999997</v>
      </c>
      <c r="E486" s="12">
        <f>CHOOSE( CONTROL!$C$29, 7.855, 7.8482) * CHOOSE( CONTROL!$C$12, $D$4, 100%, $F$4)</f>
        <v>7.8482000000000003</v>
      </c>
      <c r="F486" s="4">
        <f>CHOOSE( CONTROL!$C$29, 8.8549, 8.8481) * CHOOSE(CONTROL!$C$12, $D$4, 100%, $F$4)</f>
        <v>8.8481000000000005</v>
      </c>
      <c r="G486" s="8">
        <f>CHOOSE( CONTROL!$C$29, 7.7288, 7.7221) * CHOOSE( CONTROL!$C$12, $D$4, 100%, $F$4)</f>
        <v>7.7221000000000002</v>
      </c>
      <c r="H486" s="4">
        <f>CHOOSE( CONTROL!$C$29, 8.6462, 8.6394) * CHOOSE(CONTROL!$C$12, $D$4, 100%, $F$4)</f>
        <v>8.6394000000000002</v>
      </c>
      <c r="I486" s="8">
        <f>CHOOSE( CONTROL!$C$29, 7.6761, 7.6694) * CHOOSE(CONTROL!$C$12, $D$4, 100%, $F$4)</f>
        <v>7.6694000000000004</v>
      </c>
      <c r="J486" s="4">
        <f>CHOOSE( CONTROL!$C$29, 7.5992, 7.5926) * CHOOSE(CONTROL!$C$12, $D$4, 100%, $F$4)</f>
        <v>7.5926</v>
      </c>
      <c r="K486" s="4"/>
      <c r="L486" s="9">
        <v>28.568200000000001</v>
      </c>
      <c r="M486" s="9">
        <v>11.6745</v>
      </c>
      <c r="N486" s="9">
        <v>4.7850000000000001</v>
      </c>
      <c r="O486" s="9">
        <v>0.36249999999999999</v>
      </c>
      <c r="P486" s="9">
        <v>1.1798</v>
      </c>
      <c r="Q486" s="9">
        <v>19.1142</v>
      </c>
      <c r="R486" s="9"/>
      <c r="S486" s="11"/>
    </row>
    <row r="487" spans="1:19" ht="15.6">
      <c r="A487" s="13">
        <v>56918</v>
      </c>
      <c r="B487" s="8">
        <f>8.1845 * CHOOSE(CONTROL!$C$12, $D$4, 100%, $F$4)</f>
        <v>8.1844999999999999</v>
      </c>
      <c r="C487" s="8">
        <f>8.1949 * CHOOSE(CONTROL!$C$12, $D$4, 100%, $F$4)</f>
        <v>8.1949000000000005</v>
      </c>
      <c r="D487" s="8">
        <f>8.1899 * CHOOSE( CONTROL!$C$12, $D$4, 100%, $F$4)</f>
        <v>8.1898999999999997</v>
      </c>
      <c r="E487" s="12">
        <f>8.1904 * CHOOSE( CONTROL!$C$12, $D$4, 100%, $F$4)</f>
        <v>8.1904000000000003</v>
      </c>
      <c r="F487" s="4">
        <f>9.1755 * CHOOSE(CONTROL!$C$12, $D$4, 100%, $F$4)</f>
        <v>9.1754999999999995</v>
      </c>
      <c r="G487" s="8">
        <f>8.062 * CHOOSE( CONTROL!$C$12, $D$4, 100%, $F$4)</f>
        <v>8.0619999999999994</v>
      </c>
      <c r="H487" s="4">
        <f>8.9622 * CHOOSE(CONTROL!$C$12, $D$4, 100%, $F$4)</f>
        <v>8.9621999999999993</v>
      </c>
      <c r="I487" s="8">
        <f>8.0108 * CHOOSE(CONTROL!$C$12, $D$4, 100%, $F$4)</f>
        <v>8.0107999999999997</v>
      </c>
      <c r="J487" s="4">
        <f>7.9299 * CHOOSE(CONTROL!$C$12, $D$4, 100%, $F$4)</f>
        <v>7.9298999999999999</v>
      </c>
      <c r="K487" s="4"/>
      <c r="L487" s="9">
        <v>28.921800000000001</v>
      </c>
      <c r="M487" s="9">
        <v>12.063700000000001</v>
      </c>
      <c r="N487" s="9">
        <v>4.9444999999999997</v>
      </c>
      <c r="O487" s="9">
        <v>0.37459999999999999</v>
      </c>
      <c r="P487" s="9">
        <v>1.2192000000000001</v>
      </c>
      <c r="Q487" s="9">
        <v>19.751300000000001</v>
      </c>
      <c r="R487" s="9"/>
      <c r="S487" s="11"/>
    </row>
    <row r="488" spans="1:19" ht="15.6">
      <c r="A488" s="13">
        <v>56948</v>
      </c>
      <c r="B488" s="8">
        <f>8.827 * CHOOSE(CONTROL!$C$12, $D$4, 100%, $F$4)</f>
        <v>8.827</v>
      </c>
      <c r="C488" s="8">
        <f>8.8374 * CHOOSE(CONTROL!$C$12, $D$4, 100%, $F$4)</f>
        <v>8.8374000000000006</v>
      </c>
      <c r="D488" s="8">
        <f>8.7967 * CHOOSE( CONTROL!$C$12, $D$4, 100%, $F$4)</f>
        <v>8.7966999999999995</v>
      </c>
      <c r="E488" s="12">
        <f>8.8105 * CHOOSE( CONTROL!$C$12, $D$4, 100%, $F$4)</f>
        <v>8.8104999999999993</v>
      </c>
      <c r="F488" s="4">
        <f>9.8041 * CHOOSE(CONTROL!$C$12, $D$4, 100%, $F$4)</f>
        <v>9.8041</v>
      </c>
      <c r="G488" s="8">
        <f>8.6892 * CHOOSE( CONTROL!$C$12, $D$4, 100%, $F$4)</f>
        <v>8.6891999999999996</v>
      </c>
      <c r="H488" s="4">
        <f>9.5818 * CHOOSE(CONTROL!$C$12, $D$4, 100%, $F$4)</f>
        <v>9.5817999999999994</v>
      </c>
      <c r="I488" s="8">
        <f>8.6179 * CHOOSE(CONTROL!$C$12, $D$4, 100%, $F$4)</f>
        <v>8.6179000000000006</v>
      </c>
      <c r="J488" s="4">
        <f>8.5524 * CHOOSE(CONTROL!$C$12, $D$4, 100%, $F$4)</f>
        <v>8.5524000000000004</v>
      </c>
      <c r="K488" s="4"/>
      <c r="L488" s="9">
        <v>26.515499999999999</v>
      </c>
      <c r="M488" s="9">
        <v>11.6745</v>
      </c>
      <c r="N488" s="9">
        <v>4.7850000000000001</v>
      </c>
      <c r="O488" s="9">
        <v>0.36249999999999999</v>
      </c>
      <c r="P488" s="9">
        <v>1.2522</v>
      </c>
      <c r="Q488" s="9">
        <v>19.1142</v>
      </c>
      <c r="R488" s="9"/>
      <c r="S488" s="11"/>
    </row>
    <row r="489" spans="1:19" ht="15.6">
      <c r="A489" s="13">
        <v>56979</v>
      </c>
      <c r="B489" s="8">
        <f>8.811 * CHOOSE(CONTROL!$C$12, $D$4, 100%, $F$4)</f>
        <v>8.8109999999999999</v>
      </c>
      <c r="C489" s="8">
        <f>8.8213 * CHOOSE(CONTROL!$C$12, $D$4, 100%, $F$4)</f>
        <v>8.8213000000000008</v>
      </c>
      <c r="D489" s="8">
        <f>8.7825 * CHOOSE( CONTROL!$C$12, $D$4, 100%, $F$4)</f>
        <v>8.7825000000000006</v>
      </c>
      <c r="E489" s="12">
        <f>8.7956 * CHOOSE( CONTROL!$C$12, $D$4, 100%, $F$4)</f>
        <v>8.7956000000000003</v>
      </c>
      <c r="F489" s="4">
        <f>9.7813 * CHOOSE(CONTROL!$C$12, $D$4, 100%, $F$4)</f>
        <v>9.7812999999999999</v>
      </c>
      <c r="G489" s="8">
        <f>8.6758 * CHOOSE( CONTROL!$C$12, $D$4, 100%, $F$4)</f>
        <v>8.6758000000000006</v>
      </c>
      <c r="H489" s="4">
        <f>9.5594 * CHOOSE(CONTROL!$C$12, $D$4, 100%, $F$4)</f>
        <v>9.5594000000000001</v>
      </c>
      <c r="I489" s="8">
        <f>8.6131 * CHOOSE(CONTROL!$C$12, $D$4, 100%, $F$4)</f>
        <v>8.6130999999999993</v>
      </c>
      <c r="J489" s="4">
        <f>8.5369 * CHOOSE(CONTROL!$C$12, $D$4, 100%, $F$4)</f>
        <v>8.5368999999999993</v>
      </c>
      <c r="K489" s="4"/>
      <c r="L489" s="9">
        <v>27.3993</v>
      </c>
      <c r="M489" s="9">
        <v>12.063700000000001</v>
      </c>
      <c r="N489" s="9">
        <v>4.9444999999999997</v>
      </c>
      <c r="O489" s="9">
        <v>0.37459999999999999</v>
      </c>
      <c r="P489" s="9">
        <v>1.2939000000000001</v>
      </c>
      <c r="Q489" s="9">
        <v>19.751300000000001</v>
      </c>
      <c r="R489" s="9"/>
      <c r="S489" s="11"/>
    </row>
    <row r="490" spans="1:19" ht="15.6">
      <c r="A490" s="13">
        <v>57010</v>
      </c>
      <c r="B490" s="8">
        <f>9.0166 * CHOOSE(CONTROL!$C$12, $D$4, 100%, $F$4)</f>
        <v>9.0166000000000004</v>
      </c>
      <c r="C490" s="8">
        <f>9.0269 * CHOOSE(CONTROL!$C$12, $D$4, 100%, $F$4)</f>
        <v>9.0268999999999995</v>
      </c>
      <c r="D490" s="8">
        <f>9.0267 * CHOOSE( CONTROL!$C$12, $D$4, 100%, $F$4)</f>
        <v>9.0266999999999999</v>
      </c>
      <c r="E490" s="12">
        <f>9.0257 * CHOOSE( CONTROL!$C$12, $D$4, 100%, $F$4)</f>
        <v>9.0257000000000005</v>
      </c>
      <c r="F490" s="4">
        <f>10.0385 * CHOOSE(CONTROL!$C$12, $D$4, 100%, $F$4)</f>
        <v>10.038500000000001</v>
      </c>
      <c r="G490" s="8">
        <f>8.9194 * CHOOSE( CONTROL!$C$12, $D$4, 100%, $F$4)</f>
        <v>8.9193999999999996</v>
      </c>
      <c r="H490" s="4">
        <f>9.8129 * CHOOSE(CONTROL!$C$12, $D$4, 100%, $F$4)</f>
        <v>9.8129000000000008</v>
      </c>
      <c r="I490" s="8">
        <f>8.8491 * CHOOSE(CONTROL!$C$12, $D$4, 100%, $F$4)</f>
        <v>8.8491</v>
      </c>
      <c r="J490" s="4">
        <f>8.7361 * CHOOSE(CONTROL!$C$12, $D$4, 100%, $F$4)</f>
        <v>8.7361000000000004</v>
      </c>
      <c r="K490" s="4"/>
      <c r="L490" s="9">
        <v>27.3993</v>
      </c>
      <c r="M490" s="9">
        <v>12.063700000000001</v>
      </c>
      <c r="N490" s="9">
        <v>4.9444999999999997</v>
      </c>
      <c r="O490" s="9">
        <v>0.37459999999999999</v>
      </c>
      <c r="P490" s="9">
        <v>1.2939000000000001</v>
      </c>
      <c r="Q490" s="9">
        <v>19.688099999999999</v>
      </c>
      <c r="R490" s="9"/>
      <c r="S490" s="11"/>
    </row>
    <row r="491" spans="1:19" ht="15.6">
      <c r="A491" s="13">
        <v>57038</v>
      </c>
      <c r="B491" s="8">
        <f>8.4337 * CHOOSE(CONTROL!$C$12, $D$4, 100%, $F$4)</f>
        <v>8.4337</v>
      </c>
      <c r="C491" s="8">
        <f>8.4441 * CHOOSE(CONTROL!$C$12, $D$4, 100%, $F$4)</f>
        <v>8.4441000000000006</v>
      </c>
      <c r="D491" s="8">
        <f>8.4461 * CHOOSE( CONTROL!$C$12, $D$4, 100%, $F$4)</f>
        <v>8.4460999999999995</v>
      </c>
      <c r="E491" s="12">
        <f>8.4443 * CHOOSE( CONTROL!$C$12, $D$4, 100%, $F$4)</f>
        <v>8.4443000000000001</v>
      </c>
      <c r="F491" s="4">
        <f>9.4479 * CHOOSE(CONTROL!$C$12, $D$4, 100%, $F$4)</f>
        <v>9.4479000000000006</v>
      </c>
      <c r="G491" s="8">
        <f>8.3447 * CHOOSE( CONTROL!$C$12, $D$4, 100%, $F$4)</f>
        <v>8.3446999999999996</v>
      </c>
      <c r="H491" s="4">
        <f>9.2307 * CHOOSE(CONTROL!$C$12, $D$4, 100%, $F$4)</f>
        <v>9.2307000000000006</v>
      </c>
      <c r="I491" s="8">
        <f>8.2731 * CHOOSE(CONTROL!$C$12, $D$4, 100%, $F$4)</f>
        <v>8.2730999999999995</v>
      </c>
      <c r="J491" s="4">
        <f>8.1713 * CHOOSE(CONTROL!$C$12, $D$4, 100%, $F$4)</f>
        <v>8.1713000000000005</v>
      </c>
      <c r="K491" s="4"/>
      <c r="L491" s="9">
        <v>25.631599999999999</v>
      </c>
      <c r="M491" s="9">
        <v>11.285299999999999</v>
      </c>
      <c r="N491" s="9">
        <v>4.6254999999999997</v>
      </c>
      <c r="O491" s="9">
        <v>0.35039999999999999</v>
      </c>
      <c r="P491" s="9">
        <v>1.2104999999999999</v>
      </c>
      <c r="Q491" s="9">
        <v>18.417899999999999</v>
      </c>
      <c r="R491" s="9"/>
      <c r="S491" s="11"/>
    </row>
    <row r="492" spans="1:19" ht="15.6">
      <c r="A492" s="13">
        <v>57070</v>
      </c>
      <c r="B492" s="8">
        <f>8.2542 * CHOOSE(CONTROL!$C$12, $D$4, 100%, $F$4)</f>
        <v>8.2542000000000009</v>
      </c>
      <c r="C492" s="8">
        <f>8.2645 * CHOOSE(CONTROL!$C$12, $D$4, 100%, $F$4)</f>
        <v>8.2645</v>
      </c>
      <c r="D492" s="8">
        <f>8.2467 * CHOOSE( CONTROL!$C$12, $D$4, 100%, $F$4)</f>
        <v>8.2467000000000006</v>
      </c>
      <c r="E492" s="12">
        <f>8.2521 * CHOOSE( CONTROL!$C$12, $D$4, 100%, $F$4)</f>
        <v>8.2521000000000004</v>
      </c>
      <c r="F492" s="4">
        <f>9.2524 * CHOOSE(CONTROL!$C$12, $D$4, 100%, $F$4)</f>
        <v>9.2523999999999997</v>
      </c>
      <c r="G492" s="8">
        <f>8.1473 * CHOOSE( CONTROL!$C$12, $D$4, 100%, $F$4)</f>
        <v>8.1472999999999995</v>
      </c>
      <c r="H492" s="4">
        <f>9.038 * CHOOSE(CONTROL!$C$12, $D$4, 100%, $F$4)</f>
        <v>9.0380000000000003</v>
      </c>
      <c r="I492" s="8">
        <f>8.0595 * CHOOSE(CONTROL!$C$12, $D$4, 100%, $F$4)</f>
        <v>8.0594999999999999</v>
      </c>
      <c r="J492" s="4">
        <f>7.9974 * CHOOSE(CONTROL!$C$12, $D$4, 100%, $F$4)</f>
        <v>7.9973999999999998</v>
      </c>
      <c r="K492" s="4"/>
      <c r="L492" s="9">
        <v>27.3993</v>
      </c>
      <c r="M492" s="9">
        <v>12.063700000000001</v>
      </c>
      <c r="N492" s="9">
        <v>4.9444999999999997</v>
      </c>
      <c r="O492" s="9">
        <v>0.37459999999999999</v>
      </c>
      <c r="P492" s="9">
        <v>1.2939000000000001</v>
      </c>
      <c r="Q492" s="9">
        <v>19.688099999999999</v>
      </c>
      <c r="R492" s="9"/>
      <c r="S492" s="11"/>
    </row>
    <row r="493" spans="1:19" ht="15.6">
      <c r="A493" s="13">
        <v>57100</v>
      </c>
      <c r="B493" s="8">
        <f>8.3797 * CHOOSE(CONTROL!$C$12, $D$4, 100%, $F$4)</f>
        <v>8.3796999999999997</v>
      </c>
      <c r="C493" s="8">
        <f>8.39 * CHOOSE(CONTROL!$C$12, $D$4, 100%, $F$4)</f>
        <v>8.39</v>
      </c>
      <c r="D493" s="8">
        <f>8.395 * CHOOSE( CONTROL!$C$12, $D$4, 100%, $F$4)</f>
        <v>8.3949999999999996</v>
      </c>
      <c r="E493" s="12">
        <f>8.3922 * CHOOSE( CONTROL!$C$12, $D$4, 100%, $F$4)</f>
        <v>8.3922000000000008</v>
      </c>
      <c r="F493" s="4">
        <f>9.3861 * CHOOSE(CONTROL!$C$12, $D$4, 100%, $F$4)</f>
        <v>9.3861000000000008</v>
      </c>
      <c r="G493" s="8">
        <f>8.2588 * CHOOSE( CONTROL!$C$12, $D$4, 100%, $F$4)</f>
        <v>8.2588000000000008</v>
      </c>
      <c r="H493" s="4">
        <f>9.1698 * CHOOSE(CONTROL!$C$12, $D$4, 100%, $F$4)</f>
        <v>9.1698000000000004</v>
      </c>
      <c r="I493" s="8">
        <f>8.1712 * CHOOSE(CONTROL!$C$12, $D$4, 100%, $F$4)</f>
        <v>8.1712000000000007</v>
      </c>
      <c r="J493" s="4">
        <f>8.1189 * CHOOSE(CONTROL!$C$12, $D$4, 100%, $F$4)</f>
        <v>8.1189</v>
      </c>
      <c r="K493" s="4"/>
      <c r="L493" s="9">
        <v>27.988800000000001</v>
      </c>
      <c r="M493" s="9">
        <v>11.6745</v>
      </c>
      <c r="N493" s="9">
        <v>4.7850000000000001</v>
      </c>
      <c r="O493" s="9">
        <v>0.36249999999999999</v>
      </c>
      <c r="P493" s="9">
        <v>1.1798</v>
      </c>
      <c r="Q493" s="9">
        <v>19.053000000000001</v>
      </c>
      <c r="R493" s="9"/>
      <c r="S493" s="11"/>
    </row>
    <row r="494" spans="1:19" ht="15.6">
      <c r="A494" s="13">
        <v>57131</v>
      </c>
      <c r="B494" s="8">
        <f>CHOOSE( CONTROL!$C$29, 8.6098, 8.6029) * CHOOSE(CONTROL!$C$12, $D$4, 100%, $F$4)</f>
        <v>8.6029</v>
      </c>
      <c r="C494" s="8">
        <f>CHOOSE( CONTROL!$C$29, 8.6201, 8.6132) * CHOOSE(CONTROL!$C$12, $D$4, 100%, $F$4)</f>
        <v>8.6132000000000009</v>
      </c>
      <c r="D494" s="8">
        <f>CHOOSE( CONTROL!$C$29, 8.6003, 8.5935) * CHOOSE( CONTROL!$C$12, $D$4, 100%, $F$4)</f>
        <v>8.5935000000000006</v>
      </c>
      <c r="E494" s="12">
        <f>CHOOSE( CONTROL!$C$29, 8.6059, 8.5991) * CHOOSE( CONTROL!$C$12, $D$4, 100%, $F$4)</f>
        <v>8.5991</v>
      </c>
      <c r="F494" s="4">
        <f>CHOOSE( CONTROL!$C$29, 9.5842, 9.5774) * CHOOSE(CONTROL!$C$12, $D$4, 100%, $F$4)</f>
        <v>9.5774000000000008</v>
      </c>
      <c r="G494" s="8">
        <f>CHOOSE( CONTROL!$C$29, 8.4674, 8.4607) * CHOOSE( CONTROL!$C$12, $D$4, 100%, $F$4)</f>
        <v>8.4606999999999992</v>
      </c>
      <c r="H494" s="4">
        <f>CHOOSE( CONTROL!$C$29, 9.3651, 9.3583) * CHOOSE(CONTROL!$C$12, $D$4, 100%, $F$4)</f>
        <v>9.3582999999999998</v>
      </c>
      <c r="I494" s="8">
        <f>CHOOSE( CONTROL!$C$29, 8.3728, 8.3661) * CHOOSE(CONTROL!$C$12, $D$4, 100%, $F$4)</f>
        <v>8.3660999999999994</v>
      </c>
      <c r="J494" s="4">
        <f>CHOOSE( CONTROL!$C$29, 8.3419, 8.3353) * CHOOSE(CONTROL!$C$12, $D$4, 100%, $F$4)</f>
        <v>8.3353000000000002</v>
      </c>
      <c r="K494" s="4"/>
      <c r="L494" s="9">
        <v>29.520499999999998</v>
      </c>
      <c r="M494" s="9">
        <v>12.063700000000001</v>
      </c>
      <c r="N494" s="9">
        <v>4.9444999999999997</v>
      </c>
      <c r="O494" s="9">
        <v>0.37459999999999999</v>
      </c>
      <c r="P494" s="9">
        <v>1.2192000000000001</v>
      </c>
      <c r="Q494" s="9">
        <v>19.688099999999999</v>
      </c>
      <c r="R494" s="9"/>
      <c r="S494" s="11"/>
    </row>
    <row r="495" spans="1:19" ht="15.6">
      <c r="A495" s="13">
        <v>57161</v>
      </c>
      <c r="B495" s="8">
        <f>CHOOSE( CONTROL!$C$29, 8.4715, 8.4646) * CHOOSE(CONTROL!$C$12, $D$4, 100%, $F$4)</f>
        <v>8.4646000000000008</v>
      </c>
      <c r="C495" s="8">
        <f>CHOOSE( CONTROL!$C$29, 8.4818, 8.4749) * CHOOSE(CONTROL!$C$12, $D$4, 100%, $F$4)</f>
        <v>8.4748999999999999</v>
      </c>
      <c r="D495" s="8">
        <f>CHOOSE( CONTROL!$C$29, 8.4565, 8.4497) * CHOOSE( CONTROL!$C$12, $D$4, 100%, $F$4)</f>
        <v>8.4497</v>
      </c>
      <c r="E495" s="12">
        <f>CHOOSE( CONTROL!$C$29, 8.4641, 8.4573) * CHOOSE( CONTROL!$C$12, $D$4, 100%, $F$4)</f>
        <v>8.4573</v>
      </c>
      <c r="F495" s="4">
        <f>CHOOSE( CONTROL!$C$29, 9.4356, 9.4287) * CHOOSE(CONTROL!$C$12, $D$4, 100%, $F$4)</f>
        <v>9.4286999999999992</v>
      </c>
      <c r="G495" s="8">
        <f>CHOOSE( CONTROL!$C$29, 8.3298, 8.3231) * CHOOSE( CONTROL!$C$12, $D$4, 100%, $F$4)</f>
        <v>8.3231000000000002</v>
      </c>
      <c r="H495" s="4">
        <f>CHOOSE( CONTROL!$C$29, 9.2186, 9.2118) * CHOOSE(CONTROL!$C$12, $D$4, 100%, $F$4)</f>
        <v>9.2118000000000002</v>
      </c>
      <c r="I495" s="8">
        <f>CHOOSE( CONTROL!$C$29, 8.2409, 8.2342) * CHOOSE(CONTROL!$C$12, $D$4, 100%, $F$4)</f>
        <v>8.2341999999999995</v>
      </c>
      <c r="J495" s="4">
        <f>CHOOSE( CONTROL!$C$29, 8.2079, 8.2013) * CHOOSE(CONTROL!$C$12, $D$4, 100%, $F$4)</f>
        <v>8.2012999999999998</v>
      </c>
      <c r="K495" s="4"/>
      <c r="L495" s="9">
        <v>28.568200000000001</v>
      </c>
      <c r="M495" s="9">
        <v>11.6745</v>
      </c>
      <c r="N495" s="9">
        <v>4.7850000000000001</v>
      </c>
      <c r="O495" s="9">
        <v>0.36249999999999999</v>
      </c>
      <c r="P495" s="9">
        <v>1.1798</v>
      </c>
      <c r="Q495" s="9">
        <v>19.053000000000001</v>
      </c>
      <c r="R495" s="9"/>
      <c r="S495" s="11"/>
    </row>
    <row r="496" spans="1:19" ht="15.6">
      <c r="A496" s="13">
        <v>57192</v>
      </c>
      <c r="B496" s="8">
        <f>CHOOSE( CONTROL!$C$29, 8.8357, 8.8288) * CHOOSE(CONTROL!$C$12, $D$4, 100%, $F$4)</f>
        <v>8.8287999999999993</v>
      </c>
      <c r="C496" s="8">
        <f>CHOOSE( CONTROL!$C$29, 8.846, 8.8391) * CHOOSE(CONTROL!$C$12, $D$4, 100%, $F$4)</f>
        <v>8.8391000000000002</v>
      </c>
      <c r="D496" s="8">
        <f>CHOOSE( CONTROL!$C$29, 8.8541, 8.8473) * CHOOSE( CONTROL!$C$12, $D$4, 100%, $F$4)</f>
        <v>8.8473000000000006</v>
      </c>
      <c r="E496" s="12">
        <f>CHOOSE( CONTROL!$C$29, 8.8496, 8.8428) * CHOOSE( CONTROL!$C$12, $D$4, 100%, $F$4)</f>
        <v>8.8428000000000004</v>
      </c>
      <c r="F496" s="4">
        <f>CHOOSE( CONTROL!$C$29, 9.8447, 9.8378) * CHOOSE(CONTROL!$C$12, $D$4, 100%, $F$4)</f>
        <v>9.8377999999999997</v>
      </c>
      <c r="G496" s="8">
        <f>CHOOSE( CONTROL!$C$29, 8.7149, 8.7081) * CHOOSE( CONTROL!$C$12, $D$4, 100%, $F$4)</f>
        <v>8.7081</v>
      </c>
      <c r="H496" s="4">
        <f>CHOOSE( CONTROL!$C$29, 9.6218, 9.6151) * CHOOSE(CONTROL!$C$12, $D$4, 100%, $F$4)</f>
        <v>9.6151</v>
      </c>
      <c r="I496" s="8">
        <f>CHOOSE( CONTROL!$C$29, 8.6492, 8.6426) * CHOOSE(CONTROL!$C$12, $D$4, 100%, $F$4)</f>
        <v>8.6425999999999998</v>
      </c>
      <c r="J496" s="4">
        <f>CHOOSE( CONTROL!$C$29, 8.5608, 8.5542) * CHOOSE(CONTROL!$C$12, $D$4, 100%, $F$4)</f>
        <v>8.5541999999999998</v>
      </c>
      <c r="K496" s="4"/>
      <c r="L496" s="9">
        <v>29.520499999999998</v>
      </c>
      <c r="M496" s="9">
        <v>12.063700000000001</v>
      </c>
      <c r="N496" s="9">
        <v>4.9444999999999997</v>
      </c>
      <c r="O496" s="9">
        <v>0.37459999999999999</v>
      </c>
      <c r="P496" s="9">
        <v>1.2192000000000001</v>
      </c>
      <c r="Q496" s="9">
        <v>19.688099999999999</v>
      </c>
      <c r="R496" s="9"/>
      <c r="S496" s="11"/>
    </row>
    <row r="497" spans="1:19" ht="15.6">
      <c r="A497" s="13">
        <v>57223</v>
      </c>
      <c r="B497" s="8">
        <f>CHOOSE( CONTROL!$C$29, 8.1542, 8.1474) * CHOOSE(CONTROL!$C$12, $D$4, 100%, $F$4)</f>
        <v>8.1473999999999993</v>
      </c>
      <c r="C497" s="8">
        <f>CHOOSE( CONTROL!$C$29, 8.1645, 8.1577) * CHOOSE(CONTROL!$C$12, $D$4, 100%, $F$4)</f>
        <v>8.1577000000000002</v>
      </c>
      <c r="D497" s="8">
        <f>CHOOSE( CONTROL!$C$29, 8.166, 8.1592) * CHOOSE( CONTROL!$C$12, $D$4, 100%, $F$4)</f>
        <v>8.1592000000000002</v>
      </c>
      <c r="E497" s="12">
        <f>CHOOSE( CONTROL!$C$29, 8.1639, 8.1571) * CHOOSE( CONTROL!$C$12, $D$4, 100%, $F$4)</f>
        <v>8.1570999999999998</v>
      </c>
      <c r="F497" s="4">
        <f>CHOOSE( CONTROL!$C$29, 9.1606, 9.1538) * CHOOSE(CONTROL!$C$12, $D$4, 100%, $F$4)</f>
        <v>9.1538000000000004</v>
      </c>
      <c r="G497" s="8">
        <f>CHOOSE( CONTROL!$C$29, 8.0332, 8.0265) * CHOOSE( CONTROL!$C$12, $D$4, 100%, $F$4)</f>
        <v>8.0265000000000004</v>
      </c>
      <c r="H497" s="4">
        <f>CHOOSE( CONTROL!$C$29, 8.9475, 8.9408) * CHOOSE(CONTROL!$C$12, $D$4, 100%, $F$4)</f>
        <v>8.9407999999999994</v>
      </c>
      <c r="I497" s="8">
        <f>CHOOSE( CONTROL!$C$29, 7.9697, 7.963) * CHOOSE(CONTROL!$C$12, $D$4, 100%, $F$4)</f>
        <v>7.9630000000000001</v>
      </c>
      <c r="J497" s="4">
        <f>CHOOSE( CONTROL!$C$29, 7.9005, 7.8938) * CHOOSE(CONTROL!$C$12, $D$4, 100%, $F$4)</f>
        <v>7.8937999999999997</v>
      </c>
      <c r="K497" s="4"/>
      <c r="L497" s="9">
        <v>29.520499999999998</v>
      </c>
      <c r="M497" s="9">
        <v>12.063700000000001</v>
      </c>
      <c r="N497" s="9">
        <v>4.9444999999999997</v>
      </c>
      <c r="O497" s="9">
        <v>0.37459999999999999</v>
      </c>
      <c r="P497" s="9">
        <v>1.2192000000000001</v>
      </c>
      <c r="Q497" s="9">
        <v>19.688099999999999</v>
      </c>
      <c r="R497" s="9"/>
      <c r="S497" s="11"/>
    </row>
    <row r="498" spans="1:19" ht="15.6">
      <c r="A498" s="13">
        <v>57253</v>
      </c>
      <c r="B498" s="8">
        <f>CHOOSE( CONTROL!$C$29, 7.9836, 7.9767) * CHOOSE(CONTROL!$C$12, $D$4, 100%, $F$4)</f>
        <v>7.9767000000000001</v>
      </c>
      <c r="C498" s="8">
        <f>CHOOSE( CONTROL!$C$29, 7.9939, 7.987) * CHOOSE(CONTROL!$C$12, $D$4, 100%, $F$4)</f>
        <v>7.9870000000000001</v>
      </c>
      <c r="D498" s="8">
        <f>CHOOSE( CONTROL!$C$29, 7.9986, 7.9917) * CHOOSE( CONTROL!$C$12, $D$4, 100%, $F$4)</f>
        <v>7.9916999999999998</v>
      </c>
      <c r="E498" s="12">
        <f>CHOOSE( CONTROL!$C$29, 7.9953, 7.9884) * CHOOSE( CONTROL!$C$12, $D$4, 100%, $F$4)</f>
        <v>7.9884000000000004</v>
      </c>
      <c r="F498" s="4">
        <f>CHOOSE( CONTROL!$C$29, 8.9952, 8.9883) * CHOOSE(CONTROL!$C$12, $D$4, 100%, $F$4)</f>
        <v>8.9883000000000006</v>
      </c>
      <c r="G498" s="8">
        <f>CHOOSE( CONTROL!$C$29, 7.8671, 7.8603) * CHOOSE( CONTROL!$C$12, $D$4, 100%, $F$4)</f>
        <v>7.8602999999999996</v>
      </c>
      <c r="H498" s="4">
        <f>CHOOSE( CONTROL!$C$29, 8.7844, 8.7777) * CHOOSE(CONTROL!$C$12, $D$4, 100%, $F$4)</f>
        <v>8.7776999999999994</v>
      </c>
      <c r="I498" s="8">
        <f>CHOOSE( CONTROL!$C$29, 7.812, 7.8054) * CHOOSE(CONTROL!$C$12, $D$4, 100%, $F$4)</f>
        <v>7.8053999999999997</v>
      </c>
      <c r="J498" s="4">
        <f>CHOOSE( CONTROL!$C$29, 7.7351, 7.7285) * CHOOSE(CONTROL!$C$12, $D$4, 100%, $F$4)</f>
        <v>7.7285000000000004</v>
      </c>
      <c r="K498" s="4"/>
      <c r="L498" s="9">
        <v>28.568200000000001</v>
      </c>
      <c r="M498" s="9">
        <v>11.6745</v>
      </c>
      <c r="N498" s="9">
        <v>4.7850000000000001</v>
      </c>
      <c r="O498" s="9">
        <v>0.36249999999999999</v>
      </c>
      <c r="P498" s="9">
        <v>1.1798</v>
      </c>
      <c r="Q498" s="9">
        <v>19.053000000000001</v>
      </c>
      <c r="R498" s="9"/>
      <c r="S498" s="11"/>
    </row>
    <row r="499" spans="1:19" ht="15.6">
      <c r="A499" s="13">
        <v>57284</v>
      </c>
      <c r="B499" s="8">
        <f>8.331 * CHOOSE(CONTROL!$C$12, $D$4, 100%, $F$4)</f>
        <v>8.3309999999999995</v>
      </c>
      <c r="C499" s="8">
        <f>8.3414 * CHOOSE(CONTROL!$C$12, $D$4, 100%, $F$4)</f>
        <v>8.3414000000000001</v>
      </c>
      <c r="D499" s="8">
        <f>8.3364 * CHOOSE( CONTROL!$C$12, $D$4, 100%, $F$4)</f>
        <v>8.3363999999999994</v>
      </c>
      <c r="E499" s="12">
        <f>8.3369 * CHOOSE( CONTROL!$C$12, $D$4, 100%, $F$4)</f>
        <v>8.3369</v>
      </c>
      <c r="F499" s="4">
        <f>9.322 * CHOOSE(CONTROL!$C$12, $D$4, 100%, $F$4)</f>
        <v>9.3219999999999992</v>
      </c>
      <c r="G499" s="8">
        <f>8.2064 * CHOOSE( CONTROL!$C$12, $D$4, 100%, $F$4)</f>
        <v>8.2064000000000004</v>
      </c>
      <c r="H499" s="4">
        <f>9.1066 * CHOOSE(CONTROL!$C$12, $D$4, 100%, $F$4)</f>
        <v>9.1066000000000003</v>
      </c>
      <c r="I499" s="8">
        <f>8.1528 * CHOOSE(CONTROL!$C$12, $D$4, 100%, $F$4)</f>
        <v>8.1527999999999992</v>
      </c>
      <c r="J499" s="4">
        <f>8.0718 * CHOOSE(CONTROL!$C$12, $D$4, 100%, $F$4)</f>
        <v>8.0717999999999996</v>
      </c>
      <c r="K499" s="4"/>
      <c r="L499" s="9">
        <v>28.921800000000001</v>
      </c>
      <c r="M499" s="9">
        <v>12.063700000000001</v>
      </c>
      <c r="N499" s="9">
        <v>4.9444999999999997</v>
      </c>
      <c r="O499" s="9">
        <v>0.37459999999999999</v>
      </c>
      <c r="P499" s="9">
        <v>1.2192000000000001</v>
      </c>
      <c r="Q499" s="9">
        <v>19.688099999999999</v>
      </c>
      <c r="R499" s="9"/>
      <c r="S499" s="11"/>
    </row>
    <row r="500" spans="1:19" ht="15.6">
      <c r="A500" s="13">
        <v>57314</v>
      </c>
      <c r="B500" s="8">
        <f>8.985 * CHOOSE(CONTROL!$C$12, $D$4, 100%, $F$4)</f>
        <v>8.9849999999999994</v>
      </c>
      <c r="C500" s="8">
        <f>8.9953 * CHOOSE(CONTROL!$C$12, $D$4, 100%, $F$4)</f>
        <v>8.9953000000000003</v>
      </c>
      <c r="D500" s="8">
        <f>8.9547 * CHOOSE( CONTROL!$C$12, $D$4, 100%, $F$4)</f>
        <v>8.9547000000000008</v>
      </c>
      <c r="E500" s="12">
        <f>8.9684 * CHOOSE( CONTROL!$C$12, $D$4, 100%, $F$4)</f>
        <v>8.9684000000000008</v>
      </c>
      <c r="F500" s="4">
        <f>9.962 * CHOOSE(CONTROL!$C$12, $D$4, 100%, $F$4)</f>
        <v>9.9619999999999997</v>
      </c>
      <c r="G500" s="8">
        <f>8.845 * CHOOSE( CONTROL!$C$12, $D$4, 100%, $F$4)</f>
        <v>8.8450000000000006</v>
      </c>
      <c r="H500" s="4">
        <f>9.7375 * CHOOSE(CONTROL!$C$12, $D$4, 100%, $F$4)</f>
        <v>9.7375000000000007</v>
      </c>
      <c r="I500" s="8">
        <f>8.7711 * CHOOSE(CONTROL!$C$12, $D$4, 100%, $F$4)</f>
        <v>8.7711000000000006</v>
      </c>
      <c r="J500" s="4">
        <f>8.7055 * CHOOSE(CONTROL!$C$12, $D$4, 100%, $F$4)</f>
        <v>8.7055000000000007</v>
      </c>
      <c r="K500" s="4"/>
      <c r="L500" s="9">
        <v>26.515499999999999</v>
      </c>
      <c r="M500" s="9">
        <v>11.6745</v>
      </c>
      <c r="N500" s="9">
        <v>4.7850000000000001</v>
      </c>
      <c r="O500" s="9">
        <v>0.36249999999999999</v>
      </c>
      <c r="P500" s="9">
        <v>1.2522</v>
      </c>
      <c r="Q500" s="9">
        <v>19.053000000000001</v>
      </c>
      <c r="R500" s="9"/>
      <c r="S500" s="11"/>
    </row>
    <row r="501" spans="1:19" ht="15.6">
      <c r="A501" s="13">
        <v>57345</v>
      </c>
      <c r="B501" s="8">
        <f>8.9687 * CHOOSE(CONTROL!$C$12, $D$4, 100%, $F$4)</f>
        <v>8.9687000000000001</v>
      </c>
      <c r="C501" s="8">
        <f>8.979 * CHOOSE(CONTROL!$C$12, $D$4, 100%, $F$4)</f>
        <v>8.9789999999999992</v>
      </c>
      <c r="D501" s="8">
        <f>8.9402 * CHOOSE( CONTROL!$C$12, $D$4, 100%, $F$4)</f>
        <v>8.9402000000000008</v>
      </c>
      <c r="E501" s="12">
        <f>8.9533 * CHOOSE( CONTROL!$C$12, $D$4, 100%, $F$4)</f>
        <v>8.9533000000000005</v>
      </c>
      <c r="F501" s="4">
        <f>9.939 * CHOOSE(CONTROL!$C$12, $D$4, 100%, $F$4)</f>
        <v>9.9390000000000001</v>
      </c>
      <c r="G501" s="8">
        <f>8.8312 * CHOOSE( CONTROL!$C$12, $D$4, 100%, $F$4)</f>
        <v>8.8312000000000008</v>
      </c>
      <c r="H501" s="4">
        <f>9.7148 * CHOOSE(CONTROL!$C$12, $D$4, 100%, $F$4)</f>
        <v>9.7148000000000003</v>
      </c>
      <c r="I501" s="8">
        <f>8.766 * CHOOSE(CONTROL!$C$12, $D$4, 100%, $F$4)</f>
        <v>8.766</v>
      </c>
      <c r="J501" s="4">
        <f>8.6897 * CHOOSE(CONTROL!$C$12, $D$4, 100%, $F$4)</f>
        <v>8.6897000000000002</v>
      </c>
      <c r="K501" s="4"/>
      <c r="L501" s="9">
        <v>27.3993</v>
      </c>
      <c r="M501" s="9">
        <v>12.063700000000001</v>
      </c>
      <c r="N501" s="9">
        <v>4.9444999999999997</v>
      </c>
      <c r="O501" s="9">
        <v>0.37459999999999999</v>
      </c>
      <c r="P501" s="9">
        <v>1.2939000000000001</v>
      </c>
      <c r="Q501" s="9">
        <v>19.688099999999999</v>
      </c>
      <c r="R501" s="9"/>
      <c r="S501" s="11"/>
    </row>
    <row r="502" spans="1:19" ht="15.6">
      <c r="A502" s="13">
        <v>57376</v>
      </c>
      <c r="B502" s="8">
        <f>9.178 * CHOOSE(CONTROL!$C$12, $D$4, 100%, $F$4)</f>
        <v>9.1780000000000008</v>
      </c>
      <c r="C502" s="8">
        <f>9.1883 * CHOOSE(CONTROL!$C$12, $D$4, 100%, $F$4)</f>
        <v>9.1882999999999999</v>
      </c>
      <c r="D502" s="8">
        <f>9.1881 * CHOOSE( CONTROL!$C$12, $D$4, 100%, $F$4)</f>
        <v>9.1881000000000004</v>
      </c>
      <c r="E502" s="12">
        <f>9.1871 * CHOOSE( CONTROL!$C$12, $D$4, 100%, $F$4)</f>
        <v>9.1870999999999992</v>
      </c>
      <c r="F502" s="4">
        <f>10.1999 * CHOOSE(CONTROL!$C$12, $D$4, 100%, $F$4)</f>
        <v>10.1999</v>
      </c>
      <c r="G502" s="8">
        <f>9.0785 * CHOOSE( CONTROL!$C$12, $D$4, 100%, $F$4)</f>
        <v>9.0785</v>
      </c>
      <c r="H502" s="4">
        <f>9.972 * CHOOSE(CONTROL!$C$12, $D$4, 100%, $F$4)</f>
        <v>9.9719999999999995</v>
      </c>
      <c r="I502" s="8">
        <f>9.0055 * CHOOSE(CONTROL!$C$12, $D$4, 100%, $F$4)</f>
        <v>9.0054999999999996</v>
      </c>
      <c r="J502" s="4">
        <f>8.8925 * CHOOSE(CONTROL!$C$12, $D$4, 100%, $F$4)</f>
        <v>8.8925000000000001</v>
      </c>
      <c r="K502" s="4"/>
      <c r="L502" s="9">
        <v>27.3993</v>
      </c>
      <c r="M502" s="9">
        <v>12.063700000000001</v>
      </c>
      <c r="N502" s="9">
        <v>4.9444999999999997</v>
      </c>
      <c r="O502" s="9">
        <v>0.37459999999999999</v>
      </c>
      <c r="P502" s="9">
        <v>1.2939000000000001</v>
      </c>
      <c r="Q502" s="9">
        <v>19.688099999999999</v>
      </c>
      <c r="R502" s="9"/>
      <c r="S502" s="11"/>
    </row>
    <row r="503" spans="1:19" ht="15.6">
      <c r="A503" s="13">
        <v>57404</v>
      </c>
      <c r="B503" s="8">
        <f>8.5847 * CHOOSE(CONTROL!$C$12, $D$4, 100%, $F$4)</f>
        <v>8.5846999999999998</v>
      </c>
      <c r="C503" s="8">
        <f>8.595 * CHOOSE(CONTROL!$C$12, $D$4, 100%, $F$4)</f>
        <v>8.5950000000000006</v>
      </c>
      <c r="D503" s="8">
        <f>8.5971 * CHOOSE( CONTROL!$C$12, $D$4, 100%, $F$4)</f>
        <v>8.5970999999999993</v>
      </c>
      <c r="E503" s="12">
        <f>8.5952 * CHOOSE( CONTROL!$C$12, $D$4, 100%, $F$4)</f>
        <v>8.5952000000000002</v>
      </c>
      <c r="F503" s="4">
        <f>9.5989 * CHOOSE(CONTROL!$C$12, $D$4, 100%, $F$4)</f>
        <v>9.5989000000000004</v>
      </c>
      <c r="G503" s="8">
        <f>8.4935 * CHOOSE( CONTROL!$C$12, $D$4, 100%, $F$4)</f>
        <v>8.4934999999999992</v>
      </c>
      <c r="H503" s="4">
        <f>9.3795 * CHOOSE(CONTROL!$C$12, $D$4, 100%, $F$4)</f>
        <v>9.3795000000000002</v>
      </c>
      <c r="I503" s="8">
        <f>8.4194 * CHOOSE(CONTROL!$C$12, $D$4, 100%, $F$4)</f>
        <v>8.4193999999999996</v>
      </c>
      <c r="J503" s="4">
        <f>8.3176 * CHOOSE(CONTROL!$C$12, $D$4, 100%, $F$4)</f>
        <v>8.3176000000000005</v>
      </c>
      <c r="K503" s="4"/>
      <c r="L503" s="9">
        <v>24.747800000000002</v>
      </c>
      <c r="M503" s="9">
        <v>10.8962</v>
      </c>
      <c r="N503" s="9">
        <v>4.4660000000000002</v>
      </c>
      <c r="O503" s="9">
        <v>0.33829999999999999</v>
      </c>
      <c r="P503" s="9">
        <v>1.1687000000000001</v>
      </c>
      <c r="Q503" s="9">
        <v>17.782800000000002</v>
      </c>
      <c r="R503" s="9"/>
      <c r="S503" s="11"/>
    </row>
    <row r="504" spans="1:19" ht="15.6">
      <c r="A504" s="13">
        <v>57435</v>
      </c>
      <c r="B504" s="8">
        <f>8.402 * CHOOSE(CONTROL!$C$12, $D$4, 100%, $F$4)</f>
        <v>8.4019999999999992</v>
      </c>
      <c r="C504" s="8">
        <f>8.4123 * CHOOSE(CONTROL!$C$12, $D$4, 100%, $F$4)</f>
        <v>8.4123000000000001</v>
      </c>
      <c r="D504" s="8">
        <f>8.3945 * CHOOSE( CONTROL!$C$12, $D$4, 100%, $F$4)</f>
        <v>8.3945000000000007</v>
      </c>
      <c r="E504" s="12">
        <f>8.3999 * CHOOSE( CONTROL!$C$12, $D$4, 100%, $F$4)</f>
        <v>8.3999000000000006</v>
      </c>
      <c r="F504" s="4">
        <f>9.4001 * CHOOSE(CONTROL!$C$12, $D$4, 100%, $F$4)</f>
        <v>9.4001000000000001</v>
      </c>
      <c r="G504" s="8">
        <f>8.2929 * CHOOSE( CONTROL!$C$12, $D$4, 100%, $F$4)</f>
        <v>8.2928999999999995</v>
      </c>
      <c r="H504" s="4">
        <f>9.1836 * CHOOSE(CONTROL!$C$12, $D$4, 100%, $F$4)</f>
        <v>9.1836000000000002</v>
      </c>
      <c r="I504" s="8">
        <f>8.2028 * CHOOSE(CONTROL!$C$12, $D$4, 100%, $F$4)</f>
        <v>8.2027999999999999</v>
      </c>
      <c r="J504" s="4">
        <f>8.1405 * CHOOSE(CONTROL!$C$12, $D$4, 100%, $F$4)</f>
        <v>8.1404999999999994</v>
      </c>
      <c r="K504" s="4"/>
      <c r="L504" s="9">
        <v>27.3993</v>
      </c>
      <c r="M504" s="9">
        <v>12.063700000000001</v>
      </c>
      <c r="N504" s="9">
        <v>4.9444999999999997</v>
      </c>
      <c r="O504" s="9">
        <v>0.37459999999999999</v>
      </c>
      <c r="P504" s="9">
        <v>1.2939000000000001</v>
      </c>
      <c r="Q504" s="9">
        <v>19.688099999999999</v>
      </c>
      <c r="R504" s="9"/>
      <c r="S504" s="11"/>
    </row>
    <row r="505" spans="1:19" ht="15.6">
      <c r="A505" s="13">
        <v>57465</v>
      </c>
      <c r="B505" s="8">
        <f>8.5296 * CHOOSE(CONTROL!$C$12, $D$4, 100%, $F$4)</f>
        <v>8.5296000000000003</v>
      </c>
      <c r="C505" s="8">
        <f>8.54 * CHOOSE(CONTROL!$C$12, $D$4, 100%, $F$4)</f>
        <v>8.5399999999999991</v>
      </c>
      <c r="D505" s="8">
        <f>8.545 * CHOOSE( CONTROL!$C$12, $D$4, 100%, $F$4)</f>
        <v>8.5449999999999999</v>
      </c>
      <c r="E505" s="12">
        <f>8.5422 * CHOOSE( CONTROL!$C$12, $D$4, 100%, $F$4)</f>
        <v>8.5421999999999993</v>
      </c>
      <c r="F505" s="4">
        <f>9.5361 * CHOOSE(CONTROL!$C$12, $D$4, 100%, $F$4)</f>
        <v>9.5360999999999994</v>
      </c>
      <c r="G505" s="8">
        <f>8.4067 * CHOOSE( CONTROL!$C$12, $D$4, 100%, $F$4)</f>
        <v>8.4067000000000007</v>
      </c>
      <c r="H505" s="4">
        <f>9.3176 * CHOOSE(CONTROL!$C$12, $D$4, 100%, $F$4)</f>
        <v>9.3176000000000005</v>
      </c>
      <c r="I505" s="8">
        <f>8.3166 * CHOOSE(CONTROL!$C$12, $D$4, 100%, $F$4)</f>
        <v>8.3165999999999993</v>
      </c>
      <c r="J505" s="4">
        <f>8.2643 * CHOOSE(CONTROL!$C$12, $D$4, 100%, $F$4)</f>
        <v>8.2643000000000004</v>
      </c>
      <c r="K505" s="4"/>
      <c r="L505" s="9">
        <v>27.988800000000001</v>
      </c>
      <c r="M505" s="9">
        <v>11.6745</v>
      </c>
      <c r="N505" s="9">
        <v>4.7850000000000001</v>
      </c>
      <c r="O505" s="9">
        <v>0.36249999999999999</v>
      </c>
      <c r="P505" s="9">
        <v>1.1798</v>
      </c>
      <c r="Q505" s="9">
        <v>19.053000000000001</v>
      </c>
      <c r="R505" s="9"/>
      <c r="S505" s="11"/>
    </row>
    <row r="506" spans="1:19" ht="15.6">
      <c r="A506" s="13">
        <v>57496</v>
      </c>
      <c r="B506" s="8">
        <f>CHOOSE( CONTROL!$C$29, 8.7637, 8.7569) * CHOOSE(CONTROL!$C$12, $D$4, 100%, $F$4)</f>
        <v>8.7568999999999999</v>
      </c>
      <c r="C506" s="8">
        <f>CHOOSE( CONTROL!$C$29, 8.7741, 8.7672) * CHOOSE(CONTROL!$C$12, $D$4, 100%, $F$4)</f>
        <v>8.7672000000000008</v>
      </c>
      <c r="D506" s="8">
        <f>CHOOSE( CONTROL!$C$29, 8.7543, 8.7475) * CHOOSE( CONTROL!$C$12, $D$4, 100%, $F$4)</f>
        <v>8.7475000000000005</v>
      </c>
      <c r="E506" s="12">
        <f>CHOOSE( CONTROL!$C$29, 8.7599, 8.7531) * CHOOSE( CONTROL!$C$12, $D$4, 100%, $F$4)</f>
        <v>8.7530999999999999</v>
      </c>
      <c r="F506" s="4">
        <f>CHOOSE( CONTROL!$C$29, 9.7382, 9.7313) * CHOOSE(CONTROL!$C$12, $D$4, 100%, $F$4)</f>
        <v>9.7312999999999992</v>
      </c>
      <c r="G506" s="8">
        <f>CHOOSE( CONTROL!$C$29, 8.6192, 8.6125) * CHOOSE( CONTROL!$C$12, $D$4, 100%, $F$4)</f>
        <v>8.6125000000000007</v>
      </c>
      <c r="H506" s="4">
        <f>CHOOSE( CONTROL!$C$29, 9.5169, 9.5101) * CHOOSE(CONTROL!$C$12, $D$4, 100%, $F$4)</f>
        <v>9.5100999999999996</v>
      </c>
      <c r="I506" s="8">
        <f>CHOOSE( CONTROL!$C$29, 8.5221, 8.5154) * CHOOSE(CONTROL!$C$12, $D$4, 100%, $F$4)</f>
        <v>8.5153999999999996</v>
      </c>
      <c r="J506" s="4">
        <f>CHOOSE( CONTROL!$C$29, 8.4911, 8.4845) * CHOOSE(CONTROL!$C$12, $D$4, 100%, $F$4)</f>
        <v>8.4845000000000006</v>
      </c>
      <c r="K506" s="4"/>
      <c r="L506" s="9">
        <v>29.520499999999998</v>
      </c>
      <c r="M506" s="9">
        <v>12.063700000000001</v>
      </c>
      <c r="N506" s="9">
        <v>4.9444999999999997</v>
      </c>
      <c r="O506" s="9">
        <v>0.37459999999999999</v>
      </c>
      <c r="P506" s="9">
        <v>1.2192000000000001</v>
      </c>
      <c r="Q506" s="9">
        <v>19.688099999999999</v>
      </c>
      <c r="R506" s="9"/>
      <c r="S506" s="11"/>
    </row>
    <row r="507" spans="1:19" ht="15.6">
      <c r="A507" s="13">
        <v>57526</v>
      </c>
      <c r="B507" s="8">
        <f>CHOOSE( CONTROL!$C$29, 8.623, 8.6161) * CHOOSE(CONTROL!$C$12, $D$4, 100%, $F$4)</f>
        <v>8.6160999999999994</v>
      </c>
      <c r="C507" s="8">
        <f>CHOOSE( CONTROL!$C$29, 8.6333, 8.6264) * CHOOSE(CONTROL!$C$12, $D$4, 100%, $F$4)</f>
        <v>8.6264000000000003</v>
      </c>
      <c r="D507" s="8">
        <f>CHOOSE( CONTROL!$C$29, 8.608, 8.6012) * CHOOSE( CONTROL!$C$12, $D$4, 100%, $F$4)</f>
        <v>8.6012000000000004</v>
      </c>
      <c r="E507" s="12">
        <f>CHOOSE( CONTROL!$C$29, 8.6156, 8.6088) * CHOOSE( CONTROL!$C$12, $D$4, 100%, $F$4)</f>
        <v>8.6088000000000005</v>
      </c>
      <c r="F507" s="4">
        <f>CHOOSE( CONTROL!$C$29, 9.5871, 9.5802) * CHOOSE(CONTROL!$C$12, $D$4, 100%, $F$4)</f>
        <v>9.5801999999999996</v>
      </c>
      <c r="G507" s="8">
        <f>CHOOSE( CONTROL!$C$29, 8.4792, 8.4724) * CHOOSE( CONTROL!$C$12, $D$4, 100%, $F$4)</f>
        <v>8.4724000000000004</v>
      </c>
      <c r="H507" s="4">
        <f>CHOOSE( CONTROL!$C$29, 9.3679, 9.3612) * CHOOSE(CONTROL!$C$12, $D$4, 100%, $F$4)</f>
        <v>9.3612000000000002</v>
      </c>
      <c r="I507" s="8">
        <f>CHOOSE( CONTROL!$C$29, 8.3877, 8.3811) * CHOOSE(CONTROL!$C$12, $D$4, 100%, $F$4)</f>
        <v>8.3811</v>
      </c>
      <c r="J507" s="4">
        <f>CHOOSE( CONTROL!$C$29, 8.3547, 8.3481) * CHOOSE(CONTROL!$C$12, $D$4, 100%, $F$4)</f>
        <v>8.3481000000000005</v>
      </c>
      <c r="K507" s="4"/>
      <c r="L507" s="9">
        <v>28.568200000000001</v>
      </c>
      <c r="M507" s="9">
        <v>11.6745</v>
      </c>
      <c r="N507" s="9">
        <v>4.7850000000000001</v>
      </c>
      <c r="O507" s="9">
        <v>0.36249999999999999</v>
      </c>
      <c r="P507" s="9">
        <v>1.1798</v>
      </c>
      <c r="Q507" s="9">
        <v>19.053000000000001</v>
      </c>
      <c r="R507" s="9"/>
      <c r="S507" s="11"/>
    </row>
    <row r="508" spans="1:19" ht="15.6">
      <c r="A508" s="13">
        <v>57557</v>
      </c>
      <c r="B508" s="8">
        <f>CHOOSE( CONTROL!$C$29, 8.9937, 8.9868) * CHOOSE(CONTROL!$C$12, $D$4, 100%, $F$4)</f>
        <v>8.9868000000000006</v>
      </c>
      <c r="C508" s="8">
        <f>CHOOSE( CONTROL!$C$29, 9.004, 8.9971) * CHOOSE(CONTROL!$C$12, $D$4, 100%, $F$4)</f>
        <v>8.9970999999999997</v>
      </c>
      <c r="D508" s="8">
        <f>CHOOSE( CONTROL!$C$29, 9.0121, 9.0053) * CHOOSE( CONTROL!$C$12, $D$4, 100%, $F$4)</f>
        <v>9.0053000000000001</v>
      </c>
      <c r="E508" s="12">
        <f>CHOOSE( CONTROL!$C$29, 9.0076, 9.0008) * CHOOSE( CONTROL!$C$12, $D$4, 100%, $F$4)</f>
        <v>9.0007999999999999</v>
      </c>
      <c r="F508" s="4">
        <f>CHOOSE( CONTROL!$C$29, 10.0027, 9.9958) * CHOOSE(CONTROL!$C$12, $D$4, 100%, $F$4)</f>
        <v>9.9957999999999991</v>
      </c>
      <c r="G508" s="8">
        <f>CHOOSE( CONTROL!$C$29, 8.8706, 8.8639) * CHOOSE( CONTROL!$C$12, $D$4, 100%, $F$4)</f>
        <v>8.8638999999999992</v>
      </c>
      <c r="H508" s="4">
        <f>CHOOSE( CONTROL!$C$29, 9.7776, 9.7709) * CHOOSE(CONTROL!$C$12, $D$4, 100%, $F$4)</f>
        <v>9.7708999999999993</v>
      </c>
      <c r="I508" s="8">
        <f>CHOOSE( CONTROL!$C$29, 8.8024, 8.7958) * CHOOSE(CONTROL!$C$12, $D$4, 100%, $F$4)</f>
        <v>8.7957999999999998</v>
      </c>
      <c r="J508" s="4">
        <f>CHOOSE( CONTROL!$C$29, 8.7139, 8.7073) * CHOOSE(CONTROL!$C$12, $D$4, 100%, $F$4)</f>
        <v>8.7073</v>
      </c>
      <c r="K508" s="4"/>
      <c r="L508" s="9">
        <v>29.520499999999998</v>
      </c>
      <c r="M508" s="9">
        <v>12.063700000000001</v>
      </c>
      <c r="N508" s="9">
        <v>4.9444999999999997</v>
      </c>
      <c r="O508" s="9">
        <v>0.37459999999999999</v>
      </c>
      <c r="P508" s="9">
        <v>1.2192000000000001</v>
      </c>
      <c r="Q508" s="9">
        <v>19.688099999999999</v>
      </c>
      <c r="R508" s="9"/>
      <c r="S508" s="11"/>
    </row>
    <row r="509" spans="1:19" ht="15.6">
      <c r="A509" s="13">
        <v>57588</v>
      </c>
      <c r="B509" s="8">
        <f>CHOOSE( CONTROL!$C$29, 8.3, 8.2932) * CHOOSE(CONTROL!$C$12, $D$4, 100%, $F$4)</f>
        <v>8.2932000000000006</v>
      </c>
      <c r="C509" s="8">
        <f>CHOOSE( CONTROL!$C$29, 8.3103, 8.3035) * CHOOSE(CONTROL!$C$12, $D$4, 100%, $F$4)</f>
        <v>8.3034999999999997</v>
      </c>
      <c r="D509" s="8">
        <f>CHOOSE( CONTROL!$C$29, 8.3118, 8.305) * CHOOSE( CONTROL!$C$12, $D$4, 100%, $F$4)</f>
        <v>8.3049999999999997</v>
      </c>
      <c r="E509" s="12">
        <f>CHOOSE( CONTROL!$C$29, 8.3097, 8.3029) * CHOOSE( CONTROL!$C$12, $D$4, 100%, $F$4)</f>
        <v>8.3028999999999993</v>
      </c>
      <c r="F509" s="4">
        <f>CHOOSE( CONTROL!$C$29, 9.3065, 9.2996) * CHOOSE(CONTROL!$C$12, $D$4, 100%, $F$4)</f>
        <v>9.2995999999999999</v>
      </c>
      <c r="G509" s="8">
        <f>CHOOSE( CONTROL!$C$29, 8.177, 8.1702) * CHOOSE( CONTROL!$C$12, $D$4, 100%, $F$4)</f>
        <v>8.1701999999999995</v>
      </c>
      <c r="H509" s="4">
        <f>CHOOSE( CONTROL!$C$29, 9.0913, 9.0845) * CHOOSE(CONTROL!$C$12, $D$4, 100%, $F$4)</f>
        <v>9.0845000000000002</v>
      </c>
      <c r="I509" s="8">
        <f>CHOOSE( CONTROL!$C$29, 8.1111, 8.1044) * CHOOSE(CONTROL!$C$12, $D$4, 100%, $F$4)</f>
        <v>8.1044</v>
      </c>
      <c r="J509" s="4">
        <f>CHOOSE( CONTROL!$C$29, 8.0418, 8.0351) * CHOOSE(CONTROL!$C$12, $D$4, 100%, $F$4)</f>
        <v>8.0350999999999999</v>
      </c>
      <c r="K509" s="4"/>
      <c r="L509" s="9">
        <v>29.520499999999998</v>
      </c>
      <c r="M509" s="9">
        <v>12.063700000000001</v>
      </c>
      <c r="N509" s="9">
        <v>4.9444999999999997</v>
      </c>
      <c r="O509" s="9">
        <v>0.37459999999999999</v>
      </c>
      <c r="P509" s="9">
        <v>1.2192000000000001</v>
      </c>
      <c r="Q509" s="9">
        <v>19.688099999999999</v>
      </c>
      <c r="R509" s="9"/>
      <c r="S509" s="11"/>
    </row>
    <row r="510" spans="1:19" ht="15.6">
      <c r="A510" s="13">
        <v>57618</v>
      </c>
      <c r="B510" s="8">
        <f>CHOOSE( CONTROL!$C$29, 8.1263, 8.1195) * CHOOSE(CONTROL!$C$12, $D$4, 100%, $F$4)</f>
        <v>8.1195000000000004</v>
      </c>
      <c r="C510" s="8">
        <f>CHOOSE( CONTROL!$C$29, 8.1367, 8.1298) * CHOOSE(CONTROL!$C$12, $D$4, 100%, $F$4)</f>
        <v>8.1297999999999995</v>
      </c>
      <c r="D510" s="8">
        <f>CHOOSE( CONTROL!$C$29, 8.1413, 8.1345) * CHOOSE( CONTROL!$C$12, $D$4, 100%, $F$4)</f>
        <v>8.1344999999999992</v>
      </c>
      <c r="E510" s="12">
        <f>CHOOSE( CONTROL!$C$29, 8.138, 8.1312) * CHOOSE( CONTROL!$C$12, $D$4, 100%, $F$4)</f>
        <v>8.1311999999999998</v>
      </c>
      <c r="F510" s="4">
        <f>CHOOSE( CONTROL!$C$29, 9.1379, 9.1311) * CHOOSE(CONTROL!$C$12, $D$4, 100%, $F$4)</f>
        <v>9.1311</v>
      </c>
      <c r="G510" s="8">
        <f>CHOOSE( CONTROL!$C$29, 8.0078, 8.001) * CHOOSE( CONTROL!$C$12, $D$4, 100%, $F$4)</f>
        <v>8.0009999999999994</v>
      </c>
      <c r="H510" s="4">
        <f>CHOOSE( CONTROL!$C$29, 8.9252, 8.9184) * CHOOSE(CONTROL!$C$12, $D$4, 100%, $F$4)</f>
        <v>8.9184000000000001</v>
      </c>
      <c r="I510" s="8">
        <f>CHOOSE( CONTROL!$C$29, 7.9504, 7.9438) * CHOOSE(CONTROL!$C$12, $D$4, 100%, $F$4)</f>
        <v>7.9438000000000004</v>
      </c>
      <c r="J510" s="4">
        <f>CHOOSE( CONTROL!$C$29, 7.8735, 7.8668) * CHOOSE(CONTROL!$C$12, $D$4, 100%, $F$4)</f>
        <v>7.8667999999999996</v>
      </c>
      <c r="K510" s="4"/>
      <c r="L510" s="9">
        <v>28.568200000000001</v>
      </c>
      <c r="M510" s="9">
        <v>11.6745</v>
      </c>
      <c r="N510" s="9">
        <v>4.7850000000000001</v>
      </c>
      <c r="O510" s="9">
        <v>0.36249999999999999</v>
      </c>
      <c r="P510" s="9">
        <v>1.1798</v>
      </c>
      <c r="Q510" s="9">
        <v>19.053000000000001</v>
      </c>
      <c r="R510" s="9"/>
      <c r="S510" s="11"/>
    </row>
    <row r="511" spans="1:19" ht="15.6">
      <c r="A511" s="13">
        <v>57649</v>
      </c>
      <c r="B511" s="8">
        <f>8.4801 * CHOOSE(CONTROL!$C$12, $D$4, 100%, $F$4)</f>
        <v>8.4801000000000002</v>
      </c>
      <c r="C511" s="8">
        <f>8.4905 * CHOOSE(CONTROL!$C$12, $D$4, 100%, $F$4)</f>
        <v>8.4905000000000008</v>
      </c>
      <c r="D511" s="8">
        <f>8.4855 * CHOOSE( CONTROL!$C$12, $D$4, 100%, $F$4)</f>
        <v>8.4855</v>
      </c>
      <c r="E511" s="12">
        <f>8.486 * CHOOSE( CONTROL!$C$12, $D$4, 100%, $F$4)</f>
        <v>8.4860000000000007</v>
      </c>
      <c r="F511" s="4">
        <f>9.4711 * CHOOSE(CONTROL!$C$12, $D$4, 100%, $F$4)</f>
        <v>9.4710999999999999</v>
      </c>
      <c r="G511" s="8">
        <f>8.3534 * CHOOSE( CONTROL!$C$12, $D$4, 100%, $F$4)</f>
        <v>8.3534000000000006</v>
      </c>
      <c r="H511" s="4">
        <f>9.2536 * CHOOSE(CONTROL!$C$12, $D$4, 100%, $F$4)</f>
        <v>9.2536000000000005</v>
      </c>
      <c r="I511" s="8">
        <f>8.2973 * CHOOSE(CONTROL!$C$12, $D$4, 100%, $F$4)</f>
        <v>8.2972999999999999</v>
      </c>
      <c r="J511" s="4">
        <f>8.2163 * CHOOSE(CONTROL!$C$12, $D$4, 100%, $F$4)</f>
        <v>8.2163000000000004</v>
      </c>
      <c r="K511" s="4"/>
      <c r="L511" s="9">
        <v>28.921800000000001</v>
      </c>
      <c r="M511" s="9">
        <v>12.063700000000001</v>
      </c>
      <c r="N511" s="9">
        <v>4.9444999999999997</v>
      </c>
      <c r="O511" s="9">
        <v>0.37459999999999999</v>
      </c>
      <c r="P511" s="9">
        <v>1.2192000000000001</v>
      </c>
      <c r="Q511" s="9">
        <v>19.688099999999999</v>
      </c>
      <c r="R511" s="9"/>
      <c r="S511" s="11"/>
    </row>
    <row r="512" spans="1:19" ht="15.6">
      <c r="A512" s="13">
        <v>57679</v>
      </c>
      <c r="B512" s="8">
        <f>9.1458 * CHOOSE(CONTROL!$C$12, $D$4, 100%, $F$4)</f>
        <v>9.1457999999999995</v>
      </c>
      <c r="C512" s="8">
        <f>9.1562 * CHOOSE(CONTROL!$C$12, $D$4, 100%, $F$4)</f>
        <v>9.1562000000000001</v>
      </c>
      <c r="D512" s="8">
        <f>9.1155 * CHOOSE( CONTROL!$C$12, $D$4, 100%, $F$4)</f>
        <v>9.1155000000000008</v>
      </c>
      <c r="E512" s="12">
        <f>9.1293 * CHOOSE( CONTROL!$C$12, $D$4, 100%, $F$4)</f>
        <v>9.1293000000000006</v>
      </c>
      <c r="F512" s="4">
        <f>10.1229 * CHOOSE(CONTROL!$C$12, $D$4, 100%, $F$4)</f>
        <v>10.1229</v>
      </c>
      <c r="G512" s="8">
        <f>9.0035 * CHOOSE( CONTROL!$C$12, $D$4, 100%, $F$4)</f>
        <v>9.0035000000000007</v>
      </c>
      <c r="H512" s="4">
        <f>9.8961 * CHOOSE(CONTROL!$C$12, $D$4, 100%, $F$4)</f>
        <v>9.8961000000000006</v>
      </c>
      <c r="I512" s="8">
        <f>8.927 * CHOOSE(CONTROL!$C$12, $D$4, 100%, $F$4)</f>
        <v>8.9269999999999996</v>
      </c>
      <c r="J512" s="4">
        <f>8.8614 * CHOOSE(CONTROL!$C$12, $D$4, 100%, $F$4)</f>
        <v>8.8613999999999997</v>
      </c>
      <c r="K512" s="4"/>
      <c r="L512" s="9">
        <v>26.515499999999999</v>
      </c>
      <c r="M512" s="9">
        <v>11.6745</v>
      </c>
      <c r="N512" s="9">
        <v>4.7850000000000001</v>
      </c>
      <c r="O512" s="9">
        <v>0.36249999999999999</v>
      </c>
      <c r="P512" s="9">
        <v>1.2522</v>
      </c>
      <c r="Q512" s="9">
        <v>19.053000000000001</v>
      </c>
      <c r="R512" s="9"/>
      <c r="S512" s="11"/>
    </row>
    <row r="513" spans="1:19" ht="15.6">
      <c r="A513" s="13">
        <v>57710</v>
      </c>
      <c r="B513" s="8">
        <f>9.1292 * CHOOSE(CONTROL!$C$12, $D$4, 100%, $F$4)</f>
        <v>9.1292000000000009</v>
      </c>
      <c r="C513" s="8">
        <f>9.1395 * CHOOSE(CONTROL!$C$12, $D$4, 100%, $F$4)</f>
        <v>9.1395</v>
      </c>
      <c r="D513" s="8">
        <f>9.1007 * CHOOSE( CONTROL!$C$12, $D$4, 100%, $F$4)</f>
        <v>9.1006999999999998</v>
      </c>
      <c r="E513" s="12">
        <f>9.1138 * CHOOSE( CONTROL!$C$12, $D$4, 100%, $F$4)</f>
        <v>9.1137999999999995</v>
      </c>
      <c r="F513" s="4">
        <f>10.0995 * CHOOSE(CONTROL!$C$12, $D$4, 100%, $F$4)</f>
        <v>10.099500000000001</v>
      </c>
      <c r="G513" s="8">
        <f>8.9895 * CHOOSE( CONTROL!$C$12, $D$4, 100%, $F$4)</f>
        <v>8.9894999999999996</v>
      </c>
      <c r="H513" s="4">
        <f>9.8731 * CHOOSE(CONTROL!$C$12, $D$4, 100%, $F$4)</f>
        <v>9.8731000000000009</v>
      </c>
      <c r="I513" s="8">
        <f>8.9216 * CHOOSE(CONTROL!$C$12, $D$4, 100%, $F$4)</f>
        <v>8.9215999999999998</v>
      </c>
      <c r="J513" s="4">
        <f>8.8452 * CHOOSE(CONTROL!$C$12, $D$4, 100%, $F$4)</f>
        <v>8.8452000000000002</v>
      </c>
      <c r="K513" s="4"/>
      <c r="L513" s="9">
        <v>27.3993</v>
      </c>
      <c r="M513" s="9">
        <v>12.063700000000001</v>
      </c>
      <c r="N513" s="9">
        <v>4.9444999999999997</v>
      </c>
      <c r="O513" s="9">
        <v>0.37459999999999999</v>
      </c>
      <c r="P513" s="9">
        <v>1.2939000000000001</v>
      </c>
      <c r="Q513" s="9">
        <v>19.688099999999999</v>
      </c>
      <c r="R513" s="9"/>
      <c r="S513" s="11"/>
    </row>
    <row r="514" spans="1:19" ht="15.6">
      <c r="A514" s="13">
        <v>57741</v>
      </c>
      <c r="B514" s="8">
        <f>9.3422 * CHOOSE(CONTROL!$C$12, $D$4, 100%, $F$4)</f>
        <v>9.3422000000000001</v>
      </c>
      <c r="C514" s="8">
        <f>9.3525 * CHOOSE(CONTROL!$C$12, $D$4, 100%, $F$4)</f>
        <v>9.3524999999999991</v>
      </c>
      <c r="D514" s="8">
        <f>9.3523 * CHOOSE( CONTROL!$C$12, $D$4, 100%, $F$4)</f>
        <v>9.3522999999999996</v>
      </c>
      <c r="E514" s="12">
        <f>9.3513 * CHOOSE( CONTROL!$C$12, $D$4, 100%, $F$4)</f>
        <v>9.3513000000000002</v>
      </c>
      <c r="F514" s="4">
        <f>10.3641 * CHOOSE(CONTROL!$C$12, $D$4, 100%, $F$4)</f>
        <v>10.364100000000001</v>
      </c>
      <c r="G514" s="8">
        <f>9.2404 * CHOOSE( CONTROL!$C$12, $D$4, 100%, $F$4)</f>
        <v>9.2403999999999993</v>
      </c>
      <c r="H514" s="4">
        <f>10.1339 * CHOOSE(CONTROL!$C$12, $D$4, 100%, $F$4)</f>
        <v>10.133900000000001</v>
      </c>
      <c r="I514" s="8">
        <f>9.1648 * CHOOSE(CONTROL!$C$12, $D$4, 100%, $F$4)</f>
        <v>9.1647999999999996</v>
      </c>
      <c r="J514" s="4">
        <f>9.0517 * CHOOSE(CONTROL!$C$12, $D$4, 100%, $F$4)</f>
        <v>9.0517000000000003</v>
      </c>
      <c r="K514" s="4"/>
      <c r="L514" s="9">
        <v>27.3993</v>
      </c>
      <c r="M514" s="9">
        <v>12.063700000000001</v>
      </c>
      <c r="N514" s="9">
        <v>4.9444999999999997</v>
      </c>
      <c r="O514" s="9">
        <v>0.37459999999999999</v>
      </c>
      <c r="P514" s="9">
        <v>1.2939000000000001</v>
      </c>
      <c r="Q514" s="9">
        <v>19.688099999999999</v>
      </c>
      <c r="R514" s="9"/>
      <c r="S514" s="11"/>
    </row>
    <row r="515" spans="1:19" ht="15.6">
      <c r="A515" s="13">
        <v>57769</v>
      </c>
      <c r="B515" s="8">
        <f>8.7383 * CHOOSE(CONTROL!$C$12, $D$4, 100%, $F$4)</f>
        <v>8.7383000000000006</v>
      </c>
      <c r="C515" s="8">
        <f>8.7486 * CHOOSE(CONTROL!$C$12, $D$4, 100%, $F$4)</f>
        <v>8.7485999999999997</v>
      </c>
      <c r="D515" s="8">
        <f>8.7507 * CHOOSE( CONTROL!$C$12, $D$4, 100%, $F$4)</f>
        <v>8.7507000000000001</v>
      </c>
      <c r="E515" s="12">
        <f>8.7488 * CHOOSE( CONTROL!$C$12, $D$4, 100%, $F$4)</f>
        <v>8.7487999999999992</v>
      </c>
      <c r="F515" s="4">
        <f>9.7525 * CHOOSE(CONTROL!$C$12, $D$4, 100%, $F$4)</f>
        <v>9.7524999999999995</v>
      </c>
      <c r="G515" s="8">
        <f>8.645 * CHOOSE( CONTROL!$C$12, $D$4, 100%, $F$4)</f>
        <v>8.6449999999999996</v>
      </c>
      <c r="H515" s="4">
        <f>9.531 * CHOOSE(CONTROL!$C$12, $D$4, 100%, $F$4)</f>
        <v>9.5310000000000006</v>
      </c>
      <c r="I515" s="8">
        <f>8.5684 * CHOOSE(CONTROL!$C$12, $D$4, 100%, $F$4)</f>
        <v>8.5684000000000005</v>
      </c>
      <c r="J515" s="4">
        <f>8.4665 * CHOOSE(CONTROL!$C$12, $D$4, 100%, $F$4)</f>
        <v>8.4664999999999999</v>
      </c>
      <c r="K515" s="4"/>
      <c r="L515" s="9">
        <v>24.747800000000002</v>
      </c>
      <c r="M515" s="9">
        <v>10.8962</v>
      </c>
      <c r="N515" s="9">
        <v>4.4660000000000002</v>
      </c>
      <c r="O515" s="9">
        <v>0.33829999999999999</v>
      </c>
      <c r="P515" s="9">
        <v>1.1687000000000001</v>
      </c>
      <c r="Q515" s="9">
        <v>17.782800000000002</v>
      </c>
      <c r="R515" s="9"/>
      <c r="S515" s="11"/>
    </row>
    <row r="516" spans="1:19" ht="15.6">
      <c r="A516" s="13">
        <v>57800</v>
      </c>
      <c r="B516" s="8">
        <f>8.5523 * CHOOSE(CONTROL!$C$12, $D$4, 100%, $F$4)</f>
        <v>8.5523000000000007</v>
      </c>
      <c r="C516" s="8">
        <f>8.5627 * CHOOSE(CONTROL!$C$12, $D$4, 100%, $F$4)</f>
        <v>8.5626999999999995</v>
      </c>
      <c r="D516" s="8">
        <f>8.5448 * CHOOSE( CONTROL!$C$12, $D$4, 100%, $F$4)</f>
        <v>8.5448000000000004</v>
      </c>
      <c r="E516" s="12">
        <f>8.5502 * CHOOSE( CONTROL!$C$12, $D$4, 100%, $F$4)</f>
        <v>8.5502000000000002</v>
      </c>
      <c r="F516" s="4">
        <f>9.5505 * CHOOSE(CONTROL!$C$12, $D$4, 100%, $F$4)</f>
        <v>9.5504999999999995</v>
      </c>
      <c r="G516" s="8">
        <f>8.4412 * CHOOSE( CONTROL!$C$12, $D$4, 100%, $F$4)</f>
        <v>8.4412000000000003</v>
      </c>
      <c r="H516" s="4">
        <f>9.3319 * CHOOSE(CONTROL!$C$12, $D$4, 100%, $F$4)</f>
        <v>9.3318999999999992</v>
      </c>
      <c r="I516" s="8">
        <f>8.3485 * CHOOSE(CONTROL!$C$12, $D$4, 100%, $F$4)</f>
        <v>8.3484999999999996</v>
      </c>
      <c r="J516" s="4">
        <f>8.2863 * CHOOSE(CONTROL!$C$12, $D$4, 100%, $F$4)</f>
        <v>8.2863000000000007</v>
      </c>
      <c r="K516" s="4"/>
      <c r="L516" s="9">
        <v>27.3993</v>
      </c>
      <c r="M516" s="9">
        <v>12.063700000000001</v>
      </c>
      <c r="N516" s="9">
        <v>4.9444999999999997</v>
      </c>
      <c r="O516" s="9">
        <v>0.37459999999999999</v>
      </c>
      <c r="P516" s="9">
        <v>1.2939000000000001</v>
      </c>
      <c r="Q516" s="9">
        <v>19.688099999999999</v>
      </c>
      <c r="R516" s="9"/>
      <c r="S516" s="11"/>
    </row>
    <row r="517" spans="1:19" ht="15.6">
      <c r="A517" s="13">
        <v>57830</v>
      </c>
      <c r="B517" s="8">
        <f>8.6823 * CHOOSE(CONTROL!$C$12, $D$4, 100%, $F$4)</f>
        <v>8.6822999999999997</v>
      </c>
      <c r="C517" s="8">
        <f>8.6926 * CHOOSE(CONTROL!$C$12, $D$4, 100%, $F$4)</f>
        <v>8.6926000000000005</v>
      </c>
      <c r="D517" s="8">
        <f>8.6977 * CHOOSE( CONTROL!$C$12, $D$4, 100%, $F$4)</f>
        <v>8.6976999999999993</v>
      </c>
      <c r="E517" s="12">
        <f>8.6948 * CHOOSE( CONTROL!$C$12, $D$4, 100%, $F$4)</f>
        <v>8.6948000000000008</v>
      </c>
      <c r="F517" s="4">
        <f>9.6887 * CHOOSE(CONTROL!$C$12, $D$4, 100%, $F$4)</f>
        <v>9.6887000000000008</v>
      </c>
      <c r="G517" s="8">
        <f>8.5572 * CHOOSE( CONTROL!$C$12, $D$4, 100%, $F$4)</f>
        <v>8.5571999999999999</v>
      </c>
      <c r="H517" s="4">
        <f>9.4681 * CHOOSE(CONTROL!$C$12, $D$4, 100%, $F$4)</f>
        <v>9.4680999999999997</v>
      </c>
      <c r="I517" s="8">
        <f>8.4646 * CHOOSE(CONTROL!$C$12, $D$4, 100%, $F$4)</f>
        <v>8.4646000000000008</v>
      </c>
      <c r="J517" s="4">
        <f>8.4122 * CHOOSE(CONTROL!$C$12, $D$4, 100%, $F$4)</f>
        <v>8.4122000000000003</v>
      </c>
      <c r="K517" s="4"/>
      <c r="L517" s="9">
        <v>27.988800000000001</v>
      </c>
      <c r="M517" s="9">
        <v>11.6745</v>
      </c>
      <c r="N517" s="9">
        <v>4.7850000000000001</v>
      </c>
      <c r="O517" s="9">
        <v>0.36249999999999999</v>
      </c>
      <c r="P517" s="9">
        <v>1.1798</v>
      </c>
      <c r="Q517" s="9">
        <v>19.053000000000001</v>
      </c>
      <c r="R517" s="9"/>
      <c r="S517" s="11"/>
    </row>
    <row r="518" spans="1:19" ht="15.6">
      <c r="A518" s="13">
        <v>57861</v>
      </c>
      <c r="B518" s="8">
        <f>CHOOSE( CONTROL!$C$29, 8.9205, 8.9136) * CHOOSE(CONTROL!$C$12, $D$4, 100%, $F$4)</f>
        <v>8.9136000000000006</v>
      </c>
      <c r="C518" s="8">
        <f>CHOOSE( CONTROL!$C$29, 8.9308, 8.9239) * CHOOSE(CONTROL!$C$12, $D$4, 100%, $F$4)</f>
        <v>8.9238999999999997</v>
      </c>
      <c r="D518" s="8">
        <f>CHOOSE( CONTROL!$C$29, 8.911, 8.9042) * CHOOSE( CONTROL!$C$12, $D$4, 100%, $F$4)</f>
        <v>8.9041999999999994</v>
      </c>
      <c r="E518" s="12">
        <f>CHOOSE( CONTROL!$C$29, 8.9166, 8.9098) * CHOOSE( CONTROL!$C$12, $D$4, 100%, $F$4)</f>
        <v>8.9098000000000006</v>
      </c>
      <c r="F518" s="4">
        <f>CHOOSE( CONTROL!$C$29, 9.8949, 9.8881) * CHOOSE(CONTROL!$C$12, $D$4, 100%, $F$4)</f>
        <v>9.8880999999999997</v>
      </c>
      <c r="G518" s="8">
        <f>CHOOSE( CONTROL!$C$29, 8.7737, 8.767) * CHOOSE( CONTROL!$C$12, $D$4, 100%, $F$4)</f>
        <v>8.7669999999999995</v>
      </c>
      <c r="H518" s="4">
        <f>CHOOSE( CONTROL!$C$29, 9.6714, 9.6646) * CHOOSE(CONTROL!$C$12, $D$4, 100%, $F$4)</f>
        <v>9.6646000000000001</v>
      </c>
      <c r="I518" s="8">
        <f>CHOOSE( CONTROL!$C$29, 8.674, 8.6674) * CHOOSE(CONTROL!$C$12, $D$4, 100%, $F$4)</f>
        <v>8.6674000000000007</v>
      </c>
      <c r="J518" s="4">
        <f>CHOOSE( CONTROL!$C$29, 8.643, 8.6364) * CHOOSE(CONTROL!$C$12, $D$4, 100%, $F$4)</f>
        <v>8.6364000000000001</v>
      </c>
      <c r="K518" s="4"/>
      <c r="L518" s="9">
        <v>29.520499999999998</v>
      </c>
      <c r="M518" s="9">
        <v>12.063700000000001</v>
      </c>
      <c r="N518" s="9">
        <v>4.9444999999999997</v>
      </c>
      <c r="O518" s="9">
        <v>0.37459999999999999</v>
      </c>
      <c r="P518" s="9">
        <v>1.2192000000000001</v>
      </c>
      <c r="Q518" s="9">
        <v>19.688099999999999</v>
      </c>
      <c r="R518" s="9"/>
      <c r="S518" s="11"/>
    </row>
    <row r="519" spans="1:19" ht="15.6">
      <c r="A519" s="13">
        <v>57891</v>
      </c>
      <c r="B519" s="8">
        <f>CHOOSE( CONTROL!$C$29, 8.7772, 8.7703) * CHOOSE(CONTROL!$C$12, $D$4, 100%, $F$4)</f>
        <v>8.7703000000000007</v>
      </c>
      <c r="C519" s="8">
        <f>CHOOSE( CONTROL!$C$29, 8.7875, 8.7806) * CHOOSE(CONTROL!$C$12, $D$4, 100%, $F$4)</f>
        <v>8.7805999999999997</v>
      </c>
      <c r="D519" s="8">
        <f>CHOOSE( CONTROL!$C$29, 8.7622, 8.7554) * CHOOSE( CONTROL!$C$12, $D$4, 100%, $F$4)</f>
        <v>8.7553999999999998</v>
      </c>
      <c r="E519" s="12">
        <f>CHOOSE( CONTROL!$C$29, 8.7698, 8.763) * CHOOSE( CONTROL!$C$12, $D$4, 100%, $F$4)</f>
        <v>8.7629999999999999</v>
      </c>
      <c r="F519" s="4">
        <f>CHOOSE( CONTROL!$C$29, 9.7413, 9.7345) * CHOOSE(CONTROL!$C$12, $D$4, 100%, $F$4)</f>
        <v>9.7345000000000006</v>
      </c>
      <c r="G519" s="8">
        <f>CHOOSE( CONTROL!$C$29, 8.6312, 8.6244) * CHOOSE( CONTROL!$C$12, $D$4, 100%, $F$4)</f>
        <v>8.6243999999999996</v>
      </c>
      <c r="H519" s="4">
        <f>CHOOSE( CONTROL!$C$29, 9.5199, 9.5132) * CHOOSE(CONTROL!$C$12, $D$4, 100%, $F$4)</f>
        <v>9.5131999999999994</v>
      </c>
      <c r="I519" s="8">
        <f>CHOOSE( CONTROL!$C$29, 8.5372, 8.5306) * CHOOSE(CONTROL!$C$12, $D$4, 100%, $F$4)</f>
        <v>8.5305999999999997</v>
      </c>
      <c r="J519" s="4">
        <f>CHOOSE( CONTROL!$C$29, 8.5041, 8.4975) * CHOOSE(CONTROL!$C$12, $D$4, 100%, $F$4)</f>
        <v>8.4975000000000005</v>
      </c>
      <c r="K519" s="4"/>
      <c r="L519" s="9">
        <v>28.568200000000001</v>
      </c>
      <c r="M519" s="9">
        <v>11.6745</v>
      </c>
      <c r="N519" s="9">
        <v>4.7850000000000001</v>
      </c>
      <c r="O519" s="9">
        <v>0.36249999999999999</v>
      </c>
      <c r="P519" s="9">
        <v>1.1798</v>
      </c>
      <c r="Q519" s="9">
        <v>19.053000000000001</v>
      </c>
      <c r="R519" s="9"/>
      <c r="S519" s="11"/>
    </row>
    <row r="520" spans="1:19" ht="15.6">
      <c r="A520" s="13">
        <v>57922</v>
      </c>
      <c r="B520" s="8">
        <f>CHOOSE( CONTROL!$C$29, 9.1545, 9.1477) * CHOOSE(CONTROL!$C$12, $D$4, 100%, $F$4)</f>
        <v>9.1477000000000004</v>
      </c>
      <c r="C520" s="8">
        <f>CHOOSE( CONTROL!$C$29, 9.1648, 9.158) * CHOOSE(CONTROL!$C$12, $D$4, 100%, $F$4)</f>
        <v>9.1579999999999995</v>
      </c>
      <c r="D520" s="8">
        <f>CHOOSE( CONTROL!$C$29, 9.173, 9.1661) * CHOOSE( CONTROL!$C$12, $D$4, 100%, $F$4)</f>
        <v>9.1661000000000001</v>
      </c>
      <c r="E520" s="12">
        <f>CHOOSE( CONTROL!$C$29, 9.1685, 9.1616) * CHOOSE( CONTROL!$C$12, $D$4, 100%, $F$4)</f>
        <v>9.1616</v>
      </c>
      <c r="F520" s="4">
        <f>CHOOSE( CONTROL!$C$29, 10.1635, 10.1567) * CHOOSE(CONTROL!$C$12, $D$4, 100%, $F$4)</f>
        <v>10.156700000000001</v>
      </c>
      <c r="G520" s="8">
        <f>CHOOSE( CONTROL!$C$29, 9.0292, 9.0225) * CHOOSE( CONTROL!$C$12, $D$4, 100%, $F$4)</f>
        <v>9.0225000000000009</v>
      </c>
      <c r="H520" s="4">
        <f>CHOOSE( CONTROL!$C$29, 9.9362, 9.9294) * CHOOSE(CONTROL!$C$12, $D$4, 100%, $F$4)</f>
        <v>9.9293999999999993</v>
      </c>
      <c r="I520" s="8">
        <f>CHOOSE( CONTROL!$C$29, 8.9584, 8.9517) * CHOOSE(CONTROL!$C$12, $D$4, 100%, $F$4)</f>
        <v>8.9517000000000007</v>
      </c>
      <c r="J520" s="4">
        <f>CHOOSE( CONTROL!$C$29, 8.8698, 8.8631) * CHOOSE(CONTROL!$C$12, $D$4, 100%, $F$4)</f>
        <v>8.8630999999999993</v>
      </c>
      <c r="K520" s="4"/>
      <c r="L520" s="9">
        <v>29.520499999999998</v>
      </c>
      <c r="M520" s="9">
        <v>12.063700000000001</v>
      </c>
      <c r="N520" s="9">
        <v>4.9444999999999997</v>
      </c>
      <c r="O520" s="9">
        <v>0.37459999999999999</v>
      </c>
      <c r="P520" s="9">
        <v>1.2192000000000001</v>
      </c>
      <c r="Q520" s="9">
        <v>19.688099999999999</v>
      </c>
      <c r="R520" s="9"/>
      <c r="S520" s="11"/>
    </row>
    <row r="521" spans="1:19" ht="15.6">
      <c r="A521" s="13">
        <v>57953</v>
      </c>
      <c r="B521" s="8">
        <f>CHOOSE( CONTROL!$C$29, 8.4485, 8.4416) * CHOOSE(CONTROL!$C$12, $D$4, 100%, $F$4)</f>
        <v>8.4415999999999993</v>
      </c>
      <c r="C521" s="8">
        <f>CHOOSE( CONTROL!$C$29, 8.4588, 8.4519) * CHOOSE(CONTROL!$C$12, $D$4, 100%, $F$4)</f>
        <v>8.4519000000000002</v>
      </c>
      <c r="D521" s="8">
        <f>CHOOSE( CONTROL!$C$29, 8.4603, 8.4534) * CHOOSE( CONTROL!$C$12, $D$4, 100%, $F$4)</f>
        <v>8.4534000000000002</v>
      </c>
      <c r="E521" s="12">
        <f>CHOOSE( CONTROL!$C$29, 8.4582, 8.4513) * CHOOSE( CONTROL!$C$12, $D$4, 100%, $F$4)</f>
        <v>8.4512999999999998</v>
      </c>
      <c r="F521" s="4">
        <f>CHOOSE( CONTROL!$C$29, 9.4549, 9.4481) * CHOOSE(CONTROL!$C$12, $D$4, 100%, $F$4)</f>
        <v>9.4481000000000002</v>
      </c>
      <c r="G521" s="8">
        <f>CHOOSE( CONTROL!$C$29, 8.3233, 8.3165) * CHOOSE( CONTROL!$C$12, $D$4, 100%, $F$4)</f>
        <v>8.3164999999999996</v>
      </c>
      <c r="H521" s="4">
        <f>CHOOSE( CONTROL!$C$29, 9.2376, 9.2309) * CHOOSE(CONTROL!$C$12, $D$4, 100%, $F$4)</f>
        <v>9.2309000000000001</v>
      </c>
      <c r="I521" s="8">
        <f>CHOOSE( CONTROL!$C$29, 8.255, 8.2483) * CHOOSE(CONTROL!$C$12, $D$4, 100%, $F$4)</f>
        <v>8.2483000000000004</v>
      </c>
      <c r="J521" s="4">
        <f>CHOOSE( CONTROL!$C$29, 8.1856, 8.179) * CHOOSE(CONTROL!$C$12, $D$4, 100%, $F$4)</f>
        <v>8.1790000000000003</v>
      </c>
      <c r="K521" s="4"/>
      <c r="L521" s="9">
        <v>29.520499999999998</v>
      </c>
      <c r="M521" s="9">
        <v>12.063700000000001</v>
      </c>
      <c r="N521" s="9">
        <v>4.9444999999999997</v>
      </c>
      <c r="O521" s="9">
        <v>0.37459999999999999</v>
      </c>
      <c r="P521" s="9">
        <v>1.2192000000000001</v>
      </c>
      <c r="Q521" s="9">
        <v>19.688099999999999</v>
      </c>
      <c r="R521" s="9"/>
      <c r="S521" s="11"/>
    </row>
    <row r="522" spans="1:19" ht="15.6">
      <c r="A522" s="13">
        <v>57983</v>
      </c>
      <c r="B522" s="8">
        <f>CHOOSE( CONTROL!$C$29, 8.2717, 8.2648) * CHOOSE(CONTROL!$C$12, $D$4, 100%, $F$4)</f>
        <v>8.2647999999999993</v>
      </c>
      <c r="C522" s="8">
        <f>CHOOSE( CONTROL!$C$29, 8.282, 8.2751) * CHOOSE(CONTROL!$C$12, $D$4, 100%, $F$4)</f>
        <v>8.2751000000000001</v>
      </c>
      <c r="D522" s="8">
        <f>CHOOSE( CONTROL!$C$29, 8.2867, 8.2798) * CHOOSE( CONTROL!$C$12, $D$4, 100%, $F$4)</f>
        <v>8.2797999999999998</v>
      </c>
      <c r="E522" s="12">
        <f>CHOOSE( CONTROL!$C$29, 8.2834, 8.2765) * CHOOSE( CONTROL!$C$12, $D$4, 100%, $F$4)</f>
        <v>8.2765000000000004</v>
      </c>
      <c r="F522" s="4">
        <f>CHOOSE( CONTROL!$C$29, 9.2833, 9.2764) * CHOOSE(CONTROL!$C$12, $D$4, 100%, $F$4)</f>
        <v>9.2764000000000006</v>
      </c>
      <c r="G522" s="8">
        <f>CHOOSE( CONTROL!$C$29, 8.151, 8.1443) * CHOOSE( CONTROL!$C$12, $D$4, 100%, $F$4)</f>
        <v>8.1442999999999994</v>
      </c>
      <c r="H522" s="4">
        <f>CHOOSE( CONTROL!$C$29, 9.0684, 9.0617) * CHOOSE(CONTROL!$C$12, $D$4, 100%, $F$4)</f>
        <v>9.0617000000000001</v>
      </c>
      <c r="I522" s="8">
        <f>CHOOSE( CONTROL!$C$29, 8.0913, 8.0847) * CHOOSE(CONTROL!$C$12, $D$4, 100%, $F$4)</f>
        <v>8.0846999999999998</v>
      </c>
      <c r="J522" s="4">
        <f>CHOOSE( CONTROL!$C$29, 8.0143, 8.0077) * CHOOSE(CONTROL!$C$12, $D$4, 100%, $F$4)</f>
        <v>8.0076999999999998</v>
      </c>
      <c r="K522" s="4"/>
      <c r="L522" s="9">
        <v>28.568200000000001</v>
      </c>
      <c r="M522" s="9">
        <v>11.6745</v>
      </c>
      <c r="N522" s="9">
        <v>4.7850000000000001</v>
      </c>
      <c r="O522" s="9">
        <v>0.36249999999999999</v>
      </c>
      <c r="P522" s="9">
        <v>1.1798</v>
      </c>
      <c r="Q522" s="9">
        <v>19.053000000000001</v>
      </c>
      <c r="R522" s="9"/>
      <c r="S522" s="11"/>
    </row>
    <row r="523" spans="1:19" ht="15.6">
      <c r="A523" s="13">
        <v>58014</v>
      </c>
      <c r="B523" s="8">
        <f>8.6319 * CHOOSE(CONTROL!$C$12, $D$4, 100%, $F$4)</f>
        <v>8.6318999999999999</v>
      </c>
      <c r="C523" s="8">
        <f>8.6422 * CHOOSE(CONTROL!$C$12, $D$4, 100%, $F$4)</f>
        <v>8.6422000000000008</v>
      </c>
      <c r="D523" s="8">
        <f>8.6373 * CHOOSE( CONTROL!$C$12, $D$4, 100%, $F$4)</f>
        <v>8.6372999999999998</v>
      </c>
      <c r="E523" s="12">
        <f>8.6378 * CHOOSE( CONTROL!$C$12, $D$4, 100%, $F$4)</f>
        <v>8.6378000000000004</v>
      </c>
      <c r="F523" s="4">
        <f>9.6229 * CHOOSE(CONTROL!$C$12, $D$4, 100%, $F$4)</f>
        <v>9.6228999999999996</v>
      </c>
      <c r="G523" s="8">
        <f>8.503 * CHOOSE( CONTROL!$C$12, $D$4, 100%, $F$4)</f>
        <v>8.5030000000000001</v>
      </c>
      <c r="H523" s="4">
        <f>9.4032 * CHOOSE(CONTROL!$C$12, $D$4, 100%, $F$4)</f>
        <v>9.4032</v>
      </c>
      <c r="I523" s="8">
        <f>8.4445 * CHOOSE(CONTROL!$C$12, $D$4, 100%, $F$4)</f>
        <v>8.4444999999999997</v>
      </c>
      <c r="J523" s="4">
        <f>8.3634 * CHOOSE(CONTROL!$C$12, $D$4, 100%, $F$4)</f>
        <v>8.3634000000000004</v>
      </c>
      <c r="K523" s="4"/>
      <c r="L523" s="9">
        <v>28.921800000000001</v>
      </c>
      <c r="M523" s="9">
        <v>12.063700000000001</v>
      </c>
      <c r="N523" s="9">
        <v>4.9444999999999997</v>
      </c>
      <c r="O523" s="9">
        <v>0.37459999999999999</v>
      </c>
      <c r="P523" s="9">
        <v>1.2192000000000001</v>
      </c>
      <c r="Q523" s="9">
        <v>19.688099999999999</v>
      </c>
      <c r="R523" s="9"/>
      <c r="S523" s="11"/>
    </row>
    <row r="524" spans="1:19" ht="15.6">
      <c r="A524" s="13">
        <v>58044</v>
      </c>
      <c r="B524" s="8">
        <f>9.3095 * CHOOSE(CONTROL!$C$12, $D$4, 100%, $F$4)</f>
        <v>9.3094999999999999</v>
      </c>
      <c r="C524" s="8">
        <f>9.3198 * CHOOSE(CONTROL!$C$12, $D$4, 100%, $F$4)</f>
        <v>9.3198000000000008</v>
      </c>
      <c r="D524" s="8">
        <f>9.2792 * CHOOSE( CONTROL!$C$12, $D$4, 100%, $F$4)</f>
        <v>9.2791999999999994</v>
      </c>
      <c r="E524" s="12">
        <f>9.2929 * CHOOSE( CONTROL!$C$12, $D$4, 100%, $F$4)</f>
        <v>9.2928999999999995</v>
      </c>
      <c r="F524" s="4">
        <f>10.2866 * CHOOSE(CONTROL!$C$12, $D$4, 100%, $F$4)</f>
        <v>10.2866</v>
      </c>
      <c r="G524" s="8">
        <f>9.1649 * CHOOSE( CONTROL!$C$12, $D$4, 100%, $F$4)</f>
        <v>9.1648999999999994</v>
      </c>
      <c r="H524" s="4">
        <f>10.0574 * CHOOSE(CONTROL!$C$12, $D$4, 100%, $F$4)</f>
        <v>10.057399999999999</v>
      </c>
      <c r="I524" s="8">
        <f>9.0857 * CHOOSE(CONTROL!$C$12, $D$4, 100%, $F$4)</f>
        <v>9.0856999999999992</v>
      </c>
      <c r="J524" s="4">
        <f>9.02 * CHOOSE(CONTROL!$C$12, $D$4, 100%, $F$4)</f>
        <v>9.02</v>
      </c>
      <c r="K524" s="4"/>
      <c r="L524" s="9">
        <v>26.515499999999999</v>
      </c>
      <c r="M524" s="9">
        <v>11.6745</v>
      </c>
      <c r="N524" s="9">
        <v>4.7850000000000001</v>
      </c>
      <c r="O524" s="9">
        <v>0.36249999999999999</v>
      </c>
      <c r="P524" s="9">
        <v>1.2522</v>
      </c>
      <c r="Q524" s="9">
        <v>19.053000000000001</v>
      </c>
      <c r="R524" s="9"/>
      <c r="S524" s="11"/>
    </row>
    <row r="525" spans="1:19" ht="15.6">
      <c r="A525" s="13">
        <v>58075</v>
      </c>
      <c r="B525" s="8">
        <f>9.2926 * CHOOSE(CONTROL!$C$12, $D$4, 100%, $F$4)</f>
        <v>9.2926000000000002</v>
      </c>
      <c r="C525" s="8">
        <f>9.3029 * CHOOSE(CONTROL!$C$12, $D$4, 100%, $F$4)</f>
        <v>9.3028999999999993</v>
      </c>
      <c r="D525" s="8">
        <f>9.2641 * CHOOSE( CONTROL!$C$12, $D$4, 100%, $F$4)</f>
        <v>9.2640999999999991</v>
      </c>
      <c r="E525" s="12">
        <f>9.2772 * CHOOSE( CONTROL!$C$12, $D$4, 100%, $F$4)</f>
        <v>9.2772000000000006</v>
      </c>
      <c r="F525" s="4">
        <f>10.2629 * CHOOSE(CONTROL!$C$12, $D$4, 100%, $F$4)</f>
        <v>10.2629</v>
      </c>
      <c r="G525" s="8">
        <f>9.1505 * CHOOSE( CONTROL!$C$12, $D$4, 100%, $F$4)</f>
        <v>9.1504999999999992</v>
      </c>
      <c r="H525" s="4">
        <f>10.0341 * CHOOSE(CONTROL!$C$12, $D$4, 100%, $F$4)</f>
        <v>10.0341</v>
      </c>
      <c r="I525" s="8">
        <f>9.0801 * CHOOSE(CONTROL!$C$12, $D$4, 100%, $F$4)</f>
        <v>9.0800999999999998</v>
      </c>
      <c r="J525" s="4">
        <f>9.0036 * CHOOSE(CONTROL!$C$12, $D$4, 100%, $F$4)</f>
        <v>9.0036000000000005</v>
      </c>
      <c r="K525" s="4"/>
      <c r="L525" s="9">
        <v>27.3993</v>
      </c>
      <c r="M525" s="9">
        <v>12.063700000000001</v>
      </c>
      <c r="N525" s="9">
        <v>4.9444999999999997</v>
      </c>
      <c r="O525" s="9">
        <v>0.37459999999999999</v>
      </c>
      <c r="P525" s="9">
        <v>1.2939000000000001</v>
      </c>
      <c r="Q525" s="9">
        <v>19.688099999999999</v>
      </c>
      <c r="R525" s="9"/>
      <c r="S525" s="11"/>
    </row>
    <row r="526" spans="1:19" ht="15.6">
      <c r="A526" s="13">
        <v>58106</v>
      </c>
      <c r="B526" s="8">
        <f>9.5094 * CHOOSE(CONTROL!$C$12, $D$4, 100%, $F$4)</f>
        <v>9.5093999999999994</v>
      </c>
      <c r="C526" s="8">
        <f>9.5198 * CHOOSE(CONTROL!$C$12, $D$4, 100%, $F$4)</f>
        <v>9.5198</v>
      </c>
      <c r="D526" s="8">
        <f>9.5196 * CHOOSE( CONTROL!$C$12, $D$4, 100%, $F$4)</f>
        <v>9.5196000000000005</v>
      </c>
      <c r="E526" s="12">
        <f>9.5186 * CHOOSE( CONTROL!$C$12, $D$4, 100%, $F$4)</f>
        <v>9.5185999999999993</v>
      </c>
      <c r="F526" s="4">
        <f>10.5314 * CHOOSE(CONTROL!$C$12, $D$4, 100%, $F$4)</f>
        <v>10.5314</v>
      </c>
      <c r="G526" s="8">
        <f>9.4053 * CHOOSE( CONTROL!$C$12, $D$4, 100%, $F$4)</f>
        <v>9.4053000000000004</v>
      </c>
      <c r="H526" s="4">
        <f>10.2987 * CHOOSE(CONTROL!$C$12, $D$4, 100%, $F$4)</f>
        <v>10.2987</v>
      </c>
      <c r="I526" s="8">
        <f>9.3269 * CHOOSE(CONTROL!$C$12, $D$4, 100%, $F$4)</f>
        <v>9.3269000000000002</v>
      </c>
      <c r="J526" s="4">
        <f>9.2137 * CHOOSE(CONTROL!$C$12, $D$4, 100%, $F$4)</f>
        <v>9.2136999999999993</v>
      </c>
      <c r="K526" s="4"/>
      <c r="L526" s="9">
        <v>27.3993</v>
      </c>
      <c r="M526" s="9">
        <v>12.063700000000001</v>
      </c>
      <c r="N526" s="9">
        <v>4.9444999999999997</v>
      </c>
      <c r="O526" s="9">
        <v>0.37459999999999999</v>
      </c>
      <c r="P526" s="9">
        <v>1.2939000000000001</v>
      </c>
      <c r="Q526" s="9">
        <v>19.688099999999999</v>
      </c>
      <c r="R526" s="9"/>
      <c r="S526" s="11"/>
    </row>
    <row r="527" spans="1:19" ht="15.6">
      <c r="A527" s="13">
        <v>58134</v>
      </c>
      <c r="B527" s="8">
        <f>8.8947 * CHOOSE(CONTROL!$C$12, $D$4, 100%, $F$4)</f>
        <v>8.8947000000000003</v>
      </c>
      <c r="C527" s="8">
        <f>8.905 * CHOOSE(CONTROL!$C$12, $D$4, 100%, $F$4)</f>
        <v>8.9049999999999994</v>
      </c>
      <c r="D527" s="8">
        <f>8.9071 * CHOOSE( CONTROL!$C$12, $D$4, 100%, $F$4)</f>
        <v>8.9070999999999998</v>
      </c>
      <c r="E527" s="12">
        <f>8.9052 * CHOOSE( CONTROL!$C$12, $D$4, 100%, $F$4)</f>
        <v>8.9052000000000007</v>
      </c>
      <c r="F527" s="4">
        <f>9.9089 * CHOOSE(CONTROL!$C$12, $D$4, 100%, $F$4)</f>
        <v>9.9088999999999992</v>
      </c>
      <c r="G527" s="8">
        <f>8.7992 * CHOOSE( CONTROL!$C$12, $D$4, 100%, $F$4)</f>
        <v>8.7992000000000008</v>
      </c>
      <c r="H527" s="4">
        <f>9.6851 * CHOOSE(CONTROL!$C$12, $D$4, 100%, $F$4)</f>
        <v>9.6851000000000003</v>
      </c>
      <c r="I527" s="8">
        <f>8.72 * CHOOSE(CONTROL!$C$12, $D$4, 100%, $F$4)</f>
        <v>8.7200000000000006</v>
      </c>
      <c r="J527" s="4">
        <f>8.618 * CHOOSE(CONTROL!$C$12, $D$4, 100%, $F$4)</f>
        <v>8.6180000000000003</v>
      </c>
      <c r="K527" s="4"/>
      <c r="L527" s="9">
        <v>24.747800000000002</v>
      </c>
      <c r="M527" s="9">
        <v>10.8962</v>
      </c>
      <c r="N527" s="9">
        <v>4.4660000000000002</v>
      </c>
      <c r="O527" s="9">
        <v>0.33829999999999999</v>
      </c>
      <c r="P527" s="9">
        <v>1.1687000000000001</v>
      </c>
      <c r="Q527" s="9">
        <v>17.782800000000002</v>
      </c>
      <c r="R527" s="9"/>
      <c r="S527" s="11"/>
    </row>
    <row r="528" spans="1:19" ht="15.6">
      <c r="A528" s="13">
        <v>58165</v>
      </c>
      <c r="B528" s="8">
        <f>8.7054 * CHOOSE(CONTROL!$C$12, $D$4, 100%, $F$4)</f>
        <v>8.7053999999999991</v>
      </c>
      <c r="C528" s="8">
        <f>8.7157 * CHOOSE(CONTROL!$C$12, $D$4, 100%, $F$4)</f>
        <v>8.7157</v>
      </c>
      <c r="D528" s="8">
        <f>8.6979 * CHOOSE( CONTROL!$C$12, $D$4, 100%, $F$4)</f>
        <v>8.6979000000000006</v>
      </c>
      <c r="E528" s="12">
        <f>8.7033 * CHOOSE( CONTROL!$C$12, $D$4, 100%, $F$4)</f>
        <v>8.7033000000000005</v>
      </c>
      <c r="F528" s="4">
        <f>9.7036 * CHOOSE(CONTROL!$C$12, $D$4, 100%, $F$4)</f>
        <v>9.7035999999999998</v>
      </c>
      <c r="G528" s="8">
        <f>8.5921 * CHOOSE( CONTROL!$C$12, $D$4, 100%, $F$4)</f>
        <v>8.5921000000000003</v>
      </c>
      <c r="H528" s="4">
        <f>9.4828 * CHOOSE(CONTROL!$C$12, $D$4, 100%, $F$4)</f>
        <v>9.4827999999999992</v>
      </c>
      <c r="I528" s="8">
        <f>8.4969 * CHOOSE(CONTROL!$C$12, $D$4, 100%, $F$4)</f>
        <v>8.4969000000000001</v>
      </c>
      <c r="J528" s="4">
        <f>8.4346 * CHOOSE(CONTROL!$C$12, $D$4, 100%, $F$4)</f>
        <v>8.4345999999999997</v>
      </c>
      <c r="K528" s="4"/>
      <c r="L528" s="9">
        <v>27.3993</v>
      </c>
      <c r="M528" s="9">
        <v>12.063700000000001</v>
      </c>
      <c r="N528" s="9">
        <v>4.9444999999999997</v>
      </c>
      <c r="O528" s="9">
        <v>0.37459999999999999</v>
      </c>
      <c r="P528" s="9">
        <v>1.2939000000000001</v>
      </c>
      <c r="Q528" s="9">
        <v>19.688099999999999</v>
      </c>
      <c r="R528" s="9"/>
      <c r="S528" s="11"/>
    </row>
    <row r="529" spans="1:19" ht="15.6">
      <c r="A529" s="13">
        <v>58195</v>
      </c>
      <c r="B529" s="8">
        <f>8.8377 * CHOOSE(CONTROL!$C$12, $D$4, 100%, $F$4)</f>
        <v>8.8376999999999999</v>
      </c>
      <c r="C529" s="8">
        <f>8.848 * CHOOSE(CONTROL!$C$12, $D$4, 100%, $F$4)</f>
        <v>8.8480000000000008</v>
      </c>
      <c r="D529" s="8">
        <f>8.853 * CHOOSE( CONTROL!$C$12, $D$4, 100%, $F$4)</f>
        <v>8.8529999999999998</v>
      </c>
      <c r="E529" s="12">
        <f>8.8502 * CHOOSE( CONTROL!$C$12, $D$4, 100%, $F$4)</f>
        <v>8.8501999999999992</v>
      </c>
      <c r="F529" s="4">
        <f>9.8441 * CHOOSE(CONTROL!$C$12, $D$4, 100%, $F$4)</f>
        <v>9.8440999999999992</v>
      </c>
      <c r="G529" s="8">
        <f>8.7103 * CHOOSE( CONTROL!$C$12, $D$4, 100%, $F$4)</f>
        <v>8.7103000000000002</v>
      </c>
      <c r="H529" s="4">
        <f>9.6213 * CHOOSE(CONTROL!$C$12, $D$4, 100%, $F$4)</f>
        <v>9.6212999999999997</v>
      </c>
      <c r="I529" s="8">
        <f>8.6153 * CHOOSE(CONTROL!$C$12, $D$4, 100%, $F$4)</f>
        <v>8.6152999999999995</v>
      </c>
      <c r="J529" s="4">
        <f>8.5628 * CHOOSE(CONTROL!$C$12, $D$4, 100%, $F$4)</f>
        <v>8.5627999999999993</v>
      </c>
      <c r="K529" s="4"/>
      <c r="L529" s="9">
        <v>27.988800000000001</v>
      </c>
      <c r="M529" s="9">
        <v>11.6745</v>
      </c>
      <c r="N529" s="9">
        <v>4.7850000000000001</v>
      </c>
      <c r="O529" s="9">
        <v>0.36249999999999999</v>
      </c>
      <c r="P529" s="9">
        <v>1.1798</v>
      </c>
      <c r="Q529" s="9">
        <v>19.053000000000001</v>
      </c>
      <c r="R529" s="9"/>
      <c r="S529" s="11"/>
    </row>
    <row r="530" spans="1:19" ht="15.6">
      <c r="A530" s="13">
        <v>58226</v>
      </c>
      <c r="B530" s="8">
        <f>CHOOSE( CONTROL!$C$29, 9.08, 9.0732) * CHOOSE(CONTROL!$C$12, $D$4, 100%, $F$4)</f>
        <v>9.0731999999999999</v>
      </c>
      <c r="C530" s="8">
        <f>CHOOSE( CONTROL!$C$29, 9.0903, 9.0835) * CHOOSE(CONTROL!$C$12, $D$4, 100%, $F$4)</f>
        <v>9.0835000000000008</v>
      </c>
      <c r="D530" s="8">
        <f>CHOOSE( CONTROL!$C$29, 9.0706, 9.0637) * CHOOSE( CONTROL!$C$12, $D$4, 100%, $F$4)</f>
        <v>9.0637000000000008</v>
      </c>
      <c r="E530" s="12">
        <f>CHOOSE( CONTROL!$C$29, 9.0762, 9.0693) * CHOOSE( CONTROL!$C$12, $D$4, 100%, $F$4)</f>
        <v>9.0693000000000001</v>
      </c>
      <c r="F530" s="4">
        <f>CHOOSE( CONTROL!$C$29, 10.0544, 10.0476) * CHOOSE(CONTROL!$C$12, $D$4, 100%, $F$4)</f>
        <v>10.047599999999999</v>
      </c>
      <c r="G530" s="8">
        <f>CHOOSE( CONTROL!$C$29, 8.931, 8.9242) * CHOOSE( CONTROL!$C$12, $D$4, 100%, $F$4)</f>
        <v>8.9242000000000008</v>
      </c>
      <c r="H530" s="4">
        <f>CHOOSE( CONTROL!$C$29, 9.8286, 9.8219) * CHOOSE(CONTROL!$C$12, $D$4, 100%, $F$4)</f>
        <v>9.8218999999999994</v>
      </c>
      <c r="I530" s="8">
        <f>CHOOSE( CONTROL!$C$29, 8.8287, 8.822) * CHOOSE(CONTROL!$C$12, $D$4, 100%, $F$4)</f>
        <v>8.8219999999999992</v>
      </c>
      <c r="J530" s="4">
        <f>CHOOSE( CONTROL!$C$29, 8.7976, 8.7909) * CHOOSE(CONTROL!$C$12, $D$4, 100%, $F$4)</f>
        <v>8.7909000000000006</v>
      </c>
      <c r="K530" s="4"/>
      <c r="L530" s="9">
        <v>29.520499999999998</v>
      </c>
      <c r="M530" s="9">
        <v>12.063700000000001</v>
      </c>
      <c r="N530" s="9">
        <v>4.9444999999999997</v>
      </c>
      <c r="O530" s="9">
        <v>0.37459999999999999</v>
      </c>
      <c r="P530" s="9">
        <v>1.2192000000000001</v>
      </c>
      <c r="Q530" s="9">
        <v>19.688099999999999</v>
      </c>
      <c r="R530" s="9"/>
      <c r="S530" s="11"/>
    </row>
    <row r="531" spans="1:19" ht="15.6">
      <c r="A531" s="13">
        <v>58256</v>
      </c>
      <c r="B531" s="8">
        <f>CHOOSE( CONTROL!$C$29, 8.9341, 8.9273) * CHOOSE(CONTROL!$C$12, $D$4, 100%, $F$4)</f>
        <v>8.9273000000000007</v>
      </c>
      <c r="C531" s="8">
        <f>CHOOSE( CONTROL!$C$29, 8.9445, 8.9376) * CHOOSE(CONTROL!$C$12, $D$4, 100%, $F$4)</f>
        <v>8.9375999999999998</v>
      </c>
      <c r="D531" s="8">
        <f>CHOOSE( CONTROL!$C$29, 8.9192, 8.9123) * CHOOSE( CONTROL!$C$12, $D$4, 100%, $F$4)</f>
        <v>8.9123000000000001</v>
      </c>
      <c r="E531" s="12">
        <f>CHOOSE( CONTROL!$C$29, 8.9268, 8.9199) * CHOOSE( CONTROL!$C$12, $D$4, 100%, $F$4)</f>
        <v>8.9199000000000002</v>
      </c>
      <c r="F531" s="4">
        <f>CHOOSE( CONTROL!$C$29, 9.8983, 9.8914) * CHOOSE(CONTROL!$C$12, $D$4, 100%, $F$4)</f>
        <v>9.8914000000000009</v>
      </c>
      <c r="G531" s="8">
        <f>CHOOSE( CONTROL!$C$29, 8.7859, 8.7792) * CHOOSE( CONTROL!$C$12, $D$4, 100%, $F$4)</f>
        <v>8.7791999999999994</v>
      </c>
      <c r="H531" s="4">
        <f>CHOOSE( CONTROL!$C$29, 9.6747, 9.6679) * CHOOSE(CONTROL!$C$12, $D$4, 100%, $F$4)</f>
        <v>9.6678999999999995</v>
      </c>
      <c r="I531" s="8">
        <f>CHOOSE( CONTROL!$C$29, 8.6894, 8.6828) * CHOOSE(CONTROL!$C$12, $D$4, 100%, $F$4)</f>
        <v>8.6828000000000003</v>
      </c>
      <c r="J531" s="4">
        <f>CHOOSE( CONTROL!$C$29, 8.6562, 8.6496) * CHOOSE(CONTROL!$C$12, $D$4, 100%, $F$4)</f>
        <v>8.6495999999999995</v>
      </c>
      <c r="K531" s="4"/>
      <c r="L531" s="9">
        <v>28.568200000000001</v>
      </c>
      <c r="M531" s="9">
        <v>11.6745</v>
      </c>
      <c r="N531" s="9">
        <v>4.7850000000000001</v>
      </c>
      <c r="O531" s="9">
        <v>0.36249999999999999</v>
      </c>
      <c r="P531" s="9">
        <v>1.1798</v>
      </c>
      <c r="Q531" s="9">
        <v>19.053000000000001</v>
      </c>
      <c r="R531" s="9"/>
      <c r="S531" s="11"/>
    </row>
    <row r="532" spans="1:19" ht="15.6">
      <c r="A532" s="13">
        <v>58287</v>
      </c>
      <c r="B532" s="8">
        <f>CHOOSE( CONTROL!$C$29, 9.3182, 9.3114) * CHOOSE(CONTROL!$C$12, $D$4, 100%, $F$4)</f>
        <v>9.3114000000000008</v>
      </c>
      <c r="C532" s="8">
        <f>CHOOSE( CONTROL!$C$29, 9.3286, 9.3217) * CHOOSE(CONTROL!$C$12, $D$4, 100%, $F$4)</f>
        <v>9.3216999999999999</v>
      </c>
      <c r="D532" s="8">
        <f>CHOOSE( CONTROL!$C$29, 9.3367, 9.3299) * CHOOSE( CONTROL!$C$12, $D$4, 100%, $F$4)</f>
        <v>9.3299000000000003</v>
      </c>
      <c r="E532" s="12">
        <f>CHOOSE( CONTROL!$C$29, 9.3322, 9.3254) * CHOOSE( CONTROL!$C$12, $D$4, 100%, $F$4)</f>
        <v>9.3254000000000001</v>
      </c>
      <c r="F532" s="4">
        <f>CHOOSE( CONTROL!$C$29, 10.3273, 10.3204) * CHOOSE(CONTROL!$C$12, $D$4, 100%, $F$4)</f>
        <v>10.320399999999999</v>
      </c>
      <c r="G532" s="8">
        <f>CHOOSE( CONTROL!$C$29, 9.1906, 9.1839) * CHOOSE( CONTROL!$C$12, $D$4, 100%, $F$4)</f>
        <v>9.1838999999999995</v>
      </c>
      <c r="H532" s="4">
        <f>CHOOSE( CONTROL!$C$29, 10.0975, 10.0908) * CHOOSE(CONTROL!$C$12, $D$4, 100%, $F$4)</f>
        <v>10.0908</v>
      </c>
      <c r="I532" s="8">
        <f>CHOOSE( CONTROL!$C$29, 9.1171, 9.1105) * CHOOSE(CONTROL!$C$12, $D$4, 100%, $F$4)</f>
        <v>9.1105</v>
      </c>
      <c r="J532" s="4">
        <f>CHOOSE( CONTROL!$C$29, 9.0284, 9.0218) * CHOOSE(CONTROL!$C$12, $D$4, 100%, $F$4)</f>
        <v>9.0218000000000007</v>
      </c>
      <c r="K532" s="4"/>
      <c r="L532" s="9">
        <v>29.520499999999998</v>
      </c>
      <c r="M532" s="9">
        <v>12.063700000000001</v>
      </c>
      <c r="N532" s="9">
        <v>4.9444999999999997</v>
      </c>
      <c r="O532" s="9">
        <v>0.37459999999999999</v>
      </c>
      <c r="P532" s="9">
        <v>1.2192000000000001</v>
      </c>
      <c r="Q532" s="9">
        <v>19.688099999999999</v>
      </c>
      <c r="R532" s="9"/>
      <c r="S532" s="11"/>
    </row>
    <row r="533" spans="1:19" ht="15.6">
      <c r="A533" s="13">
        <v>58318</v>
      </c>
      <c r="B533" s="8">
        <f>CHOOSE( CONTROL!$C$29, 8.5995, 8.5927) * CHOOSE(CONTROL!$C$12, $D$4, 100%, $F$4)</f>
        <v>8.5927000000000007</v>
      </c>
      <c r="C533" s="8">
        <f>CHOOSE( CONTROL!$C$29, 8.6099, 8.603) * CHOOSE(CONTROL!$C$12, $D$4, 100%, $F$4)</f>
        <v>8.6029999999999998</v>
      </c>
      <c r="D533" s="8">
        <f>CHOOSE( CONTROL!$C$29, 8.6113, 8.6045) * CHOOSE( CONTROL!$C$12, $D$4, 100%, $F$4)</f>
        <v>8.6044999999999998</v>
      </c>
      <c r="E533" s="12">
        <f>CHOOSE( CONTROL!$C$29, 8.6092, 8.6024) * CHOOSE( CONTROL!$C$12, $D$4, 100%, $F$4)</f>
        <v>8.6023999999999994</v>
      </c>
      <c r="F533" s="4">
        <f>CHOOSE( CONTROL!$C$29, 9.606, 9.5991) * CHOOSE(CONTROL!$C$12, $D$4, 100%, $F$4)</f>
        <v>9.5991</v>
      </c>
      <c r="G533" s="8">
        <f>CHOOSE( CONTROL!$C$29, 8.4722, 8.4655) * CHOOSE( CONTROL!$C$12, $D$4, 100%, $F$4)</f>
        <v>8.4655000000000005</v>
      </c>
      <c r="H533" s="4">
        <f>CHOOSE( CONTROL!$C$29, 9.3865, 9.3798) * CHOOSE(CONTROL!$C$12, $D$4, 100%, $F$4)</f>
        <v>9.3797999999999995</v>
      </c>
      <c r="I533" s="8">
        <f>CHOOSE( CONTROL!$C$29, 8.4014, 8.3948) * CHOOSE(CONTROL!$C$12, $D$4, 100%, $F$4)</f>
        <v>8.3948</v>
      </c>
      <c r="J533" s="4">
        <f>CHOOSE( CONTROL!$C$29, 8.332, 8.3254) * CHOOSE(CONTROL!$C$12, $D$4, 100%, $F$4)</f>
        <v>8.3254000000000001</v>
      </c>
      <c r="K533" s="4"/>
      <c r="L533" s="9">
        <v>29.520499999999998</v>
      </c>
      <c r="M533" s="9">
        <v>12.063700000000001</v>
      </c>
      <c r="N533" s="9">
        <v>4.9444999999999997</v>
      </c>
      <c r="O533" s="9">
        <v>0.37459999999999999</v>
      </c>
      <c r="P533" s="9">
        <v>1.2192000000000001</v>
      </c>
      <c r="Q533" s="9">
        <v>19.688099999999999</v>
      </c>
      <c r="R533" s="9"/>
      <c r="S533" s="11"/>
    </row>
    <row r="534" spans="1:19" ht="15.6">
      <c r="A534" s="13">
        <v>58348</v>
      </c>
      <c r="B534" s="8">
        <f>CHOOSE( CONTROL!$C$29, 8.4196, 8.4127) * CHOOSE(CONTROL!$C$12, $D$4, 100%, $F$4)</f>
        <v>8.4126999999999992</v>
      </c>
      <c r="C534" s="8">
        <f>CHOOSE( CONTROL!$C$29, 8.4299, 8.4231) * CHOOSE(CONTROL!$C$12, $D$4, 100%, $F$4)</f>
        <v>8.4230999999999998</v>
      </c>
      <c r="D534" s="8">
        <f>CHOOSE( CONTROL!$C$29, 8.4346, 8.4277) * CHOOSE( CONTROL!$C$12, $D$4, 100%, $F$4)</f>
        <v>8.4276999999999997</v>
      </c>
      <c r="E534" s="12">
        <f>CHOOSE( CONTROL!$C$29, 8.4313, 8.4244) * CHOOSE( CONTROL!$C$12, $D$4, 100%, $F$4)</f>
        <v>8.4244000000000003</v>
      </c>
      <c r="F534" s="4">
        <f>CHOOSE( CONTROL!$C$29, 9.4312, 9.4243) * CHOOSE(CONTROL!$C$12, $D$4, 100%, $F$4)</f>
        <v>9.4243000000000006</v>
      </c>
      <c r="G534" s="8">
        <f>CHOOSE( CONTROL!$C$29, 8.2969, 8.2901) * CHOOSE( CONTROL!$C$12, $D$4, 100%, $F$4)</f>
        <v>8.2901000000000007</v>
      </c>
      <c r="H534" s="4">
        <f>CHOOSE( CONTROL!$C$29, 9.2142, 9.2075) * CHOOSE(CONTROL!$C$12, $D$4, 100%, $F$4)</f>
        <v>9.2074999999999996</v>
      </c>
      <c r="I534" s="8">
        <f>CHOOSE( CONTROL!$C$29, 8.2347, 8.2281) * CHOOSE(CONTROL!$C$12, $D$4, 100%, $F$4)</f>
        <v>8.2280999999999995</v>
      </c>
      <c r="J534" s="4">
        <f>CHOOSE( CONTROL!$C$29, 8.1576, 8.151) * CHOOSE(CONTROL!$C$12, $D$4, 100%, $F$4)</f>
        <v>8.1509999999999998</v>
      </c>
      <c r="K534" s="4"/>
      <c r="L534" s="9">
        <v>28.568200000000001</v>
      </c>
      <c r="M534" s="9">
        <v>11.6745</v>
      </c>
      <c r="N534" s="9">
        <v>4.7850000000000001</v>
      </c>
      <c r="O534" s="9">
        <v>0.36249999999999999</v>
      </c>
      <c r="P534" s="9">
        <v>1.1798</v>
      </c>
      <c r="Q534" s="9">
        <v>19.053000000000001</v>
      </c>
      <c r="R534" s="9"/>
      <c r="S534" s="11"/>
    </row>
    <row r="535" spans="1:19" ht="15.6">
      <c r="A535" s="13">
        <v>58379</v>
      </c>
      <c r="B535" s="8">
        <f>8.7864 * CHOOSE(CONTROL!$C$12, $D$4, 100%, $F$4)</f>
        <v>8.7864000000000004</v>
      </c>
      <c r="C535" s="8">
        <f>8.7967 * CHOOSE(CONTROL!$C$12, $D$4, 100%, $F$4)</f>
        <v>8.7966999999999995</v>
      </c>
      <c r="D535" s="8">
        <f>8.7918 * CHOOSE( CONTROL!$C$12, $D$4, 100%, $F$4)</f>
        <v>8.7918000000000003</v>
      </c>
      <c r="E535" s="12">
        <f>8.7923 * CHOOSE( CONTROL!$C$12, $D$4, 100%, $F$4)</f>
        <v>8.7922999999999991</v>
      </c>
      <c r="F535" s="4">
        <f>9.7774 * CHOOSE(CONTROL!$C$12, $D$4, 100%, $F$4)</f>
        <v>9.7774000000000001</v>
      </c>
      <c r="G535" s="8">
        <f>8.6553 * CHOOSE( CONTROL!$C$12, $D$4, 100%, $F$4)</f>
        <v>8.6553000000000004</v>
      </c>
      <c r="H535" s="4">
        <f>9.5555 * CHOOSE(CONTROL!$C$12, $D$4, 100%, $F$4)</f>
        <v>9.5555000000000003</v>
      </c>
      <c r="I535" s="8">
        <f>8.5943 * CHOOSE(CONTROL!$C$12, $D$4, 100%, $F$4)</f>
        <v>8.5943000000000005</v>
      </c>
      <c r="J535" s="4">
        <f>8.5131 * CHOOSE(CONTROL!$C$12, $D$4, 100%, $F$4)</f>
        <v>8.5130999999999997</v>
      </c>
      <c r="K535" s="4"/>
      <c r="L535" s="9">
        <v>28.921800000000001</v>
      </c>
      <c r="M535" s="9">
        <v>12.063700000000001</v>
      </c>
      <c r="N535" s="9">
        <v>4.9444999999999997</v>
      </c>
      <c r="O535" s="9">
        <v>0.37459999999999999</v>
      </c>
      <c r="P535" s="9">
        <v>1.2192000000000001</v>
      </c>
      <c r="Q535" s="9">
        <v>19.688099999999999</v>
      </c>
      <c r="R535" s="9"/>
      <c r="S535" s="11"/>
    </row>
    <row r="536" spans="1:19" ht="15.6">
      <c r="A536" s="13">
        <v>58409</v>
      </c>
      <c r="B536" s="8">
        <f>9.4762 * CHOOSE(CONTROL!$C$12, $D$4, 100%, $F$4)</f>
        <v>9.4762000000000004</v>
      </c>
      <c r="C536" s="8">
        <f>9.4865 * CHOOSE(CONTROL!$C$12, $D$4, 100%, $F$4)</f>
        <v>9.4864999999999995</v>
      </c>
      <c r="D536" s="8">
        <f>9.4458 * CHOOSE( CONTROL!$C$12, $D$4, 100%, $F$4)</f>
        <v>9.4458000000000002</v>
      </c>
      <c r="E536" s="12">
        <f>9.4596 * CHOOSE( CONTROL!$C$12, $D$4, 100%, $F$4)</f>
        <v>9.4596</v>
      </c>
      <c r="F536" s="4">
        <f>10.4532 * CHOOSE(CONTROL!$C$12, $D$4, 100%, $F$4)</f>
        <v>10.453200000000001</v>
      </c>
      <c r="G536" s="8">
        <f>9.3291 * CHOOSE( CONTROL!$C$12, $D$4, 100%, $F$4)</f>
        <v>9.3291000000000004</v>
      </c>
      <c r="H536" s="4">
        <f>10.2217 * CHOOSE(CONTROL!$C$12, $D$4, 100%, $F$4)</f>
        <v>10.2217</v>
      </c>
      <c r="I536" s="8">
        <f>9.2472 * CHOOSE(CONTROL!$C$12, $D$4, 100%, $F$4)</f>
        <v>9.2471999999999994</v>
      </c>
      <c r="J536" s="4">
        <f>9.1814 * CHOOSE(CONTROL!$C$12, $D$4, 100%, $F$4)</f>
        <v>9.1814</v>
      </c>
      <c r="K536" s="4"/>
      <c r="L536" s="9">
        <v>26.515499999999999</v>
      </c>
      <c r="M536" s="9">
        <v>11.6745</v>
      </c>
      <c r="N536" s="9">
        <v>4.7850000000000001</v>
      </c>
      <c r="O536" s="9">
        <v>0.36249999999999999</v>
      </c>
      <c r="P536" s="9">
        <v>1.2522</v>
      </c>
      <c r="Q536" s="9">
        <v>19.053000000000001</v>
      </c>
      <c r="R536" s="9"/>
      <c r="S536" s="11"/>
    </row>
    <row r="537" spans="1:19" ht="15.6">
      <c r="A537" s="13">
        <v>58440</v>
      </c>
      <c r="B537" s="8">
        <f>9.4589 * CHOOSE(CONTROL!$C$12, $D$4, 100%, $F$4)</f>
        <v>9.4588999999999999</v>
      </c>
      <c r="C537" s="8">
        <f>9.4692 * CHOOSE(CONTROL!$C$12, $D$4, 100%, $F$4)</f>
        <v>9.4692000000000007</v>
      </c>
      <c r="D537" s="8">
        <f>9.4304 * CHOOSE( CONTROL!$C$12, $D$4, 100%, $F$4)</f>
        <v>9.4304000000000006</v>
      </c>
      <c r="E537" s="12">
        <f>9.4435 * CHOOSE( CONTROL!$C$12, $D$4, 100%, $F$4)</f>
        <v>9.4435000000000002</v>
      </c>
      <c r="F537" s="4">
        <f>10.4292 * CHOOSE(CONTROL!$C$12, $D$4, 100%, $F$4)</f>
        <v>10.4292</v>
      </c>
      <c r="G537" s="8">
        <f>9.3145 * CHOOSE( CONTROL!$C$12, $D$4, 100%, $F$4)</f>
        <v>9.3145000000000007</v>
      </c>
      <c r="H537" s="4">
        <f>10.1981 * CHOOSE(CONTROL!$C$12, $D$4, 100%, $F$4)</f>
        <v>10.1981</v>
      </c>
      <c r="I537" s="8">
        <f>9.2413 * CHOOSE(CONTROL!$C$12, $D$4, 100%, $F$4)</f>
        <v>9.2413000000000007</v>
      </c>
      <c r="J537" s="4">
        <f>9.1647 * CHOOSE(CONTROL!$C$12, $D$4, 100%, $F$4)</f>
        <v>9.1646999999999998</v>
      </c>
      <c r="K537" s="4"/>
      <c r="L537" s="9">
        <v>27.3993</v>
      </c>
      <c r="M537" s="9">
        <v>12.063700000000001</v>
      </c>
      <c r="N537" s="9">
        <v>4.9444999999999997</v>
      </c>
      <c r="O537" s="9">
        <v>0.37459999999999999</v>
      </c>
      <c r="P537" s="9">
        <v>1.2939000000000001</v>
      </c>
      <c r="Q537" s="9">
        <v>19.688099999999999</v>
      </c>
      <c r="R537" s="9"/>
      <c r="S537" s="11"/>
    </row>
    <row r="538" spans="1:19" ht="15.6">
      <c r="A538" s="13">
        <v>58471</v>
      </c>
      <c r="B538" s="8">
        <f>9.6796 * CHOOSE(CONTROL!$C$12, $D$4, 100%, $F$4)</f>
        <v>9.6796000000000006</v>
      </c>
      <c r="C538" s="8">
        <f>9.69 * CHOOSE(CONTROL!$C$12, $D$4, 100%, $F$4)</f>
        <v>9.69</v>
      </c>
      <c r="D538" s="8">
        <f>9.6898 * CHOOSE( CONTROL!$C$12, $D$4, 100%, $F$4)</f>
        <v>9.6898</v>
      </c>
      <c r="E538" s="12">
        <f>9.6888 * CHOOSE( CONTROL!$C$12, $D$4, 100%, $F$4)</f>
        <v>9.6888000000000005</v>
      </c>
      <c r="F538" s="4">
        <f>10.7016 * CHOOSE(CONTROL!$C$12, $D$4, 100%, $F$4)</f>
        <v>10.701599999999999</v>
      </c>
      <c r="G538" s="8">
        <f>9.573 * CHOOSE( CONTROL!$C$12, $D$4, 100%, $F$4)</f>
        <v>9.5730000000000004</v>
      </c>
      <c r="H538" s="4">
        <f>10.4665 * CHOOSE(CONTROL!$C$12, $D$4, 100%, $F$4)</f>
        <v>10.4665</v>
      </c>
      <c r="I538" s="8">
        <f>9.4919 * CHOOSE(CONTROL!$C$12, $D$4, 100%, $F$4)</f>
        <v>9.4918999999999993</v>
      </c>
      <c r="J538" s="4">
        <f>9.3786 * CHOOSE(CONTROL!$C$12, $D$4, 100%, $F$4)</f>
        <v>9.3786000000000005</v>
      </c>
      <c r="K538" s="4"/>
      <c r="L538" s="9">
        <v>27.3993</v>
      </c>
      <c r="M538" s="9">
        <v>12.063700000000001</v>
      </c>
      <c r="N538" s="9">
        <v>4.9444999999999997</v>
      </c>
      <c r="O538" s="9">
        <v>0.37459999999999999</v>
      </c>
      <c r="P538" s="9">
        <v>1.2939000000000001</v>
      </c>
      <c r="Q538" s="9">
        <v>19.688099999999999</v>
      </c>
      <c r="R538" s="9"/>
      <c r="S538" s="11"/>
    </row>
    <row r="539" spans="1:19" ht="15.6">
      <c r="A539" s="13">
        <v>58499</v>
      </c>
      <c r="B539" s="8">
        <f>9.0539 * CHOOSE(CONTROL!$C$12, $D$4, 100%, $F$4)</f>
        <v>9.0539000000000005</v>
      </c>
      <c r="C539" s="8">
        <f>9.0642 * CHOOSE(CONTROL!$C$12, $D$4, 100%, $F$4)</f>
        <v>9.0641999999999996</v>
      </c>
      <c r="D539" s="8">
        <f>9.0663 * CHOOSE( CONTROL!$C$12, $D$4, 100%, $F$4)</f>
        <v>9.0663</v>
      </c>
      <c r="E539" s="12">
        <f>9.0644 * CHOOSE( CONTROL!$C$12, $D$4, 100%, $F$4)</f>
        <v>9.0643999999999991</v>
      </c>
      <c r="F539" s="4">
        <f>10.0681 * CHOOSE(CONTROL!$C$12, $D$4, 100%, $F$4)</f>
        <v>10.068099999999999</v>
      </c>
      <c r="G539" s="8">
        <f>8.9561 * CHOOSE( CONTROL!$C$12, $D$4, 100%, $F$4)</f>
        <v>8.9560999999999993</v>
      </c>
      <c r="H539" s="4">
        <f>9.8421 * CHOOSE(CONTROL!$C$12, $D$4, 100%, $F$4)</f>
        <v>9.8421000000000003</v>
      </c>
      <c r="I539" s="8">
        <f>8.8743 * CHOOSE(CONTROL!$C$12, $D$4, 100%, $F$4)</f>
        <v>8.8742999999999999</v>
      </c>
      <c r="J539" s="4">
        <f>8.7723 * CHOOSE(CONTROL!$C$12, $D$4, 100%, $F$4)</f>
        <v>8.7722999999999995</v>
      </c>
      <c r="K539" s="4"/>
      <c r="L539" s="9">
        <v>25.631599999999999</v>
      </c>
      <c r="M539" s="9">
        <v>11.285299999999999</v>
      </c>
      <c r="N539" s="9">
        <v>4.6254999999999997</v>
      </c>
      <c r="O539" s="9">
        <v>0.35039999999999999</v>
      </c>
      <c r="P539" s="9">
        <v>1.2104999999999999</v>
      </c>
      <c r="Q539" s="9">
        <v>18.417899999999999</v>
      </c>
      <c r="R539" s="9"/>
      <c r="S539" s="11"/>
    </row>
    <row r="540" spans="1:19" ht="15.6">
      <c r="A540" s="13">
        <v>58531</v>
      </c>
      <c r="B540" s="8">
        <f>8.8612 * CHOOSE(CONTROL!$C$12, $D$4, 100%, $F$4)</f>
        <v>8.8612000000000002</v>
      </c>
      <c r="C540" s="8">
        <f>8.8715 * CHOOSE(CONTROL!$C$12, $D$4, 100%, $F$4)</f>
        <v>8.8714999999999993</v>
      </c>
      <c r="D540" s="8">
        <f>8.8537 * CHOOSE( CONTROL!$C$12, $D$4, 100%, $F$4)</f>
        <v>8.8536999999999999</v>
      </c>
      <c r="E540" s="12">
        <f>8.8591 * CHOOSE( CONTROL!$C$12, $D$4, 100%, $F$4)</f>
        <v>8.8590999999999998</v>
      </c>
      <c r="F540" s="4">
        <f>9.8594 * CHOOSE(CONTROL!$C$12, $D$4, 100%, $F$4)</f>
        <v>9.8594000000000008</v>
      </c>
      <c r="G540" s="8">
        <f>8.7456 * CHOOSE( CONTROL!$C$12, $D$4, 100%, $F$4)</f>
        <v>8.7455999999999996</v>
      </c>
      <c r="H540" s="4">
        <f>9.6363 * CHOOSE(CONTROL!$C$12, $D$4, 100%, $F$4)</f>
        <v>9.6363000000000003</v>
      </c>
      <c r="I540" s="8">
        <f>8.648 * CHOOSE(CONTROL!$C$12, $D$4, 100%, $F$4)</f>
        <v>8.6479999999999997</v>
      </c>
      <c r="J540" s="4">
        <f>8.5856 * CHOOSE(CONTROL!$C$12, $D$4, 100%, $F$4)</f>
        <v>8.5855999999999995</v>
      </c>
      <c r="K540" s="4"/>
      <c r="L540" s="9">
        <v>27.3993</v>
      </c>
      <c r="M540" s="9">
        <v>12.063700000000001</v>
      </c>
      <c r="N540" s="9">
        <v>4.9444999999999997</v>
      </c>
      <c r="O540" s="9">
        <v>0.37459999999999999</v>
      </c>
      <c r="P540" s="9">
        <v>1.2939000000000001</v>
      </c>
      <c r="Q540" s="9">
        <v>19.688099999999999</v>
      </c>
      <c r="R540" s="9"/>
      <c r="S540" s="11"/>
    </row>
    <row r="541" spans="1:19" ht="15.6">
      <c r="A541" s="13">
        <v>58561</v>
      </c>
      <c r="B541" s="8">
        <f>8.9959 * CHOOSE(CONTROL!$C$12, $D$4, 100%, $F$4)</f>
        <v>8.9959000000000007</v>
      </c>
      <c r="C541" s="8">
        <f>9.0062 * CHOOSE(CONTROL!$C$12, $D$4, 100%, $F$4)</f>
        <v>9.0061999999999998</v>
      </c>
      <c r="D541" s="8">
        <f>9.0112 * CHOOSE( CONTROL!$C$12, $D$4, 100%, $F$4)</f>
        <v>9.0112000000000005</v>
      </c>
      <c r="E541" s="12">
        <f>9.0084 * CHOOSE( CONTROL!$C$12, $D$4, 100%, $F$4)</f>
        <v>9.0084</v>
      </c>
      <c r="F541" s="4">
        <f>10.0023 * CHOOSE(CONTROL!$C$12, $D$4, 100%, $F$4)</f>
        <v>10.0023</v>
      </c>
      <c r="G541" s="8">
        <f>8.8663 * CHOOSE( CONTROL!$C$12, $D$4, 100%, $F$4)</f>
        <v>8.8663000000000007</v>
      </c>
      <c r="H541" s="4">
        <f>9.7772 * CHOOSE(CONTROL!$C$12, $D$4, 100%, $F$4)</f>
        <v>9.7772000000000006</v>
      </c>
      <c r="I541" s="8">
        <f>8.7686 * CHOOSE(CONTROL!$C$12, $D$4, 100%, $F$4)</f>
        <v>8.7685999999999993</v>
      </c>
      <c r="J541" s="4">
        <f>8.7161 * CHOOSE(CONTROL!$C$12, $D$4, 100%, $F$4)</f>
        <v>8.7161000000000008</v>
      </c>
      <c r="K541" s="4"/>
      <c r="L541" s="9">
        <v>27.988800000000001</v>
      </c>
      <c r="M541" s="9">
        <v>11.6745</v>
      </c>
      <c r="N541" s="9">
        <v>4.7850000000000001</v>
      </c>
      <c r="O541" s="9">
        <v>0.36249999999999999</v>
      </c>
      <c r="P541" s="9">
        <v>1.1798</v>
      </c>
      <c r="Q541" s="9">
        <v>19.053000000000001</v>
      </c>
      <c r="R541" s="9"/>
      <c r="S541" s="11"/>
    </row>
    <row r="542" spans="1:19" ht="15.6">
      <c r="A542" s="13">
        <v>58592</v>
      </c>
      <c r="B542" s="8">
        <f>CHOOSE( CONTROL!$C$29, 9.2424, 9.2356) * CHOOSE(CONTROL!$C$12, $D$4, 100%, $F$4)</f>
        <v>9.2355999999999998</v>
      </c>
      <c r="C542" s="8">
        <f>CHOOSE( CONTROL!$C$29, 9.2527, 9.2459) * CHOOSE(CONTROL!$C$12, $D$4, 100%, $F$4)</f>
        <v>9.2459000000000007</v>
      </c>
      <c r="D542" s="8">
        <f>CHOOSE( CONTROL!$C$29, 9.233, 9.2261) * CHOOSE( CONTROL!$C$12, $D$4, 100%, $F$4)</f>
        <v>9.2261000000000006</v>
      </c>
      <c r="E542" s="12">
        <f>CHOOSE( CONTROL!$C$29, 9.2386, 9.2317) * CHOOSE( CONTROL!$C$12, $D$4, 100%, $F$4)</f>
        <v>9.2317</v>
      </c>
      <c r="F542" s="4">
        <f>CHOOSE( CONTROL!$C$29, 10.2168, 10.21) * CHOOSE(CONTROL!$C$12, $D$4, 100%, $F$4)</f>
        <v>10.210000000000001</v>
      </c>
      <c r="G542" s="8">
        <f>CHOOSE( CONTROL!$C$29, 9.091, 9.0843) * CHOOSE( CONTROL!$C$12, $D$4, 100%, $F$4)</f>
        <v>9.0843000000000007</v>
      </c>
      <c r="H542" s="4">
        <f>CHOOSE( CONTROL!$C$29, 9.9887, 9.982) * CHOOSE(CONTROL!$C$12, $D$4, 100%, $F$4)</f>
        <v>9.9819999999999993</v>
      </c>
      <c r="I542" s="8">
        <f>CHOOSE( CONTROL!$C$29, 8.9861, 8.9795) * CHOOSE(CONTROL!$C$12, $D$4, 100%, $F$4)</f>
        <v>8.9794999999999998</v>
      </c>
      <c r="J542" s="4">
        <f>CHOOSE( CONTROL!$C$29, 8.9549, 8.9483) * CHOOSE(CONTROL!$C$12, $D$4, 100%, $F$4)</f>
        <v>8.9482999999999997</v>
      </c>
      <c r="K542" s="4"/>
      <c r="L542" s="9">
        <v>29.520499999999998</v>
      </c>
      <c r="M542" s="9">
        <v>12.063700000000001</v>
      </c>
      <c r="N542" s="9">
        <v>4.9444999999999997</v>
      </c>
      <c r="O542" s="9">
        <v>0.37459999999999999</v>
      </c>
      <c r="P542" s="9">
        <v>1.2192000000000001</v>
      </c>
      <c r="Q542" s="9">
        <v>19.688099999999999</v>
      </c>
      <c r="R542" s="9"/>
      <c r="S542" s="11"/>
    </row>
    <row r="543" spans="1:19" ht="15.6">
      <c r="A543" s="13">
        <v>58622</v>
      </c>
      <c r="B543" s="8">
        <f>CHOOSE( CONTROL!$C$29, 9.0939, 9.0871) * CHOOSE(CONTROL!$C$12, $D$4, 100%, $F$4)</f>
        <v>9.0870999999999995</v>
      </c>
      <c r="C543" s="8">
        <f>CHOOSE( CONTROL!$C$29, 9.1042, 9.0974) * CHOOSE(CONTROL!$C$12, $D$4, 100%, $F$4)</f>
        <v>9.0974000000000004</v>
      </c>
      <c r="D543" s="8">
        <f>CHOOSE( CONTROL!$C$29, 9.079, 9.0721) * CHOOSE( CONTROL!$C$12, $D$4, 100%, $F$4)</f>
        <v>9.0721000000000007</v>
      </c>
      <c r="E543" s="12">
        <f>CHOOSE( CONTROL!$C$29, 9.0866, 9.0797) * CHOOSE( CONTROL!$C$12, $D$4, 100%, $F$4)</f>
        <v>9.0797000000000008</v>
      </c>
      <c r="F543" s="4">
        <f>CHOOSE( CONTROL!$C$29, 10.058, 10.0512) * CHOOSE(CONTROL!$C$12, $D$4, 100%, $F$4)</f>
        <v>10.0512</v>
      </c>
      <c r="G543" s="8">
        <f>CHOOSE( CONTROL!$C$29, 8.9434, 8.9367) * CHOOSE( CONTROL!$C$12, $D$4, 100%, $F$4)</f>
        <v>8.9367000000000001</v>
      </c>
      <c r="H543" s="4">
        <f>CHOOSE( CONTROL!$C$29, 9.8322, 9.8254) * CHOOSE(CONTROL!$C$12, $D$4, 100%, $F$4)</f>
        <v>9.8254000000000001</v>
      </c>
      <c r="I543" s="8">
        <f>CHOOSE( CONTROL!$C$29, 8.8443, 8.8377) * CHOOSE(CONTROL!$C$12, $D$4, 100%, $F$4)</f>
        <v>8.8376999999999999</v>
      </c>
      <c r="J543" s="4">
        <f>CHOOSE( CONTROL!$C$29, 8.8111, 8.8044) * CHOOSE(CONTROL!$C$12, $D$4, 100%, $F$4)</f>
        <v>8.8043999999999993</v>
      </c>
      <c r="K543" s="4"/>
      <c r="L543" s="9">
        <v>28.568200000000001</v>
      </c>
      <c r="M543" s="9">
        <v>11.6745</v>
      </c>
      <c r="N543" s="9">
        <v>4.7850000000000001</v>
      </c>
      <c r="O543" s="9">
        <v>0.36249999999999999</v>
      </c>
      <c r="P543" s="9">
        <v>1.1798</v>
      </c>
      <c r="Q543" s="9">
        <v>19.053000000000001</v>
      </c>
      <c r="R543" s="9"/>
      <c r="S543" s="11"/>
    </row>
    <row r="544" spans="1:19" ht="15.6">
      <c r="A544" s="13">
        <v>58653</v>
      </c>
      <c r="B544" s="8">
        <f>CHOOSE( CONTROL!$C$29, 9.4849, 9.4781) * CHOOSE(CONTROL!$C$12, $D$4, 100%, $F$4)</f>
        <v>9.4780999999999995</v>
      </c>
      <c r="C544" s="8">
        <f>CHOOSE( CONTROL!$C$29, 9.4952, 9.4884) * CHOOSE(CONTROL!$C$12, $D$4, 100%, $F$4)</f>
        <v>9.4884000000000004</v>
      </c>
      <c r="D544" s="8">
        <f>CHOOSE( CONTROL!$C$29, 9.5034, 9.4965) * CHOOSE( CONTROL!$C$12, $D$4, 100%, $F$4)</f>
        <v>9.4964999999999993</v>
      </c>
      <c r="E544" s="12">
        <f>CHOOSE( CONTROL!$C$29, 9.4989, 9.492) * CHOOSE( CONTROL!$C$12, $D$4, 100%, $F$4)</f>
        <v>9.4920000000000009</v>
      </c>
      <c r="F544" s="4">
        <f>CHOOSE( CONTROL!$C$29, 10.4939, 10.4871) * CHOOSE(CONTROL!$C$12, $D$4, 100%, $F$4)</f>
        <v>10.4871</v>
      </c>
      <c r="G544" s="8">
        <f>CHOOSE( CONTROL!$C$29, 9.3549, 9.3481) * CHOOSE( CONTROL!$C$12, $D$4, 100%, $F$4)</f>
        <v>9.3481000000000005</v>
      </c>
      <c r="H544" s="4">
        <f>CHOOSE( CONTROL!$C$29, 10.2618, 10.2551) * CHOOSE(CONTROL!$C$12, $D$4, 100%, $F$4)</f>
        <v>10.255100000000001</v>
      </c>
      <c r="I544" s="8">
        <f>CHOOSE( CONTROL!$C$29, 9.2787, 9.272) * CHOOSE(CONTROL!$C$12, $D$4, 100%, $F$4)</f>
        <v>9.2720000000000002</v>
      </c>
      <c r="J544" s="4">
        <f>CHOOSE( CONTROL!$C$29, 9.1899, 9.1833) * CHOOSE(CONTROL!$C$12, $D$4, 100%, $F$4)</f>
        <v>9.1832999999999991</v>
      </c>
      <c r="K544" s="4"/>
      <c r="L544" s="9">
        <v>29.520499999999998</v>
      </c>
      <c r="M544" s="9">
        <v>12.063700000000001</v>
      </c>
      <c r="N544" s="9">
        <v>4.9444999999999997</v>
      </c>
      <c r="O544" s="9">
        <v>0.37459999999999999</v>
      </c>
      <c r="P544" s="9">
        <v>1.2192000000000001</v>
      </c>
      <c r="Q544" s="9">
        <v>19.688099999999999</v>
      </c>
      <c r="R544" s="9"/>
      <c r="S544" s="11"/>
    </row>
    <row r="545" spans="1:19" ht="15.6">
      <c r="A545" s="13">
        <v>58684</v>
      </c>
      <c r="B545" s="8">
        <f>CHOOSE( CONTROL!$C$29, 8.7533, 8.7465) * CHOOSE(CONTROL!$C$12, $D$4, 100%, $F$4)</f>
        <v>8.7464999999999993</v>
      </c>
      <c r="C545" s="8">
        <f>CHOOSE( CONTROL!$C$29, 8.7637, 8.7568) * CHOOSE(CONTROL!$C$12, $D$4, 100%, $F$4)</f>
        <v>8.7568000000000001</v>
      </c>
      <c r="D545" s="8">
        <f>CHOOSE( CONTROL!$C$29, 8.7651, 8.7583) * CHOOSE( CONTROL!$C$12, $D$4, 100%, $F$4)</f>
        <v>8.7583000000000002</v>
      </c>
      <c r="E545" s="12">
        <f>CHOOSE( CONTROL!$C$29, 8.763, 8.7562) * CHOOSE( CONTROL!$C$12, $D$4, 100%, $F$4)</f>
        <v>8.7561999999999998</v>
      </c>
      <c r="F545" s="4">
        <f>CHOOSE( CONTROL!$C$29, 9.7598, 9.7529) * CHOOSE(CONTROL!$C$12, $D$4, 100%, $F$4)</f>
        <v>9.7529000000000003</v>
      </c>
      <c r="G545" s="8">
        <f>CHOOSE( CONTROL!$C$29, 8.6238, 8.6171) * CHOOSE( CONTROL!$C$12, $D$4, 100%, $F$4)</f>
        <v>8.6171000000000006</v>
      </c>
      <c r="H545" s="4">
        <f>CHOOSE( CONTROL!$C$29, 9.5381, 9.5314) * CHOOSE(CONTROL!$C$12, $D$4, 100%, $F$4)</f>
        <v>9.5313999999999997</v>
      </c>
      <c r="I545" s="8">
        <f>CHOOSE( CONTROL!$C$29, 8.5505, 8.5439) * CHOOSE(CONTROL!$C$12, $D$4, 100%, $F$4)</f>
        <v>8.5439000000000007</v>
      </c>
      <c r="J545" s="4">
        <f>CHOOSE( CONTROL!$C$29, 8.481, 8.4744) * CHOOSE(CONTROL!$C$12, $D$4, 100%, $F$4)</f>
        <v>8.4743999999999993</v>
      </c>
      <c r="K545" s="4"/>
      <c r="L545" s="9">
        <v>29.520499999999998</v>
      </c>
      <c r="M545" s="9">
        <v>12.063700000000001</v>
      </c>
      <c r="N545" s="9">
        <v>4.9444999999999997</v>
      </c>
      <c r="O545" s="9">
        <v>0.37459999999999999</v>
      </c>
      <c r="P545" s="9">
        <v>1.2192000000000001</v>
      </c>
      <c r="Q545" s="9">
        <v>19.688099999999999</v>
      </c>
      <c r="R545" s="9"/>
      <c r="S545" s="11"/>
    </row>
    <row r="546" spans="1:19" ht="15.6">
      <c r="A546" s="13">
        <v>58714</v>
      </c>
      <c r="B546" s="8">
        <f>CHOOSE( CONTROL!$C$29, 8.5701, 8.5633) * CHOOSE(CONTROL!$C$12, $D$4, 100%, $F$4)</f>
        <v>8.5632999999999999</v>
      </c>
      <c r="C546" s="8">
        <f>CHOOSE( CONTROL!$C$29, 8.5805, 8.5736) * CHOOSE(CONTROL!$C$12, $D$4, 100%, $F$4)</f>
        <v>8.5736000000000008</v>
      </c>
      <c r="D546" s="8">
        <f>CHOOSE( CONTROL!$C$29, 8.5851, 8.5783) * CHOOSE( CONTROL!$C$12, $D$4, 100%, $F$4)</f>
        <v>8.5783000000000005</v>
      </c>
      <c r="E546" s="12">
        <f>CHOOSE( CONTROL!$C$29, 8.5818, 8.575) * CHOOSE( CONTROL!$C$12, $D$4, 100%, $F$4)</f>
        <v>8.5749999999999993</v>
      </c>
      <c r="F546" s="4">
        <f>CHOOSE( CONTROL!$C$29, 9.5817, 9.5749) * CHOOSE(CONTROL!$C$12, $D$4, 100%, $F$4)</f>
        <v>9.5748999999999995</v>
      </c>
      <c r="G546" s="8">
        <f>CHOOSE( CONTROL!$C$29, 8.4453, 8.4385) * CHOOSE( CONTROL!$C$12, $D$4, 100%, $F$4)</f>
        <v>8.4384999999999994</v>
      </c>
      <c r="H546" s="4">
        <f>CHOOSE( CONTROL!$C$29, 9.3626, 9.3559) * CHOOSE(CONTROL!$C$12, $D$4, 100%, $F$4)</f>
        <v>9.3559000000000001</v>
      </c>
      <c r="I546" s="8">
        <f>CHOOSE( CONTROL!$C$29, 8.3807, 8.3741) * CHOOSE(CONTROL!$C$12, $D$4, 100%, $F$4)</f>
        <v>8.3741000000000003</v>
      </c>
      <c r="J546" s="4">
        <f>CHOOSE( CONTROL!$C$29, 8.3035, 8.2969) * CHOOSE(CONTROL!$C$12, $D$4, 100%, $F$4)</f>
        <v>8.2969000000000008</v>
      </c>
      <c r="K546" s="4"/>
      <c r="L546" s="9">
        <v>28.568200000000001</v>
      </c>
      <c r="M546" s="9">
        <v>11.6745</v>
      </c>
      <c r="N546" s="9">
        <v>4.7850000000000001</v>
      </c>
      <c r="O546" s="9">
        <v>0.36249999999999999</v>
      </c>
      <c r="P546" s="9">
        <v>1.1798</v>
      </c>
      <c r="Q546" s="9">
        <v>19.053000000000001</v>
      </c>
      <c r="R546" s="9"/>
      <c r="S546" s="11"/>
    </row>
    <row r="547" spans="1:19" ht="15.6">
      <c r="A547" s="13">
        <v>58745</v>
      </c>
      <c r="B547" s="8">
        <f>8.9437 * CHOOSE(CONTROL!$C$12, $D$4, 100%, $F$4)</f>
        <v>8.9436999999999998</v>
      </c>
      <c r="C547" s="8">
        <f>8.954 * CHOOSE(CONTROL!$C$12, $D$4, 100%, $F$4)</f>
        <v>8.9540000000000006</v>
      </c>
      <c r="D547" s="8">
        <f>8.949 * CHOOSE( CONTROL!$C$12, $D$4, 100%, $F$4)</f>
        <v>8.9489999999999998</v>
      </c>
      <c r="E547" s="12">
        <f>8.9496 * CHOOSE( CONTROL!$C$12, $D$4, 100%, $F$4)</f>
        <v>8.9496000000000002</v>
      </c>
      <c r="F547" s="4">
        <f>9.9346 * CHOOSE(CONTROL!$C$12, $D$4, 100%, $F$4)</f>
        <v>9.9345999999999997</v>
      </c>
      <c r="G547" s="8">
        <f>8.8103 * CHOOSE( CONTROL!$C$12, $D$4, 100%, $F$4)</f>
        <v>8.8102999999999998</v>
      </c>
      <c r="H547" s="4">
        <f>9.7105 * CHOOSE(CONTROL!$C$12, $D$4, 100%, $F$4)</f>
        <v>9.7104999999999997</v>
      </c>
      <c r="I547" s="8">
        <f>8.7467 * CHOOSE(CONTROL!$C$12, $D$4, 100%, $F$4)</f>
        <v>8.7467000000000006</v>
      </c>
      <c r="J547" s="4">
        <f>8.6655 * CHOOSE(CONTROL!$C$12, $D$4, 100%, $F$4)</f>
        <v>8.6654999999999998</v>
      </c>
      <c r="K547" s="4"/>
      <c r="L547" s="9">
        <v>28.921800000000001</v>
      </c>
      <c r="M547" s="9">
        <v>12.063700000000001</v>
      </c>
      <c r="N547" s="9">
        <v>4.9444999999999997</v>
      </c>
      <c r="O547" s="9">
        <v>0.37459999999999999</v>
      </c>
      <c r="P547" s="9">
        <v>1.2192000000000001</v>
      </c>
      <c r="Q547" s="9">
        <v>19.688099999999999</v>
      </c>
      <c r="R547" s="9"/>
      <c r="S547" s="11"/>
    </row>
    <row r="548" spans="1:19" ht="15.6">
      <c r="A548" s="13">
        <v>58775</v>
      </c>
      <c r="B548" s="8">
        <f>9.6458 * CHOOSE(CONTROL!$C$12, $D$4, 100%, $F$4)</f>
        <v>9.6457999999999995</v>
      </c>
      <c r="C548" s="8">
        <f>9.6561 * CHOOSE(CONTROL!$C$12, $D$4, 100%, $F$4)</f>
        <v>9.6561000000000003</v>
      </c>
      <c r="D548" s="8">
        <f>9.6154 * CHOOSE( CONTROL!$C$12, $D$4, 100%, $F$4)</f>
        <v>9.6153999999999993</v>
      </c>
      <c r="E548" s="12">
        <f>9.6292 * CHOOSE( CONTROL!$C$12, $D$4, 100%, $F$4)</f>
        <v>9.6292000000000009</v>
      </c>
      <c r="F548" s="4">
        <f>10.6228 * CHOOSE(CONTROL!$C$12, $D$4, 100%, $F$4)</f>
        <v>10.6228</v>
      </c>
      <c r="G548" s="8">
        <f>9.4963 * CHOOSE( CONTROL!$C$12, $D$4, 100%, $F$4)</f>
        <v>9.4962999999999997</v>
      </c>
      <c r="H548" s="4">
        <f>10.3889 * CHOOSE(CONTROL!$C$12, $D$4, 100%, $F$4)</f>
        <v>10.3889</v>
      </c>
      <c r="I548" s="8">
        <f>9.4117 * CHOOSE(CONTROL!$C$12, $D$4, 100%, $F$4)</f>
        <v>9.4116999999999997</v>
      </c>
      <c r="J548" s="4">
        <f>9.3458 * CHOOSE(CONTROL!$C$12, $D$4, 100%, $F$4)</f>
        <v>9.3458000000000006</v>
      </c>
      <c r="K548" s="4"/>
      <c r="L548" s="9">
        <v>26.515499999999999</v>
      </c>
      <c r="M548" s="9">
        <v>11.6745</v>
      </c>
      <c r="N548" s="9">
        <v>4.7850000000000001</v>
      </c>
      <c r="O548" s="9">
        <v>0.36249999999999999</v>
      </c>
      <c r="P548" s="9">
        <v>1.2522</v>
      </c>
      <c r="Q548" s="9">
        <v>19.053000000000001</v>
      </c>
      <c r="R548" s="9"/>
      <c r="S548" s="11"/>
    </row>
    <row r="549" spans="1:19" ht="15.6">
      <c r="A549" s="13">
        <v>58806</v>
      </c>
      <c r="B549" s="8">
        <f>9.6282 * CHOOSE(CONTROL!$C$12, $D$4, 100%, $F$4)</f>
        <v>9.6281999999999996</v>
      </c>
      <c r="C549" s="8">
        <f>9.6385 * CHOOSE(CONTROL!$C$12, $D$4, 100%, $F$4)</f>
        <v>9.6385000000000005</v>
      </c>
      <c r="D549" s="8">
        <f>9.5997 * CHOOSE( CONTROL!$C$12, $D$4, 100%, $F$4)</f>
        <v>9.5997000000000003</v>
      </c>
      <c r="E549" s="12">
        <f>9.6128 * CHOOSE( CONTROL!$C$12, $D$4, 100%, $F$4)</f>
        <v>9.6128</v>
      </c>
      <c r="F549" s="4">
        <f>10.5985 * CHOOSE(CONTROL!$C$12, $D$4, 100%, $F$4)</f>
        <v>10.5985</v>
      </c>
      <c r="G549" s="8">
        <f>9.4814 * CHOOSE( CONTROL!$C$12, $D$4, 100%, $F$4)</f>
        <v>9.4814000000000007</v>
      </c>
      <c r="H549" s="4">
        <f>10.365 * CHOOSE(CONTROL!$C$12, $D$4, 100%, $F$4)</f>
        <v>10.365</v>
      </c>
      <c r="I549" s="8">
        <f>9.4054 * CHOOSE(CONTROL!$C$12, $D$4, 100%, $F$4)</f>
        <v>9.4054000000000002</v>
      </c>
      <c r="J549" s="4">
        <f>9.3288 * CHOOSE(CONTROL!$C$12, $D$4, 100%, $F$4)</f>
        <v>9.3287999999999993</v>
      </c>
      <c r="K549" s="4"/>
      <c r="L549" s="9">
        <v>27.3993</v>
      </c>
      <c r="M549" s="9">
        <v>12.063700000000001</v>
      </c>
      <c r="N549" s="9">
        <v>4.9444999999999997</v>
      </c>
      <c r="O549" s="9">
        <v>0.37459999999999999</v>
      </c>
      <c r="P549" s="9">
        <v>1.2939000000000001</v>
      </c>
      <c r="Q549" s="9">
        <v>19.688099999999999</v>
      </c>
      <c r="R549" s="9"/>
      <c r="S549" s="11"/>
    </row>
    <row r="550" spans="1:19" ht="15.6">
      <c r="A550" s="13">
        <v>58837</v>
      </c>
      <c r="B550" s="8">
        <f>9.8529 * CHOOSE(CONTROL!$C$12, $D$4, 100%, $F$4)</f>
        <v>9.8529</v>
      </c>
      <c r="C550" s="8">
        <f>9.8632 * CHOOSE(CONTROL!$C$12, $D$4, 100%, $F$4)</f>
        <v>9.8632000000000009</v>
      </c>
      <c r="D550" s="8">
        <f>9.863 * CHOOSE( CONTROL!$C$12, $D$4, 100%, $F$4)</f>
        <v>9.8629999999999995</v>
      </c>
      <c r="E550" s="12">
        <f>9.862 * CHOOSE( CONTROL!$C$12, $D$4, 100%, $F$4)</f>
        <v>9.8620000000000001</v>
      </c>
      <c r="F550" s="4">
        <f>10.8748 * CHOOSE(CONTROL!$C$12, $D$4, 100%, $F$4)</f>
        <v>10.8748</v>
      </c>
      <c r="G550" s="8">
        <f>9.7438 * CHOOSE( CONTROL!$C$12, $D$4, 100%, $F$4)</f>
        <v>9.7438000000000002</v>
      </c>
      <c r="H550" s="4">
        <f>10.6373 * CHOOSE(CONTROL!$C$12, $D$4, 100%, $F$4)</f>
        <v>10.6373</v>
      </c>
      <c r="I550" s="8">
        <f>9.6599 * CHOOSE(CONTROL!$C$12, $D$4, 100%, $F$4)</f>
        <v>9.6599000000000004</v>
      </c>
      <c r="J550" s="4">
        <f>9.5465 * CHOOSE(CONTROL!$C$12, $D$4, 100%, $F$4)</f>
        <v>9.5465</v>
      </c>
      <c r="K550" s="4"/>
      <c r="L550" s="9">
        <v>27.3993</v>
      </c>
      <c r="M550" s="9">
        <v>12.063700000000001</v>
      </c>
      <c r="N550" s="9">
        <v>4.9444999999999997</v>
      </c>
      <c r="O550" s="9">
        <v>0.37459999999999999</v>
      </c>
      <c r="P550" s="9">
        <v>1.2939000000000001</v>
      </c>
      <c r="Q550" s="9">
        <v>19.688099999999999</v>
      </c>
      <c r="R550" s="9"/>
      <c r="S550" s="11"/>
    </row>
    <row r="551" spans="1:19" ht="15.6">
      <c r="A551" s="13">
        <v>58865</v>
      </c>
      <c r="B551" s="8">
        <f>9.216 * CHOOSE(CONTROL!$C$12, $D$4, 100%, $F$4)</f>
        <v>9.2159999999999993</v>
      </c>
      <c r="C551" s="8">
        <f>9.2263 * CHOOSE(CONTROL!$C$12, $D$4, 100%, $F$4)</f>
        <v>9.2263000000000002</v>
      </c>
      <c r="D551" s="8">
        <f>9.2284 * CHOOSE( CONTROL!$C$12, $D$4, 100%, $F$4)</f>
        <v>9.2284000000000006</v>
      </c>
      <c r="E551" s="12">
        <f>9.2265 * CHOOSE( CONTROL!$C$12, $D$4, 100%, $F$4)</f>
        <v>9.2264999999999997</v>
      </c>
      <c r="F551" s="4">
        <f>10.2302 * CHOOSE(CONTROL!$C$12, $D$4, 100%, $F$4)</f>
        <v>10.2302</v>
      </c>
      <c r="G551" s="8">
        <f>9.1158 * CHOOSE( CONTROL!$C$12, $D$4, 100%, $F$4)</f>
        <v>9.1158000000000001</v>
      </c>
      <c r="H551" s="4">
        <f>10.0018 * CHOOSE(CONTROL!$C$12, $D$4, 100%, $F$4)</f>
        <v>10.001799999999999</v>
      </c>
      <c r="I551" s="8">
        <f>9.0314 * CHOOSE(CONTROL!$C$12, $D$4, 100%, $F$4)</f>
        <v>9.0313999999999997</v>
      </c>
      <c r="J551" s="4">
        <f>8.9293 * CHOOSE(CONTROL!$C$12, $D$4, 100%, $F$4)</f>
        <v>8.9292999999999996</v>
      </c>
      <c r="K551" s="4"/>
      <c r="L551" s="9">
        <v>24.747800000000002</v>
      </c>
      <c r="M551" s="9">
        <v>10.8962</v>
      </c>
      <c r="N551" s="9">
        <v>4.4660000000000002</v>
      </c>
      <c r="O551" s="9">
        <v>0.33829999999999999</v>
      </c>
      <c r="P551" s="9">
        <v>1.1687000000000001</v>
      </c>
      <c r="Q551" s="9">
        <v>17.782800000000002</v>
      </c>
      <c r="R551" s="9"/>
      <c r="S551" s="11"/>
    </row>
    <row r="552" spans="1:19" ht="15.6">
      <c r="A552" s="13">
        <v>58893</v>
      </c>
      <c r="B552" s="8">
        <f>9.0198 * CHOOSE(CONTROL!$C$12, $D$4, 100%, $F$4)</f>
        <v>9.0198</v>
      </c>
      <c r="C552" s="8">
        <f>9.0301 * CHOOSE(CONTROL!$C$12, $D$4, 100%, $F$4)</f>
        <v>9.0300999999999991</v>
      </c>
      <c r="D552" s="8">
        <f>9.0123 * CHOOSE( CONTROL!$C$12, $D$4, 100%, $F$4)</f>
        <v>9.0122999999999998</v>
      </c>
      <c r="E552" s="12">
        <f>9.0177 * CHOOSE( CONTROL!$C$12, $D$4, 100%, $F$4)</f>
        <v>9.0176999999999996</v>
      </c>
      <c r="F552" s="4">
        <f>10.018 * CHOOSE(CONTROL!$C$12, $D$4, 100%, $F$4)</f>
        <v>10.018000000000001</v>
      </c>
      <c r="G552" s="8">
        <f>8.902 * CHOOSE( CONTROL!$C$12, $D$4, 100%, $F$4)</f>
        <v>8.9019999999999992</v>
      </c>
      <c r="H552" s="4">
        <f>9.7927 * CHOOSE(CONTROL!$C$12, $D$4, 100%, $F$4)</f>
        <v>9.7927</v>
      </c>
      <c r="I552" s="8">
        <f>8.8018 * CHOOSE(CONTROL!$C$12, $D$4, 100%, $F$4)</f>
        <v>8.8018000000000001</v>
      </c>
      <c r="J552" s="4">
        <f>8.7392 * CHOOSE(CONTROL!$C$12, $D$4, 100%, $F$4)</f>
        <v>8.7392000000000003</v>
      </c>
      <c r="K552" s="4"/>
      <c r="L552" s="9">
        <v>27.3993</v>
      </c>
      <c r="M552" s="9">
        <v>12.063700000000001</v>
      </c>
      <c r="N552" s="9">
        <v>4.9444999999999997</v>
      </c>
      <c r="O552" s="9">
        <v>0.37459999999999999</v>
      </c>
      <c r="P552" s="9">
        <v>1.2939000000000001</v>
      </c>
      <c r="Q552" s="9">
        <v>19.688099999999999</v>
      </c>
      <c r="R552" s="9"/>
      <c r="S552" s="11"/>
    </row>
    <row r="553" spans="1:19" ht="15.6">
      <c r="A553" s="13">
        <v>58926</v>
      </c>
      <c r="B553" s="8">
        <f>9.1569 * CHOOSE(CONTROL!$C$12, $D$4, 100%, $F$4)</f>
        <v>9.1569000000000003</v>
      </c>
      <c r="C553" s="8">
        <f>9.1672 * CHOOSE(CONTROL!$C$12, $D$4, 100%, $F$4)</f>
        <v>9.1671999999999993</v>
      </c>
      <c r="D553" s="8">
        <f>9.1722 * CHOOSE( CONTROL!$C$12, $D$4, 100%, $F$4)</f>
        <v>9.1722000000000001</v>
      </c>
      <c r="E553" s="12">
        <f>9.1694 * CHOOSE( CONTROL!$C$12, $D$4, 100%, $F$4)</f>
        <v>9.1693999999999996</v>
      </c>
      <c r="F553" s="4">
        <f>10.1633 * CHOOSE(CONTROL!$C$12, $D$4, 100%, $F$4)</f>
        <v>10.1633</v>
      </c>
      <c r="G553" s="8">
        <f>9.025 * CHOOSE( CONTROL!$C$12, $D$4, 100%, $F$4)</f>
        <v>9.0250000000000004</v>
      </c>
      <c r="H553" s="4">
        <f>9.9359 * CHOOSE(CONTROL!$C$12, $D$4, 100%, $F$4)</f>
        <v>9.9359000000000002</v>
      </c>
      <c r="I553" s="8">
        <f>8.9247 * CHOOSE(CONTROL!$C$12, $D$4, 100%, $F$4)</f>
        <v>8.9246999999999996</v>
      </c>
      <c r="J553" s="4">
        <f>8.8721 * CHOOSE(CONTROL!$C$12, $D$4, 100%, $F$4)</f>
        <v>8.8720999999999997</v>
      </c>
      <c r="K553" s="4"/>
      <c r="L553" s="9">
        <v>27.988800000000001</v>
      </c>
      <c r="M553" s="9">
        <v>11.6745</v>
      </c>
      <c r="N553" s="9">
        <v>4.7850000000000001</v>
      </c>
      <c r="O553" s="9">
        <v>0.36249999999999999</v>
      </c>
      <c r="P553" s="9">
        <v>1.1798</v>
      </c>
      <c r="Q553" s="9">
        <v>19.053000000000001</v>
      </c>
      <c r="R553" s="9"/>
      <c r="S553" s="11"/>
    </row>
    <row r="554" spans="1:19" ht="15.6">
      <c r="A554" s="13">
        <v>58957</v>
      </c>
      <c r="B554" s="8">
        <f>CHOOSE( CONTROL!$C$29, 9.4077, 9.4008) * CHOOSE(CONTROL!$C$12, $D$4, 100%, $F$4)</f>
        <v>9.4008000000000003</v>
      </c>
      <c r="C554" s="8">
        <f>CHOOSE( CONTROL!$C$29, 9.418, 9.4112) * CHOOSE(CONTROL!$C$12, $D$4, 100%, $F$4)</f>
        <v>9.4111999999999991</v>
      </c>
      <c r="D554" s="8">
        <f>CHOOSE( CONTROL!$C$29, 9.3983, 9.3914) * CHOOSE( CONTROL!$C$12, $D$4, 100%, $F$4)</f>
        <v>9.3914000000000009</v>
      </c>
      <c r="E554" s="12">
        <f>CHOOSE( CONTROL!$C$29, 9.4039, 9.397) * CHOOSE( CONTROL!$C$12, $D$4, 100%, $F$4)</f>
        <v>9.3970000000000002</v>
      </c>
      <c r="F554" s="4">
        <f>CHOOSE( CONTROL!$C$29, 10.3821, 10.3753) * CHOOSE(CONTROL!$C$12, $D$4, 100%, $F$4)</f>
        <v>10.375299999999999</v>
      </c>
      <c r="G554" s="8">
        <f>CHOOSE( CONTROL!$C$29, 9.254, 9.2472) * CHOOSE( CONTROL!$C$12, $D$4, 100%, $F$4)</f>
        <v>9.2471999999999994</v>
      </c>
      <c r="H554" s="4">
        <f>CHOOSE( CONTROL!$C$29, 10.1516, 10.1449) * CHOOSE(CONTROL!$C$12, $D$4, 100%, $F$4)</f>
        <v>10.1449</v>
      </c>
      <c r="I554" s="8">
        <f>CHOOSE( CONTROL!$C$29, 9.1464, 9.1397) * CHOOSE(CONTROL!$C$12, $D$4, 100%, $F$4)</f>
        <v>9.1396999999999995</v>
      </c>
      <c r="J554" s="4">
        <f>CHOOSE( CONTROL!$C$29, 9.1151, 9.1085) * CHOOSE(CONTROL!$C$12, $D$4, 100%, $F$4)</f>
        <v>9.1084999999999994</v>
      </c>
      <c r="K554" s="4"/>
      <c r="L554" s="9">
        <v>29.520499999999998</v>
      </c>
      <c r="M554" s="9">
        <v>12.063700000000001</v>
      </c>
      <c r="N554" s="9">
        <v>4.9444999999999997</v>
      </c>
      <c r="O554" s="9">
        <v>0.37459999999999999</v>
      </c>
      <c r="P554" s="9">
        <v>1.2192000000000001</v>
      </c>
      <c r="Q554" s="9">
        <v>19.688099999999999</v>
      </c>
      <c r="R554" s="9"/>
      <c r="S554" s="11"/>
    </row>
    <row r="555" spans="1:19" ht="15.6">
      <c r="A555" s="13">
        <v>58987</v>
      </c>
      <c r="B555" s="8">
        <f>CHOOSE( CONTROL!$C$29, 9.2566, 9.2497) * CHOOSE(CONTROL!$C$12, $D$4, 100%, $F$4)</f>
        <v>9.2497000000000007</v>
      </c>
      <c r="C555" s="8">
        <f>CHOOSE( CONTROL!$C$29, 9.2669, 9.26) * CHOOSE(CONTROL!$C$12, $D$4, 100%, $F$4)</f>
        <v>9.26</v>
      </c>
      <c r="D555" s="8">
        <f>CHOOSE( CONTROL!$C$29, 9.2416, 9.2348) * CHOOSE( CONTROL!$C$12, $D$4, 100%, $F$4)</f>
        <v>9.2347999999999999</v>
      </c>
      <c r="E555" s="12">
        <f>CHOOSE( CONTROL!$C$29, 9.2492, 9.2424) * CHOOSE( CONTROL!$C$12, $D$4, 100%, $F$4)</f>
        <v>9.2423999999999999</v>
      </c>
      <c r="F555" s="4">
        <f>CHOOSE( CONTROL!$C$29, 10.2207, 10.2138) * CHOOSE(CONTROL!$C$12, $D$4, 100%, $F$4)</f>
        <v>10.213800000000001</v>
      </c>
      <c r="G555" s="8">
        <f>CHOOSE( CONTROL!$C$29, 9.1037, 9.097) * CHOOSE( CONTROL!$C$12, $D$4, 100%, $F$4)</f>
        <v>9.0969999999999995</v>
      </c>
      <c r="H555" s="4">
        <f>CHOOSE( CONTROL!$C$29, 9.9925, 9.9857) * CHOOSE(CONTROL!$C$12, $D$4, 100%, $F$4)</f>
        <v>9.9856999999999996</v>
      </c>
      <c r="I555" s="8">
        <f>CHOOSE( CONTROL!$C$29, 9.002, 8.9954) * CHOOSE(CONTROL!$C$12, $D$4, 100%, $F$4)</f>
        <v>8.9954000000000001</v>
      </c>
      <c r="J555" s="4">
        <f>CHOOSE( CONTROL!$C$29, 8.9687, 8.962) * CHOOSE(CONTROL!$C$12, $D$4, 100%, $F$4)</f>
        <v>8.9619999999999997</v>
      </c>
      <c r="K555" s="4"/>
      <c r="L555" s="9">
        <v>28.568200000000001</v>
      </c>
      <c r="M555" s="9">
        <v>11.6745</v>
      </c>
      <c r="N555" s="9">
        <v>4.7850000000000001</v>
      </c>
      <c r="O555" s="9">
        <v>0.36249999999999999</v>
      </c>
      <c r="P555" s="9">
        <v>1.1798</v>
      </c>
      <c r="Q555" s="9">
        <v>19.053000000000001</v>
      </c>
      <c r="R555" s="9"/>
      <c r="S555" s="11"/>
    </row>
    <row r="556" spans="1:19" ht="15.6">
      <c r="A556" s="13">
        <v>59018</v>
      </c>
      <c r="B556" s="8">
        <f>CHOOSE( CONTROL!$C$29, 9.6545, 9.6477) * CHOOSE(CONTROL!$C$12, $D$4, 100%, $F$4)</f>
        <v>9.6477000000000004</v>
      </c>
      <c r="C556" s="8">
        <f>CHOOSE( CONTROL!$C$29, 9.6649, 9.658) * CHOOSE(CONTROL!$C$12, $D$4, 100%, $F$4)</f>
        <v>9.6579999999999995</v>
      </c>
      <c r="D556" s="8">
        <f>CHOOSE( CONTROL!$C$29, 9.673, 9.6662) * CHOOSE( CONTROL!$C$12, $D$4, 100%, $F$4)</f>
        <v>9.6661999999999999</v>
      </c>
      <c r="E556" s="12">
        <f>CHOOSE( CONTROL!$C$29, 9.6685, 9.6617) * CHOOSE( CONTROL!$C$12, $D$4, 100%, $F$4)</f>
        <v>9.6616999999999997</v>
      </c>
      <c r="F556" s="4">
        <f>CHOOSE( CONTROL!$C$29, 10.6636, 10.6567) * CHOOSE(CONTROL!$C$12, $D$4, 100%, $F$4)</f>
        <v>10.656700000000001</v>
      </c>
      <c r="G556" s="8">
        <f>CHOOSE( CONTROL!$C$29, 9.5221, 9.5154) * CHOOSE( CONTROL!$C$12, $D$4, 100%, $F$4)</f>
        <v>9.5153999999999996</v>
      </c>
      <c r="H556" s="4">
        <f>CHOOSE( CONTROL!$C$29, 10.4291, 10.4223) * CHOOSE(CONTROL!$C$12, $D$4, 100%, $F$4)</f>
        <v>10.4223</v>
      </c>
      <c r="I556" s="8">
        <f>CHOOSE( CONTROL!$C$29, 9.4431, 9.4365) * CHOOSE(CONTROL!$C$12, $D$4, 100%, $F$4)</f>
        <v>9.4365000000000006</v>
      </c>
      <c r="J556" s="4">
        <f>CHOOSE( CONTROL!$C$29, 9.3543, 9.3477) * CHOOSE(CONTROL!$C$12, $D$4, 100%, $F$4)</f>
        <v>9.3476999999999997</v>
      </c>
      <c r="K556" s="4"/>
      <c r="L556" s="9">
        <v>29.520499999999998</v>
      </c>
      <c r="M556" s="9">
        <v>12.063700000000001</v>
      </c>
      <c r="N556" s="9">
        <v>4.9444999999999997</v>
      </c>
      <c r="O556" s="9">
        <v>0.37459999999999999</v>
      </c>
      <c r="P556" s="9">
        <v>1.2192000000000001</v>
      </c>
      <c r="Q556" s="9">
        <v>19.688099999999999</v>
      </c>
      <c r="R556" s="9"/>
      <c r="S556" s="11"/>
    </row>
    <row r="557" spans="1:19" ht="15.6">
      <c r="A557" s="13">
        <v>59049</v>
      </c>
      <c r="B557" s="8">
        <f>CHOOSE( CONTROL!$C$29, 8.9099, 8.903) * CHOOSE(CONTROL!$C$12, $D$4, 100%, $F$4)</f>
        <v>8.9030000000000005</v>
      </c>
      <c r="C557" s="8">
        <f>CHOOSE( CONTROL!$C$29, 8.9202, 8.9134) * CHOOSE(CONTROL!$C$12, $D$4, 100%, $F$4)</f>
        <v>8.9133999999999993</v>
      </c>
      <c r="D557" s="8">
        <f>CHOOSE( CONTROL!$C$29, 8.9217, 8.9148) * CHOOSE( CONTROL!$C$12, $D$4, 100%, $F$4)</f>
        <v>8.9147999999999996</v>
      </c>
      <c r="E557" s="12">
        <f>CHOOSE( CONTROL!$C$29, 8.9196, 8.9127) * CHOOSE( CONTROL!$C$12, $D$4, 100%, $F$4)</f>
        <v>8.9126999999999992</v>
      </c>
      <c r="F557" s="4">
        <f>CHOOSE( CONTROL!$C$29, 9.9163, 9.9095) * CHOOSE(CONTROL!$C$12, $D$4, 100%, $F$4)</f>
        <v>9.9094999999999995</v>
      </c>
      <c r="G557" s="8">
        <f>CHOOSE( CONTROL!$C$29, 8.7781, 8.7714) * CHOOSE( CONTROL!$C$12, $D$4, 100%, $F$4)</f>
        <v>8.7713999999999999</v>
      </c>
      <c r="H557" s="4">
        <f>CHOOSE( CONTROL!$C$29, 9.6925, 9.6857) * CHOOSE(CONTROL!$C$12, $D$4, 100%, $F$4)</f>
        <v>9.6857000000000006</v>
      </c>
      <c r="I557" s="8">
        <f>CHOOSE( CONTROL!$C$29, 8.7023, 8.6957) * CHOOSE(CONTROL!$C$12, $D$4, 100%, $F$4)</f>
        <v>8.6957000000000004</v>
      </c>
      <c r="J557" s="4">
        <f>CHOOSE( CONTROL!$C$29, 8.6327, 8.6261) * CHOOSE(CONTROL!$C$12, $D$4, 100%, $F$4)</f>
        <v>8.6260999999999992</v>
      </c>
      <c r="K557" s="4"/>
      <c r="L557" s="9">
        <v>29.520499999999998</v>
      </c>
      <c r="M557" s="9">
        <v>12.063700000000001</v>
      </c>
      <c r="N557" s="9">
        <v>4.9444999999999997</v>
      </c>
      <c r="O557" s="9">
        <v>0.37459999999999999</v>
      </c>
      <c r="P557" s="9">
        <v>1.2192000000000001</v>
      </c>
      <c r="Q557" s="9">
        <v>19.688099999999999</v>
      </c>
      <c r="R557" s="9"/>
      <c r="S557" s="11"/>
    </row>
    <row r="558" spans="1:19" ht="15.6">
      <c r="A558" s="13">
        <v>59079</v>
      </c>
      <c r="B558" s="8">
        <f>CHOOSE( CONTROL!$C$29, 8.7234, 8.7166) * CHOOSE(CONTROL!$C$12, $D$4, 100%, $F$4)</f>
        <v>8.7165999999999997</v>
      </c>
      <c r="C558" s="8">
        <f>CHOOSE( CONTROL!$C$29, 8.7337, 8.7269) * CHOOSE(CONTROL!$C$12, $D$4, 100%, $F$4)</f>
        <v>8.7269000000000005</v>
      </c>
      <c r="D558" s="8">
        <f>CHOOSE( CONTROL!$C$29, 8.7384, 8.7316) * CHOOSE( CONTROL!$C$12, $D$4, 100%, $F$4)</f>
        <v>8.7316000000000003</v>
      </c>
      <c r="E558" s="12">
        <f>CHOOSE( CONTROL!$C$29, 8.7351, 8.7283) * CHOOSE( CONTROL!$C$12, $D$4, 100%, $F$4)</f>
        <v>8.7283000000000008</v>
      </c>
      <c r="F558" s="4">
        <f>CHOOSE( CONTROL!$C$29, 9.735, 9.7282) * CHOOSE(CONTROL!$C$12, $D$4, 100%, $F$4)</f>
        <v>9.7281999999999993</v>
      </c>
      <c r="G558" s="8">
        <f>CHOOSE( CONTROL!$C$29, 8.5964, 8.5896) * CHOOSE( CONTROL!$C$12, $D$4, 100%, $F$4)</f>
        <v>8.5896000000000008</v>
      </c>
      <c r="H558" s="4">
        <f>CHOOSE( CONTROL!$C$29, 9.5137, 9.507) * CHOOSE(CONTROL!$C$12, $D$4, 100%, $F$4)</f>
        <v>9.5069999999999997</v>
      </c>
      <c r="I558" s="8">
        <f>CHOOSE( CONTROL!$C$29, 8.5293, 8.5227) * CHOOSE(CONTROL!$C$12, $D$4, 100%, $F$4)</f>
        <v>8.5227000000000004</v>
      </c>
      <c r="J558" s="4">
        <f>CHOOSE( CONTROL!$C$29, 8.452, 8.4454) * CHOOSE(CONTROL!$C$12, $D$4, 100%, $F$4)</f>
        <v>8.4453999999999994</v>
      </c>
      <c r="K558" s="4"/>
      <c r="L558" s="9">
        <v>28.568200000000001</v>
      </c>
      <c r="M558" s="9">
        <v>11.6745</v>
      </c>
      <c r="N558" s="9">
        <v>4.7850000000000001</v>
      </c>
      <c r="O558" s="9">
        <v>0.36249999999999999</v>
      </c>
      <c r="P558" s="9">
        <v>1.1798</v>
      </c>
      <c r="Q558" s="9">
        <v>19.053000000000001</v>
      </c>
      <c r="R558" s="9"/>
      <c r="S558" s="11"/>
    </row>
    <row r="559" spans="1:19" ht="15.6">
      <c r="A559" s="13">
        <v>59110</v>
      </c>
      <c r="B559" s="8">
        <f>9.1037 * CHOOSE(CONTROL!$C$12, $D$4, 100%, $F$4)</f>
        <v>9.1036999999999999</v>
      </c>
      <c r="C559" s="8">
        <f>9.1141 * CHOOSE(CONTROL!$C$12, $D$4, 100%, $F$4)</f>
        <v>9.1141000000000005</v>
      </c>
      <c r="D559" s="8">
        <f>9.1091 * CHOOSE( CONTROL!$C$12, $D$4, 100%, $F$4)</f>
        <v>9.1090999999999998</v>
      </c>
      <c r="E559" s="12">
        <f>9.1096 * CHOOSE( CONTROL!$C$12, $D$4, 100%, $F$4)</f>
        <v>9.1096000000000004</v>
      </c>
      <c r="F559" s="4">
        <f>10.0947 * CHOOSE(CONTROL!$C$12, $D$4, 100%, $F$4)</f>
        <v>10.0947</v>
      </c>
      <c r="G559" s="8">
        <f>8.9681 * CHOOSE( CONTROL!$C$12, $D$4, 100%, $F$4)</f>
        <v>8.9680999999999997</v>
      </c>
      <c r="H559" s="4">
        <f>9.8683 * CHOOSE(CONTROL!$C$12, $D$4, 100%, $F$4)</f>
        <v>9.8682999999999996</v>
      </c>
      <c r="I559" s="8">
        <f>8.9019 * CHOOSE(CONTROL!$C$12, $D$4, 100%, $F$4)</f>
        <v>8.9018999999999995</v>
      </c>
      <c r="J559" s="4">
        <f>8.8206 * CHOOSE(CONTROL!$C$12, $D$4, 100%, $F$4)</f>
        <v>8.8206000000000007</v>
      </c>
      <c r="K559" s="4"/>
      <c r="L559" s="9">
        <v>28.921800000000001</v>
      </c>
      <c r="M559" s="9">
        <v>12.063700000000001</v>
      </c>
      <c r="N559" s="9">
        <v>4.9444999999999997</v>
      </c>
      <c r="O559" s="9">
        <v>0.37459999999999999</v>
      </c>
      <c r="P559" s="9">
        <v>1.2192000000000001</v>
      </c>
      <c r="Q559" s="9">
        <v>19.688099999999999</v>
      </c>
      <c r="R559" s="9"/>
      <c r="S559" s="11"/>
    </row>
    <row r="560" spans="1:19" ht="15.6">
      <c r="A560" s="13">
        <v>59140</v>
      </c>
      <c r="B560" s="8">
        <f>9.8184 * CHOOSE(CONTROL!$C$12, $D$4, 100%, $F$4)</f>
        <v>9.8184000000000005</v>
      </c>
      <c r="C560" s="8">
        <f>9.8287 * CHOOSE(CONTROL!$C$12, $D$4, 100%, $F$4)</f>
        <v>9.8286999999999995</v>
      </c>
      <c r="D560" s="8">
        <f>9.788 * CHOOSE( CONTROL!$C$12, $D$4, 100%, $F$4)</f>
        <v>9.7880000000000003</v>
      </c>
      <c r="E560" s="12">
        <f>9.8018 * CHOOSE( CONTROL!$C$12, $D$4, 100%, $F$4)</f>
        <v>9.8018000000000001</v>
      </c>
      <c r="F560" s="4">
        <f>10.7954 * CHOOSE(CONTROL!$C$12, $D$4, 100%, $F$4)</f>
        <v>10.795400000000001</v>
      </c>
      <c r="G560" s="8">
        <f>9.6665 * CHOOSE( CONTROL!$C$12, $D$4, 100%, $F$4)</f>
        <v>9.6664999999999992</v>
      </c>
      <c r="H560" s="4">
        <f>10.559 * CHOOSE(CONTROL!$C$12, $D$4, 100%, $F$4)</f>
        <v>10.558999999999999</v>
      </c>
      <c r="I560" s="8">
        <f>9.579 * CHOOSE(CONTROL!$C$12, $D$4, 100%, $F$4)</f>
        <v>9.5790000000000006</v>
      </c>
      <c r="J560" s="4">
        <f>9.5131 * CHOOSE(CONTROL!$C$12, $D$4, 100%, $F$4)</f>
        <v>9.5130999999999997</v>
      </c>
      <c r="K560" s="4"/>
      <c r="L560" s="9">
        <v>26.515499999999999</v>
      </c>
      <c r="M560" s="9">
        <v>11.6745</v>
      </c>
      <c r="N560" s="9">
        <v>4.7850000000000001</v>
      </c>
      <c r="O560" s="9">
        <v>0.36249999999999999</v>
      </c>
      <c r="P560" s="9">
        <v>1.2522</v>
      </c>
      <c r="Q560" s="9">
        <v>19.053000000000001</v>
      </c>
      <c r="R560" s="9"/>
      <c r="S560" s="11"/>
    </row>
    <row r="561" spans="1:19" ht="15.6">
      <c r="A561" s="13">
        <v>59171</v>
      </c>
      <c r="B561" s="8">
        <f>9.8005 * CHOOSE(CONTROL!$C$12, $D$4, 100%, $F$4)</f>
        <v>9.8004999999999995</v>
      </c>
      <c r="C561" s="8">
        <f>9.8109 * CHOOSE(CONTROL!$C$12, $D$4, 100%, $F$4)</f>
        <v>9.8109000000000002</v>
      </c>
      <c r="D561" s="8">
        <f>9.7721 * CHOOSE( CONTROL!$C$12, $D$4, 100%, $F$4)</f>
        <v>9.7721</v>
      </c>
      <c r="E561" s="12">
        <f>9.7852 * CHOOSE( CONTROL!$C$12, $D$4, 100%, $F$4)</f>
        <v>9.7851999999999997</v>
      </c>
      <c r="F561" s="4">
        <f>10.7709 * CHOOSE(CONTROL!$C$12, $D$4, 100%, $F$4)</f>
        <v>10.770899999999999</v>
      </c>
      <c r="G561" s="8">
        <f>9.6512 * CHOOSE( CONTROL!$C$12, $D$4, 100%, $F$4)</f>
        <v>9.6511999999999993</v>
      </c>
      <c r="H561" s="4">
        <f>10.5348 * CHOOSE(CONTROL!$C$12, $D$4, 100%, $F$4)</f>
        <v>10.534800000000001</v>
      </c>
      <c r="I561" s="8">
        <f>9.5725 * CHOOSE(CONTROL!$C$12, $D$4, 100%, $F$4)</f>
        <v>9.5724999999999998</v>
      </c>
      <c r="J561" s="4">
        <f>9.4958 * CHOOSE(CONTROL!$C$12, $D$4, 100%, $F$4)</f>
        <v>9.4957999999999991</v>
      </c>
      <c r="K561" s="4"/>
      <c r="L561" s="9">
        <v>27.3993</v>
      </c>
      <c r="M561" s="9">
        <v>12.063700000000001</v>
      </c>
      <c r="N561" s="9">
        <v>4.9444999999999997</v>
      </c>
      <c r="O561" s="9">
        <v>0.37459999999999999</v>
      </c>
      <c r="P561" s="9">
        <v>1.2939000000000001</v>
      </c>
      <c r="Q561" s="9">
        <v>19.688099999999999</v>
      </c>
      <c r="R561" s="9"/>
      <c r="S561" s="11"/>
    </row>
    <row r="562" spans="1:19" ht="15.6">
      <c r="A562" s="13">
        <v>59202</v>
      </c>
      <c r="B562" s="8">
        <f>10.0292 * CHOOSE(CONTROL!$C$12, $D$4, 100%, $F$4)</f>
        <v>10.029199999999999</v>
      </c>
      <c r="C562" s="8">
        <f>10.0396 * CHOOSE(CONTROL!$C$12, $D$4, 100%, $F$4)</f>
        <v>10.0396</v>
      </c>
      <c r="D562" s="8">
        <f>10.0394 * CHOOSE( CONTROL!$C$12, $D$4, 100%, $F$4)</f>
        <v>10.039400000000001</v>
      </c>
      <c r="E562" s="12">
        <f>10.0384 * CHOOSE( CONTROL!$C$12, $D$4, 100%, $F$4)</f>
        <v>10.038399999999999</v>
      </c>
      <c r="F562" s="4">
        <f>11.0512 * CHOOSE(CONTROL!$C$12, $D$4, 100%, $F$4)</f>
        <v>11.0512</v>
      </c>
      <c r="G562" s="8">
        <f>9.9177 * CHOOSE( CONTROL!$C$12, $D$4, 100%, $F$4)</f>
        <v>9.9177</v>
      </c>
      <c r="H562" s="4">
        <f>10.8111 * CHOOSE(CONTROL!$C$12, $D$4, 100%, $F$4)</f>
        <v>10.8111</v>
      </c>
      <c r="I562" s="8">
        <f>9.8308 * CHOOSE(CONTROL!$C$12, $D$4, 100%, $F$4)</f>
        <v>9.8308</v>
      </c>
      <c r="J562" s="4">
        <f>9.7174 * CHOOSE(CONTROL!$C$12, $D$4, 100%, $F$4)</f>
        <v>9.7173999999999996</v>
      </c>
      <c r="K562" s="4"/>
      <c r="L562" s="9">
        <v>27.3993</v>
      </c>
      <c r="M562" s="9">
        <v>12.063700000000001</v>
      </c>
      <c r="N562" s="9">
        <v>4.9444999999999997</v>
      </c>
      <c r="O562" s="9">
        <v>0.37459999999999999</v>
      </c>
      <c r="P562" s="9">
        <v>1.2939000000000001</v>
      </c>
      <c r="Q562" s="9">
        <v>19.688099999999999</v>
      </c>
      <c r="R562" s="9"/>
      <c r="S562" s="11"/>
    </row>
    <row r="563" spans="1:19" ht="15.6">
      <c r="A563" s="13">
        <v>59230</v>
      </c>
      <c r="B563" s="8">
        <f>9.3809 * CHOOSE(CONTROL!$C$12, $D$4, 100%, $F$4)</f>
        <v>9.3809000000000005</v>
      </c>
      <c r="C563" s="8">
        <f>9.3912 * CHOOSE(CONTROL!$C$12, $D$4, 100%, $F$4)</f>
        <v>9.3911999999999995</v>
      </c>
      <c r="D563" s="8">
        <f>9.3933 * CHOOSE( CONTROL!$C$12, $D$4, 100%, $F$4)</f>
        <v>9.3933</v>
      </c>
      <c r="E563" s="12">
        <f>9.3914 * CHOOSE( CONTROL!$C$12, $D$4, 100%, $F$4)</f>
        <v>9.3914000000000009</v>
      </c>
      <c r="F563" s="4">
        <f>10.3951 * CHOOSE(CONTROL!$C$12, $D$4, 100%, $F$4)</f>
        <v>10.395099999999999</v>
      </c>
      <c r="G563" s="8">
        <f>9.2784 * CHOOSE( CONTROL!$C$12, $D$4, 100%, $F$4)</f>
        <v>9.2783999999999995</v>
      </c>
      <c r="H563" s="4">
        <f>10.1644 * CHOOSE(CONTROL!$C$12, $D$4, 100%, $F$4)</f>
        <v>10.164400000000001</v>
      </c>
      <c r="I563" s="8">
        <f>9.1914 * CHOOSE(CONTROL!$C$12, $D$4, 100%, $F$4)</f>
        <v>9.1913999999999998</v>
      </c>
      <c r="J563" s="4">
        <f>9.0892 * CHOOSE(CONTROL!$C$12, $D$4, 100%, $F$4)</f>
        <v>9.0891999999999999</v>
      </c>
      <c r="K563" s="4"/>
      <c r="L563" s="9">
        <v>24.747800000000002</v>
      </c>
      <c r="M563" s="9">
        <v>10.8962</v>
      </c>
      <c r="N563" s="9">
        <v>4.4660000000000002</v>
      </c>
      <c r="O563" s="9">
        <v>0.33829999999999999</v>
      </c>
      <c r="P563" s="9">
        <v>1.1687000000000001</v>
      </c>
      <c r="Q563" s="9">
        <v>17.782800000000002</v>
      </c>
      <c r="R563" s="9"/>
      <c r="S563" s="11"/>
    </row>
    <row r="564" spans="1:19" ht="15.6">
      <c r="A564" s="13">
        <v>59261</v>
      </c>
      <c r="B564" s="8">
        <f>9.1812 * CHOOSE(CONTROL!$C$12, $D$4, 100%, $F$4)</f>
        <v>9.1812000000000005</v>
      </c>
      <c r="C564" s="8">
        <f>9.1916 * CHOOSE(CONTROL!$C$12, $D$4, 100%, $F$4)</f>
        <v>9.1915999999999993</v>
      </c>
      <c r="D564" s="8">
        <f>9.1738 * CHOOSE( CONTROL!$C$12, $D$4, 100%, $F$4)</f>
        <v>9.1738</v>
      </c>
      <c r="E564" s="12">
        <f>9.1792 * CHOOSE( CONTROL!$C$12, $D$4, 100%, $F$4)</f>
        <v>9.1791999999999998</v>
      </c>
      <c r="F564" s="4">
        <f>10.1794 * CHOOSE(CONTROL!$C$12, $D$4, 100%, $F$4)</f>
        <v>10.179399999999999</v>
      </c>
      <c r="G564" s="8">
        <f>9.0611 * CHOOSE( CONTROL!$C$12, $D$4, 100%, $F$4)</f>
        <v>9.0610999999999997</v>
      </c>
      <c r="H564" s="4">
        <f>9.9518 * CHOOSE(CONTROL!$C$12, $D$4, 100%, $F$4)</f>
        <v>9.9518000000000004</v>
      </c>
      <c r="I564" s="8">
        <f>8.9583 * CHOOSE(CONTROL!$C$12, $D$4, 100%, $F$4)</f>
        <v>8.9582999999999995</v>
      </c>
      <c r="J564" s="4">
        <f>8.8957 * CHOOSE(CONTROL!$C$12, $D$4, 100%, $F$4)</f>
        <v>8.8956999999999997</v>
      </c>
      <c r="K564" s="4"/>
      <c r="L564" s="9">
        <v>27.3993</v>
      </c>
      <c r="M564" s="9">
        <v>12.063700000000001</v>
      </c>
      <c r="N564" s="9">
        <v>4.9444999999999997</v>
      </c>
      <c r="O564" s="9">
        <v>0.37459999999999999</v>
      </c>
      <c r="P564" s="9">
        <v>1.2939000000000001</v>
      </c>
      <c r="Q564" s="9">
        <v>19.688099999999999</v>
      </c>
      <c r="R564" s="9"/>
      <c r="S564" s="11"/>
    </row>
    <row r="565" spans="1:19" ht="15.6">
      <c r="A565" s="13">
        <v>59291</v>
      </c>
      <c r="B565" s="8">
        <f>9.3208 * CHOOSE(CONTROL!$C$12, $D$4, 100%, $F$4)</f>
        <v>9.3208000000000002</v>
      </c>
      <c r="C565" s="8">
        <f>9.3311 * CHOOSE(CONTROL!$C$12, $D$4, 100%, $F$4)</f>
        <v>9.3310999999999993</v>
      </c>
      <c r="D565" s="8">
        <f>9.3361 * CHOOSE( CONTROL!$C$12, $D$4, 100%, $F$4)</f>
        <v>9.3361000000000001</v>
      </c>
      <c r="E565" s="12">
        <f>9.3333 * CHOOSE( CONTROL!$C$12, $D$4, 100%, $F$4)</f>
        <v>9.3332999999999995</v>
      </c>
      <c r="F565" s="4">
        <f>10.3272 * CHOOSE(CONTROL!$C$12, $D$4, 100%, $F$4)</f>
        <v>10.327199999999999</v>
      </c>
      <c r="G565" s="8">
        <f>9.1865 * CHOOSE( CONTROL!$C$12, $D$4, 100%, $F$4)</f>
        <v>9.1865000000000006</v>
      </c>
      <c r="H565" s="4">
        <f>10.0975 * CHOOSE(CONTROL!$C$12, $D$4, 100%, $F$4)</f>
        <v>10.0975</v>
      </c>
      <c r="I565" s="8">
        <f>9.0836 * CHOOSE(CONTROL!$C$12, $D$4, 100%, $F$4)</f>
        <v>9.0836000000000006</v>
      </c>
      <c r="J565" s="4">
        <f>9.0309 * CHOOSE(CONTROL!$C$12, $D$4, 100%, $F$4)</f>
        <v>9.0309000000000008</v>
      </c>
      <c r="K565" s="4"/>
      <c r="L565" s="9">
        <v>27.988800000000001</v>
      </c>
      <c r="M565" s="9">
        <v>11.6745</v>
      </c>
      <c r="N565" s="9">
        <v>4.7850000000000001</v>
      </c>
      <c r="O565" s="9">
        <v>0.36249999999999999</v>
      </c>
      <c r="P565" s="9">
        <v>1.1798</v>
      </c>
      <c r="Q565" s="9">
        <v>19.053000000000001</v>
      </c>
      <c r="R565" s="9"/>
      <c r="S565" s="11"/>
    </row>
    <row r="566" spans="1:19" ht="15.6">
      <c r="A566" s="13">
        <v>59322</v>
      </c>
      <c r="B566" s="8">
        <f>CHOOSE( CONTROL!$C$29, 9.5759, 9.5691) * CHOOSE(CONTROL!$C$12, $D$4, 100%, $F$4)</f>
        <v>9.5691000000000006</v>
      </c>
      <c r="C566" s="8">
        <f>CHOOSE( CONTROL!$C$29, 9.5863, 9.5794) * CHOOSE(CONTROL!$C$12, $D$4, 100%, $F$4)</f>
        <v>9.5793999999999997</v>
      </c>
      <c r="D566" s="8">
        <f>CHOOSE( CONTROL!$C$29, 9.5665, 9.5597) * CHOOSE( CONTROL!$C$12, $D$4, 100%, $F$4)</f>
        <v>9.5596999999999994</v>
      </c>
      <c r="E566" s="12">
        <f>CHOOSE( CONTROL!$C$29, 9.5721, 9.5653) * CHOOSE( CONTROL!$C$12, $D$4, 100%, $F$4)</f>
        <v>9.5653000000000006</v>
      </c>
      <c r="F566" s="4">
        <f>CHOOSE( CONTROL!$C$29, 10.5504, 10.5436) * CHOOSE(CONTROL!$C$12, $D$4, 100%, $F$4)</f>
        <v>10.5436</v>
      </c>
      <c r="G566" s="8">
        <f>CHOOSE( CONTROL!$C$29, 9.4198, 9.4131) * CHOOSE( CONTROL!$C$12, $D$4, 100%, $F$4)</f>
        <v>9.4131</v>
      </c>
      <c r="H566" s="4">
        <f>CHOOSE( CONTROL!$C$29, 10.3175, 10.3108) * CHOOSE(CONTROL!$C$12, $D$4, 100%, $F$4)</f>
        <v>10.3108</v>
      </c>
      <c r="I566" s="8">
        <f>CHOOSE( CONTROL!$C$29, 9.3095, 9.3028) * CHOOSE(CONTROL!$C$12, $D$4, 100%, $F$4)</f>
        <v>9.3027999999999995</v>
      </c>
      <c r="J566" s="4">
        <f>CHOOSE( CONTROL!$C$29, 9.2781, 9.2715) * CHOOSE(CONTROL!$C$12, $D$4, 100%, $F$4)</f>
        <v>9.2714999999999996</v>
      </c>
      <c r="K566" s="4"/>
      <c r="L566" s="9">
        <v>29.520499999999998</v>
      </c>
      <c r="M566" s="9">
        <v>12.063700000000001</v>
      </c>
      <c r="N566" s="9">
        <v>4.9444999999999997</v>
      </c>
      <c r="O566" s="9">
        <v>0.37459999999999999</v>
      </c>
      <c r="P566" s="9">
        <v>1.2192000000000001</v>
      </c>
      <c r="Q566" s="9">
        <v>19.688099999999999</v>
      </c>
      <c r="R566" s="9"/>
      <c r="S566" s="11"/>
    </row>
    <row r="567" spans="1:19" ht="15.6">
      <c r="A567" s="13">
        <v>59352</v>
      </c>
      <c r="B567" s="8">
        <f>CHOOSE( CONTROL!$C$29, 9.4221, 9.4153) * CHOOSE(CONTROL!$C$12, $D$4, 100%, $F$4)</f>
        <v>9.4153000000000002</v>
      </c>
      <c r="C567" s="8">
        <f>CHOOSE( CONTROL!$C$29, 9.4324, 9.4256) * CHOOSE(CONTROL!$C$12, $D$4, 100%, $F$4)</f>
        <v>9.4255999999999993</v>
      </c>
      <c r="D567" s="8">
        <f>CHOOSE( CONTROL!$C$29, 9.4072, 9.4003) * CHOOSE( CONTROL!$C$12, $D$4, 100%, $F$4)</f>
        <v>9.4002999999999997</v>
      </c>
      <c r="E567" s="12">
        <f>CHOOSE( CONTROL!$C$29, 9.4148, 9.4079) * CHOOSE( CONTROL!$C$12, $D$4, 100%, $F$4)</f>
        <v>9.4078999999999997</v>
      </c>
      <c r="F567" s="4">
        <f>CHOOSE( CONTROL!$C$29, 10.3862, 10.3794) * CHOOSE(CONTROL!$C$12, $D$4, 100%, $F$4)</f>
        <v>10.3794</v>
      </c>
      <c r="G567" s="8">
        <f>CHOOSE( CONTROL!$C$29, 9.2669, 9.2602) * CHOOSE( CONTROL!$C$12, $D$4, 100%, $F$4)</f>
        <v>9.2601999999999993</v>
      </c>
      <c r="H567" s="4">
        <f>CHOOSE( CONTROL!$C$29, 10.1557, 10.1489) * CHOOSE(CONTROL!$C$12, $D$4, 100%, $F$4)</f>
        <v>10.148899999999999</v>
      </c>
      <c r="I567" s="8">
        <f>CHOOSE( CONTROL!$C$29, 9.1625, 9.1559) * CHOOSE(CONTROL!$C$12, $D$4, 100%, $F$4)</f>
        <v>9.1559000000000008</v>
      </c>
      <c r="J567" s="4">
        <f>CHOOSE( CONTROL!$C$29, 9.1291, 9.1225) * CHOOSE(CONTROL!$C$12, $D$4, 100%, $F$4)</f>
        <v>9.1225000000000005</v>
      </c>
      <c r="K567" s="4"/>
      <c r="L567" s="9">
        <v>28.568200000000001</v>
      </c>
      <c r="M567" s="9">
        <v>11.6745</v>
      </c>
      <c r="N567" s="9">
        <v>4.7850000000000001</v>
      </c>
      <c r="O567" s="9">
        <v>0.36249999999999999</v>
      </c>
      <c r="P567" s="9">
        <v>1.1798</v>
      </c>
      <c r="Q567" s="9">
        <v>19.053000000000001</v>
      </c>
      <c r="R567" s="9"/>
      <c r="S567" s="11"/>
    </row>
    <row r="568" spans="1:19" ht="15.6">
      <c r="A568" s="13">
        <v>59383</v>
      </c>
      <c r="B568" s="8">
        <f>CHOOSE( CONTROL!$C$29, 9.8272, 9.8204) * CHOOSE(CONTROL!$C$12, $D$4, 100%, $F$4)</f>
        <v>9.8203999999999994</v>
      </c>
      <c r="C568" s="8">
        <f>CHOOSE( CONTROL!$C$29, 9.8375, 9.8307) * CHOOSE(CONTROL!$C$12, $D$4, 100%, $F$4)</f>
        <v>9.8307000000000002</v>
      </c>
      <c r="D568" s="8">
        <f>CHOOSE( CONTROL!$C$29, 9.8457, 9.8388) * CHOOSE( CONTROL!$C$12, $D$4, 100%, $F$4)</f>
        <v>9.8388000000000009</v>
      </c>
      <c r="E568" s="12">
        <f>CHOOSE( CONTROL!$C$29, 9.8412, 9.8343) * CHOOSE( CONTROL!$C$12, $D$4, 100%, $F$4)</f>
        <v>9.8343000000000007</v>
      </c>
      <c r="F568" s="4">
        <f>CHOOSE( CONTROL!$C$29, 10.8362, 10.8294) * CHOOSE(CONTROL!$C$12, $D$4, 100%, $F$4)</f>
        <v>10.8294</v>
      </c>
      <c r="G568" s="8">
        <f>CHOOSE( CONTROL!$C$29, 9.6923, 9.6856) * CHOOSE( CONTROL!$C$12, $D$4, 100%, $F$4)</f>
        <v>9.6856000000000009</v>
      </c>
      <c r="H568" s="4">
        <f>CHOOSE( CONTROL!$C$29, 10.5993, 10.5925) * CHOOSE(CONTROL!$C$12, $D$4, 100%, $F$4)</f>
        <v>10.592499999999999</v>
      </c>
      <c r="I568" s="8">
        <f>CHOOSE( CONTROL!$C$29, 9.6105, 9.6039) * CHOOSE(CONTROL!$C$12, $D$4, 100%, $F$4)</f>
        <v>9.6038999999999994</v>
      </c>
      <c r="J568" s="4">
        <f>CHOOSE( CONTROL!$C$29, 9.5216, 9.515) * CHOOSE(CONTROL!$C$12, $D$4, 100%, $F$4)</f>
        <v>9.5150000000000006</v>
      </c>
      <c r="K568" s="4"/>
      <c r="L568" s="9">
        <v>29.520499999999998</v>
      </c>
      <c r="M568" s="9">
        <v>12.063700000000001</v>
      </c>
      <c r="N568" s="9">
        <v>4.9444999999999997</v>
      </c>
      <c r="O568" s="9">
        <v>0.37459999999999999</v>
      </c>
      <c r="P568" s="9">
        <v>1.2192000000000001</v>
      </c>
      <c r="Q568" s="9">
        <v>19.688099999999999</v>
      </c>
      <c r="R568" s="9"/>
      <c r="S568" s="11"/>
    </row>
    <row r="569" spans="1:19" ht="15.6">
      <c r="A569" s="13">
        <v>59414</v>
      </c>
      <c r="B569" s="8">
        <f>CHOOSE( CONTROL!$C$29, 9.0692, 9.0624) * CHOOSE(CONTROL!$C$12, $D$4, 100%, $F$4)</f>
        <v>9.0624000000000002</v>
      </c>
      <c r="C569" s="8">
        <f>CHOOSE( CONTROL!$C$29, 9.0795, 9.0727) * CHOOSE(CONTROL!$C$12, $D$4, 100%, $F$4)</f>
        <v>9.0726999999999993</v>
      </c>
      <c r="D569" s="8">
        <f>CHOOSE( CONTROL!$C$29, 9.081, 9.0742) * CHOOSE( CONTROL!$C$12, $D$4, 100%, $F$4)</f>
        <v>9.0741999999999994</v>
      </c>
      <c r="E569" s="12">
        <f>CHOOSE( CONTROL!$C$29, 9.0789, 9.0721) * CHOOSE( CONTROL!$C$12, $D$4, 100%, $F$4)</f>
        <v>9.0721000000000007</v>
      </c>
      <c r="F569" s="4">
        <f>CHOOSE( CONTROL!$C$29, 10.0757, 10.0688) * CHOOSE(CONTROL!$C$12, $D$4, 100%, $F$4)</f>
        <v>10.0688</v>
      </c>
      <c r="G569" s="8">
        <f>CHOOSE( CONTROL!$C$29, 8.9352, 8.9285) * CHOOSE( CONTROL!$C$12, $D$4, 100%, $F$4)</f>
        <v>8.9284999999999997</v>
      </c>
      <c r="H569" s="4">
        <f>CHOOSE( CONTROL!$C$29, 9.8495, 9.8428) * CHOOSE(CONTROL!$C$12, $D$4, 100%, $F$4)</f>
        <v>9.8428000000000004</v>
      </c>
      <c r="I569" s="8">
        <f>CHOOSE( CONTROL!$C$29, 8.8568, 8.8501) * CHOOSE(CONTROL!$C$12, $D$4, 100%, $F$4)</f>
        <v>8.8500999999999994</v>
      </c>
      <c r="J569" s="4">
        <f>CHOOSE( CONTROL!$C$29, 8.7871, 8.7805) * CHOOSE(CONTROL!$C$12, $D$4, 100%, $F$4)</f>
        <v>8.7805</v>
      </c>
      <c r="K569" s="4"/>
      <c r="L569" s="9">
        <v>29.520499999999998</v>
      </c>
      <c r="M569" s="9">
        <v>12.063700000000001</v>
      </c>
      <c r="N569" s="9">
        <v>4.9444999999999997</v>
      </c>
      <c r="O569" s="9">
        <v>0.37459999999999999</v>
      </c>
      <c r="P569" s="9">
        <v>1.2192000000000001</v>
      </c>
      <c r="Q569" s="9">
        <v>19.688099999999999</v>
      </c>
      <c r="R569" s="9"/>
      <c r="S569" s="11"/>
    </row>
    <row r="570" spans="1:19" ht="15.6">
      <c r="A570" s="13">
        <v>59444</v>
      </c>
      <c r="B570" s="8">
        <f>CHOOSE( CONTROL!$C$29, 8.8794, 8.8726) * CHOOSE(CONTROL!$C$12, $D$4, 100%, $F$4)</f>
        <v>8.8726000000000003</v>
      </c>
      <c r="C570" s="8">
        <f>CHOOSE( CONTROL!$C$29, 8.8897, 8.8829) * CHOOSE(CONTROL!$C$12, $D$4, 100%, $F$4)</f>
        <v>8.8828999999999994</v>
      </c>
      <c r="D570" s="8">
        <f>CHOOSE( CONTROL!$C$29, 8.8944, 8.8876) * CHOOSE( CONTROL!$C$12, $D$4, 100%, $F$4)</f>
        <v>8.8876000000000008</v>
      </c>
      <c r="E570" s="12">
        <f>CHOOSE( CONTROL!$C$29, 8.8911, 8.8843) * CHOOSE( CONTROL!$C$12, $D$4, 100%, $F$4)</f>
        <v>8.8842999999999996</v>
      </c>
      <c r="F570" s="4">
        <f>CHOOSE( CONTROL!$C$29, 9.891, 9.8842) * CHOOSE(CONTROL!$C$12, $D$4, 100%, $F$4)</f>
        <v>9.8841999999999999</v>
      </c>
      <c r="G570" s="8">
        <f>CHOOSE( CONTROL!$C$29, 8.7501, 8.7434) * CHOOSE( CONTROL!$C$12, $D$4, 100%, $F$4)</f>
        <v>8.7433999999999994</v>
      </c>
      <c r="H570" s="4">
        <f>CHOOSE( CONTROL!$C$29, 9.6675, 9.6608) * CHOOSE(CONTROL!$C$12, $D$4, 100%, $F$4)</f>
        <v>9.6608000000000001</v>
      </c>
      <c r="I570" s="8">
        <f>CHOOSE( CONTROL!$C$29, 8.6806, 8.6739) * CHOOSE(CONTROL!$C$12, $D$4, 100%, $F$4)</f>
        <v>8.6738999999999997</v>
      </c>
      <c r="J570" s="4">
        <f>CHOOSE( CONTROL!$C$29, 8.6032, 8.5966) * CHOOSE(CONTROL!$C$12, $D$4, 100%, $F$4)</f>
        <v>8.5966000000000005</v>
      </c>
      <c r="K570" s="4"/>
      <c r="L570" s="9">
        <v>28.568200000000001</v>
      </c>
      <c r="M570" s="9">
        <v>11.6745</v>
      </c>
      <c r="N570" s="9">
        <v>4.7850000000000001</v>
      </c>
      <c r="O570" s="9">
        <v>0.36249999999999999</v>
      </c>
      <c r="P570" s="9">
        <v>1.1798</v>
      </c>
      <c r="Q570" s="9">
        <v>19.053000000000001</v>
      </c>
      <c r="R570" s="9"/>
      <c r="S570" s="11"/>
    </row>
    <row r="571" spans="1:19" ht="15.6">
      <c r="A571" s="13">
        <v>59475</v>
      </c>
      <c r="B571" s="8">
        <f>9.2667 * CHOOSE(CONTROL!$C$12, $D$4, 100%, $F$4)</f>
        <v>9.2667000000000002</v>
      </c>
      <c r="C571" s="8">
        <f>9.277 * CHOOSE(CONTROL!$C$12, $D$4, 100%, $F$4)</f>
        <v>9.2769999999999992</v>
      </c>
      <c r="D571" s="8">
        <f>9.2721 * CHOOSE( CONTROL!$C$12, $D$4, 100%, $F$4)</f>
        <v>9.2721</v>
      </c>
      <c r="E571" s="12">
        <f>9.2726 * CHOOSE( CONTROL!$C$12, $D$4, 100%, $F$4)</f>
        <v>9.2726000000000006</v>
      </c>
      <c r="F571" s="4">
        <f>10.2576 * CHOOSE(CONTROL!$C$12, $D$4, 100%, $F$4)</f>
        <v>10.2576</v>
      </c>
      <c r="G571" s="8">
        <f>9.1287 * CHOOSE( CONTROL!$C$12, $D$4, 100%, $F$4)</f>
        <v>9.1287000000000003</v>
      </c>
      <c r="H571" s="4">
        <f>10.0289 * CHOOSE(CONTROL!$C$12, $D$4, 100%, $F$4)</f>
        <v>10.0289</v>
      </c>
      <c r="I571" s="8">
        <f>9.0599 * CHOOSE(CONTROL!$C$12, $D$4, 100%, $F$4)</f>
        <v>9.0599000000000007</v>
      </c>
      <c r="J571" s="4">
        <f>8.9785 * CHOOSE(CONTROL!$C$12, $D$4, 100%, $F$4)</f>
        <v>8.9785000000000004</v>
      </c>
      <c r="K571" s="4"/>
      <c r="L571" s="9">
        <v>28.921800000000001</v>
      </c>
      <c r="M571" s="9">
        <v>12.063700000000001</v>
      </c>
      <c r="N571" s="9">
        <v>4.9444999999999997</v>
      </c>
      <c r="O571" s="9">
        <v>0.37459999999999999</v>
      </c>
      <c r="P571" s="9">
        <v>1.2192000000000001</v>
      </c>
      <c r="Q571" s="9">
        <v>19.688099999999999</v>
      </c>
      <c r="R571" s="9"/>
      <c r="S571" s="11"/>
    </row>
    <row r="572" spans="1:19" ht="15.6">
      <c r="A572" s="13">
        <v>59505</v>
      </c>
      <c r="B572" s="8">
        <f>9.9941 * CHOOSE(CONTROL!$C$12, $D$4, 100%, $F$4)</f>
        <v>9.9940999999999995</v>
      </c>
      <c r="C572" s="8">
        <f>10.0045 * CHOOSE(CONTROL!$C$12, $D$4, 100%, $F$4)</f>
        <v>10.0045</v>
      </c>
      <c r="D572" s="8">
        <f>9.9638 * CHOOSE( CONTROL!$C$12, $D$4, 100%, $F$4)</f>
        <v>9.9638000000000009</v>
      </c>
      <c r="E572" s="12">
        <f>9.9776 * CHOOSE( CONTROL!$C$12, $D$4, 100%, $F$4)</f>
        <v>9.9776000000000007</v>
      </c>
      <c r="F572" s="4">
        <f>10.9712 * CHOOSE(CONTROL!$C$12, $D$4, 100%, $F$4)</f>
        <v>10.9712</v>
      </c>
      <c r="G572" s="8">
        <f>9.8397 * CHOOSE( CONTROL!$C$12, $D$4, 100%, $F$4)</f>
        <v>9.8397000000000006</v>
      </c>
      <c r="H572" s="4">
        <f>10.7323 * CHOOSE(CONTROL!$C$12, $D$4, 100%, $F$4)</f>
        <v>10.7323</v>
      </c>
      <c r="I572" s="8">
        <f>9.7494 * CHOOSE(CONTROL!$C$12, $D$4, 100%, $F$4)</f>
        <v>9.7493999999999996</v>
      </c>
      <c r="J572" s="4">
        <f>9.6834 * CHOOSE(CONTROL!$C$12, $D$4, 100%, $F$4)</f>
        <v>9.6834000000000007</v>
      </c>
      <c r="K572" s="4"/>
      <c r="L572" s="9">
        <v>26.515499999999999</v>
      </c>
      <c r="M572" s="9">
        <v>11.6745</v>
      </c>
      <c r="N572" s="9">
        <v>4.7850000000000001</v>
      </c>
      <c r="O572" s="9">
        <v>0.36249999999999999</v>
      </c>
      <c r="P572" s="9">
        <v>1.2522</v>
      </c>
      <c r="Q572" s="9">
        <v>19.053000000000001</v>
      </c>
      <c r="R572" s="9"/>
      <c r="S572" s="11"/>
    </row>
    <row r="573" spans="1:19" ht="15.6">
      <c r="A573" s="13">
        <v>59536</v>
      </c>
      <c r="B573" s="8">
        <f>9.976 * CHOOSE(CONTROL!$C$12, $D$4, 100%, $F$4)</f>
        <v>9.9760000000000009</v>
      </c>
      <c r="C573" s="8">
        <f>9.9863 * CHOOSE(CONTROL!$C$12, $D$4, 100%, $F$4)</f>
        <v>9.9863</v>
      </c>
      <c r="D573" s="8">
        <f>9.9475 * CHOOSE( CONTROL!$C$12, $D$4, 100%, $F$4)</f>
        <v>9.9474999999999998</v>
      </c>
      <c r="E573" s="12">
        <f>9.9606 * CHOOSE( CONTROL!$C$12, $D$4, 100%, $F$4)</f>
        <v>9.9605999999999995</v>
      </c>
      <c r="F573" s="4">
        <f>10.9463 * CHOOSE(CONTROL!$C$12, $D$4, 100%, $F$4)</f>
        <v>10.946300000000001</v>
      </c>
      <c r="G573" s="8">
        <f>9.8242 * CHOOSE( CONTROL!$C$12, $D$4, 100%, $F$4)</f>
        <v>9.8241999999999994</v>
      </c>
      <c r="H573" s="4">
        <f>10.7077 * CHOOSE(CONTROL!$C$12, $D$4, 100%, $F$4)</f>
        <v>10.707700000000001</v>
      </c>
      <c r="I573" s="8">
        <f>9.7426 * CHOOSE(CONTROL!$C$12, $D$4, 100%, $F$4)</f>
        <v>9.7425999999999995</v>
      </c>
      <c r="J573" s="4">
        <f>9.6658 * CHOOSE(CONTROL!$C$12, $D$4, 100%, $F$4)</f>
        <v>9.6658000000000008</v>
      </c>
      <c r="K573" s="4"/>
      <c r="L573" s="9">
        <v>27.3993</v>
      </c>
      <c r="M573" s="9">
        <v>12.063700000000001</v>
      </c>
      <c r="N573" s="9">
        <v>4.9444999999999997</v>
      </c>
      <c r="O573" s="9">
        <v>0.37459999999999999</v>
      </c>
      <c r="P573" s="9">
        <v>1.2939000000000001</v>
      </c>
      <c r="Q573" s="9">
        <v>19.688099999999999</v>
      </c>
      <c r="R573" s="9"/>
      <c r="S573" s="11"/>
    </row>
    <row r="574" spans="1:19" ht="15.6">
      <c r="A574" s="13">
        <v>59567</v>
      </c>
      <c r="B574" s="8">
        <f>10.2087 * CHOOSE(CONTROL!$C$12, $D$4, 100%, $F$4)</f>
        <v>10.2087</v>
      </c>
      <c r="C574" s="8">
        <f>10.2191 * CHOOSE(CONTROL!$C$12, $D$4, 100%, $F$4)</f>
        <v>10.219099999999999</v>
      </c>
      <c r="D574" s="8">
        <f>10.2189 * CHOOSE( CONTROL!$C$12, $D$4, 100%, $F$4)</f>
        <v>10.2189</v>
      </c>
      <c r="E574" s="12">
        <f>10.2179 * CHOOSE( CONTROL!$C$12, $D$4, 100%, $F$4)</f>
        <v>10.2179</v>
      </c>
      <c r="F574" s="4">
        <f>11.2307 * CHOOSE(CONTROL!$C$12, $D$4, 100%, $F$4)</f>
        <v>11.230700000000001</v>
      </c>
      <c r="G574" s="8">
        <f>10.0946 * CHOOSE( CONTROL!$C$12, $D$4, 100%, $F$4)</f>
        <v>10.0946</v>
      </c>
      <c r="H574" s="4">
        <f>10.9881 * CHOOSE(CONTROL!$C$12, $D$4, 100%, $F$4)</f>
        <v>10.988099999999999</v>
      </c>
      <c r="I574" s="8">
        <f>10.0049 * CHOOSE(CONTROL!$C$12, $D$4, 100%, $F$4)</f>
        <v>10.004899999999999</v>
      </c>
      <c r="J574" s="4">
        <f>9.8913 * CHOOSE(CONTROL!$C$12, $D$4, 100%, $F$4)</f>
        <v>9.8912999999999993</v>
      </c>
      <c r="K574" s="4"/>
      <c r="L574" s="9">
        <v>27.3993</v>
      </c>
      <c r="M574" s="9">
        <v>12.063700000000001</v>
      </c>
      <c r="N574" s="9">
        <v>4.9444999999999997</v>
      </c>
      <c r="O574" s="9">
        <v>0.37459999999999999</v>
      </c>
      <c r="P574" s="9">
        <v>1.2939000000000001</v>
      </c>
      <c r="Q574" s="9">
        <v>19.688099999999999</v>
      </c>
      <c r="R574" s="9"/>
      <c r="S574" s="11"/>
    </row>
    <row r="575" spans="1:19" ht="15.6">
      <c r="A575" s="13">
        <v>59595</v>
      </c>
      <c r="B575" s="8">
        <f>9.5488 * CHOOSE(CONTROL!$C$12, $D$4, 100%, $F$4)</f>
        <v>9.5488</v>
      </c>
      <c r="C575" s="8">
        <f>9.5591 * CHOOSE(CONTROL!$C$12, $D$4, 100%, $F$4)</f>
        <v>9.5591000000000008</v>
      </c>
      <c r="D575" s="8">
        <f>9.5612 * CHOOSE( CONTROL!$C$12, $D$4, 100%, $F$4)</f>
        <v>9.5611999999999995</v>
      </c>
      <c r="E575" s="12">
        <f>9.5593 * CHOOSE( CONTROL!$C$12, $D$4, 100%, $F$4)</f>
        <v>9.5593000000000004</v>
      </c>
      <c r="F575" s="4">
        <f>10.563 * CHOOSE(CONTROL!$C$12, $D$4, 100%, $F$4)</f>
        <v>10.563000000000001</v>
      </c>
      <c r="G575" s="8">
        <f>9.4439 * CHOOSE( CONTROL!$C$12, $D$4, 100%, $F$4)</f>
        <v>9.4438999999999993</v>
      </c>
      <c r="H575" s="4">
        <f>10.3299 * CHOOSE(CONTROL!$C$12, $D$4, 100%, $F$4)</f>
        <v>10.3299</v>
      </c>
      <c r="I575" s="8">
        <f>9.3541 * CHOOSE(CONTROL!$C$12, $D$4, 100%, $F$4)</f>
        <v>9.3541000000000007</v>
      </c>
      <c r="J575" s="4">
        <f>9.2519 * CHOOSE(CONTROL!$C$12, $D$4, 100%, $F$4)</f>
        <v>9.2518999999999991</v>
      </c>
      <c r="K575" s="4"/>
      <c r="L575" s="9">
        <v>24.747800000000002</v>
      </c>
      <c r="M575" s="9">
        <v>10.8962</v>
      </c>
      <c r="N575" s="9">
        <v>4.4660000000000002</v>
      </c>
      <c r="O575" s="9">
        <v>0.33829999999999999</v>
      </c>
      <c r="P575" s="9">
        <v>1.1687000000000001</v>
      </c>
      <c r="Q575" s="9">
        <v>17.782800000000002</v>
      </c>
      <c r="R575" s="9"/>
      <c r="S575" s="11"/>
    </row>
    <row r="576" spans="1:19" ht="15.6">
      <c r="A576" s="13">
        <v>59626</v>
      </c>
      <c r="B576" s="8">
        <f>9.3456 * CHOOSE(CONTROL!$C$12, $D$4, 100%, $F$4)</f>
        <v>9.3455999999999992</v>
      </c>
      <c r="C576" s="8">
        <f>9.3559 * CHOOSE(CONTROL!$C$12, $D$4, 100%, $F$4)</f>
        <v>9.3559000000000001</v>
      </c>
      <c r="D576" s="8">
        <f>9.3381 * CHOOSE( CONTROL!$C$12, $D$4, 100%, $F$4)</f>
        <v>9.3381000000000007</v>
      </c>
      <c r="E576" s="12">
        <f>9.3435 * CHOOSE( CONTROL!$C$12, $D$4, 100%, $F$4)</f>
        <v>9.3435000000000006</v>
      </c>
      <c r="F576" s="4">
        <f>10.3438 * CHOOSE(CONTROL!$C$12, $D$4, 100%, $F$4)</f>
        <v>10.3438</v>
      </c>
      <c r="G576" s="8">
        <f>9.2231 * CHOOSE( CONTROL!$C$12, $D$4, 100%, $F$4)</f>
        <v>9.2231000000000005</v>
      </c>
      <c r="H576" s="4">
        <f>10.1138 * CHOOSE(CONTROL!$C$12, $D$4, 100%, $F$4)</f>
        <v>10.113799999999999</v>
      </c>
      <c r="I576" s="8">
        <f>9.1176 * CHOOSE(CONTROL!$C$12, $D$4, 100%, $F$4)</f>
        <v>9.1175999999999995</v>
      </c>
      <c r="J576" s="4">
        <f>9.0549 * CHOOSE(CONTROL!$C$12, $D$4, 100%, $F$4)</f>
        <v>9.0548999999999999</v>
      </c>
      <c r="K576" s="4"/>
      <c r="L576" s="9">
        <v>27.3993</v>
      </c>
      <c r="M576" s="9">
        <v>12.063700000000001</v>
      </c>
      <c r="N576" s="9">
        <v>4.9444999999999997</v>
      </c>
      <c r="O576" s="9">
        <v>0.37459999999999999</v>
      </c>
      <c r="P576" s="9">
        <v>1.2939000000000001</v>
      </c>
      <c r="Q576" s="9">
        <v>19.688099999999999</v>
      </c>
      <c r="R576" s="9"/>
      <c r="S576" s="11"/>
    </row>
    <row r="577" spans="1:19" ht="15.6">
      <c r="A577" s="13">
        <v>59656</v>
      </c>
      <c r="B577" s="8">
        <f>9.4876 * CHOOSE(CONTROL!$C$12, $D$4, 100%, $F$4)</f>
        <v>9.4876000000000005</v>
      </c>
      <c r="C577" s="8">
        <f>9.4979 * CHOOSE(CONTROL!$C$12, $D$4, 100%, $F$4)</f>
        <v>9.4978999999999996</v>
      </c>
      <c r="D577" s="8">
        <f>9.503 * CHOOSE( CONTROL!$C$12, $D$4, 100%, $F$4)</f>
        <v>9.5030000000000001</v>
      </c>
      <c r="E577" s="12">
        <f>9.5001 * CHOOSE( CONTROL!$C$12, $D$4, 100%, $F$4)</f>
        <v>9.5000999999999998</v>
      </c>
      <c r="F577" s="4">
        <f>10.494 * CHOOSE(CONTROL!$C$12, $D$4, 100%, $F$4)</f>
        <v>10.494</v>
      </c>
      <c r="G577" s="8">
        <f>9.351 * CHOOSE( CONTROL!$C$12, $D$4, 100%, $F$4)</f>
        <v>9.3510000000000009</v>
      </c>
      <c r="H577" s="4">
        <f>10.2619 * CHOOSE(CONTROL!$C$12, $D$4, 100%, $F$4)</f>
        <v>10.261900000000001</v>
      </c>
      <c r="I577" s="8">
        <f>9.2454 * CHOOSE(CONTROL!$C$12, $D$4, 100%, $F$4)</f>
        <v>9.2454000000000001</v>
      </c>
      <c r="J577" s="4">
        <f>9.1925 * CHOOSE(CONTROL!$C$12, $D$4, 100%, $F$4)</f>
        <v>9.1925000000000008</v>
      </c>
      <c r="K577" s="4"/>
      <c r="L577" s="9">
        <v>27.988800000000001</v>
      </c>
      <c r="M577" s="9">
        <v>11.6745</v>
      </c>
      <c r="N577" s="9">
        <v>4.7850000000000001</v>
      </c>
      <c r="O577" s="9">
        <v>0.36249999999999999</v>
      </c>
      <c r="P577" s="9">
        <v>1.1798</v>
      </c>
      <c r="Q577" s="9">
        <v>19.053000000000001</v>
      </c>
      <c r="R577" s="9"/>
      <c r="S577" s="11"/>
    </row>
    <row r="578" spans="1:19" ht="15.6">
      <c r="A578" s="13">
        <v>59687</v>
      </c>
      <c r="B578" s="8">
        <f>CHOOSE( CONTROL!$C$29, 9.7472, 9.7404) * CHOOSE(CONTROL!$C$12, $D$4, 100%, $F$4)</f>
        <v>9.7403999999999993</v>
      </c>
      <c r="C578" s="8">
        <f>CHOOSE( CONTROL!$C$29, 9.7575, 9.7507) * CHOOSE(CONTROL!$C$12, $D$4, 100%, $F$4)</f>
        <v>9.7507000000000001</v>
      </c>
      <c r="D578" s="8">
        <f>CHOOSE( CONTROL!$C$29, 9.7378, 9.7309) * CHOOSE( CONTROL!$C$12, $D$4, 100%, $F$4)</f>
        <v>9.7309000000000001</v>
      </c>
      <c r="E578" s="12">
        <f>CHOOSE( CONTROL!$C$29, 9.7434, 9.7365) * CHOOSE( CONTROL!$C$12, $D$4, 100%, $F$4)</f>
        <v>9.7364999999999995</v>
      </c>
      <c r="F578" s="4">
        <f>CHOOSE( CONTROL!$C$29, 10.7217, 10.7148) * CHOOSE(CONTROL!$C$12, $D$4, 100%, $F$4)</f>
        <v>10.7148</v>
      </c>
      <c r="G578" s="8">
        <f>CHOOSE( CONTROL!$C$29, 9.5887, 9.5819) * CHOOSE( CONTROL!$C$12, $D$4, 100%, $F$4)</f>
        <v>9.5818999999999992</v>
      </c>
      <c r="H578" s="4">
        <f>CHOOSE( CONTROL!$C$29, 10.4863, 10.4796) * CHOOSE(CONTROL!$C$12, $D$4, 100%, $F$4)</f>
        <v>10.4796</v>
      </c>
      <c r="I578" s="8">
        <f>CHOOSE( CONTROL!$C$29, 9.4755, 9.4689) * CHOOSE(CONTROL!$C$12, $D$4, 100%, $F$4)</f>
        <v>9.4688999999999997</v>
      </c>
      <c r="J578" s="4">
        <f>CHOOSE( CONTROL!$C$29, 9.4441, 9.4375) * CHOOSE(CONTROL!$C$12, $D$4, 100%, $F$4)</f>
        <v>9.4375</v>
      </c>
      <c r="K578" s="4"/>
      <c r="L578" s="9">
        <v>29.520499999999998</v>
      </c>
      <c r="M578" s="9">
        <v>12.063700000000001</v>
      </c>
      <c r="N578" s="9">
        <v>4.9444999999999997</v>
      </c>
      <c r="O578" s="9">
        <v>0.37459999999999999</v>
      </c>
      <c r="P578" s="9">
        <v>1.2192000000000001</v>
      </c>
      <c r="Q578" s="9">
        <v>19.688099999999999</v>
      </c>
      <c r="R578" s="9"/>
      <c r="S578" s="11"/>
    </row>
    <row r="579" spans="1:19" ht="15.6">
      <c r="A579" s="13">
        <v>59717</v>
      </c>
      <c r="B579" s="8">
        <f>CHOOSE( CONTROL!$C$29, 9.5906, 9.5838) * CHOOSE(CONTROL!$C$12, $D$4, 100%, $F$4)</f>
        <v>9.5838000000000001</v>
      </c>
      <c r="C579" s="8">
        <f>CHOOSE( CONTROL!$C$29, 9.6009, 9.5941) * CHOOSE(CONTROL!$C$12, $D$4, 100%, $F$4)</f>
        <v>9.5940999999999992</v>
      </c>
      <c r="D579" s="8">
        <f>CHOOSE( CONTROL!$C$29, 9.5757, 9.5688) * CHOOSE( CONTROL!$C$12, $D$4, 100%, $F$4)</f>
        <v>9.5687999999999995</v>
      </c>
      <c r="E579" s="12">
        <f>CHOOSE( CONTROL!$C$29, 9.5833, 9.5764) * CHOOSE( CONTROL!$C$12, $D$4, 100%, $F$4)</f>
        <v>9.5763999999999996</v>
      </c>
      <c r="F579" s="4">
        <f>CHOOSE( CONTROL!$C$29, 10.5548, 10.5479) * CHOOSE(CONTROL!$C$12, $D$4, 100%, $F$4)</f>
        <v>10.5479</v>
      </c>
      <c r="G579" s="8">
        <f>CHOOSE( CONTROL!$C$29, 9.4331, 9.4263) * CHOOSE( CONTROL!$C$12, $D$4, 100%, $F$4)</f>
        <v>9.4262999999999995</v>
      </c>
      <c r="H579" s="4">
        <f>CHOOSE( CONTROL!$C$29, 10.3218, 10.3151) * CHOOSE(CONTROL!$C$12, $D$4, 100%, $F$4)</f>
        <v>10.315099999999999</v>
      </c>
      <c r="I579" s="8">
        <f>CHOOSE( CONTROL!$C$29, 9.3259, 9.3193) * CHOOSE(CONTROL!$C$12, $D$4, 100%, $F$4)</f>
        <v>9.3193000000000001</v>
      </c>
      <c r="J579" s="4">
        <f>CHOOSE( CONTROL!$C$29, 9.2924, 9.2857) * CHOOSE(CONTROL!$C$12, $D$4, 100%, $F$4)</f>
        <v>9.2857000000000003</v>
      </c>
      <c r="K579" s="4"/>
      <c r="L579" s="9">
        <v>28.568200000000001</v>
      </c>
      <c r="M579" s="9">
        <v>11.6745</v>
      </c>
      <c r="N579" s="9">
        <v>4.7850000000000001</v>
      </c>
      <c r="O579" s="9">
        <v>0.36249999999999999</v>
      </c>
      <c r="P579" s="9">
        <v>1.1798</v>
      </c>
      <c r="Q579" s="9">
        <v>19.053000000000001</v>
      </c>
      <c r="R579" s="9"/>
      <c r="S579" s="11"/>
    </row>
    <row r="580" spans="1:19" ht="15.6">
      <c r="A580" s="13">
        <v>59748</v>
      </c>
      <c r="B580" s="8">
        <f>CHOOSE( CONTROL!$C$29, 10.003, 9.9961) * CHOOSE(CONTROL!$C$12, $D$4, 100%, $F$4)</f>
        <v>9.9961000000000002</v>
      </c>
      <c r="C580" s="8">
        <f>CHOOSE( CONTROL!$C$29, 10.0133, 10.0065) * CHOOSE(CONTROL!$C$12, $D$4, 100%, $F$4)</f>
        <v>10.006500000000001</v>
      </c>
      <c r="D580" s="8">
        <f>CHOOSE( CONTROL!$C$29, 10.0214, 10.0146) * CHOOSE( CONTROL!$C$12, $D$4, 100%, $F$4)</f>
        <v>10.0146</v>
      </c>
      <c r="E580" s="12">
        <f>CHOOSE( CONTROL!$C$29, 10.0169, 10.0101) * CHOOSE( CONTROL!$C$12, $D$4, 100%, $F$4)</f>
        <v>10.0101</v>
      </c>
      <c r="F580" s="4">
        <f>CHOOSE( CONTROL!$C$29, 11.012, 11.0052) * CHOOSE(CONTROL!$C$12, $D$4, 100%, $F$4)</f>
        <v>11.0052</v>
      </c>
      <c r="G580" s="8">
        <f>CHOOSE( CONTROL!$C$29, 9.8656, 9.8588) * CHOOSE( CONTROL!$C$12, $D$4, 100%, $F$4)</f>
        <v>9.8588000000000005</v>
      </c>
      <c r="H580" s="4">
        <f>CHOOSE( CONTROL!$C$29, 10.7725, 10.7658) * CHOOSE(CONTROL!$C$12, $D$4, 100%, $F$4)</f>
        <v>10.7658</v>
      </c>
      <c r="I580" s="8">
        <f>CHOOSE( CONTROL!$C$29, 9.7809, 9.7743) * CHOOSE(CONTROL!$C$12, $D$4, 100%, $F$4)</f>
        <v>9.7743000000000002</v>
      </c>
      <c r="J580" s="4">
        <f>CHOOSE( CONTROL!$C$29, 9.6919, 9.6853) * CHOOSE(CONTROL!$C$12, $D$4, 100%, $F$4)</f>
        <v>9.6852999999999998</v>
      </c>
      <c r="K580" s="4"/>
      <c r="L580" s="9">
        <v>29.520499999999998</v>
      </c>
      <c r="M580" s="9">
        <v>12.063700000000001</v>
      </c>
      <c r="N580" s="9">
        <v>4.9444999999999997</v>
      </c>
      <c r="O580" s="9">
        <v>0.37459999999999999</v>
      </c>
      <c r="P580" s="9">
        <v>1.2192000000000001</v>
      </c>
      <c r="Q580" s="9">
        <v>19.688099999999999</v>
      </c>
      <c r="R580" s="9"/>
      <c r="S580" s="11"/>
    </row>
    <row r="581" spans="1:19" ht="15.6">
      <c r="A581" s="13">
        <v>59779</v>
      </c>
      <c r="B581" s="8">
        <f>CHOOSE( CONTROL!$C$29, 9.2314, 9.2246) * CHOOSE(CONTROL!$C$12, $D$4, 100%, $F$4)</f>
        <v>9.2246000000000006</v>
      </c>
      <c r="C581" s="8">
        <f>CHOOSE( CONTROL!$C$29, 9.2417, 9.2349) * CHOOSE(CONTROL!$C$12, $D$4, 100%, $F$4)</f>
        <v>9.2348999999999997</v>
      </c>
      <c r="D581" s="8">
        <f>CHOOSE( CONTROL!$C$29, 9.2432, 9.2364) * CHOOSE( CONTROL!$C$12, $D$4, 100%, $F$4)</f>
        <v>9.2363999999999997</v>
      </c>
      <c r="E581" s="12">
        <f>CHOOSE( CONTROL!$C$29, 9.2411, 9.2343) * CHOOSE( CONTROL!$C$12, $D$4, 100%, $F$4)</f>
        <v>9.2342999999999993</v>
      </c>
      <c r="F581" s="4">
        <f>CHOOSE( CONTROL!$C$29, 10.2379, 10.231) * CHOOSE(CONTROL!$C$12, $D$4, 100%, $F$4)</f>
        <v>10.231</v>
      </c>
      <c r="G581" s="8">
        <f>CHOOSE( CONTROL!$C$29, 9.0951, 9.0884) * CHOOSE( CONTROL!$C$12, $D$4, 100%, $F$4)</f>
        <v>9.0884</v>
      </c>
      <c r="H581" s="4">
        <f>CHOOSE( CONTROL!$C$29, 10.0094, 10.0027) * CHOOSE(CONTROL!$C$12, $D$4, 100%, $F$4)</f>
        <v>10.002700000000001</v>
      </c>
      <c r="I581" s="8">
        <f>CHOOSE( CONTROL!$C$29, 9.014, 9.0074) * CHOOSE(CONTROL!$C$12, $D$4, 100%, $F$4)</f>
        <v>9.0074000000000005</v>
      </c>
      <c r="J581" s="4">
        <f>CHOOSE( CONTROL!$C$29, 8.9443, 8.9377) * CHOOSE(CONTROL!$C$12, $D$4, 100%, $F$4)</f>
        <v>8.9376999999999995</v>
      </c>
      <c r="K581" s="4"/>
      <c r="L581" s="9">
        <v>29.520499999999998</v>
      </c>
      <c r="M581" s="9">
        <v>12.063700000000001</v>
      </c>
      <c r="N581" s="9">
        <v>4.9444999999999997</v>
      </c>
      <c r="O581" s="9">
        <v>0.37459999999999999</v>
      </c>
      <c r="P581" s="9">
        <v>1.2192000000000001</v>
      </c>
      <c r="Q581" s="9">
        <v>19.688099999999999</v>
      </c>
      <c r="R581" s="9"/>
      <c r="S581" s="11"/>
    </row>
    <row r="582" spans="1:19" ht="15.6">
      <c r="A582" s="13">
        <v>59809</v>
      </c>
      <c r="B582" s="8">
        <f>CHOOSE( CONTROL!$C$29, 9.0382, 9.0314) * CHOOSE(CONTROL!$C$12, $D$4, 100%, $F$4)</f>
        <v>9.0313999999999997</v>
      </c>
      <c r="C582" s="8">
        <f>CHOOSE( CONTROL!$C$29, 9.0485, 9.0417) * CHOOSE(CONTROL!$C$12, $D$4, 100%, $F$4)</f>
        <v>9.0417000000000005</v>
      </c>
      <c r="D582" s="8">
        <f>CHOOSE( CONTROL!$C$29, 9.0532, 9.0464) * CHOOSE( CONTROL!$C$12, $D$4, 100%, $F$4)</f>
        <v>9.0464000000000002</v>
      </c>
      <c r="E582" s="12">
        <f>CHOOSE( CONTROL!$C$29, 9.0499, 9.0431) * CHOOSE( CONTROL!$C$12, $D$4, 100%, $F$4)</f>
        <v>9.0431000000000008</v>
      </c>
      <c r="F582" s="4">
        <f>CHOOSE( CONTROL!$C$29, 10.0498, 10.043) * CHOOSE(CONTROL!$C$12, $D$4, 100%, $F$4)</f>
        <v>10.042999999999999</v>
      </c>
      <c r="G582" s="8">
        <f>CHOOSE( CONTROL!$C$29, 8.9067, 8.8999) * CHOOSE( CONTROL!$C$12, $D$4, 100%, $F$4)</f>
        <v>8.8999000000000006</v>
      </c>
      <c r="H582" s="4">
        <f>CHOOSE( CONTROL!$C$29, 9.8241, 9.8173) * CHOOSE(CONTROL!$C$12, $D$4, 100%, $F$4)</f>
        <v>9.8172999999999995</v>
      </c>
      <c r="I582" s="8">
        <f>CHOOSE( CONTROL!$C$29, 8.8345, 8.8279) * CHOOSE(CONTROL!$C$12, $D$4, 100%, $F$4)</f>
        <v>8.8278999999999996</v>
      </c>
      <c r="J582" s="4">
        <f>CHOOSE( CONTROL!$C$29, 8.7571, 8.7505) * CHOOSE(CONTROL!$C$12, $D$4, 100%, $F$4)</f>
        <v>8.7505000000000006</v>
      </c>
      <c r="K582" s="4"/>
      <c r="L582" s="9">
        <v>28.568200000000001</v>
      </c>
      <c r="M582" s="9">
        <v>11.6745</v>
      </c>
      <c r="N582" s="9">
        <v>4.7850000000000001</v>
      </c>
      <c r="O582" s="9">
        <v>0.36249999999999999</v>
      </c>
      <c r="P582" s="9">
        <v>1.1798</v>
      </c>
      <c r="Q582" s="9">
        <v>19.053000000000001</v>
      </c>
      <c r="R582" s="9"/>
      <c r="S582" s="11"/>
    </row>
    <row r="583" spans="1:19" ht="15.6">
      <c r="A583" s="13">
        <v>59840</v>
      </c>
      <c r="B583" s="8">
        <f>9.4325 * CHOOSE(CONTROL!$C$12, $D$4, 100%, $F$4)</f>
        <v>9.4324999999999992</v>
      </c>
      <c r="C583" s="8">
        <f>9.4429 * CHOOSE(CONTROL!$C$12, $D$4, 100%, $F$4)</f>
        <v>9.4428999999999998</v>
      </c>
      <c r="D583" s="8">
        <f>9.4379 * CHOOSE( CONTROL!$C$12, $D$4, 100%, $F$4)</f>
        <v>9.4379000000000008</v>
      </c>
      <c r="E583" s="12">
        <f>9.4384 * CHOOSE( CONTROL!$C$12, $D$4, 100%, $F$4)</f>
        <v>9.4383999999999997</v>
      </c>
      <c r="F583" s="4">
        <f>10.4235 * CHOOSE(CONTROL!$C$12, $D$4, 100%, $F$4)</f>
        <v>10.423500000000001</v>
      </c>
      <c r="G583" s="8">
        <f>9.2922 * CHOOSE( CONTROL!$C$12, $D$4, 100%, $F$4)</f>
        <v>9.2921999999999993</v>
      </c>
      <c r="H583" s="4">
        <f>10.1924 * CHOOSE(CONTROL!$C$12, $D$4, 100%, $F$4)</f>
        <v>10.192399999999999</v>
      </c>
      <c r="I583" s="8">
        <f>9.2207 * CHOOSE(CONTROL!$C$12, $D$4, 100%, $F$4)</f>
        <v>9.2207000000000008</v>
      </c>
      <c r="J583" s="4">
        <f>9.1392 * CHOOSE(CONTROL!$C$12, $D$4, 100%, $F$4)</f>
        <v>9.1392000000000007</v>
      </c>
      <c r="K583" s="4"/>
      <c r="L583" s="9">
        <v>28.921800000000001</v>
      </c>
      <c r="M583" s="9">
        <v>12.063700000000001</v>
      </c>
      <c r="N583" s="9">
        <v>4.9444999999999997</v>
      </c>
      <c r="O583" s="9">
        <v>0.37459999999999999</v>
      </c>
      <c r="P583" s="9">
        <v>1.2192000000000001</v>
      </c>
      <c r="Q583" s="9">
        <v>19.688099999999999</v>
      </c>
      <c r="R583" s="9"/>
      <c r="S583" s="11"/>
    </row>
    <row r="584" spans="1:19" ht="15.6">
      <c r="A584" s="13">
        <v>59870</v>
      </c>
      <c r="B584" s="8">
        <f>10.173 * CHOOSE(CONTROL!$C$12, $D$4, 100%, $F$4)</f>
        <v>10.173</v>
      </c>
      <c r="C584" s="8">
        <f>10.1833 * CHOOSE(CONTROL!$C$12, $D$4, 100%, $F$4)</f>
        <v>10.183299999999999</v>
      </c>
      <c r="D584" s="8">
        <f>10.1426 * CHOOSE( CONTROL!$C$12, $D$4, 100%, $F$4)</f>
        <v>10.1426</v>
      </c>
      <c r="E584" s="12">
        <f>10.1564 * CHOOSE( CONTROL!$C$12, $D$4, 100%, $F$4)</f>
        <v>10.1564</v>
      </c>
      <c r="F584" s="4">
        <f>11.15 * CHOOSE(CONTROL!$C$12, $D$4, 100%, $F$4)</f>
        <v>11.15</v>
      </c>
      <c r="G584" s="8">
        <f>10.016 * CHOOSE( CONTROL!$C$12, $D$4, 100%, $F$4)</f>
        <v>10.016</v>
      </c>
      <c r="H584" s="4">
        <f>10.9086 * CHOOSE(CONTROL!$C$12, $D$4, 100%, $F$4)</f>
        <v>10.9086</v>
      </c>
      <c r="I584" s="8">
        <f>9.9228 * CHOOSE(CONTROL!$C$12, $D$4, 100%, $F$4)</f>
        <v>9.9228000000000005</v>
      </c>
      <c r="J584" s="4">
        <f>9.8567 * CHOOSE(CONTROL!$C$12, $D$4, 100%, $F$4)</f>
        <v>9.8567</v>
      </c>
      <c r="K584" s="4"/>
      <c r="L584" s="9">
        <v>26.515499999999999</v>
      </c>
      <c r="M584" s="9">
        <v>11.6745</v>
      </c>
      <c r="N584" s="9">
        <v>4.7850000000000001</v>
      </c>
      <c r="O584" s="9">
        <v>0.36249999999999999</v>
      </c>
      <c r="P584" s="9">
        <v>1.2522</v>
      </c>
      <c r="Q584" s="9">
        <v>19.053000000000001</v>
      </c>
      <c r="R584" s="9"/>
      <c r="S584" s="11"/>
    </row>
    <row r="585" spans="1:19" ht="15.6">
      <c r="A585" s="13">
        <v>59901</v>
      </c>
      <c r="B585" s="8">
        <f>10.1545 * CHOOSE(CONTROL!$C$12, $D$4, 100%, $F$4)</f>
        <v>10.154500000000001</v>
      </c>
      <c r="C585" s="8">
        <f>10.1648 * CHOOSE(CONTROL!$C$12, $D$4, 100%, $F$4)</f>
        <v>10.1648</v>
      </c>
      <c r="D585" s="8">
        <f>10.126 * CHOOSE( CONTROL!$C$12, $D$4, 100%, $F$4)</f>
        <v>10.125999999999999</v>
      </c>
      <c r="E585" s="12">
        <f>10.1391 * CHOOSE( CONTROL!$C$12, $D$4, 100%, $F$4)</f>
        <v>10.139099999999999</v>
      </c>
      <c r="F585" s="4">
        <f>11.1248 * CHOOSE(CONTROL!$C$12, $D$4, 100%, $F$4)</f>
        <v>11.1248</v>
      </c>
      <c r="G585" s="8">
        <f>10.0002 * CHOOSE( CONTROL!$C$12, $D$4, 100%, $F$4)</f>
        <v>10.0002</v>
      </c>
      <c r="H585" s="4">
        <f>10.8838 * CHOOSE(CONTROL!$C$12, $D$4, 100%, $F$4)</f>
        <v>10.883800000000001</v>
      </c>
      <c r="I585" s="8">
        <f>9.9157 * CHOOSE(CONTROL!$C$12, $D$4, 100%, $F$4)</f>
        <v>9.9156999999999993</v>
      </c>
      <c r="J585" s="4">
        <f>9.8388 * CHOOSE(CONTROL!$C$12, $D$4, 100%, $F$4)</f>
        <v>9.8388000000000009</v>
      </c>
      <c r="K585" s="4"/>
      <c r="L585" s="9">
        <v>27.3993</v>
      </c>
      <c r="M585" s="9">
        <v>12.063700000000001</v>
      </c>
      <c r="N585" s="9">
        <v>4.9444999999999997</v>
      </c>
      <c r="O585" s="9">
        <v>0.37459999999999999</v>
      </c>
      <c r="P585" s="9">
        <v>1.2939000000000001</v>
      </c>
      <c r="Q585" s="9">
        <v>19.688099999999999</v>
      </c>
      <c r="R585" s="9"/>
      <c r="S585" s="11"/>
    </row>
    <row r="586" spans="1:19" ht="15.6">
      <c r="A586" s="13">
        <v>59932</v>
      </c>
      <c r="B586" s="8">
        <f>10.3915 * CHOOSE(CONTROL!$C$12, $D$4, 100%, $F$4)</f>
        <v>10.391500000000001</v>
      </c>
      <c r="C586" s="8">
        <f>10.4018 * CHOOSE(CONTROL!$C$12, $D$4, 100%, $F$4)</f>
        <v>10.4018</v>
      </c>
      <c r="D586" s="8">
        <f>10.4016 * CHOOSE( CONTROL!$C$12, $D$4, 100%, $F$4)</f>
        <v>10.4016</v>
      </c>
      <c r="E586" s="12">
        <f>10.4006 * CHOOSE( CONTROL!$C$12, $D$4, 100%, $F$4)</f>
        <v>10.400600000000001</v>
      </c>
      <c r="F586" s="4">
        <f>11.4134 * CHOOSE(CONTROL!$C$12, $D$4, 100%, $F$4)</f>
        <v>11.413399999999999</v>
      </c>
      <c r="G586" s="8">
        <f>10.2747 * CHOOSE( CONTROL!$C$12, $D$4, 100%, $F$4)</f>
        <v>10.274699999999999</v>
      </c>
      <c r="H586" s="4">
        <f>11.1682 * CHOOSE(CONTROL!$C$12, $D$4, 100%, $F$4)</f>
        <v>11.168200000000001</v>
      </c>
      <c r="I586" s="8">
        <f>10.182 * CHOOSE(CONTROL!$C$12, $D$4, 100%, $F$4)</f>
        <v>10.182</v>
      </c>
      <c r="J586" s="4">
        <f>10.0684 * CHOOSE(CONTROL!$C$12, $D$4, 100%, $F$4)</f>
        <v>10.0684</v>
      </c>
      <c r="K586" s="4"/>
      <c r="L586" s="9">
        <v>27.3993</v>
      </c>
      <c r="M586" s="9">
        <v>12.063700000000001</v>
      </c>
      <c r="N586" s="9">
        <v>4.9444999999999997</v>
      </c>
      <c r="O586" s="9">
        <v>0.37459999999999999</v>
      </c>
      <c r="P586" s="9">
        <v>1.2939000000000001</v>
      </c>
      <c r="Q586" s="9">
        <v>19.688099999999999</v>
      </c>
      <c r="R586" s="9"/>
      <c r="S586" s="11"/>
    </row>
    <row r="587" spans="1:19" ht="15.6">
      <c r="A587" s="13">
        <v>59961</v>
      </c>
      <c r="B587" s="8">
        <f>9.7197 * CHOOSE(CONTROL!$C$12, $D$4, 100%, $F$4)</f>
        <v>9.7196999999999996</v>
      </c>
      <c r="C587" s="8">
        <f>9.73 * CHOOSE(CONTROL!$C$12, $D$4, 100%, $F$4)</f>
        <v>9.73</v>
      </c>
      <c r="D587" s="8">
        <f>9.7321 * CHOOSE( CONTROL!$C$12, $D$4, 100%, $F$4)</f>
        <v>9.7321000000000009</v>
      </c>
      <c r="E587" s="12">
        <f>9.7302 * CHOOSE( CONTROL!$C$12, $D$4, 100%, $F$4)</f>
        <v>9.7302</v>
      </c>
      <c r="F587" s="4">
        <f>10.7339 * CHOOSE(CONTROL!$C$12, $D$4, 100%, $F$4)</f>
        <v>10.7339</v>
      </c>
      <c r="G587" s="8">
        <f>9.6124 * CHOOSE( CONTROL!$C$12, $D$4, 100%, $F$4)</f>
        <v>9.6123999999999992</v>
      </c>
      <c r="H587" s="4">
        <f>10.4984 * CHOOSE(CONTROL!$C$12, $D$4, 100%, $F$4)</f>
        <v>10.4984</v>
      </c>
      <c r="I587" s="8">
        <f>9.5198 * CHOOSE(CONTROL!$C$12, $D$4, 100%, $F$4)</f>
        <v>9.5198</v>
      </c>
      <c r="J587" s="4">
        <f>9.4175 * CHOOSE(CONTROL!$C$12, $D$4, 100%, $F$4)</f>
        <v>9.4175000000000004</v>
      </c>
      <c r="K587" s="4"/>
      <c r="L587" s="9">
        <v>25.631599999999999</v>
      </c>
      <c r="M587" s="9">
        <v>11.285299999999999</v>
      </c>
      <c r="N587" s="9">
        <v>4.6254999999999997</v>
      </c>
      <c r="O587" s="9">
        <v>0.35039999999999999</v>
      </c>
      <c r="P587" s="9">
        <v>1.2104999999999999</v>
      </c>
      <c r="Q587" s="9">
        <v>18.417899999999999</v>
      </c>
      <c r="R587" s="9"/>
      <c r="S587" s="11"/>
    </row>
    <row r="588" spans="1:19" ht="15.6">
      <c r="A588" s="13">
        <v>59992</v>
      </c>
      <c r="B588" s="8">
        <f>9.5128 * CHOOSE(CONTROL!$C$12, $D$4, 100%, $F$4)</f>
        <v>9.5128000000000004</v>
      </c>
      <c r="C588" s="8">
        <f>9.5232 * CHOOSE(CONTROL!$C$12, $D$4, 100%, $F$4)</f>
        <v>9.5231999999999992</v>
      </c>
      <c r="D588" s="8">
        <f>9.5053 * CHOOSE( CONTROL!$C$12, $D$4, 100%, $F$4)</f>
        <v>9.5053000000000001</v>
      </c>
      <c r="E588" s="12">
        <f>9.5107 * CHOOSE( CONTROL!$C$12, $D$4, 100%, $F$4)</f>
        <v>9.5106999999999999</v>
      </c>
      <c r="F588" s="4">
        <f>10.511 * CHOOSE(CONTROL!$C$12, $D$4, 100%, $F$4)</f>
        <v>10.510999999999999</v>
      </c>
      <c r="G588" s="8">
        <f>9.388 * CHOOSE( CONTROL!$C$12, $D$4, 100%, $F$4)</f>
        <v>9.3879999999999999</v>
      </c>
      <c r="H588" s="4">
        <f>10.2787 * CHOOSE(CONTROL!$C$12, $D$4, 100%, $F$4)</f>
        <v>10.278700000000001</v>
      </c>
      <c r="I588" s="8">
        <f>9.2797 * CHOOSE(CONTROL!$C$12, $D$4, 100%, $F$4)</f>
        <v>9.2797000000000001</v>
      </c>
      <c r="J588" s="4">
        <f>9.217 * CHOOSE(CONTROL!$C$12, $D$4, 100%, $F$4)</f>
        <v>9.2170000000000005</v>
      </c>
      <c r="K588" s="4"/>
      <c r="L588" s="9">
        <v>27.3993</v>
      </c>
      <c r="M588" s="9">
        <v>12.063700000000001</v>
      </c>
      <c r="N588" s="9">
        <v>4.9444999999999997</v>
      </c>
      <c r="O588" s="9">
        <v>0.37459999999999999</v>
      </c>
      <c r="P588" s="9">
        <v>1.2939000000000001</v>
      </c>
      <c r="Q588" s="9">
        <v>19.688099999999999</v>
      </c>
      <c r="R588" s="9"/>
      <c r="S588" s="11"/>
    </row>
    <row r="589" spans="1:19" ht="15.6">
      <c r="A589" s="13">
        <v>60022</v>
      </c>
      <c r="B589" s="8">
        <f>9.6574 * CHOOSE(CONTROL!$C$12, $D$4, 100%, $F$4)</f>
        <v>9.6574000000000009</v>
      </c>
      <c r="C589" s="8">
        <f>9.6677 * CHOOSE(CONTROL!$C$12, $D$4, 100%, $F$4)</f>
        <v>9.6677</v>
      </c>
      <c r="D589" s="8">
        <f>9.6728 * CHOOSE( CONTROL!$C$12, $D$4, 100%, $F$4)</f>
        <v>9.6728000000000005</v>
      </c>
      <c r="E589" s="12">
        <f>9.6699 * CHOOSE( CONTROL!$C$12, $D$4, 100%, $F$4)</f>
        <v>9.6699000000000002</v>
      </c>
      <c r="F589" s="4">
        <f>10.6638 * CHOOSE(CONTROL!$C$12, $D$4, 100%, $F$4)</f>
        <v>10.6638</v>
      </c>
      <c r="G589" s="8">
        <f>9.5184 * CHOOSE( CONTROL!$C$12, $D$4, 100%, $F$4)</f>
        <v>9.5183999999999997</v>
      </c>
      <c r="H589" s="4">
        <f>10.4293 * CHOOSE(CONTROL!$C$12, $D$4, 100%, $F$4)</f>
        <v>10.4293</v>
      </c>
      <c r="I589" s="8">
        <f>9.41 * CHOOSE(CONTROL!$C$12, $D$4, 100%, $F$4)</f>
        <v>9.41</v>
      </c>
      <c r="J589" s="4">
        <f>9.3571 * CHOOSE(CONTROL!$C$12, $D$4, 100%, $F$4)</f>
        <v>9.3571000000000009</v>
      </c>
      <c r="K589" s="4"/>
      <c r="L589" s="9">
        <v>27.988800000000001</v>
      </c>
      <c r="M589" s="9">
        <v>11.6745</v>
      </c>
      <c r="N589" s="9">
        <v>4.7850000000000001</v>
      </c>
      <c r="O589" s="9">
        <v>0.36249999999999999</v>
      </c>
      <c r="P589" s="9">
        <v>1.1798</v>
      </c>
      <c r="Q589" s="9">
        <v>19.053000000000001</v>
      </c>
      <c r="R589" s="9"/>
      <c r="S589" s="11"/>
    </row>
    <row r="590" spans="1:19" ht="15.6">
      <c r="A590" s="13">
        <v>60053</v>
      </c>
      <c r="B590" s="8">
        <f>CHOOSE( CONTROL!$C$29, 9.9216, 9.9147) * CHOOSE(CONTROL!$C$12, $D$4, 100%, $F$4)</f>
        <v>9.9146999999999998</v>
      </c>
      <c r="C590" s="8">
        <f>CHOOSE( CONTROL!$C$29, 9.9319, 9.925) * CHOOSE(CONTROL!$C$12, $D$4, 100%, $F$4)</f>
        <v>9.9250000000000007</v>
      </c>
      <c r="D590" s="8">
        <f>CHOOSE( CONTROL!$C$29, 9.9121, 9.9053) * CHOOSE( CONTROL!$C$12, $D$4, 100%, $F$4)</f>
        <v>9.9053000000000004</v>
      </c>
      <c r="E590" s="12">
        <f>CHOOSE( CONTROL!$C$29, 9.9177, 9.9109) * CHOOSE( CONTROL!$C$12, $D$4, 100%, $F$4)</f>
        <v>9.9108999999999998</v>
      </c>
      <c r="F590" s="4">
        <f>CHOOSE( CONTROL!$C$29, 10.896, 10.8892) * CHOOSE(CONTROL!$C$12, $D$4, 100%, $F$4)</f>
        <v>10.889200000000001</v>
      </c>
      <c r="G590" s="8">
        <f>CHOOSE( CONTROL!$C$29, 9.7605, 9.7538) * CHOOSE( CONTROL!$C$12, $D$4, 100%, $F$4)</f>
        <v>9.7538</v>
      </c>
      <c r="H590" s="4">
        <f>CHOOSE( CONTROL!$C$29, 10.6582, 10.6514) * CHOOSE(CONTROL!$C$12, $D$4, 100%, $F$4)</f>
        <v>10.651400000000001</v>
      </c>
      <c r="I590" s="8">
        <f>CHOOSE( CONTROL!$C$29, 9.6445, 9.6379) * CHOOSE(CONTROL!$C$12, $D$4, 100%, $F$4)</f>
        <v>9.6379000000000001</v>
      </c>
      <c r="J590" s="4">
        <f>CHOOSE( CONTROL!$C$29, 9.613, 9.6064) * CHOOSE(CONTROL!$C$12, $D$4, 100%, $F$4)</f>
        <v>9.6064000000000007</v>
      </c>
      <c r="K590" s="4"/>
      <c r="L590" s="9">
        <v>29.520499999999998</v>
      </c>
      <c r="M590" s="9">
        <v>12.063700000000001</v>
      </c>
      <c r="N590" s="9">
        <v>4.9444999999999997</v>
      </c>
      <c r="O590" s="9">
        <v>0.37459999999999999</v>
      </c>
      <c r="P590" s="9">
        <v>1.2192000000000001</v>
      </c>
      <c r="Q590" s="9">
        <v>19.688099999999999</v>
      </c>
      <c r="R590" s="9"/>
      <c r="S590" s="11"/>
    </row>
    <row r="591" spans="1:19" ht="15.6">
      <c r="A591" s="13">
        <v>60083</v>
      </c>
      <c r="B591" s="8">
        <f>CHOOSE( CONTROL!$C$29, 9.7622, 9.7553) * CHOOSE(CONTROL!$C$12, $D$4, 100%, $F$4)</f>
        <v>9.7553000000000001</v>
      </c>
      <c r="C591" s="8">
        <f>CHOOSE( CONTROL!$C$29, 9.7725, 9.7656) * CHOOSE(CONTROL!$C$12, $D$4, 100%, $F$4)</f>
        <v>9.7655999999999992</v>
      </c>
      <c r="D591" s="8">
        <f>CHOOSE( CONTROL!$C$29, 9.7472, 9.7404) * CHOOSE( CONTROL!$C$12, $D$4, 100%, $F$4)</f>
        <v>9.7403999999999993</v>
      </c>
      <c r="E591" s="12">
        <f>CHOOSE( CONTROL!$C$29, 9.7548, 9.748) * CHOOSE( CONTROL!$C$12, $D$4, 100%, $F$4)</f>
        <v>9.7479999999999993</v>
      </c>
      <c r="F591" s="4">
        <f>CHOOSE( CONTROL!$C$29, 10.7263, 10.7194) * CHOOSE(CONTROL!$C$12, $D$4, 100%, $F$4)</f>
        <v>10.7194</v>
      </c>
      <c r="G591" s="8">
        <f>CHOOSE( CONTROL!$C$29, 9.6021, 9.5954) * CHOOSE( CONTROL!$C$12, $D$4, 100%, $F$4)</f>
        <v>9.5953999999999997</v>
      </c>
      <c r="H591" s="4">
        <f>CHOOSE( CONTROL!$C$29, 10.4909, 10.4841) * CHOOSE(CONTROL!$C$12, $D$4, 100%, $F$4)</f>
        <v>10.4841</v>
      </c>
      <c r="I591" s="8">
        <f>CHOOSE( CONTROL!$C$29, 9.4922, 9.4855) * CHOOSE(CONTROL!$C$12, $D$4, 100%, $F$4)</f>
        <v>9.4855</v>
      </c>
      <c r="J591" s="4">
        <f>CHOOSE( CONTROL!$C$29, 9.4586, 9.452) * CHOOSE(CONTROL!$C$12, $D$4, 100%, $F$4)</f>
        <v>9.452</v>
      </c>
      <c r="K591" s="4"/>
      <c r="L591" s="9">
        <v>28.568200000000001</v>
      </c>
      <c r="M591" s="9">
        <v>11.6745</v>
      </c>
      <c r="N591" s="9">
        <v>4.7850000000000001</v>
      </c>
      <c r="O591" s="9">
        <v>0.36249999999999999</v>
      </c>
      <c r="P591" s="9">
        <v>1.1798</v>
      </c>
      <c r="Q591" s="9">
        <v>19.053000000000001</v>
      </c>
      <c r="R591" s="9"/>
      <c r="S591" s="11"/>
    </row>
    <row r="592" spans="1:19" ht="15.6">
      <c r="A592" s="13">
        <v>60114</v>
      </c>
      <c r="B592" s="8">
        <f>CHOOSE( CONTROL!$C$29, 10.1819, 10.1751) * CHOOSE(CONTROL!$C$12, $D$4, 100%, $F$4)</f>
        <v>10.1751</v>
      </c>
      <c r="C592" s="8">
        <f>CHOOSE( CONTROL!$C$29, 10.1922, 10.1854) * CHOOSE(CONTROL!$C$12, $D$4, 100%, $F$4)</f>
        <v>10.1854</v>
      </c>
      <c r="D592" s="8">
        <f>CHOOSE( CONTROL!$C$29, 10.2004, 10.1935) * CHOOSE( CONTROL!$C$12, $D$4, 100%, $F$4)</f>
        <v>10.1935</v>
      </c>
      <c r="E592" s="12">
        <f>CHOOSE( CONTROL!$C$29, 10.1959, 10.189) * CHOOSE( CONTROL!$C$12, $D$4, 100%, $F$4)</f>
        <v>10.189</v>
      </c>
      <c r="F592" s="4">
        <f>CHOOSE( CONTROL!$C$29, 11.1909, 11.1841) * CHOOSE(CONTROL!$C$12, $D$4, 100%, $F$4)</f>
        <v>11.184100000000001</v>
      </c>
      <c r="G592" s="8">
        <f>CHOOSE( CONTROL!$C$29, 10.0419, 10.0352) * CHOOSE( CONTROL!$C$12, $D$4, 100%, $F$4)</f>
        <v>10.0352</v>
      </c>
      <c r="H592" s="4">
        <f>CHOOSE( CONTROL!$C$29, 10.9489, 10.9422) * CHOOSE(CONTROL!$C$12, $D$4, 100%, $F$4)</f>
        <v>10.9422</v>
      </c>
      <c r="I592" s="8">
        <f>CHOOSE( CONTROL!$C$29, 9.9544, 9.9478) * CHOOSE(CONTROL!$C$12, $D$4, 100%, $F$4)</f>
        <v>9.9478000000000009</v>
      </c>
      <c r="J592" s="4">
        <f>CHOOSE( CONTROL!$C$29, 9.8653, 9.8587) * CHOOSE(CONTROL!$C$12, $D$4, 100%, $F$4)</f>
        <v>9.8587000000000007</v>
      </c>
      <c r="K592" s="4"/>
      <c r="L592" s="9">
        <v>29.520499999999998</v>
      </c>
      <c r="M592" s="9">
        <v>12.063700000000001</v>
      </c>
      <c r="N592" s="9">
        <v>4.9444999999999997</v>
      </c>
      <c r="O592" s="9">
        <v>0.37459999999999999</v>
      </c>
      <c r="P592" s="9">
        <v>1.2192000000000001</v>
      </c>
      <c r="Q592" s="9">
        <v>19.688099999999999</v>
      </c>
      <c r="R592" s="9"/>
      <c r="S592" s="11"/>
    </row>
    <row r="593" spans="1:19" ht="15.6">
      <c r="A593" s="13">
        <v>60145</v>
      </c>
      <c r="B593" s="8">
        <f>CHOOSE( CONTROL!$C$29, 9.3965, 9.3897) * CHOOSE(CONTROL!$C$12, $D$4, 100%, $F$4)</f>
        <v>9.3896999999999995</v>
      </c>
      <c r="C593" s="8">
        <f>CHOOSE( CONTROL!$C$29, 9.4069, 9.4) * CHOOSE(CONTROL!$C$12, $D$4, 100%, $F$4)</f>
        <v>9.4</v>
      </c>
      <c r="D593" s="8">
        <f>CHOOSE( CONTROL!$C$29, 9.4083, 9.4015) * CHOOSE( CONTROL!$C$12, $D$4, 100%, $F$4)</f>
        <v>9.4015000000000004</v>
      </c>
      <c r="E593" s="12">
        <f>CHOOSE( CONTROL!$C$29, 9.4062, 9.3994) * CHOOSE( CONTROL!$C$12, $D$4, 100%, $F$4)</f>
        <v>9.3994</v>
      </c>
      <c r="F593" s="4">
        <f>CHOOSE( CONTROL!$C$29, 10.403, 10.3961) * CHOOSE(CONTROL!$C$12, $D$4, 100%, $F$4)</f>
        <v>10.396100000000001</v>
      </c>
      <c r="G593" s="8">
        <f>CHOOSE( CONTROL!$C$29, 9.2578, 9.2511) * CHOOSE( CONTROL!$C$12, $D$4, 100%, $F$4)</f>
        <v>9.2510999999999992</v>
      </c>
      <c r="H593" s="4">
        <f>CHOOSE( CONTROL!$C$29, 10.1722, 10.1654) * CHOOSE(CONTROL!$C$12, $D$4, 100%, $F$4)</f>
        <v>10.1654</v>
      </c>
      <c r="I593" s="8">
        <f>CHOOSE( CONTROL!$C$29, 9.1741, 9.1675) * CHOOSE(CONTROL!$C$12, $D$4, 100%, $F$4)</f>
        <v>9.1675000000000004</v>
      </c>
      <c r="J593" s="4">
        <f>CHOOSE( CONTROL!$C$29, 9.1043, 9.0977) * CHOOSE(CONTROL!$C$12, $D$4, 100%, $F$4)</f>
        <v>9.0976999999999997</v>
      </c>
      <c r="K593" s="4"/>
      <c r="L593" s="9">
        <v>29.520499999999998</v>
      </c>
      <c r="M593" s="9">
        <v>12.063700000000001</v>
      </c>
      <c r="N593" s="9">
        <v>4.9444999999999997</v>
      </c>
      <c r="O593" s="9">
        <v>0.37459999999999999</v>
      </c>
      <c r="P593" s="9">
        <v>1.2192000000000001</v>
      </c>
      <c r="Q593" s="9">
        <v>19.688099999999999</v>
      </c>
      <c r="R593" s="9"/>
      <c r="S593" s="11"/>
    </row>
    <row r="594" spans="1:19" ht="15.6">
      <c r="A594" s="13">
        <v>60175</v>
      </c>
      <c r="B594" s="8">
        <f>CHOOSE( CONTROL!$C$29, 9.1999, 9.193) * CHOOSE(CONTROL!$C$12, $D$4, 100%, $F$4)</f>
        <v>9.1929999999999996</v>
      </c>
      <c r="C594" s="8">
        <f>CHOOSE( CONTROL!$C$29, 9.2102, 9.2033) * CHOOSE(CONTROL!$C$12, $D$4, 100%, $F$4)</f>
        <v>9.2033000000000005</v>
      </c>
      <c r="D594" s="8">
        <f>CHOOSE( CONTROL!$C$29, 9.2149, 9.208) * CHOOSE( CONTROL!$C$12, $D$4, 100%, $F$4)</f>
        <v>9.2080000000000002</v>
      </c>
      <c r="E594" s="12">
        <f>CHOOSE( CONTROL!$C$29, 9.2116, 9.2047) * CHOOSE( CONTROL!$C$12, $D$4, 100%, $F$4)</f>
        <v>9.2047000000000008</v>
      </c>
      <c r="F594" s="4">
        <f>CHOOSE( CONTROL!$C$29, 10.2115, 10.2046) * CHOOSE(CONTROL!$C$12, $D$4, 100%, $F$4)</f>
        <v>10.204599999999999</v>
      </c>
      <c r="G594" s="8">
        <f>CHOOSE( CONTROL!$C$29, 9.066, 9.0593) * CHOOSE( CONTROL!$C$12, $D$4, 100%, $F$4)</f>
        <v>9.0593000000000004</v>
      </c>
      <c r="H594" s="4">
        <f>CHOOSE( CONTROL!$C$29, 9.9834, 9.9767) * CHOOSE(CONTROL!$C$12, $D$4, 100%, $F$4)</f>
        <v>9.9766999999999992</v>
      </c>
      <c r="I594" s="8">
        <f>CHOOSE( CONTROL!$C$29, 8.9912, 8.9846) * CHOOSE(CONTROL!$C$12, $D$4, 100%, $F$4)</f>
        <v>8.9846000000000004</v>
      </c>
      <c r="J594" s="4">
        <f>CHOOSE( CONTROL!$C$29, 8.9137, 8.9071) * CHOOSE(CONTROL!$C$12, $D$4, 100%, $F$4)</f>
        <v>8.9070999999999998</v>
      </c>
      <c r="K594" s="4"/>
      <c r="L594" s="9">
        <v>28.568200000000001</v>
      </c>
      <c r="M594" s="9">
        <v>11.6745</v>
      </c>
      <c r="N594" s="9">
        <v>4.7850000000000001</v>
      </c>
      <c r="O594" s="9">
        <v>0.36249999999999999</v>
      </c>
      <c r="P594" s="9">
        <v>1.1798</v>
      </c>
      <c r="Q594" s="9">
        <v>19.053000000000001</v>
      </c>
      <c r="R594" s="9"/>
      <c r="S594" s="11"/>
    </row>
    <row r="595" spans="1:19" ht="15.6">
      <c r="A595" s="13">
        <v>60206</v>
      </c>
      <c r="B595" s="8">
        <f>9.6014 * CHOOSE(CONTROL!$C$12, $D$4, 100%, $F$4)</f>
        <v>9.6013999999999999</v>
      </c>
      <c r="C595" s="8">
        <f>9.6117 * CHOOSE(CONTROL!$C$12, $D$4, 100%, $F$4)</f>
        <v>9.6117000000000008</v>
      </c>
      <c r="D595" s="8">
        <f>9.6067 * CHOOSE( CONTROL!$C$12, $D$4, 100%, $F$4)</f>
        <v>9.6067</v>
      </c>
      <c r="E595" s="12">
        <f>9.6073 * CHOOSE( CONTROL!$C$12, $D$4, 100%, $F$4)</f>
        <v>9.6073000000000004</v>
      </c>
      <c r="F595" s="4">
        <f>10.5923 * CHOOSE(CONTROL!$C$12, $D$4, 100%, $F$4)</f>
        <v>10.5923</v>
      </c>
      <c r="G595" s="8">
        <f>9.4586 * CHOOSE( CONTROL!$C$12, $D$4, 100%, $F$4)</f>
        <v>9.4586000000000006</v>
      </c>
      <c r="H595" s="4">
        <f>10.3588 * CHOOSE(CONTROL!$C$12, $D$4, 100%, $F$4)</f>
        <v>10.3588</v>
      </c>
      <c r="I595" s="8">
        <f>9.3844 * CHOOSE(CONTROL!$C$12, $D$4, 100%, $F$4)</f>
        <v>9.3843999999999994</v>
      </c>
      <c r="J595" s="4">
        <f>9.3028 * CHOOSE(CONTROL!$C$12, $D$4, 100%, $F$4)</f>
        <v>9.3027999999999995</v>
      </c>
      <c r="K595" s="4"/>
      <c r="L595" s="9">
        <v>28.921800000000001</v>
      </c>
      <c r="M595" s="9">
        <v>12.063700000000001</v>
      </c>
      <c r="N595" s="9">
        <v>4.9444999999999997</v>
      </c>
      <c r="O595" s="9">
        <v>0.37459999999999999</v>
      </c>
      <c r="P595" s="9">
        <v>1.2192000000000001</v>
      </c>
      <c r="Q595" s="9">
        <v>19.688099999999999</v>
      </c>
      <c r="R595" s="9"/>
      <c r="S595" s="11"/>
    </row>
    <row r="596" spans="1:19" ht="15.6">
      <c r="A596" s="13">
        <v>60236</v>
      </c>
      <c r="B596" s="8">
        <f>10.3551 * CHOOSE(CONTROL!$C$12, $D$4, 100%, $F$4)</f>
        <v>10.3551</v>
      </c>
      <c r="C596" s="8">
        <f>10.3654 * CHOOSE(CONTROL!$C$12, $D$4, 100%, $F$4)</f>
        <v>10.365399999999999</v>
      </c>
      <c r="D596" s="8">
        <f>10.3247 * CHOOSE( CONTROL!$C$12, $D$4, 100%, $F$4)</f>
        <v>10.3247</v>
      </c>
      <c r="E596" s="12">
        <f>10.3385 * CHOOSE( CONTROL!$C$12, $D$4, 100%, $F$4)</f>
        <v>10.3385</v>
      </c>
      <c r="F596" s="4">
        <f>11.3321 * CHOOSE(CONTROL!$C$12, $D$4, 100%, $F$4)</f>
        <v>11.332100000000001</v>
      </c>
      <c r="G596" s="8">
        <f>10.1955 * CHOOSE( CONTROL!$C$12, $D$4, 100%, $F$4)</f>
        <v>10.195499999999999</v>
      </c>
      <c r="H596" s="4">
        <f>11.0881 * CHOOSE(CONTROL!$C$12, $D$4, 100%, $F$4)</f>
        <v>11.088100000000001</v>
      </c>
      <c r="I596" s="8">
        <f>10.0994 * CHOOSE(CONTROL!$C$12, $D$4, 100%, $F$4)</f>
        <v>10.099399999999999</v>
      </c>
      <c r="J596" s="4">
        <f>10.0331 * CHOOSE(CONTROL!$C$12, $D$4, 100%, $F$4)</f>
        <v>10.033099999999999</v>
      </c>
      <c r="K596" s="4"/>
      <c r="L596" s="9">
        <v>26.515499999999999</v>
      </c>
      <c r="M596" s="9">
        <v>11.6745</v>
      </c>
      <c r="N596" s="9">
        <v>4.7850000000000001</v>
      </c>
      <c r="O596" s="9">
        <v>0.36249999999999999</v>
      </c>
      <c r="P596" s="9">
        <v>1.2522</v>
      </c>
      <c r="Q596" s="9">
        <v>19.053000000000001</v>
      </c>
      <c r="R596" s="9"/>
      <c r="S596" s="11"/>
    </row>
    <row r="597" spans="1:19" ht="15.6">
      <c r="A597" s="13">
        <v>60267</v>
      </c>
      <c r="B597" s="8">
        <f>10.3363 * CHOOSE(CONTROL!$C$12, $D$4, 100%, $F$4)</f>
        <v>10.3363</v>
      </c>
      <c r="C597" s="8">
        <f>10.3466 * CHOOSE(CONTROL!$C$12, $D$4, 100%, $F$4)</f>
        <v>10.3466</v>
      </c>
      <c r="D597" s="8">
        <f>10.3078 * CHOOSE( CONTROL!$C$12, $D$4, 100%, $F$4)</f>
        <v>10.3078</v>
      </c>
      <c r="E597" s="12">
        <f>10.3209 * CHOOSE( CONTROL!$C$12, $D$4, 100%, $F$4)</f>
        <v>10.3209</v>
      </c>
      <c r="F597" s="4">
        <f>11.3066 * CHOOSE(CONTROL!$C$12, $D$4, 100%, $F$4)</f>
        <v>11.3066</v>
      </c>
      <c r="G597" s="8">
        <f>10.1793 * CHOOSE( CONTROL!$C$12, $D$4, 100%, $F$4)</f>
        <v>10.1793</v>
      </c>
      <c r="H597" s="4">
        <f>11.0629 * CHOOSE(CONTROL!$C$12, $D$4, 100%, $F$4)</f>
        <v>11.062900000000001</v>
      </c>
      <c r="I597" s="8">
        <f>10.0919 * CHOOSE(CONTROL!$C$12, $D$4, 100%, $F$4)</f>
        <v>10.091900000000001</v>
      </c>
      <c r="J597" s="4">
        <f>10.0149 * CHOOSE(CONTROL!$C$12, $D$4, 100%, $F$4)</f>
        <v>10.014900000000001</v>
      </c>
      <c r="K597" s="4"/>
      <c r="L597" s="9">
        <v>27.3993</v>
      </c>
      <c r="M597" s="9">
        <v>12.063700000000001</v>
      </c>
      <c r="N597" s="9">
        <v>4.9444999999999997</v>
      </c>
      <c r="O597" s="9">
        <v>0.37459999999999999</v>
      </c>
      <c r="P597" s="9">
        <v>1.2939000000000001</v>
      </c>
      <c r="Q597" s="9">
        <v>19.688099999999999</v>
      </c>
      <c r="R597" s="9"/>
      <c r="S597" s="11"/>
    </row>
    <row r="598" spans="1:19" ht="15.6">
      <c r="A598" s="13">
        <v>60298</v>
      </c>
      <c r="B598" s="8">
        <f>10.5774 * CHOOSE(CONTROL!$C$12, $D$4, 100%, $F$4)</f>
        <v>10.577400000000001</v>
      </c>
      <c r="C598" s="8">
        <f>10.5878 * CHOOSE(CONTROL!$C$12, $D$4, 100%, $F$4)</f>
        <v>10.5878</v>
      </c>
      <c r="D598" s="8">
        <f>10.5876 * CHOOSE( CONTROL!$C$12, $D$4, 100%, $F$4)</f>
        <v>10.5876</v>
      </c>
      <c r="E598" s="12">
        <f>10.5866 * CHOOSE( CONTROL!$C$12, $D$4, 100%, $F$4)</f>
        <v>10.586600000000001</v>
      </c>
      <c r="F598" s="4">
        <f>11.5994 * CHOOSE(CONTROL!$C$12, $D$4, 100%, $F$4)</f>
        <v>11.599399999999999</v>
      </c>
      <c r="G598" s="8">
        <f>10.4581 * CHOOSE( CONTROL!$C$12, $D$4, 100%, $F$4)</f>
        <v>10.4581</v>
      </c>
      <c r="H598" s="4">
        <f>11.3515 * CHOOSE(CONTROL!$C$12, $D$4, 100%, $F$4)</f>
        <v>11.3515</v>
      </c>
      <c r="I598" s="8">
        <f>10.3623 * CHOOSE(CONTROL!$C$12, $D$4, 100%, $F$4)</f>
        <v>10.362299999999999</v>
      </c>
      <c r="J598" s="4">
        <f>10.2486 * CHOOSE(CONTROL!$C$12, $D$4, 100%, $F$4)</f>
        <v>10.2486</v>
      </c>
      <c r="K598" s="4"/>
      <c r="L598" s="9">
        <v>27.3993</v>
      </c>
      <c r="M598" s="9">
        <v>12.063700000000001</v>
      </c>
      <c r="N598" s="9">
        <v>4.9444999999999997</v>
      </c>
      <c r="O598" s="9">
        <v>0.37459999999999999</v>
      </c>
      <c r="P598" s="9">
        <v>1.2939000000000001</v>
      </c>
      <c r="Q598" s="9">
        <v>19.688099999999999</v>
      </c>
      <c r="R598" s="9"/>
      <c r="S598" s="11"/>
    </row>
    <row r="599" spans="1:19" ht="15.6">
      <c r="A599" s="13">
        <v>60326</v>
      </c>
      <c r="B599" s="8">
        <f>9.8937 * CHOOSE(CONTROL!$C$12, $D$4, 100%, $F$4)</f>
        <v>9.8937000000000008</v>
      </c>
      <c r="C599" s="8">
        <f>9.904 * CHOOSE(CONTROL!$C$12, $D$4, 100%, $F$4)</f>
        <v>9.9039999999999999</v>
      </c>
      <c r="D599" s="8">
        <f>9.9061 * CHOOSE( CONTROL!$C$12, $D$4, 100%, $F$4)</f>
        <v>9.9061000000000003</v>
      </c>
      <c r="E599" s="12">
        <f>9.9042 * CHOOSE( CONTROL!$C$12, $D$4, 100%, $F$4)</f>
        <v>9.9041999999999994</v>
      </c>
      <c r="F599" s="4">
        <f>10.9079 * CHOOSE(CONTROL!$C$12, $D$4, 100%, $F$4)</f>
        <v>10.9079</v>
      </c>
      <c r="G599" s="8">
        <f>9.7839 * CHOOSE( CONTROL!$C$12, $D$4, 100%, $F$4)</f>
        <v>9.7838999999999992</v>
      </c>
      <c r="H599" s="4">
        <f>10.6699 * CHOOSE(CONTROL!$C$12, $D$4, 100%, $F$4)</f>
        <v>10.6699</v>
      </c>
      <c r="I599" s="8">
        <f>9.6885 * CHOOSE(CONTROL!$C$12, $D$4, 100%, $F$4)</f>
        <v>9.6884999999999994</v>
      </c>
      <c r="J599" s="4">
        <f>9.586 * CHOOSE(CONTROL!$C$12, $D$4, 100%, $F$4)</f>
        <v>9.5860000000000003</v>
      </c>
      <c r="K599" s="4"/>
      <c r="L599" s="9">
        <v>24.747800000000002</v>
      </c>
      <c r="M599" s="9">
        <v>10.8962</v>
      </c>
      <c r="N599" s="9">
        <v>4.4660000000000002</v>
      </c>
      <c r="O599" s="9">
        <v>0.33829999999999999</v>
      </c>
      <c r="P599" s="9">
        <v>1.1687000000000001</v>
      </c>
      <c r="Q599" s="9">
        <v>17.782800000000002</v>
      </c>
      <c r="R599" s="9"/>
      <c r="S599" s="11"/>
    </row>
    <row r="600" spans="1:19" ht="15.6">
      <c r="A600" s="13">
        <v>60357</v>
      </c>
      <c r="B600" s="8">
        <f>9.6831 * CHOOSE(CONTROL!$C$12, $D$4, 100%, $F$4)</f>
        <v>9.6830999999999996</v>
      </c>
      <c r="C600" s="8">
        <f>9.6934 * CHOOSE(CONTROL!$C$12, $D$4, 100%, $F$4)</f>
        <v>9.6934000000000005</v>
      </c>
      <c r="D600" s="8">
        <f>9.6756 * CHOOSE( CONTROL!$C$12, $D$4, 100%, $F$4)</f>
        <v>9.6755999999999993</v>
      </c>
      <c r="E600" s="12">
        <f>9.681 * CHOOSE( CONTROL!$C$12, $D$4, 100%, $F$4)</f>
        <v>9.6809999999999992</v>
      </c>
      <c r="F600" s="4">
        <f>10.6813 * CHOOSE(CONTROL!$C$12, $D$4, 100%, $F$4)</f>
        <v>10.6813</v>
      </c>
      <c r="G600" s="8">
        <f>9.5558 * CHOOSE( CONTROL!$C$12, $D$4, 100%, $F$4)</f>
        <v>9.5557999999999996</v>
      </c>
      <c r="H600" s="4">
        <f>10.4465 * CHOOSE(CONTROL!$C$12, $D$4, 100%, $F$4)</f>
        <v>10.4465</v>
      </c>
      <c r="I600" s="8">
        <f>9.4448 * CHOOSE(CONTROL!$C$12, $D$4, 100%, $F$4)</f>
        <v>9.4448000000000008</v>
      </c>
      <c r="J600" s="4">
        <f>9.382 * CHOOSE(CONTROL!$C$12, $D$4, 100%, $F$4)</f>
        <v>9.3819999999999997</v>
      </c>
      <c r="K600" s="4"/>
      <c r="L600" s="9">
        <v>27.3993</v>
      </c>
      <c r="M600" s="9">
        <v>12.063700000000001</v>
      </c>
      <c r="N600" s="9">
        <v>4.9444999999999997</v>
      </c>
      <c r="O600" s="9">
        <v>0.37459999999999999</v>
      </c>
      <c r="P600" s="9">
        <v>1.2939000000000001</v>
      </c>
      <c r="Q600" s="9">
        <v>19.688099999999999</v>
      </c>
      <c r="R600" s="9"/>
      <c r="S600" s="11"/>
    </row>
    <row r="601" spans="1:19" ht="15.6">
      <c r="A601" s="13">
        <v>60387</v>
      </c>
      <c r="B601" s="8">
        <f>9.8303 * CHOOSE(CONTROL!$C$12, $D$4, 100%, $F$4)</f>
        <v>9.8302999999999994</v>
      </c>
      <c r="C601" s="8">
        <f>9.8406 * CHOOSE(CONTROL!$C$12, $D$4, 100%, $F$4)</f>
        <v>9.8406000000000002</v>
      </c>
      <c r="D601" s="8">
        <f>9.8456 * CHOOSE( CONTROL!$C$12, $D$4, 100%, $F$4)</f>
        <v>9.8455999999999992</v>
      </c>
      <c r="E601" s="12">
        <f>9.8428 * CHOOSE( CONTROL!$C$12, $D$4, 100%, $F$4)</f>
        <v>9.8428000000000004</v>
      </c>
      <c r="F601" s="4">
        <f>10.8367 * CHOOSE(CONTROL!$C$12, $D$4, 100%, $F$4)</f>
        <v>10.8367</v>
      </c>
      <c r="G601" s="8">
        <f>9.6888 * CHOOSE( CONTROL!$C$12, $D$4, 100%, $F$4)</f>
        <v>9.6888000000000005</v>
      </c>
      <c r="H601" s="4">
        <f>10.5997 * CHOOSE(CONTROL!$C$12, $D$4, 100%, $F$4)</f>
        <v>10.5997</v>
      </c>
      <c r="I601" s="8">
        <f>9.5776 * CHOOSE(CONTROL!$C$12, $D$4, 100%, $F$4)</f>
        <v>9.5776000000000003</v>
      </c>
      <c r="J601" s="4">
        <f>9.5246 * CHOOSE(CONTROL!$C$12, $D$4, 100%, $F$4)</f>
        <v>9.5245999999999995</v>
      </c>
      <c r="K601" s="4"/>
      <c r="L601" s="9">
        <v>27.988800000000001</v>
      </c>
      <c r="M601" s="9">
        <v>11.6745</v>
      </c>
      <c r="N601" s="9">
        <v>4.7850000000000001</v>
      </c>
      <c r="O601" s="9">
        <v>0.36249999999999999</v>
      </c>
      <c r="P601" s="9">
        <v>1.1798</v>
      </c>
      <c r="Q601" s="9">
        <v>19.053000000000001</v>
      </c>
      <c r="R601" s="9"/>
      <c r="S601" s="11"/>
    </row>
    <row r="602" spans="1:19" ht="15.6">
      <c r="A602" s="13">
        <v>60418</v>
      </c>
      <c r="B602" s="8">
        <f>CHOOSE( CONTROL!$C$29, 10.099, 10.0922) * CHOOSE(CONTROL!$C$12, $D$4, 100%, $F$4)</f>
        <v>10.0922</v>
      </c>
      <c r="C602" s="8">
        <f>CHOOSE( CONTROL!$C$29, 10.1093, 10.1025) * CHOOSE(CONTROL!$C$12, $D$4, 100%, $F$4)</f>
        <v>10.102499999999999</v>
      </c>
      <c r="D602" s="8">
        <f>CHOOSE( CONTROL!$C$29, 10.0896, 10.0827) * CHOOSE( CONTROL!$C$12, $D$4, 100%, $F$4)</f>
        <v>10.082700000000001</v>
      </c>
      <c r="E602" s="12">
        <f>CHOOSE( CONTROL!$C$29, 10.0952, 10.0883) * CHOOSE( CONTROL!$C$12, $D$4, 100%, $F$4)</f>
        <v>10.0883</v>
      </c>
      <c r="F602" s="4">
        <f>CHOOSE( CONTROL!$C$29, 11.0735, 11.0666) * CHOOSE(CONTROL!$C$12, $D$4, 100%, $F$4)</f>
        <v>11.066599999999999</v>
      </c>
      <c r="G602" s="8">
        <f>CHOOSE( CONTROL!$C$29, 9.9355, 9.9287) * CHOOSE( CONTROL!$C$12, $D$4, 100%, $F$4)</f>
        <v>9.9286999999999992</v>
      </c>
      <c r="H602" s="4">
        <f>CHOOSE( CONTROL!$C$29, 10.8331, 10.8264) * CHOOSE(CONTROL!$C$12, $D$4, 100%, $F$4)</f>
        <v>10.8264</v>
      </c>
      <c r="I602" s="8">
        <f>CHOOSE( CONTROL!$C$29, 9.8166, 9.8099) * CHOOSE(CONTROL!$C$12, $D$4, 100%, $F$4)</f>
        <v>9.8099000000000007</v>
      </c>
      <c r="J602" s="4">
        <f>CHOOSE( CONTROL!$C$29, 9.785, 9.7784) * CHOOSE(CONTROL!$C$12, $D$4, 100%, $F$4)</f>
        <v>9.7783999999999995</v>
      </c>
      <c r="K602" s="4"/>
      <c r="L602" s="9">
        <v>29.520499999999998</v>
      </c>
      <c r="M602" s="9">
        <v>12.063700000000001</v>
      </c>
      <c r="N602" s="9">
        <v>4.9444999999999997</v>
      </c>
      <c r="O602" s="9">
        <v>0.37459999999999999</v>
      </c>
      <c r="P602" s="9">
        <v>1.2192000000000001</v>
      </c>
      <c r="Q602" s="9">
        <v>19.688099999999999</v>
      </c>
      <c r="R602" s="9"/>
      <c r="S602" s="11"/>
    </row>
    <row r="603" spans="1:19" ht="15.6">
      <c r="A603" s="13">
        <v>60448</v>
      </c>
      <c r="B603" s="8">
        <f>CHOOSE( CONTROL!$C$29, 9.9368, 9.9299) * CHOOSE(CONTROL!$C$12, $D$4, 100%, $F$4)</f>
        <v>9.9298999999999999</v>
      </c>
      <c r="C603" s="8">
        <f>CHOOSE( CONTROL!$C$29, 9.9471, 9.9402) * CHOOSE(CONTROL!$C$12, $D$4, 100%, $F$4)</f>
        <v>9.9402000000000008</v>
      </c>
      <c r="D603" s="8">
        <f>CHOOSE( CONTROL!$C$29, 9.9218, 9.915) * CHOOSE( CONTROL!$C$12, $D$4, 100%, $F$4)</f>
        <v>9.9149999999999991</v>
      </c>
      <c r="E603" s="12">
        <f>CHOOSE( CONTROL!$C$29, 9.9294, 9.9226) * CHOOSE( CONTROL!$C$12, $D$4, 100%, $F$4)</f>
        <v>9.9225999999999992</v>
      </c>
      <c r="F603" s="4">
        <f>CHOOSE( CONTROL!$C$29, 10.9009, 10.8941) * CHOOSE(CONTROL!$C$12, $D$4, 100%, $F$4)</f>
        <v>10.8941</v>
      </c>
      <c r="G603" s="8">
        <f>CHOOSE( CONTROL!$C$29, 9.7743, 9.7675) * CHOOSE( CONTROL!$C$12, $D$4, 100%, $F$4)</f>
        <v>9.7675000000000001</v>
      </c>
      <c r="H603" s="4">
        <f>CHOOSE( CONTROL!$C$29, 10.663, 10.6563) * CHOOSE(CONTROL!$C$12, $D$4, 100%, $F$4)</f>
        <v>10.6563</v>
      </c>
      <c r="I603" s="8">
        <f>CHOOSE( CONTROL!$C$29, 9.6615, 9.6548) * CHOOSE(CONTROL!$C$12, $D$4, 100%, $F$4)</f>
        <v>9.6547999999999998</v>
      </c>
      <c r="J603" s="4">
        <f>CHOOSE( CONTROL!$C$29, 9.6278, 9.6211) * CHOOSE(CONTROL!$C$12, $D$4, 100%, $F$4)</f>
        <v>9.6211000000000002</v>
      </c>
      <c r="K603" s="4"/>
      <c r="L603" s="9">
        <v>28.568200000000001</v>
      </c>
      <c r="M603" s="9">
        <v>11.6745</v>
      </c>
      <c r="N603" s="9">
        <v>4.7850000000000001</v>
      </c>
      <c r="O603" s="9">
        <v>0.36249999999999999</v>
      </c>
      <c r="P603" s="9">
        <v>1.1798</v>
      </c>
      <c r="Q603" s="9">
        <v>19.053000000000001</v>
      </c>
      <c r="R603" s="9"/>
      <c r="S603" s="11"/>
    </row>
    <row r="604" spans="1:19" ht="15.6">
      <c r="A604" s="13">
        <v>60479</v>
      </c>
      <c r="B604" s="8">
        <f>CHOOSE( CONTROL!$C$29, 10.364, 10.3572) * CHOOSE(CONTROL!$C$12, $D$4, 100%, $F$4)</f>
        <v>10.357200000000001</v>
      </c>
      <c r="C604" s="8">
        <f>CHOOSE( CONTROL!$C$29, 10.3743, 10.3675) * CHOOSE(CONTROL!$C$12, $D$4, 100%, $F$4)</f>
        <v>10.3675</v>
      </c>
      <c r="D604" s="8">
        <f>CHOOSE( CONTROL!$C$29, 10.3825, 10.3756) * CHOOSE( CONTROL!$C$12, $D$4, 100%, $F$4)</f>
        <v>10.3756</v>
      </c>
      <c r="E604" s="12">
        <f>CHOOSE( CONTROL!$C$29, 10.378, 10.3711) * CHOOSE( CONTROL!$C$12, $D$4, 100%, $F$4)</f>
        <v>10.3711</v>
      </c>
      <c r="F604" s="4">
        <f>CHOOSE( CONTROL!$C$29, 11.373, 11.3662) * CHOOSE(CONTROL!$C$12, $D$4, 100%, $F$4)</f>
        <v>11.366199999999999</v>
      </c>
      <c r="G604" s="8">
        <f>CHOOSE( CONTROL!$C$29, 10.2215, 10.2147) * CHOOSE( CONTROL!$C$12, $D$4, 100%, $F$4)</f>
        <v>10.214700000000001</v>
      </c>
      <c r="H604" s="4">
        <f>CHOOSE( CONTROL!$C$29, 11.1284, 11.1217) * CHOOSE(CONTROL!$C$12, $D$4, 100%, $F$4)</f>
        <v>11.121700000000001</v>
      </c>
      <c r="I604" s="8">
        <f>CHOOSE( CONTROL!$C$29, 10.1309, 10.1243) * CHOOSE(CONTROL!$C$12, $D$4, 100%, $F$4)</f>
        <v>10.1243</v>
      </c>
      <c r="J604" s="4">
        <f>CHOOSE( CONTROL!$C$29, 10.0418, 10.0351) * CHOOSE(CONTROL!$C$12, $D$4, 100%, $F$4)</f>
        <v>10.0351</v>
      </c>
      <c r="K604" s="4"/>
      <c r="L604" s="9">
        <v>29.520499999999998</v>
      </c>
      <c r="M604" s="9">
        <v>12.063700000000001</v>
      </c>
      <c r="N604" s="9">
        <v>4.9444999999999997</v>
      </c>
      <c r="O604" s="9">
        <v>0.37459999999999999</v>
      </c>
      <c r="P604" s="9">
        <v>1.2192000000000001</v>
      </c>
      <c r="Q604" s="9">
        <v>19.688099999999999</v>
      </c>
      <c r="R604" s="9"/>
      <c r="S604" s="11"/>
    </row>
    <row r="605" spans="1:19" ht="15.6">
      <c r="A605" s="13">
        <v>60510</v>
      </c>
      <c r="B605" s="8">
        <f>CHOOSE( CONTROL!$C$29, 9.5646, 9.5577) * CHOOSE(CONTROL!$C$12, $D$4, 100%, $F$4)</f>
        <v>9.5577000000000005</v>
      </c>
      <c r="C605" s="8">
        <f>CHOOSE( CONTROL!$C$29, 9.5749, 9.5681) * CHOOSE(CONTROL!$C$12, $D$4, 100%, $F$4)</f>
        <v>9.5680999999999994</v>
      </c>
      <c r="D605" s="8">
        <f>CHOOSE( CONTROL!$C$29, 9.5764, 9.5695) * CHOOSE( CONTROL!$C$12, $D$4, 100%, $F$4)</f>
        <v>9.5694999999999997</v>
      </c>
      <c r="E605" s="12">
        <f>CHOOSE( CONTROL!$C$29, 9.5743, 9.5674) * CHOOSE( CONTROL!$C$12, $D$4, 100%, $F$4)</f>
        <v>9.5673999999999992</v>
      </c>
      <c r="F605" s="4">
        <f>CHOOSE( CONTROL!$C$29, 10.571, 10.5642) * CHOOSE(CONTROL!$C$12, $D$4, 100%, $F$4)</f>
        <v>10.5642</v>
      </c>
      <c r="G605" s="8">
        <f>CHOOSE( CONTROL!$C$29, 9.4235, 9.4168) * CHOOSE( CONTROL!$C$12, $D$4, 100%, $F$4)</f>
        <v>9.4168000000000003</v>
      </c>
      <c r="H605" s="4">
        <f>CHOOSE( CONTROL!$C$29, 10.3378, 10.3311) * CHOOSE(CONTROL!$C$12, $D$4, 100%, $F$4)</f>
        <v>10.331099999999999</v>
      </c>
      <c r="I605" s="8">
        <f>CHOOSE( CONTROL!$C$29, 9.337, 9.3304) * CHOOSE(CONTROL!$C$12, $D$4, 100%, $F$4)</f>
        <v>9.3303999999999991</v>
      </c>
      <c r="J605" s="4">
        <f>CHOOSE( CONTROL!$C$29, 9.2671, 9.2605) * CHOOSE(CONTROL!$C$12, $D$4, 100%, $F$4)</f>
        <v>9.2605000000000004</v>
      </c>
      <c r="K605" s="4"/>
      <c r="L605" s="9">
        <v>29.520499999999998</v>
      </c>
      <c r="M605" s="9">
        <v>12.063700000000001</v>
      </c>
      <c r="N605" s="9">
        <v>4.9444999999999997</v>
      </c>
      <c r="O605" s="9">
        <v>0.37459999999999999</v>
      </c>
      <c r="P605" s="9">
        <v>1.2192000000000001</v>
      </c>
      <c r="Q605" s="9">
        <v>19.688099999999999</v>
      </c>
      <c r="R605" s="9"/>
      <c r="S605" s="11"/>
    </row>
    <row r="606" spans="1:19" ht="15.6">
      <c r="A606" s="13">
        <v>60540</v>
      </c>
      <c r="B606" s="8">
        <f>CHOOSE( CONTROL!$C$29, 9.3644, 9.3576) * CHOOSE(CONTROL!$C$12, $D$4, 100%, $F$4)</f>
        <v>9.3575999999999997</v>
      </c>
      <c r="C606" s="8">
        <f>CHOOSE( CONTROL!$C$29, 9.3747, 9.3679) * CHOOSE(CONTROL!$C$12, $D$4, 100%, $F$4)</f>
        <v>9.3679000000000006</v>
      </c>
      <c r="D606" s="8">
        <f>CHOOSE( CONTROL!$C$29, 9.3794, 9.3726) * CHOOSE( CONTROL!$C$12, $D$4, 100%, $F$4)</f>
        <v>9.3726000000000003</v>
      </c>
      <c r="E606" s="12">
        <f>CHOOSE( CONTROL!$C$29, 9.3761, 9.3693) * CHOOSE( CONTROL!$C$12, $D$4, 100%, $F$4)</f>
        <v>9.3693000000000008</v>
      </c>
      <c r="F606" s="4">
        <f>CHOOSE( CONTROL!$C$29, 10.376, 10.3692) * CHOOSE(CONTROL!$C$12, $D$4, 100%, $F$4)</f>
        <v>10.369199999999999</v>
      </c>
      <c r="G606" s="8">
        <f>CHOOSE( CONTROL!$C$29, 9.2282, 9.2215) * CHOOSE( CONTROL!$C$12, $D$4, 100%, $F$4)</f>
        <v>9.2215000000000007</v>
      </c>
      <c r="H606" s="4">
        <f>CHOOSE( CONTROL!$C$29, 10.1456, 10.1388) * CHOOSE(CONTROL!$C$12, $D$4, 100%, $F$4)</f>
        <v>10.1388</v>
      </c>
      <c r="I606" s="8">
        <f>CHOOSE( CONTROL!$C$29, 9.1507, 9.1441) * CHOOSE(CONTROL!$C$12, $D$4, 100%, $F$4)</f>
        <v>9.1440999999999999</v>
      </c>
      <c r="J606" s="4">
        <f>CHOOSE( CONTROL!$C$29, 9.0732, 9.0665) * CHOOSE(CONTROL!$C$12, $D$4, 100%, $F$4)</f>
        <v>9.0664999999999996</v>
      </c>
      <c r="K606" s="4"/>
      <c r="L606" s="9">
        <v>28.568200000000001</v>
      </c>
      <c r="M606" s="9">
        <v>11.6745</v>
      </c>
      <c r="N606" s="9">
        <v>4.7850000000000001</v>
      </c>
      <c r="O606" s="9">
        <v>0.36249999999999999</v>
      </c>
      <c r="P606" s="9">
        <v>1.1798</v>
      </c>
      <c r="Q606" s="9">
        <v>19.053000000000001</v>
      </c>
      <c r="R606" s="9"/>
      <c r="S606" s="11"/>
    </row>
    <row r="607" spans="1:19" ht="15.6">
      <c r="A607" s="13">
        <v>60571</v>
      </c>
      <c r="B607" s="8">
        <f>9.7732 * CHOOSE(CONTROL!$C$12, $D$4, 100%, $F$4)</f>
        <v>9.7731999999999992</v>
      </c>
      <c r="C607" s="8">
        <f>9.7835 * CHOOSE(CONTROL!$C$12, $D$4, 100%, $F$4)</f>
        <v>9.7835000000000001</v>
      </c>
      <c r="D607" s="8">
        <f>9.7786 * CHOOSE( CONTROL!$C$12, $D$4, 100%, $F$4)</f>
        <v>9.7786000000000008</v>
      </c>
      <c r="E607" s="12">
        <f>9.7791 * CHOOSE( CONTROL!$C$12, $D$4, 100%, $F$4)</f>
        <v>9.7790999999999997</v>
      </c>
      <c r="F607" s="4">
        <f>10.7642 * CHOOSE(CONTROL!$C$12, $D$4, 100%, $F$4)</f>
        <v>10.764200000000001</v>
      </c>
      <c r="G607" s="8">
        <f>9.628 * CHOOSE( CONTROL!$C$12, $D$4, 100%, $F$4)</f>
        <v>9.6280000000000001</v>
      </c>
      <c r="H607" s="4">
        <f>10.5282 * CHOOSE(CONTROL!$C$12, $D$4, 100%, $F$4)</f>
        <v>10.5282</v>
      </c>
      <c r="I607" s="8">
        <f>9.551 * CHOOSE(CONTROL!$C$12, $D$4, 100%, $F$4)</f>
        <v>9.5510000000000002</v>
      </c>
      <c r="J607" s="4">
        <f>9.4693 * CHOOSE(CONTROL!$C$12, $D$4, 100%, $F$4)</f>
        <v>9.4693000000000005</v>
      </c>
      <c r="K607" s="4"/>
      <c r="L607" s="9">
        <v>28.921800000000001</v>
      </c>
      <c r="M607" s="9">
        <v>12.063700000000001</v>
      </c>
      <c r="N607" s="9">
        <v>4.9444999999999997</v>
      </c>
      <c r="O607" s="9">
        <v>0.37459999999999999</v>
      </c>
      <c r="P607" s="9">
        <v>1.2192000000000001</v>
      </c>
      <c r="Q607" s="9">
        <v>19.688099999999999</v>
      </c>
      <c r="R607" s="9"/>
      <c r="S607" s="11"/>
    </row>
    <row r="608" spans="1:19" ht="15.6">
      <c r="A608" s="13">
        <v>60601</v>
      </c>
      <c r="B608" s="8">
        <f>10.5404 * CHOOSE(CONTROL!$C$12, $D$4, 100%, $F$4)</f>
        <v>10.5404</v>
      </c>
      <c r="C608" s="8">
        <f>10.5507 * CHOOSE(CONTROL!$C$12, $D$4, 100%, $F$4)</f>
        <v>10.550700000000001</v>
      </c>
      <c r="D608" s="8">
        <f>10.5101 * CHOOSE( CONTROL!$C$12, $D$4, 100%, $F$4)</f>
        <v>10.5101</v>
      </c>
      <c r="E608" s="12">
        <f>10.5238 * CHOOSE( CONTROL!$C$12, $D$4, 100%, $F$4)</f>
        <v>10.5238</v>
      </c>
      <c r="F608" s="4">
        <f>11.5175 * CHOOSE(CONTROL!$C$12, $D$4, 100%, $F$4)</f>
        <v>11.5175</v>
      </c>
      <c r="G608" s="8">
        <f>10.3782 * CHOOSE( CONTROL!$C$12, $D$4, 100%, $F$4)</f>
        <v>10.3782</v>
      </c>
      <c r="H608" s="4">
        <f>11.2708 * CHOOSE(CONTROL!$C$12, $D$4, 100%, $F$4)</f>
        <v>11.270799999999999</v>
      </c>
      <c r="I608" s="8">
        <f>10.279 * CHOOSE(CONTROL!$C$12, $D$4, 100%, $F$4)</f>
        <v>10.279</v>
      </c>
      <c r="J608" s="4">
        <f>10.2127 * CHOOSE(CONTROL!$C$12, $D$4, 100%, $F$4)</f>
        <v>10.2127</v>
      </c>
      <c r="K608" s="4"/>
      <c r="L608" s="9">
        <v>26.515499999999999</v>
      </c>
      <c r="M608" s="9">
        <v>11.6745</v>
      </c>
      <c r="N608" s="9">
        <v>4.7850000000000001</v>
      </c>
      <c r="O608" s="9">
        <v>0.36249999999999999</v>
      </c>
      <c r="P608" s="9">
        <v>1.2522</v>
      </c>
      <c r="Q608" s="9">
        <v>19.053000000000001</v>
      </c>
      <c r="R608" s="9"/>
      <c r="S608" s="11"/>
    </row>
    <row r="609" spans="1:19" ht="15.6">
      <c r="A609" s="13">
        <v>60632</v>
      </c>
      <c r="B609" s="8">
        <f>10.5213 * CHOOSE(CONTROL!$C$12, $D$4, 100%, $F$4)</f>
        <v>10.5213</v>
      </c>
      <c r="C609" s="8">
        <f>10.5316 * CHOOSE(CONTROL!$C$12, $D$4, 100%, $F$4)</f>
        <v>10.531599999999999</v>
      </c>
      <c r="D609" s="8">
        <f>10.4928 * CHOOSE( CONTROL!$C$12, $D$4, 100%, $F$4)</f>
        <v>10.492800000000001</v>
      </c>
      <c r="E609" s="12">
        <f>10.5059 * CHOOSE( CONTROL!$C$12, $D$4, 100%, $F$4)</f>
        <v>10.5059</v>
      </c>
      <c r="F609" s="4">
        <f>11.4916 * CHOOSE(CONTROL!$C$12, $D$4, 100%, $F$4)</f>
        <v>11.4916</v>
      </c>
      <c r="G609" s="8">
        <f>10.3617 * CHOOSE( CONTROL!$C$12, $D$4, 100%, $F$4)</f>
        <v>10.361700000000001</v>
      </c>
      <c r="H609" s="4">
        <f>11.2453 * CHOOSE(CONTROL!$C$12, $D$4, 100%, $F$4)</f>
        <v>11.2453</v>
      </c>
      <c r="I609" s="8">
        <f>10.2712 * CHOOSE(CONTROL!$C$12, $D$4, 100%, $F$4)</f>
        <v>10.2712</v>
      </c>
      <c r="J609" s="4">
        <f>10.1941 * CHOOSE(CONTROL!$C$12, $D$4, 100%, $F$4)</f>
        <v>10.194100000000001</v>
      </c>
      <c r="K609" s="4"/>
      <c r="L609" s="9">
        <v>27.3993</v>
      </c>
      <c r="M609" s="9">
        <v>12.063700000000001</v>
      </c>
      <c r="N609" s="9">
        <v>4.9444999999999997</v>
      </c>
      <c r="O609" s="9">
        <v>0.37459999999999999</v>
      </c>
      <c r="P609" s="9">
        <v>1.2939000000000001</v>
      </c>
      <c r="Q609" s="9">
        <v>19.688099999999999</v>
      </c>
      <c r="R609" s="9"/>
      <c r="S609" s="11"/>
    </row>
    <row r="610" spans="1:19" ht="15.6">
      <c r="A610" s="13">
        <v>60663</v>
      </c>
      <c r="B610" s="8">
        <f>10.7668 * CHOOSE(CONTROL!$C$12, $D$4, 100%, $F$4)</f>
        <v>10.7668</v>
      </c>
      <c r="C610" s="8">
        <f>10.7771 * CHOOSE(CONTROL!$C$12, $D$4, 100%, $F$4)</f>
        <v>10.777100000000001</v>
      </c>
      <c r="D610" s="8">
        <f>10.7769 * CHOOSE( CONTROL!$C$12, $D$4, 100%, $F$4)</f>
        <v>10.776899999999999</v>
      </c>
      <c r="E610" s="12">
        <f>10.7759 * CHOOSE( CONTROL!$C$12, $D$4, 100%, $F$4)</f>
        <v>10.7759</v>
      </c>
      <c r="F610" s="4">
        <f>11.7887 * CHOOSE(CONTROL!$C$12, $D$4, 100%, $F$4)</f>
        <v>11.7887</v>
      </c>
      <c r="G610" s="8">
        <f>10.6447 * CHOOSE( CONTROL!$C$12, $D$4, 100%, $F$4)</f>
        <v>10.6447</v>
      </c>
      <c r="H610" s="4">
        <f>11.5382 * CHOOSE(CONTROL!$C$12, $D$4, 100%, $F$4)</f>
        <v>11.5382</v>
      </c>
      <c r="I610" s="8">
        <f>10.5458 * CHOOSE(CONTROL!$C$12, $D$4, 100%, $F$4)</f>
        <v>10.5458</v>
      </c>
      <c r="J610" s="4">
        <f>10.432 * CHOOSE(CONTROL!$C$12, $D$4, 100%, $F$4)</f>
        <v>10.432</v>
      </c>
      <c r="K610" s="4"/>
      <c r="L610" s="9">
        <v>27.3993</v>
      </c>
      <c r="M610" s="9">
        <v>12.063700000000001</v>
      </c>
      <c r="N610" s="9">
        <v>4.9444999999999997</v>
      </c>
      <c r="O610" s="9">
        <v>0.37459999999999999</v>
      </c>
      <c r="P610" s="9">
        <v>1.2939000000000001</v>
      </c>
      <c r="Q610" s="9">
        <v>19.688099999999999</v>
      </c>
      <c r="R610" s="9"/>
      <c r="S610" s="11"/>
    </row>
    <row r="611" spans="1:19" ht="15.6">
      <c r="A611" s="13">
        <v>60691</v>
      </c>
      <c r="B611" s="8">
        <f>10.0708 * CHOOSE(CONTROL!$C$12, $D$4, 100%, $F$4)</f>
        <v>10.0708</v>
      </c>
      <c r="C611" s="8">
        <f>10.0811 * CHOOSE(CONTROL!$C$12, $D$4, 100%, $F$4)</f>
        <v>10.081099999999999</v>
      </c>
      <c r="D611" s="8">
        <f>10.0832 * CHOOSE( CONTROL!$C$12, $D$4, 100%, $F$4)</f>
        <v>10.0832</v>
      </c>
      <c r="E611" s="12">
        <f>10.0813 * CHOOSE( CONTROL!$C$12, $D$4, 100%, $F$4)</f>
        <v>10.081300000000001</v>
      </c>
      <c r="F611" s="4">
        <f>11.085 * CHOOSE(CONTROL!$C$12, $D$4, 100%, $F$4)</f>
        <v>11.085000000000001</v>
      </c>
      <c r="G611" s="8">
        <f>9.9585 * CHOOSE( CONTROL!$C$12, $D$4, 100%, $F$4)</f>
        <v>9.9585000000000008</v>
      </c>
      <c r="H611" s="4">
        <f>10.8444 * CHOOSE(CONTROL!$C$12, $D$4, 100%, $F$4)</f>
        <v>10.8444</v>
      </c>
      <c r="I611" s="8">
        <f>9.8602 * CHOOSE(CONTROL!$C$12, $D$4, 100%, $F$4)</f>
        <v>9.8602000000000007</v>
      </c>
      <c r="J611" s="4">
        <f>9.7576 * CHOOSE(CONTROL!$C$12, $D$4, 100%, $F$4)</f>
        <v>9.7576000000000001</v>
      </c>
      <c r="K611" s="4"/>
      <c r="L611" s="9">
        <v>24.747800000000002</v>
      </c>
      <c r="M611" s="9">
        <v>10.8962</v>
      </c>
      <c r="N611" s="9">
        <v>4.4660000000000002</v>
      </c>
      <c r="O611" s="9">
        <v>0.33829999999999999</v>
      </c>
      <c r="P611" s="9">
        <v>1.1687000000000001</v>
      </c>
      <c r="Q611" s="9">
        <v>17.782800000000002</v>
      </c>
      <c r="R611" s="9"/>
      <c r="S611" s="11"/>
    </row>
    <row r="612" spans="1:19" ht="15.6">
      <c r="A612" s="13">
        <v>60722</v>
      </c>
      <c r="B612" s="8">
        <f>9.8564 * CHOOSE(CONTROL!$C$12, $D$4, 100%, $F$4)</f>
        <v>9.8564000000000007</v>
      </c>
      <c r="C612" s="8">
        <f>9.8667 * CHOOSE(CONTROL!$C$12, $D$4, 100%, $F$4)</f>
        <v>9.8666999999999998</v>
      </c>
      <c r="D612" s="8">
        <f>9.8489 * CHOOSE( CONTROL!$C$12, $D$4, 100%, $F$4)</f>
        <v>9.8489000000000004</v>
      </c>
      <c r="E612" s="12">
        <f>9.8543 * CHOOSE( CONTROL!$C$12, $D$4, 100%, $F$4)</f>
        <v>9.8543000000000003</v>
      </c>
      <c r="F612" s="4">
        <f>10.8546 * CHOOSE(CONTROL!$C$12, $D$4, 100%, $F$4)</f>
        <v>10.8546</v>
      </c>
      <c r="G612" s="8">
        <f>9.7267 * CHOOSE( CONTROL!$C$12, $D$4, 100%, $F$4)</f>
        <v>9.7266999999999992</v>
      </c>
      <c r="H612" s="4">
        <f>10.6174 * CHOOSE(CONTROL!$C$12, $D$4, 100%, $F$4)</f>
        <v>10.6174</v>
      </c>
      <c r="I612" s="8">
        <f>9.6128 * CHOOSE(CONTROL!$C$12, $D$4, 100%, $F$4)</f>
        <v>9.6128</v>
      </c>
      <c r="J612" s="4">
        <f>9.5499 * CHOOSE(CONTROL!$C$12, $D$4, 100%, $F$4)</f>
        <v>9.5498999999999992</v>
      </c>
      <c r="K612" s="4"/>
      <c r="L612" s="9">
        <v>27.3993</v>
      </c>
      <c r="M612" s="9">
        <v>12.063700000000001</v>
      </c>
      <c r="N612" s="9">
        <v>4.9444999999999997</v>
      </c>
      <c r="O612" s="9">
        <v>0.37459999999999999</v>
      </c>
      <c r="P612" s="9">
        <v>1.2939000000000001</v>
      </c>
      <c r="Q612" s="9">
        <v>19.688099999999999</v>
      </c>
      <c r="R612" s="9"/>
      <c r="S612" s="11"/>
    </row>
    <row r="613" spans="1:19" ht="15.6">
      <c r="A613" s="13">
        <v>60752</v>
      </c>
      <c r="B613" s="8">
        <f>10.0062 * CHOOSE(CONTROL!$C$12, $D$4, 100%, $F$4)</f>
        <v>10.0062</v>
      </c>
      <c r="C613" s="8">
        <f>10.0165 * CHOOSE(CONTROL!$C$12, $D$4, 100%, $F$4)</f>
        <v>10.016500000000001</v>
      </c>
      <c r="D613" s="8">
        <f>10.0216 * CHOOSE( CONTROL!$C$12, $D$4, 100%, $F$4)</f>
        <v>10.021599999999999</v>
      </c>
      <c r="E613" s="12">
        <f>10.0187 * CHOOSE( CONTROL!$C$12, $D$4, 100%, $F$4)</f>
        <v>10.018700000000001</v>
      </c>
      <c r="F613" s="4">
        <f>11.0126 * CHOOSE(CONTROL!$C$12, $D$4, 100%, $F$4)</f>
        <v>11.012600000000001</v>
      </c>
      <c r="G613" s="8">
        <f>9.8622 * CHOOSE( CONTROL!$C$12, $D$4, 100%, $F$4)</f>
        <v>9.8621999999999996</v>
      </c>
      <c r="H613" s="4">
        <f>10.7732 * CHOOSE(CONTROL!$C$12, $D$4, 100%, $F$4)</f>
        <v>10.773199999999999</v>
      </c>
      <c r="I613" s="8">
        <f>9.7481 * CHOOSE(CONTROL!$C$12, $D$4, 100%, $F$4)</f>
        <v>9.7481000000000009</v>
      </c>
      <c r="J613" s="4">
        <f>9.6951 * CHOOSE(CONTROL!$C$12, $D$4, 100%, $F$4)</f>
        <v>9.6951000000000001</v>
      </c>
      <c r="K613" s="4"/>
      <c r="L613" s="9">
        <v>27.988800000000001</v>
      </c>
      <c r="M613" s="9">
        <v>11.6745</v>
      </c>
      <c r="N613" s="9">
        <v>4.7850000000000001</v>
      </c>
      <c r="O613" s="9">
        <v>0.36249999999999999</v>
      </c>
      <c r="P613" s="9">
        <v>1.1798</v>
      </c>
      <c r="Q613" s="9">
        <v>19.053000000000001</v>
      </c>
      <c r="R613" s="9"/>
      <c r="S613" s="11"/>
    </row>
    <row r="614" spans="1:19" ht="15.6">
      <c r="A614" s="13">
        <v>60783</v>
      </c>
      <c r="B614" s="8">
        <f>CHOOSE( CONTROL!$C$29, 10.2796, 10.2728) * CHOOSE(CONTROL!$C$12, $D$4, 100%, $F$4)</f>
        <v>10.2728</v>
      </c>
      <c r="C614" s="8">
        <f>CHOOSE( CONTROL!$C$29, 10.29, 10.2831) * CHOOSE(CONTROL!$C$12, $D$4, 100%, $F$4)</f>
        <v>10.283099999999999</v>
      </c>
      <c r="D614" s="8">
        <f>CHOOSE( CONTROL!$C$29, 10.2702, 10.2634) * CHOOSE( CONTROL!$C$12, $D$4, 100%, $F$4)</f>
        <v>10.263400000000001</v>
      </c>
      <c r="E614" s="12">
        <f>CHOOSE( CONTROL!$C$29, 10.2758, 10.269) * CHOOSE( CONTROL!$C$12, $D$4, 100%, $F$4)</f>
        <v>10.269</v>
      </c>
      <c r="F614" s="4">
        <f>CHOOSE( CONTROL!$C$29, 11.2541, 11.2472) * CHOOSE(CONTROL!$C$12, $D$4, 100%, $F$4)</f>
        <v>11.247199999999999</v>
      </c>
      <c r="G614" s="8">
        <f>CHOOSE( CONTROL!$C$29, 10.1135, 10.1068) * CHOOSE( CONTROL!$C$12, $D$4, 100%, $F$4)</f>
        <v>10.1068</v>
      </c>
      <c r="H614" s="4">
        <f>CHOOSE( CONTROL!$C$29, 11.0112, 11.0044) * CHOOSE(CONTROL!$C$12, $D$4, 100%, $F$4)</f>
        <v>11.0044</v>
      </c>
      <c r="I614" s="8">
        <f>CHOOSE( CONTROL!$C$29, 9.9917, 9.9851) * CHOOSE(CONTROL!$C$12, $D$4, 100%, $F$4)</f>
        <v>9.9850999999999992</v>
      </c>
      <c r="J614" s="4">
        <f>CHOOSE( CONTROL!$C$29, 9.96, 9.9534) * CHOOSE(CONTROL!$C$12, $D$4, 100%, $F$4)</f>
        <v>9.9534000000000002</v>
      </c>
      <c r="K614" s="4"/>
      <c r="L614" s="9">
        <v>29.520499999999998</v>
      </c>
      <c r="M614" s="9">
        <v>12.063700000000001</v>
      </c>
      <c r="N614" s="9">
        <v>4.9444999999999997</v>
      </c>
      <c r="O614" s="9">
        <v>0.37459999999999999</v>
      </c>
      <c r="P614" s="9">
        <v>1.2192000000000001</v>
      </c>
      <c r="Q614" s="9">
        <v>19.688099999999999</v>
      </c>
      <c r="R614" s="9"/>
      <c r="S614" s="11"/>
    </row>
    <row r="615" spans="1:19" ht="15.6">
      <c r="A615" s="13">
        <v>60813</v>
      </c>
      <c r="B615" s="8">
        <f>CHOOSE( CONTROL!$C$29, 10.1145, 10.1077) * CHOOSE(CONTROL!$C$12, $D$4, 100%, $F$4)</f>
        <v>10.107699999999999</v>
      </c>
      <c r="C615" s="8">
        <f>CHOOSE( CONTROL!$C$29, 10.1248, 10.118) * CHOOSE(CONTROL!$C$12, $D$4, 100%, $F$4)</f>
        <v>10.118</v>
      </c>
      <c r="D615" s="8">
        <f>CHOOSE( CONTROL!$C$29, 10.0995, 10.0927) * CHOOSE( CONTROL!$C$12, $D$4, 100%, $F$4)</f>
        <v>10.092700000000001</v>
      </c>
      <c r="E615" s="12">
        <f>CHOOSE( CONTROL!$C$29, 10.1071, 10.1003) * CHOOSE( CONTROL!$C$12, $D$4, 100%, $F$4)</f>
        <v>10.100300000000001</v>
      </c>
      <c r="F615" s="4">
        <f>CHOOSE( CONTROL!$C$29, 11.0786, 11.0718) * CHOOSE(CONTROL!$C$12, $D$4, 100%, $F$4)</f>
        <v>11.0718</v>
      </c>
      <c r="G615" s="8">
        <f>CHOOSE( CONTROL!$C$29, 9.9495, 9.9427) * CHOOSE( CONTROL!$C$12, $D$4, 100%, $F$4)</f>
        <v>9.9427000000000003</v>
      </c>
      <c r="H615" s="4">
        <f>CHOOSE( CONTROL!$C$29, 10.8382, 10.8315) * CHOOSE(CONTROL!$C$12, $D$4, 100%, $F$4)</f>
        <v>10.8315</v>
      </c>
      <c r="I615" s="8">
        <f>CHOOSE( CONTROL!$C$29, 9.8338, 9.8271) * CHOOSE(CONTROL!$C$12, $D$4, 100%, $F$4)</f>
        <v>9.8270999999999997</v>
      </c>
      <c r="J615" s="4">
        <f>CHOOSE( CONTROL!$C$29, 9.8, 9.7934) * CHOOSE(CONTROL!$C$12, $D$4, 100%, $F$4)</f>
        <v>9.7934000000000001</v>
      </c>
      <c r="K615" s="4"/>
      <c r="L615" s="9">
        <v>28.568200000000001</v>
      </c>
      <c r="M615" s="9">
        <v>11.6745</v>
      </c>
      <c r="N615" s="9">
        <v>4.7850000000000001</v>
      </c>
      <c r="O615" s="9">
        <v>0.36249999999999999</v>
      </c>
      <c r="P615" s="9">
        <v>1.1798</v>
      </c>
      <c r="Q615" s="9">
        <v>19.053000000000001</v>
      </c>
      <c r="R615" s="9"/>
      <c r="S615" s="11"/>
    </row>
    <row r="616" spans="1:19" ht="15.6">
      <c r="A616" s="13">
        <v>60844</v>
      </c>
      <c r="B616" s="8">
        <f>CHOOSE( CONTROL!$C$29, 10.5494, 10.5425) * CHOOSE(CONTROL!$C$12, $D$4, 100%, $F$4)</f>
        <v>10.5425</v>
      </c>
      <c r="C616" s="8">
        <f>CHOOSE( CONTROL!$C$29, 10.5597, 10.5529) * CHOOSE(CONTROL!$C$12, $D$4, 100%, $F$4)</f>
        <v>10.552899999999999</v>
      </c>
      <c r="D616" s="8">
        <f>CHOOSE( CONTROL!$C$29, 10.5678, 10.561) * CHOOSE( CONTROL!$C$12, $D$4, 100%, $F$4)</f>
        <v>10.561</v>
      </c>
      <c r="E616" s="12">
        <f>CHOOSE( CONTROL!$C$29, 10.5633, 10.5565) * CHOOSE( CONTROL!$C$12, $D$4, 100%, $F$4)</f>
        <v>10.5565</v>
      </c>
      <c r="F616" s="4">
        <f>CHOOSE( CONTROL!$C$29, 11.5584, 11.5516) * CHOOSE(CONTROL!$C$12, $D$4, 100%, $F$4)</f>
        <v>11.551600000000001</v>
      </c>
      <c r="G616" s="8">
        <f>CHOOSE( CONTROL!$C$29, 10.4042, 10.3975) * CHOOSE( CONTROL!$C$12, $D$4, 100%, $F$4)</f>
        <v>10.397500000000001</v>
      </c>
      <c r="H616" s="4">
        <f>CHOOSE( CONTROL!$C$29, 11.3112, 11.3044) * CHOOSE(CONTROL!$C$12, $D$4, 100%, $F$4)</f>
        <v>11.304399999999999</v>
      </c>
      <c r="I616" s="8">
        <f>CHOOSE( CONTROL!$C$29, 10.3107, 10.304) * CHOOSE(CONTROL!$C$12, $D$4, 100%, $F$4)</f>
        <v>10.304</v>
      </c>
      <c r="J616" s="4">
        <f>CHOOSE( CONTROL!$C$29, 10.2214, 10.2148) * CHOOSE(CONTROL!$C$12, $D$4, 100%, $F$4)</f>
        <v>10.2148</v>
      </c>
      <c r="K616" s="4"/>
      <c r="L616" s="9">
        <v>29.520499999999998</v>
      </c>
      <c r="M616" s="9">
        <v>12.063700000000001</v>
      </c>
      <c r="N616" s="9">
        <v>4.9444999999999997</v>
      </c>
      <c r="O616" s="9">
        <v>0.37459999999999999</v>
      </c>
      <c r="P616" s="9">
        <v>1.2192000000000001</v>
      </c>
      <c r="Q616" s="9">
        <v>19.688099999999999</v>
      </c>
      <c r="R616" s="9"/>
      <c r="S616" s="11"/>
    </row>
    <row r="617" spans="1:19" ht="15.6">
      <c r="A617" s="13">
        <v>60875</v>
      </c>
      <c r="B617" s="8">
        <f>CHOOSE( CONTROL!$C$29, 9.7357, 9.7288) * CHOOSE(CONTROL!$C$12, $D$4, 100%, $F$4)</f>
        <v>9.7287999999999997</v>
      </c>
      <c r="C617" s="8">
        <f>CHOOSE( CONTROL!$C$29, 9.746, 9.7391) * CHOOSE(CONTROL!$C$12, $D$4, 100%, $F$4)</f>
        <v>9.7391000000000005</v>
      </c>
      <c r="D617" s="8">
        <f>CHOOSE( CONTROL!$C$29, 9.7475, 9.7406) * CHOOSE( CONTROL!$C$12, $D$4, 100%, $F$4)</f>
        <v>9.7406000000000006</v>
      </c>
      <c r="E617" s="12">
        <f>CHOOSE( CONTROL!$C$29, 9.7454, 9.7385) * CHOOSE( CONTROL!$C$12, $D$4, 100%, $F$4)</f>
        <v>9.7385000000000002</v>
      </c>
      <c r="F617" s="4">
        <f>CHOOSE( CONTROL!$C$29, 10.7421, 10.7353) * CHOOSE(CONTROL!$C$12, $D$4, 100%, $F$4)</f>
        <v>10.735300000000001</v>
      </c>
      <c r="G617" s="8">
        <f>CHOOSE( CONTROL!$C$29, 9.5921, 9.5854) * CHOOSE( CONTROL!$C$12, $D$4, 100%, $F$4)</f>
        <v>9.5853999999999999</v>
      </c>
      <c r="H617" s="4">
        <f>CHOOSE( CONTROL!$C$29, 10.5065, 10.4997) * CHOOSE(CONTROL!$C$12, $D$4, 100%, $F$4)</f>
        <v>10.499700000000001</v>
      </c>
      <c r="I617" s="8">
        <f>CHOOSE( CONTROL!$C$29, 9.5029, 9.4962) * CHOOSE(CONTROL!$C$12, $D$4, 100%, $F$4)</f>
        <v>9.4962</v>
      </c>
      <c r="J617" s="4">
        <f>CHOOSE( CONTROL!$C$29, 9.4329, 9.4263) * CHOOSE(CONTROL!$C$12, $D$4, 100%, $F$4)</f>
        <v>9.4262999999999995</v>
      </c>
      <c r="K617" s="4"/>
      <c r="L617" s="9">
        <v>29.520499999999998</v>
      </c>
      <c r="M617" s="9">
        <v>12.063700000000001</v>
      </c>
      <c r="N617" s="9">
        <v>4.9444999999999997</v>
      </c>
      <c r="O617" s="9">
        <v>0.37459999999999999</v>
      </c>
      <c r="P617" s="9">
        <v>1.2192000000000001</v>
      </c>
      <c r="Q617" s="9">
        <v>19.688099999999999</v>
      </c>
      <c r="R617" s="9"/>
      <c r="S617" s="11"/>
    </row>
    <row r="618" spans="1:19" ht="15.6">
      <c r="A618" s="13">
        <v>60905</v>
      </c>
      <c r="B618" s="8">
        <f>CHOOSE( CONTROL!$C$29, 9.5319, 9.525) * CHOOSE(CONTROL!$C$12, $D$4, 100%, $F$4)</f>
        <v>9.5250000000000004</v>
      </c>
      <c r="C618" s="8">
        <f>CHOOSE( CONTROL!$C$29, 9.5422, 9.5354) * CHOOSE(CONTROL!$C$12, $D$4, 100%, $F$4)</f>
        <v>9.5353999999999992</v>
      </c>
      <c r="D618" s="8">
        <f>CHOOSE( CONTROL!$C$29, 9.5469, 9.54) * CHOOSE( CONTROL!$C$12, $D$4, 100%, $F$4)</f>
        <v>9.5399999999999991</v>
      </c>
      <c r="E618" s="12">
        <f>CHOOSE( CONTROL!$C$29, 9.5436, 9.5367) * CHOOSE( CONTROL!$C$12, $D$4, 100%, $F$4)</f>
        <v>9.5366999999999997</v>
      </c>
      <c r="F618" s="4">
        <f>CHOOSE( CONTROL!$C$29, 10.5435, 10.5366) * CHOOSE(CONTROL!$C$12, $D$4, 100%, $F$4)</f>
        <v>10.5366</v>
      </c>
      <c r="G618" s="8">
        <f>CHOOSE( CONTROL!$C$29, 9.3933, 9.3866) * CHOOSE( CONTROL!$C$12, $D$4, 100%, $F$4)</f>
        <v>9.3865999999999996</v>
      </c>
      <c r="H618" s="4">
        <f>CHOOSE( CONTROL!$C$29, 10.3107, 10.3039) * CHOOSE(CONTROL!$C$12, $D$4, 100%, $F$4)</f>
        <v>10.303900000000001</v>
      </c>
      <c r="I618" s="8">
        <f>CHOOSE( CONTROL!$C$29, 9.3131, 9.3065) * CHOOSE(CONTROL!$C$12, $D$4, 100%, $F$4)</f>
        <v>9.3064999999999998</v>
      </c>
      <c r="J618" s="4">
        <f>CHOOSE( CONTROL!$C$29, 9.2354, 9.2288) * CHOOSE(CONTROL!$C$12, $D$4, 100%, $F$4)</f>
        <v>9.2287999999999997</v>
      </c>
      <c r="K618" s="4"/>
      <c r="L618" s="9">
        <v>28.568200000000001</v>
      </c>
      <c r="M618" s="9">
        <v>11.6745</v>
      </c>
      <c r="N618" s="9">
        <v>4.7850000000000001</v>
      </c>
      <c r="O618" s="9">
        <v>0.36249999999999999</v>
      </c>
      <c r="P618" s="9">
        <v>1.1798</v>
      </c>
      <c r="Q618" s="9">
        <v>19.053000000000001</v>
      </c>
      <c r="R618" s="9"/>
      <c r="S618" s="11"/>
    </row>
    <row r="619" spans="1:19" ht="15.6">
      <c r="A619" s="13">
        <v>60936</v>
      </c>
      <c r="B619" s="8">
        <f>9.9481 * CHOOSE(CONTROL!$C$12, $D$4, 100%, $F$4)</f>
        <v>9.9481000000000002</v>
      </c>
      <c r="C619" s="8">
        <f>9.9585 * CHOOSE(CONTROL!$C$12, $D$4, 100%, $F$4)</f>
        <v>9.9585000000000008</v>
      </c>
      <c r="D619" s="8">
        <f>9.9535 * CHOOSE( CONTROL!$C$12, $D$4, 100%, $F$4)</f>
        <v>9.9535</v>
      </c>
      <c r="E619" s="12">
        <f>9.954 * CHOOSE( CONTROL!$C$12, $D$4, 100%, $F$4)</f>
        <v>9.9540000000000006</v>
      </c>
      <c r="F619" s="4">
        <f>10.9391 * CHOOSE(CONTROL!$C$12, $D$4, 100%, $F$4)</f>
        <v>10.9391</v>
      </c>
      <c r="G619" s="8">
        <f>9.8004 * CHOOSE( CONTROL!$C$12, $D$4, 100%, $F$4)</f>
        <v>9.8003999999999998</v>
      </c>
      <c r="H619" s="4">
        <f>10.7007 * CHOOSE(CONTROL!$C$12, $D$4, 100%, $F$4)</f>
        <v>10.700699999999999</v>
      </c>
      <c r="I619" s="8">
        <f>9.7205 * CHOOSE(CONTROL!$C$12, $D$4, 100%, $F$4)</f>
        <v>9.7204999999999995</v>
      </c>
      <c r="J619" s="4">
        <f>9.6388 * CHOOSE(CONTROL!$C$12, $D$4, 100%, $F$4)</f>
        <v>9.6387999999999998</v>
      </c>
      <c r="K619" s="4"/>
      <c r="L619" s="9">
        <v>28.921800000000001</v>
      </c>
      <c r="M619" s="9">
        <v>12.063700000000001</v>
      </c>
      <c r="N619" s="9">
        <v>4.9444999999999997</v>
      </c>
      <c r="O619" s="9">
        <v>0.37459999999999999</v>
      </c>
      <c r="P619" s="9">
        <v>1.2192000000000001</v>
      </c>
      <c r="Q619" s="9">
        <v>19.688099999999999</v>
      </c>
      <c r="R619" s="9"/>
      <c r="S619" s="11"/>
    </row>
    <row r="620" spans="1:19" ht="15.6">
      <c r="A620" s="13">
        <v>60966</v>
      </c>
      <c r="B620" s="8">
        <f>10.7291 * CHOOSE(CONTROL!$C$12, $D$4, 100%, $F$4)</f>
        <v>10.729100000000001</v>
      </c>
      <c r="C620" s="8">
        <f>10.7394 * CHOOSE(CONTROL!$C$12, $D$4, 100%, $F$4)</f>
        <v>10.7394</v>
      </c>
      <c r="D620" s="8">
        <f>10.6987 * CHOOSE( CONTROL!$C$12, $D$4, 100%, $F$4)</f>
        <v>10.698700000000001</v>
      </c>
      <c r="E620" s="12">
        <f>10.7125 * CHOOSE( CONTROL!$C$12, $D$4, 100%, $F$4)</f>
        <v>10.7125</v>
      </c>
      <c r="F620" s="4">
        <f>11.7061 * CHOOSE(CONTROL!$C$12, $D$4, 100%, $F$4)</f>
        <v>11.706099999999999</v>
      </c>
      <c r="G620" s="8">
        <f>10.5642 * CHOOSE( CONTROL!$C$12, $D$4, 100%, $F$4)</f>
        <v>10.5642</v>
      </c>
      <c r="H620" s="4">
        <f>11.4568 * CHOOSE(CONTROL!$C$12, $D$4, 100%, $F$4)</f>
        <v>11.456799999999999</v>
      </c>
      <c r="I620" s="8">
        <f>10.4619 * CHOOSE(CONTROL!$C$12, $D$4, 100%, $F$4)</f>
        <v>10.4619</v>
      </c>
      <c r="J620" s="4">
        <f>10.3955 * CHOOSE(CONTROL!$C$12, $D$4, 100%, $F$4)</f>
        <v>10.3955</v>
      </c>
      <c r="K620" s="4"/>
      <c r="L620" s="9">
        <v>26.515499999999999</v>
      </c>
      <c r="M620" s="9">
        <v>11.6745</v>
      </c>
      <c r="N620" s="9">
        <v>4.7850000000000001</v>
      </c>
      <c r="O620" s="9">
        <v>0.36249999999999999</v>
      </c>
      <c r="P620" s="9">
        <v>1.2522</v>
      </c>
      <c r="Q620" s="9">
        <v>19.053000000000001</v>
      </c>
      <c r="R620" s="9"/>
      <c r="S620" s="11"/>
    </row>
    <row r="621" spans="1:19" ht="15.6">
      <c r="A621" s="13">
        <v>60997</v>
      </c>
      <c r="B621" s="8">
        <f>10.7096 * CHOOSE(CONTROL!$C$12, $D$4, 100%, $F$4)</f>
        <v>10.7096</v>
      </c>
      <c r="C621" s="8">
        <f>10.7199 * CHOOSE(CONTROL!$C$12, $D$4, 100%, $F$4)</f>
        <v>10.719900000000001</v>
      </c>
      <c r="D621" s="8">
        <f>10.6811 * CHOOSE( CONTROL!$C$12, $D$4, 100%, $F$4)</f>
        <v>10.681100000000001</v>
      </c>
      <c r="E621" s="12">
        <f>10.6942 * CHOOSE( CONTROL!$C$12, $D$4, 100%, $F$4)</f>
        <v>10.6942</v>
      </c>
      <c r="F621" s="4">
        <f>11.6799 * CHOOSE(CONTROL!$C$12, $D$4, 100%, $F$4)</f>
        <v>11.6799</v>
      </c>
      <c r="G621" s="8">
        <f>10.5473 * CHOOSE( CONTROL!$C$12, $D$4, 100%, $F$4)</f>
        <v>10.5473</v>
      </c>
      <c r="H621" s="4">
        <f>11.4309 * CHOOSE(CONTROL!$C$12, $D$4, 100%, $F$4)</f>
        <v>11.430899999999999</v>
      </c>
      <c r="I621" s="8">
        <f>10.4538 * CHOOSE(CONTROL!$C$12, $D$4, 100%, $F$4)</f>
        <v>10.453799999999999</v>
      </c>
      <c r="J621" s="4">
        <f>10.3766 * CHOOSE(CONTROL!$C$12, $D$4, 100%, $F$4)</f>
        <v>10.3766</v>
      </c>
      <c r="K621" s="4"/>
      <c r="L621" s="9">
        <v>27.3993</v>
      </c>
      <c r="M621" s="9">
        <v>12.063700000000001</v>
      </c>
      <c r="N621" s="9">
        <v>4.9444999999999997</v>
      </c>
      <c r="O621" s="9">
        <v>0.37459999999999999</v>
      </c>
      <c r="P621" s="9">
        <v>1.2939000000000001</v>
      </c>
      <c r="Q621" s="9">
        <v>19.688099999999999</v>
      </c>
      <c r="R621" s="9"/>
      <c r="S621" s="11"/>
    </row>
    <row r="622" spans="1:19" ht="15.6">
      <c r="A622" s="13">
        <v>61028</v>
      </c>
      <c r="B622" s="8">
        <f>10.9595 * CHOOSE(CONTROL!$C$12, $D$4, 100%, $F$4)</f>
        <v>10.9595</v>
      </c>
      <c r="C622" s="8">
        <f>10.9698 * CHOOSE(CONTROL!$C$12, $D$4, 100%, $F$4)</f>
        <v>10.969799999999999</v>
      </c>
      <c r="D622" s="8">
        <f>10.9696 * CHOOSE( CONTROL!$C$12, $D$4, 100%, $F$4)</f>
        <v>10.9696</v>
      </c>
      <c r="E622" s="12">
        <f>10.9686 * CHOOSE( CONTROL!$C$12, $D$4, 100%, $F$4)</f>
        <v>10.9686</v>
      </c>
      <c r="F622" s="4">
        <f>11.9814 * CHOOSE(CONTROL!$C$12, $D$4, 100%, $F$4)</f>
        <v>11.981400000000001</v>
      </c>
      <c r="G622" s="8">
        <f>10.8347 * CHOOSE( CONTROL!$C$12, $D$4, 100%, $F$4)</f>
        <v>10.8347</v>
      </c>
      <c r="H622" s="4">
        <f>11.7281 * CHOOSE(CONTROL!$C$12, $D$4, 100%, $F$4)</f>
        <v>11.7281</v>
      </c>
      <c r="I622" s="8">
        <f>10.7327 * CHOOSE(CONTROL!$C$12, $D$4, 100%, $F$4)</f>
        <v>10.732699999999999</v>
      </c>
      <c r="J622" s="4">
        <f>10.6188 * CHOOSE(CONTROL!$C$12, $D$4, 100%, $F$4)</f>
        <v>10.6188</v>
      </c>
      <c r="K622" s="4"/>
      <c r="L622" s="9">
        <v>27.3993</v>
      </c>
      <c r="M622" s="9">
        <v>12.063700000000001</v>
      </c>
      <c r="N622" s="9">
        <v>4.9444999999999997</v>
      </c>
      <c r="O622" s="9">
        <v>0.37459999999999999</v>
      </c>
      <c r="P622" s="9">
        <v>1.2939000000000001</v>
      </c>
      <c r="Q622" s="9">
        <v>19.688099999999999</v>
      </c>
      <c r="R622" s="9"/>
      <c r="S622" s="11"/>
    </row>
    <row r="623" spans="1:19" ht="15.6">
      <c r="A623" s="13">
        <v>61056</v>
      </c>
      <c r="B623" s="8">
        <f>10.251 * CHOOSE(CONTROL!$C$12, $D$4, 100%, $F$4)</f>
        <v>10.250999999999999</v>
      </c>
      <c r="C623" s="8">
        <f>10.2613 * CHOOSE(CONTROL!$C$12, $D$4, 100%, $F$4)</f>
        <v>10.2613</v>
      </c>
      <c r="D623" s="8">
        <f>10.2634 * CHOOSE( CONTROL!$C$12, $D$4, 100%, $F$4)</f>
        <v>10.263400000000001</v>
      </c>
      <c r="E623" s="12">
        <f>10.2615 * CHOOSE( CONTROL!$C$12, $D$4, 100%, $F$4)</f>
        <v>10.2615</v>
      </c>
      <c r="F623" s="4">
        <f>11.2652 * CHOOSE(CONTROL!$C$12, $D$4, 100%, $F$4)</f>
        <v>11.2652</v>
      </c>
      <c r="G623" s="8">
        <f>10.1361 * CHOOSE( CONTROL!$C$12, $D$4, 100%, $F$4)</f>
        <v>10.136100000000001</v>
      </c>
      <c r="H623" s="4">
        <f>11.0221 * CHOOSE(CONTROL!$C$12, $D$4, 100%, $F$4)</f>
        <v>11.0221</v>
      </c>
      <c r="I623" s="8">
        <f>10.0349 * CHOOSE(CONTROL!$C$12, $D$4, 100%, $F$4)</f>
        <v>10.0349</v>
      </c>
      <c r="J623" s="4">
        <f>9.9323 * CHOOSE(CONTROL!$C$12, $D$4, 100%, $F$4)</f>
        <v>9.9322999999999997</v>
      </c>
      <c r="K623" s="4"/>
      <c r="L623" s="9">
        <v>24.747800000000002</v>
      </c>
      <c r="M623" s="9">
        <v>10.8962</v>
      </c>
      <c r="N623" s="9">
        <v>4.4660000000000002</v>
      </c>
      <c r="O623" s="9">
        <v>0.33829999999999999</v>
      </c>
      <c r="P623" s="9">
        <v>1.1687000000000001</v>
      </c>
      <c r="Q623" s="9">
        <v>17.782800000000002</v>
      </c>
      <c r="R623" s="9"/>
      <c r="S623" s="11"/>
    </row>
    <row r="624" spans="1:19" ht="15.6">
      <c r="A624" s="13">
        <v>61087</v>
      </c>
      <c r="B624" s="8">
        <f>10.0328 * CHOOSE(CONTROL!$C$12, $D$4, 100%, $F$4)</f>
        <v>10.0328</v>
      </c>
      <c r="C624" s="8">
        <f>10.0431 * CHOOSE(CONTROL!$C$12, $D$4, 100%, $F$4)</f>
        <v>10.043100000000001</v>
      </c>
      <c r="D624" s="8">
        <f>10.0253 * CHOOSE( CONTROL!$C$12, $D$4, 100%, $F$4)</f>
        <v>10.0253</v>
      </c>
      <c r="E624" s="12">
        <f>10.0307 * CHOOSE( CONTROL!$C$12, $D$4, 100%, $F$4)</f>
        <v>10.0307</v>
      </c>
      <c r="F624" s="4">
        <f>11.031 * CHOOSE(CONTROL!$C$12, $D$4, 100%, $F$4)</f>
        <v>11.031000000000001</v>
      </c>
      <c r="G624" s="8">
        <f>9.9006 * CHOOSE( CONTROL!$C$12, $D$4, 100%, $F$4)</f>
        <v>9.9006000000000007</v>
      </c>
      <c r="H624" s="4">
        <f>10.7913 * CHOOSE(CONTROL!$C$12, $D$4, 100%, $F$4)</f>
        <v>10.7913</v>
      </c>
      <c r="I624" s="8">
        <f>9.7839 * CHOOSE(CONTROL!$C$12, $D$4, 100%, $F$4)</f>
        <v>9.7838999999999992</v>
      </c>
      <c r="J624" s="4">
        <f>9.7209 * CHOOSE(CONTROL!$C$12, $D$4, 100%, $F$4)</f>
        <v>9.7209000000000003</v>
      </c>
      <c r="K624" s="4"/>
      <c r="L624" s="9">
        <v>27.3993</v>
      </c>
      <c r="M624" s="9">
        <v>12.063700000000001</v>
      </c>
      <c r="N624" s="9">
        <v>4.9444999999999997</v>
      </c>
      <c r="O624" s="9">
        <v>0.37459999999999999</v>
      </c>
      <c r="P624" s="9">
        <v>1.2939000000000001</v>
      </c>
      <c r="Q624" s="9">
        <v>19.688099999999999</v>
      </c>
      <c r="R624" s="9"/>
      <c r="S624" s="11"/>
    </row>
    <row r="625" spans="1:19" ht="15.6">
      <c r="A625" s="13">
        <v>61117</v>
      </c>
      <c r="B625" s="8">
        <f>10.1853 * CHOOSE(CONTROL!$C$12, $D$4, 100%, $F$4)</f>
        <v>10.1853</v>
      </c>
      <c r="C625" s="8">
        <f>10.1956 * CHOOSE(CONTROL!$C$12, $D$4, 100%, $F$4)</f>
        <v>10.195600000000001</v>
      </c>
      <c r="D625" s="8">
        <f>10.2006 * CHOOSE( CONTROL!$C$12, $D$4, 100%, $F$4)</f>
        <v>10.2006</v>
      </c>
      <c r="E625" s="12">
        <f>10.1978 * CHOOSE( CONTROL!$C$12, $D$4, 100%, $F$4)</f>
        <v>10.197800000000001</v>
      </c>
      <c r="F625" s="4">
        <f>11.1917 * CHOOSE(CONTROL!$C$12, $D$4, 100%, $F$4)</f>
        <v>11.191700000000001</v>
      </c>
      <c r="G625" s="8">
        <f>10.0387 * CHOOSE( CONTROL!$C$12, $D$4, 100%, $F$4)</f>
        <v>10.0387</v>
      </c>
      <c r="H625" s="4">
        <f>10.9497 * CHOOSE(CONTROL!$C$12, $D$4, 100%, $F$4)</f>
        <v>10.9497</v>
      </c>
      <c r="I625" s="8">
        <f>9.9218 * CHOOSE(CONTROL!$C$12, $D$4, 100%, $F$4)</f>
        <v>9.9217999999999993</v>
      </c>
      <c r="J625" s="4">
        <f>9.8686 * CHOOSE(CONTROL!$C$12, $D$4, 100%, $F$4)</f>
        <v>9.8686000000000007</v>
      </c>
      <c r="K625" s="4"/>
      <c r="L625" s="9">
        <v>27.988800000000001</v>
      </c>
      <c r="M625" s="9">
        <v>11.6745</v>
      </c>
      <c r="N625" s="9">
        <v>4.7850000000000001</v>
      </c>
      <c r="O625" s="9">
        <v>0.36249999999999999</v>
      </c>
      <c r="P625" s="9">
        <v>1.1798</v>
      </c>
      <c r="Q625" s="9">
        <v>19.053000000000001</v>
      </c>
      <c r="R625" s="9"/>
      <c r="S625" s="11"/>
    </row>
    <row r="626" spans="1:19" ht="15.6">
      <c r="A626" s="13">
        <v>61148</v>
      </c>
      <c r="B626" s="8">
        <f>CHOOSE( CONTROL!$C$29, 10.4635, 10.4567) * CHOOSE(CONTROL!$C$12, $D$4, 100%, $F$4)</f>
        <v>10.4567</v>
      </c>
      <c r="C626" s="8">
        <f>CHOOSE( CONTROL!$C$29, 10.4738, 10.467) * CHOOSE(CONTROL!$C$12, $D$4, 100%, $F$4)</f>
        <v>10.467000000000001</v>
      </c>
      <c r="D626" s="8">
        <f>CHOOSE( CONTROL!$C$29, 10.4541, 10.4472) * CHOOSE( CONTROL!$C$12, $D$4, 100%, $F$4)</f>
        <v>10.4472</v>
      </c>
      <c r="E626" s="12">
        <f>CHOOSE( CONTROL!$C$29, 10.4597, 10.4528) * CHOOSE( CONTROL!$C$12, $D$4, 100%, $F$4)</f>
        <v>10.4528</v>
      </c>
      <c r="F626" s="4">
        <f>CHOOSE( CONTROL!$C$29, 11.438, 11.4311) * CHOOSE(CONTROL!$C$12, $D$4, 100%, $F$4)</f>
        <v>11.431100000000001</v>
      </c>
      <c r="G626" s="8">
        <f>CHOOSE( CONTROL!$C$29, 10.2948, 10.288) * CHOOSE( CONTROL!$C$12, $D$4, 100%, $F$4)</f>
        <v>10.288</v>
      </c>
      <c r="H626" s="4">
        <f>CHOOSE( CONTROL!$C$29, 11.1924, 11.1857) * CHOOSE(CONTROL!$C$12, $D$4, 100%, $F$4)</f>
        <v>11.185700000000001</v>
      </c>
      <c r="I626" s="8">
        <f>CHOOSE( CONTROL!$C$29, 10.17, 10.1633) * CHOOSE(CONTROL!$C$12, $D$4, 100%, $F$4)</f>
        <v>10.1633</v>
      </c>
      <c r="J626" s="4">
        <f>CHOOSE( CONTROL!$C$29, 10.1382, 10.1316) * CHOOSE(CONTROL!$C$12, $D$4, 100%, $F$4)</f>
        <v>10.131600000000001</v>
      </c>
      <c r="K626" s="4"/>
      <c r="L626" s="9">
        <v>29.520499999999998</v>
      </c>
      <c r="M626" s="9">
        <v>12.063700000000001</v>
      </c>
      <c r="N626" s="9">
        <v>4.9444999999999997</v>
      </c>
      <c r="O626" s="9">
        <v>0.37459999999999999</v>
      </c>
      <c r="P626" s="9">
        <v>1.2192000000000001</v>
      </c>
      <c r="Q626" s="9">
        <v>19.688099999999999</v>
      </c>
      <c r="R626" s="9"/>
      <c r="S626" s="11"/>
    </row>
    <row r="627" spans="1:19" ht="15.6">
      <c r="A627" s="13">
        <v>61178</v>
      </c>
      <c r="B627" s="8">
        <f>CHOOSE( CONTROL!$C$29, 10.2954, 10.2886) * CHOOSE(CONTROL!$C$12, $D$4, 100%, $F$4)</f>
        <v>10.288600000000001</v>
      </c>
      <c r="C627" s="8">
        <f>CHOOSE( CONTROL!$C$29, 10.3057, 10.2989) * CHOOSE(CONTROL!$C$12, $D$4, 100%, $F$4)</f>
        <v>10.2989</v>
      </c>
      <c r="D627" s="8">
        <f>CHOOSE( CONTROL!$C$29, 10.2804, 10.2736) * CHOOSE( CONTROL!$C$12, $D$4, 100%, $F$4)</f>
        <v>10.2736</v>
      </c>
      <c r="E627" s="12">
        <f>CHOOSE( CONTROL!$C$29, 10.288, 10.2812) * CHOOSE( CONTROL!$C$12, $D$4, 100%, $F$4)</f>
        <v>10.2812</v>
      </c>
      <c r="F627" s="4">
        <f>CHOOSE( CONTROL!$C$29, 11.2595, 11.2527) * CHOOSE(CONTROL!$C$12, $D$4, 100%, $F$4)</f>
        <v>11.252700000000001</v>
      </c>
      <c r="G627" s="8">
        <f>CHOOSE( CONTROL!$C$29, 10.1278, 10.121) * CHOOSE( CONTROL!$C$12, $D$4, 100%, $F$4)</f>
        <v>10.121</v>
      </c>
      <c r="H627" s="4">
        <f>CHOOSE( CONTROL!$C$29, 11.0165, 11.0098) * CHOOSE(CONTROL!$C$12, $D$4, 100%, $F$4)</f>
        <v>11.0098</v>
      </c>
      <c r="I627" s="8">
        <f>CHOOSE( CONTROL!$C$29, 10.0091, 10.0025) * CHOOSE(CONTROL!$C$12, $D$4, 100%, $F$4)</f>
        <v>10.0025</v>
      </c>
      <c r="J627" s="4">
        <f>CHOOSE( CONTROL!$C$29, 9.9753, 9.9687) * CHOOSE(CONTROL!$C$12, $D$4, 100%, $F$4)</f>
        <v>9.9687000000000001</v>
      </c>
      <c r="K627" s="4"/>
      <c r="L627" s="9">
        <v>28.568200000000001</v>
      </c>
      <c r="M627" s="9">
        <v>11.6745</v>
      </c>
      <c r="N627" s="9">
        <v>4.7850000000000001</v>
      </c>
      <c r="O627" s="9">
        <v>0.36249999999999999</v>
      </c>
      <c r="P627" s="9">
        <v>1.1798</v>
      </c>
      <c r="Q627" s="9">
        <v>19.053000000000001</v>
      </c>
      <c r="R627" s="9"/>
      <c r="S627" s="11"/>
    </row>
    <row r="628" spans="1:19" ht="15.6">
      <c r="A628" s="13">
        <v>61209</v>
      </c>
      <c r="B628" s="8">
        <f>CHOOSE( CONTROL!$C$29, 10.7381, 10.7312) * CHOOSE(CONTROL!$C$12, $D$4, 100%, $F$4)</f>
        <v>10.731199999999999</v>
      </c>
      <c r="C628" s="8">
        <f>CHOOSE( CONTROL!$C$29, 10.7484, 10.7416) * CHOOSE(CONTROL!$C$12, $D$4, 100%, $F$4)</f>
        <v>10.7416</v>
      </c>
      <c r="D628" s="8">
        <f>CHOOSE( CONTROL!$C$29, 10.7565, 10.7497) * CHOOSE( CONTROL!$C$12, $D$4, 100%, $F$4)</f>
        <v>10.749700000000001</v>
      </c>
      <c r="E628" s="12">
        <f>CHOOSE( CONTROL!$C$29, 10.752, 10.7452) * CHOOSE( CONTROL!$C$12, $D$4, 100%, $F$4)</f>
        <v>10.745200000000001</v>
      </c>
      <c r="F628" s="4">
        <f>CHOOSE( CONTROL!$C$29, 11.7471, 11.7403) * CHOOSE(CONTROL!$C$12, $D$4, 100%, $F$4)</f>
        <v>11.7403</v>
      </c>
      <c r="G628" s="8">
        <f>CHOOSE( CONTROL!$C$29, 10.5902, 10.5835) * CHOOSE( CONTROL!$C$12, $D$4, 100%, $F$4)</f>
        <v>10.583500000000001</v>
      </c>
      <c r="H628" s="4">
        <f>CHOOSE( CONTROL!$C$29, 11.4972, 11.4904) * CHOOSE(CONTROL!$C$12, $D$4, 100%, $F$4)</f>
        <v>11.490399999999999</v>
      </c>
      <c r="I628" s="8">
        <f>CHOOSE( CONTROL!$C$29, 10.4936, 10.487) * CHOOSE(CONTROL!$C$12, $D$4, 100%, $F$4)</f>
        <v>10.487</v>
      </c>
      <c r="J628" s="4">
        <f>CHOOSE( CONTROL!$C$29, 10.4042, 10.3976) * CHOOSE(CONTROL!$C$12, $D$4, 100%, $F$4)</f>
        <v>10.397600000000001</v>
      </c>
      <c r="K628" s="4"/>
      <c r="L628" s="9">
        <v>29.520499999999998</v>
      </c>
      <c r="M628" s="9">
        <v>12.063700000000001</v>
      </c>
      <c r="N628" s="9">
        <v>4.9444999999999997</v>
      </c>
      <c r="O628" s="9">
        <v>0.37459999999999999</v>
      </c>
      <c r="P628" s="9">
        <v>1.2192000000000001</v>
      </c>
      <c r="Q628" s="9">
        <v>19.688099999999999</v>
      </c>
      <c r="R628" s="9"/>
      <c r="S628" s="11"/>
    </row>
    <row r="629" spans="1:19" ht="15.6">
      <c r="A629" s="13">
        <v>61240</v>
      </c>
      <c r="B629" s="8">
        <f>CHOOSE( CONTROL!$C$29, 9.9098, 9.9029) * CHOOSE(CONTROL!$C$12, $D$4, 100%, $F$4)</f>
        <v>9.9029000000000007</v>
      </c>
      <c r="C629" s="8">
        <f>CHOOSE( CONTROL!$C$29, 9.9201, 9.9133) * CHOOSE(CONTROL!$C$12, $D$4, 100%, $F$4)</f>
        <v>9.9132999999999996</v>
      </c>
      <c r="D629" s="8">
        <f>CHOOSE( CONTROL!$C$29, 9.9216, 9.9147) * CHOOSE( CONTROL!$C$12, $D$4, 100%, $F$4)</f>
        <v>9.9146999999999998</v>
      </c>
      <c r="E629" s="12">
        <f>CHOOSE( CONTROL!$C$29, 9.9195, 9.9126) * CHOOSE( CONTROL!$C$12, $D$4, 100%, $F$4)</f>
        <v>9.9125999999999994</v>
      </c>
      <c r="F629" s="4">
        <f>CHOOSE( CONTROL!$C$29, 10.9162, 10.9094) * CHOOSE(CONTROL!$C$12, $D$4, 100%, $F$4)</f>
        <v>10.9094</v>
      </c>
      <c r="G629" s="8">
        <f>CHOOSE( CONTROL!$C$29, 9.7638, 9.757) * CHOOSE( CONTROL!$C$12, $D$4, 100%, $F$4)</f>
        <v>9.7569999999999997</v>
      </c>
      <c r="H629" s="4">
        <f>CHOOSE( CONTROL!$C$29, 10.6781, 10.6714) * CHOOSE(CONTROL!$C$12, $D$4, 100%, $F$4)</f>
        <v>10.6714</v>
      </c>
      <c r="I629" s="8">
        <f>CHOOSE( CONTROL!$C$29, 9.6717, 9.6651) * CHOOSE(CONTROL!$C$12, $D$4, 100%, $F$4)</f>
        <v>9.6651000000000007</v>
      </c>
      <c r="J629" s="4">
        <f>CHOOSE( CONTROL!$C$29, 9.6016, 9.595) * CHOOSE(CONTROL!$C$12, $D$4, 100%, $F$4)</f>
        <v>9.5950000000000006</v>
      </c>
      <c r="K629" s="4"/>
      <c r="L629" s="9">
        <v>29.520499999999998</v>
      </c>
      <c r="M629" s="9">
        <v>12.063700000000001</v>
      </c>
      <c r="N629" s="9">
        <v>4.9444999999999997</v>
      </c>
      <c r="O629" s="9">
        <v>0.37459999999999999</v>
      </c>
      <c r="P629" s="9">
        <v>1.2192000000000001</v>
      </c>
      <c r="Q629" s="9">
        <v>19.688099999999999</v>
      </c>
      <c r="R629" s="9"/>
      <c r="S629" s="11"/>
    </row>
    <row r="630" spans="1:19" ht="15.6">
      <c r="A630" s="13">
        <v>61270</v>
      </c>
      <c r="B630" s="8">
        <f>CHOOSE( CONTROL!$C$29, 9.7024, 9.6955) * CHOOSE(CONTROL!$C$12, $D$4, 100%, $F$4)</f>
        <v>9.6954999999999991</v>
      </c>
      <c r="C630" s="8">
        <f>CHOOSE( CONTROL!$C$29, 9.7127, 9.7058) * CHOOSE(CONTROL!$C$12, $D$4, 100%, $F$4)</f>
        <v>9.7058</v>
      </c>
      <c r="D630" s="8">
        <f>CHOOSE( CONTROL!$C$29, 9.7174, 9.7105) * CHOOSE( CONTROL!$C$12, $D$4, 100%, $F$4)</f>
        <v>9.7104999999999997</v>
      </c>
      <c r="E630" s="12">
        <f>CHOOSE( CONTROL!$C$29, 9.7141, 9.7072) * CHOOSE( CONTROL!$C$12, $D$4, 100%, $F$4)</f>
        <v>9.7072000000000003</v>
      </c>
      <c r="F630" s="4">
        <f>CHOOSE( CONTROL!$C$29, 10.714, 10.7071) * CHOOSE(CONTROL!$C$12, $D$4, 100%, $F$4)</f>
        <v>10.707100000000001</v>
      </c>
      <c r="G630" s="8">
        <f>CHOOSE( CONTROL!$C$29, 9.5614, 9.5546) * CHOOSE( CONTROL!$C$12, $D$4, 100%, $F$4)</f>
        <v>9.5546000000000006</v>
      </c>
      <c r="H630" s="4">
        <f>CHOOSE( CONTROL!$C$29, 10.4787, 10.472) * CHOOSE(CONTROL!$C$12, $D$4, 100%, $F$4)</f>
        <v>10.472</v>
      </c>
      <c r="I630" s="8">
        <f>CHOOSE( CONTROL!$C$29, 9.4784, 9.4718) * CHOOSE(CONTROL!$C$12, $D$4, 100%, $F$4)</f>
        <v>9.4718</v>
      </c>
      <c r="J630" s="4">
        <f>CHOOSE( CONTROL!$C$29, 9.4006, 9.394) * CHOOSE(CONTROL!$C$12, $D$4, 100%, $F$4)</f>
        <v>9.3940000000000001</v>
      </c>
      <c r="K630" s="4"/>
      <c r="L630" s="9">
        <v>28.568200000000001</v>
      </c>
      <c r="M630" s="9">
        <v>11.6745</v>
      </c>
      <c r="N630" s="9">
        <v>4.7850000000000001</v>
      </c>
      <c r="O630" s="9">
        <v>0.36249999999999999</v>
      </c>
      <c r="P630" s="9">
        <v>1.1798</v>
      </c>
      <c r="Q630" s="9">
        <v>19.053000000000001</v>
      </c>
      <c r="R630" s="9"/>
      <c r="S630" s="11"/>
    </row>
    <row r="631" spans="1:19" ht="15.6">
      <c r="A631" s="13">
        <v>61301</v>
      </c>
      <c r="B631" s="8">
        <f>10.1262 * CHOOSE(CONTROL!$C$12, $D$4, 100%, $F$4)</f>
        <v>10.126200000000001</v>
      </c>
      <c r="C631" s="8">
        <f>10.1365 * CHOOSE(CONTROL!$C$12, $D$4, 100%, $F$4)</f>
        <v>10.1365</v>
      </c>
      <c r="D631" s="8">
        <f>10.1316 * CHOOSE( CONTROL!$C$12, $D$4, 100%, $F$4)</f>
        <v>10.131600000000001</v>
      </c>
      <c r="E631" s="12">
        <f>10.1321 * CHOOSE( CONTROL!$C$12, $D$4, 100%, $F$4)</f>
        <v>10.132099999999999</v>
      </c>
      <c r="F631" s="4">
        <f>11.1172 * CHOOSE(CONTROL!$C$12, $D$4, 100%, $F$4)</f>
        <v>11.1172</v>
      </c>
      <c r="G631" s="8">
        <f>9.976 * CHOOSE( CONTROL!$C$12, $D$4, 100%, $F$4)</f>
        <v>9.9760000000000009</v>
      </c>
      <c r="H631" s="4">
        <f>10.8762 * CHOOSE(CONTROL!$C$12, $D$4, 100%, $F$4)</f>
        <v>10.876200000000001</v>
      </c>
      <c r="I631" s="8">
        <f>9.8932 * CHOOSE(CONTROL!$C$12, $D$4, 100%, $F$4)</f>
        <v>9.8932000000000002</v>
      </c>
      <c r="J631" s="4">
        <f>9.8113 * CHOOSE(CONTROL!$C$12, $D$4, 100%, $F$4)</f>
        <v>9.8112999999999992</v>
      </c>
      <c r="K631" s="4"/>
      <c r="L631" s="9">
        <v>28.921800000000001</v>
      </c>
      <c r="M631" s="9">
        <v>12.063700000000001</v>
      </c>
      <c r="N631" s="9">
        <v>4.9444999999999997</v>
      </c>
      <c r="O631" s="9">
        <v>0.37459999999999999</v>
      </c>
      <c r="P631" s="9">
        <v>1.2192000000000001</v>
      </c>
      <c r="Q631" s="9">
        <v>19.688099999999999</v>
      </c>
      <c r="R631" s="9"/>
      <c r="S631" s="11"/>
    </row>
    <row r="632" spans="1:19" ht="15.6">
      <c r="A632" s="13">
        <v>61331</v>
      </c>
      <c r="B632" s="8">
        <f>10.9211 * CHOOSE(CONTROL!$C$12, $D$4, 100%, $F$4)</f>
        <v>10.921099999999999</v>
      </c>
      <c r="C632" s="8">
        <f>10.9314 * CHOOSE(CONTROL!$C$12, $D$4, 100%, $F$4)</f>
        <v>10.9314</v>
      </c>
      <c r="D632" s="8">
        <f>10.8908 * CHOOSE( CONTROL!$C$12, $D$4, 100%, $F$4)</f>
        <v>10.8908</v>
      </c>
      <c r="E632" s="12">
        <f>10.9045 * CHOOSE( CONTROL!$C$12, $D$4, 100%, $F$4)</f>
        <v>10.904500000000001</v>
      </c>
      <c r="F632" s="4">
        <f>11.8981 * CHOOSE(CONTROL!$C$12, $D$4, 100%, $F$4)</f>
        <v>11.898099999999999</v>
      </c>
      <c r="G632" s="8">
        <f>10.7535 * CHOOSE( CONTROL!$C$12, $D$4, 100%, $F$4)</f>
        <v>10.753500000000001</v>
      </c>
      <c r="H632" s="4">
        <f>11.6461 * CHOOSE(CONTROL!$C$12, $D$4, 100%, $F$4)</f>
        <v>11.646100000000001</v>
      </c>
      <c r="I632" s="8">
        <f>10.6481 * CHOOSE(CONTROL!$C$12, $D$4, 100%, $F$4)</f>
        <v>10.648099999999999</v>
      </c>
      <c r="J632" s="4">
        <f>10.5816 * CHOOSE(CONTROL!$C$12, $D$4, 100%, $F$4)</f>
        <v>10.5816</v>
      </c>
      <c r="K632" s="4"/>
      <c r="L632" s="9">
        <v>26.515499999999999</v>
      </c>
      <c r="M632" s="9">
        <v>11.6745</v>
      </c>
      <c r="N632" s="9">
        <v>4.7850000000000001</v>
      </c>
      <c r="O632" s="9">
        <v>0.36249999999999999</v>
      </c>
      <c r="P632" s="9">
        <v>1.2522</v>
      </c>
      <c r="Q632" s="9">
        <v>19.053000000000001</v>
      </c>
      <c r="R632" s="9"/>
      <c r="S632" s="11"/>
    </row>
    <row r="633" spans="1:19" ht="15.6">
      <c r="A633" s="13">
        <v>61362</v>
      </c>
      <c r="B633" s="8">
        <f>10.9013 * CHOOSE(CONTROL!$C$12, $D$4, 100%, $F$4)</f>
        <v>10.901300000000001</v>
      </c>
      <c r="C633" s="8">
        <f>10.9116 * CHOOSE(CONTROL!$C$12, $D$4, 100%, $F$4)</f>
        <v>10.9116</v>
      </c>
      <c r="D633" s="8">
        <f>10.8728 * CHOOSE( CONTROL!$C$12, $D$4, 100%, $F$4)</f>
        <v>10.8728</v>
      </c>
      <c r="E633" s="12">
        <f>10.8859 * CHOOSE( CONTROL!$C$12, $D$4, 100%, $F$4)</f>
        <v>10.885899999999999</v>
      </c>
      <c r="F633" s="4">
        <f>11.8716 * CHOOSE(CONTROL!$C$12, $D$4, 100%, $F$4)</f>
        <v>11.871600000000001</v>
      </c>
      <c r="G633" s="8">
        <f>10.7363 * CHOOSE( CONTROL!$C$12, $D$4, 100%, $F$4)</f>
        <v>10.7363</v>
      </c>
      <c r="H633" s="4">
        <f>11.6199 * CHOOSE(CONTROL!$C$12, $D$4, 100%, $F$4)</f>
        <v>11.619899999999999</v>
      </c>
      <c r="I633" s="8">
        <f>10.6396 * CHOOSE(CONTROL!$C$12, $D$4, 100%, $F$4)</f>
        <v>10.6396</v>
      </c>
      <c r="J633" s="4">
        <f>10.5624 * CHOOSE(CONTROL!$C$12, $D$4, 100%, $F$4)</f>
        <v>10.5624</v>
      </c>
      <c r="K633" s="4"/>
      <c r="L633" s="9">
        <v>27.3993</v>
      </c>
      <c r="M633" s="9">
        <v>12.063700000000001</v>
      </c>
      <c r="N633" s="9">
        <v>4.9444999999999997</v>
      </c>
      <c r="O633" s="9">
        <v>0.37459999999999999</v>
      </c>
      <c r="P633" s="9">
        <v>1.2939000000000001</v>
      </c>
      <c r="Q633" s="9">
        <v>19.688099999999999</v>
      </c>
      <c r="R633" s="9"/>
      <c r="S633" s="11"/>
    </row>
    <row r="634" spans="1:19" ht="15.6">
      <c r="A634" s="13">
        <v>61393</v>
      </c>
      <c r="B634" s="8">
        <f>11.1556 * CHOOSE(CONTROL!$C$12, $D$4, 100%, $F$4)</f>
        <v>11.1556</v>
      </c>
      <c r="C634" s="8">
        <f>11.1659 * CHOOSE(CONTROL!$C$12, $D$4, 100%, $F$4)</f>
        <v>11.165900000000001</v>
      </c>
      <c r="D634" s="8">
        <f>11.1658 * CHOOSE( CONTROL!$C$12, $D$4, 100%, $F$4)</f>
        <v>11.165800000000001</v>
      </c>
      <c r="E634" s="12">
        <f>11.1647 * CHOOSE( CONTROL!$C$12, $D$4, 100%, $F$4)</f>
        <v>11.1647</v>
      </c>
      <c r="F634" s="4">
        <f>12.1775 * CHOOSE(CONTROL!$C$12, $D$4, 100%, $F$4)</f>
        <v>12.1775</v>
      </c>
      <c r="G634" s="8">
        <f>11.028 * CHOOSE( CONTROL!$C$12, $D$4, 100%, $F$4)</f>
        <v>11.028</v>
      </c>
      <c r="H634" s="4">
        <f>11.9215 * CHOOSE(CONTROL!$C$12, $D$4, 100%, $F$4)</f>
        <v>11.9215</v>
      </c>
      <c r="I634" s="8">
        <f>10.9228 * CHOOSE(CONTROL!$C$12, $D$4, 100%, $F$4)</f>
        <v>10.922800000000001</v>
      </c>
      <c r="J634" s="4">
        <f>10.8089 * CHOOSE(CONTROL!$C$12, $D$4, 100%, $F$4)</f>
        <v>10.8089</v>
      </c>
      <c r="K634" s="4"/>
      <c r="L634" s="9">
        <v>27.3993</v>
      </c>
      <c r="M634" s="9">
        <v>12.063700000000001</v>
      </c>
      <c r="N634" s="9">
        <v>4.9444999999999997</v>
      </c>
      <c r="O634" s="9">
        <v>0.37459999999999999</v>
      </c>
      <c r="P634" s="9">
        <v>1.2939000000000001</v>
      </c>
      <c r="Q634" s="9">
        <v>19.688099999999999</v>
      </c>
      <c r="R634" s="9"/>
      <c r="S634" s="11"/>
    </row>
    <row r="635" spans="1:19" ht="15.6">
      <c r="A635" s="13">
        <v>61422</v>
      </c>
      <c r="B635" s="8">
        <f>10.4345 * CHOOSE(CONTROL!$C$12, $D$4, 100%, $F$4)</f>
        <v>10.4345</v>
      </c>
      <c r="C635" s="8">
        <f>10.4448 * CHOOSE(CONTROL!$C$12, $D$4, 100%, $F$4)</f>
        <v>10.444800000000001</v>
      </c>
      <c r="D635" s="8">
        <f>10.4469 * CHOOSE( CONTROL!$C$12, $D$4, 100%, $F$4)</f>
        <v>10.446899999999999</v>
      </c>
      <c r="E635" s="12">
        <f>10.445 * CHOOSE( CONTROL!$C$12, $D$4, 100%, $F$4)</f>
        <v>10.445</v>
      </c>
      <c r="F635" s="4">
        <f>11.4487 * CHOOSE(CONTROL!$C$12, $D$4, 100%, $F$4)</f>
        <v>11.448700000000001</v>
      </c>
      <c r="G635" s="8">
        <f>10.317 * CHOOSE( CONTROL!$C$12, $D$4, 100%, $F$4)</f>
        <v>10.317</v>
      </c>
      <c r="H635" s="4">
        <f>11.203 * CHOOSE(CONTROL!$C$12, $D$4, 100%, $F$4)</f>
        <v>11.202999999999999</v>
      </c>
      <c r="I635" s="8">
        <f>10.2128 * CHOOSE(CONTROL!$C$12, $D$4, 100%, $F$4)</f>
        <v>10.2128</v>
      </c>
      <c r="J635" s="4">
        <f>10.1101 * CHOOSE(CONTROL!$C$12, $D$4, 100%, $F$4)</f>
        <v>10.110099999999999</v>
      </c>
      <c r="K635" s="4"/>
      <c r="L635" s="9">
        <v>25.631599999999999</v>
      </c>
      <c r="M635" s="9">
        <v>11.285299999999999</v>
      </c>
      <c r="N635" s="9">
        <v>4.6254999999999997</v>
      </c>
      <c r="O635" s="9">
        <v>0.35039999999999999</v>
      </c>
      <c r="P635" s="9">
        <v>1.2104999999999999</v>
      </c>
      <c r="Q635" s="9">
        <v>18.417899999999999</v>
      </c>
      <c r="R635" s="9"/>
      <c r="S635" s="11"/>
    </row>
    <row r="636" spans="1:19" ht="15.6">
      <c r="A636" s="13">
        <v>61453</v>
      </c>
      <c r="B636" s="8">
        <f>10.2124 * CHOOSE(CONTROL!$C$12, $D$4, 100%, $F$4)</f>
        <v>10.212400000000001</v>
      </c>
      <c r="C636" s="8">
        <f>10.2227 * CHOOSE(CONTROL!$C$12, $D$4, 100%, $F$4)</f>
        <v>10.2227</v>
      </c>
      <c r="D636" s="8">
        <f>10.2049 * CHOOSE( CONTROL!$C$12, $D$4, 100%, $F$4)</f>
        <v>10.2049</v>
      </c>
      <c r="E636" s="12">
        <f>10.2103 * CHOOSE( CONTROL!$C$12, $D$4, 100%, $F$4)</f>
        <v>10.2103</v>
      </c>
      <c r="F636" s="4">
        <f>11.2106 * CHOOSE(CONTROL!$C$12, $D$4, 100%, $F$4)</f>
        <v>11.210599999999999</v>
      </c>
      <c r="G636" s="8">
        <f>10.0776 * CHOOSE( CONTROL!$C$12, $D$4, 100%, $F$4)</f>
        <v>10.0776</v>
      </c>
      <c r="H636" s="4">
        <f>10.9683 * CHOOSE(CONTROL!$C$12, $D$4, 100%, $F$4)</f>
        <v>10.968299999999999</v>
      </c>
      <c r="I636" s="8">
        <f>9.958 * CHOOSE(CONTROL!$C$12, $D$4, 100%, $F$4)</f>
        <v>9.9580000000000002</v>
      </c>
      <c r="J636" s="4">
        <f>9.8949 * CHOOSE(CONTROL!$C$12, $D$4, 100%, $F$4)</f>
        <v>9.8948999999999998</v>
      </c>
      <c r="K636" s="4"/>
      <c r="L636" s="9">
        <v>27.3993</v>
      </c>
      <c r="M636" s="9">
        <v>12.063700000000001</v>
      </c>
      <c r="N636" s="9">
        <v>4.9444999999999997</v>
      </c>
      <c r="O636" s="9">
        <v>0.37459999999999999</v>
      </c>
      <c r="P636" s="9">
        <v>1.2939000000000001</v>
      </c>
      <c r="Q636" s="9">
        <v>19.688099999999999</v>
      </c>
      <c r="R636" s="9"/>
      <c r="S636" s="11"/>
    </row>
    <row r="637" spans="1:19" ht="15.6">
      <c r="A637" s="13">
        <v>61483</v>
      </c>
      <c r="B637" s="8">
        <f>10.3676 * CHOOSE(CONTROL!$C$12, $D$4, 100%, $F$4)</f>
        <v>10.367599999999999</v>
      </c>
      <c r="C637" s="8">
        <f>10.3779 * CHOOSE(CONTROL!$C$12, $D$4, 100%, $F$4)</f>
        <v>10.3779</v>
      </c>
      <c r="D637" s="8">
        <f>10.3829 * CHOOSE( CONTROL!$C$12, $D$4, 100%, $F$4)</f>
        <v>10.382899999999999</v>
      </c>
      <c r="E637" s="12">
        <f>10.3801 * CHOOSE( CONTROL!$C$12, $D$4, 100%, $F$4)</f>
        <v>10.380100000000001</v>
      </c>
      <c r="F637" s="4">
        <f>11.374 * CHOOSE(CONTROL!$C$12, $D$4, 100%, $F$4)</f>
        <v>11.374000000000001</v>
      </c>
      <c r="G637" s="8">
        <f>10.2184 * CHOOSE( CONTROL!$C$12, $D$4, 100%, $F$4)</f>
        <v>10.218400000000001</v>
      </c>
      <c r="H637" s="4">
        <f>11.1294 * CHOOSE(CONTROL!$C$12, $D$4, 100%, $F$4)</f>
        <v>11.1294</v>
      </c>
      <c r="I637" s="8">
        <f>10.0985 * CHOOSE(CONTROL!$C$12, $D$4, 100%, $F$4)</f>
        <v>10.0985</v>
      </c>
      <c r="J637" s="4">
        <f>10.0453 * CHOOSE(CONTROL!$C$12, $D$4, 100%, $F$4)</f>
        <v>10.045299999999999</v>
      </c>
      <c r="K637" s="4"/>
      <c r="L637" s="9">
        <v>27.988800000000001</v>
      </c>
      <c r="M637" s="9">
        <v>11.6745</v>
      </c>
      <c r="N637" s="9">
        <v>4.7850000000000001</v>
      </c>
      <c r="O637" s="9">
        <v>0.36249999999999999</v>
      </c>
      <c r="P637" s="9">
        <v>1.1798</v>
      </c>
      <c r="Q637" s="9">
        <v>19.053000000000001</v>
      </c>
      <c r="R637" s="9"/>
      <c r="S637" s="11"/>
    </row>
    <row r="638" spans="1:19" ht="15.6">
      <c r="A638" s="13">
        <v>61514</v>
      </c>
      <c r="B638" s="8">
        <f>CHOOSE( CONTROL!$C$29, 10.6507, 10.6438) * CHOOSE(CONTROL!$C$12, $D$4, 100%, $F$4)</f>
        <v>10.643800000000001</v>
      </c>
      <c r="C638" s="8">
        <f>CHOOSE( CONTROL!$C$29, 10.661, 10.6541) * CHOOSE(CONTROL!$C$12, $D$4, 100%, $F$4)</f>
        <v>10.6541</v>
      </c>
      <c r="D638" s="8">
        <f>CHOOSE( CONTROL!$C$29, 10.6412, 10.6344) * CHOOSE( CONTROL!$C$12, $D$4, 100%, $F$4)</f>
        <v>10.634399999999999</v>
      </c>
      <c r="E638" s="12">
        <f>CHOOSE( CONTROL!$C$29, 10.6468, 10.64) * CHOOSE( CONTROL!$C$12, $D$4, 100%, $F$4)</f>
        <v>10.64</v>
      </c>
      <c r="F638" s="4">
        <f>CHOOSE( CONTROL!$C$29, 11.6251, 11.6183) * CHOOSE(CONTROL!$C$12, $D$4, 100%, $F$4)</f>
        <v>11.6183</v>
      </c>
      <c r="G638" s="8">
        <f>CHOOSE( CONTROL!$C$29, 10.4793, 10.4725) * CHOOSE( CONTROL!$C$12, $D$4, 100%, $F$4)</f>
        <v>10.4725</v>
      </c>
      <c r="H638" s="4">
        <f>CHOOSE( CONTROL!$C$29, 11.3769, 11.3702) * CHOOSE(CONTROL!$C$12, $D$4, 100%, $F$4)</f>
        <v>11.370200000000001</v>
      </c>
      <c r="I638" s="8">
        <f>CHOOSE( CONTROL!$C$29, 10.3514, 10.3448) * CHOOSE(CONTROL!$C$12, $D$4, 100%, $F$4)</f>
        <v>10.344799999999999</v>
      </c>
      <c r="J638" s="4">
        <f>CHOOSE( CONTROL!$C$29, 10.3195, 10.3129) * CHOOSE(CONTROL!$C$12, $D$4, 100%, $F$4)</f>
        <v>10.312900000000001</v>
      </c>
      <c r="K638" s="4"/>
      <c r="L638" s="9">
        <v>29.520499999999998</v>
      </c>
      <c r="M638" s="9">
        <v>12.063700000000001</v>
      </c>
      <c r="N638" s="9">
        <v>4.9444999999999997</v>
      </c>
      <c r="O638" s="9">
        <v>0.37459999999999999</v>
      </c>
      <c r="P638" s="9">
        <v>1.2192000000000001</v>
      </c>
      <c r="Q638" s="9">
        <v>19.688099999999999</v>
      </c>
      <c r="R638" s="9"/>
      <c r="S638" s="11"/>
    </row>
    <row r="639" spans="1:19" ht="15.6">
      <c r="A639" s="13">
        <v>61544</v>
      </c>
      <c r="B639" s="8">
        <f>CHOOSE( CONTROL!$C$29, 10.4796, 10.4727) * CHOOSE(CONTROL!$C$12, $D$4, 100%, $F$4)</f>
        <v>10.4727</v>
      </c>
      <c r="C639" s="8">
        <f>CHOOSE( CONTROL!$C$29, 10.4899, 10.483) * CHOOSE(CONTROL!$C$12, $D$4, 100%, $F$4)</f>
        <v>10.483000000000001</v>
      </c>
      <c r="D639" s="8">
        <f>CHOOSE( CONTROL!$C$29, 10.4646, 10.4578) * CHOOSE( CONTROL!$C$12, $D$4, 100%, $F$4)</f>
        <v>10.457800000000001</v>
      </c>
      <c r="E639" s="12">
        <f>CHOOSE( CONTROL!$C$29, 10.4722, 10.4654) * CHOOSE( CONTROL!$C$12, $D$4, 100%, $F$4)</f>
        <v>10.465400000000001</v>
      </c>
      <c r="F639" s="4">
        <f>CHOOSE( CONTROL!$C$29, 11.4437, 11.4368) * CHOOSE(CONTROL!$C$12, $D$4, 100%, $F$4)</f>
        <v>11.4368</v>
      </c>
      <c r="G639" s="8">
        <f>CHOOSE( CONTROL!$C$29, 10.3093, 10.3026) * CHOOSE( CONTROL!$C$12, $D$4, 100%, $F$4)</f>
        <v>10.3026</v>
      </c>
      <c r="H639" s="4">
        <f>CHOOSE( CONTROL!$C$29, 11.1981, 11.1913) * CHOOSE(CONTROL!$C$12, $D$4, 100%, $F$4)</f>
        <v>11.1913</v>
      </c>
      <c r="I639" s="8">
        <f>CHOOSE( CONTROL!$C$29, 10.1877, 10.181) * CHOOSE(CONTROL!$C$12, $D$4, 100%, $F$4)</f>
        <v>10.180999999999999</v>
      </c>
      <c r="J639" s="4">
        <f>CHOOSE( CONTROL!$C$29, 10.1537, 10.1471) * CHOOSE(CONTROL!$C$12, $D$4, 100%, $F$4)</f>
        <v>10.1471</v>
      </c>
      <c r="K639" s="4"/>
      <c r="L639" s="9">
        <v>28.568200000000001</v>
      </c>
      <c r="M639" s="9">
        <v>11.6745</v>
      </c>
      <c r="N639" s="9">
        <v>4.7850000000000001</v>
      </c>
      <c r="O639" s="9">
        <v>0.36249999999999999</v>
      </c>
      <c r="P639" s="9">
        <v>1.1798</v>
      </c>
      <c r="Q639" s="9">
        <v>19.053000000000001</v>
      </c>
      <c r="R639" s="9"/>
      <c r="S639" s="11"/>
    </row>
    <row r="640" spans="1:19" ht="15.6">
      <c r="A640" s="13">
        <v>61575</v>
      </c>
      <c r="B640" s="8">
        <f>CHOOSE( CONTROL!$C$29, 10.9302, 10.9233) * CHOOSE(CONTROL!$C$12, $D$4, 100%, $F$4)</f>
        <v>10.923299999999999</v>
      </c>
      <c r="C640" s="8">
        <f>CHOOSE( CONTROL!$C$29, 10.9405, 10.9336) * CHOOSE(CONTROL!$C$12, $D$4, 100%, $F$4)</f>
        <v>10.9336</v>
      </c>
      <c r="D640" s="8">
        <f>CHOOSE( CONTROL!$C$29, 10.9486, 10.9418) * CHOOSE( CONTROL!$C$12, $D$4, 100%, $F$4)</f>
        <v>10.941800000000001</v>
      </c>
      <c r="E640" s="12">
        <f>CHOOSE( CONTROL!$C$29, 10.9441, 10.9373) * CHOOSE( CONTROL!$C$12, $D$4, 100%, $F$4)</f>
        <v>10.9373</v>
      </c>
      <c r="F640" s="4">
        <f>CHOOSE( CONTROL!$C$29, 11.9392, 11.9323) * CHOOSE(CONTROL!$C$12, $D$4, 100%, $F$4)</f>
        <v>11.9323</v>
      </c>
      <c r="G640" s="8">
        <f>CHOOSE( CONTROL!$C$29, 10.7795, 10.7728) * CHOOSE( CONTROL!$C$12, $D$4, 100%, $F$4)</f>
        <v>10.7728</v>
      </c>
      <c r="H640" s="4">
        <f>CHOOSE( CONTROL!$C$29, 11.6865, 11.6798) * CHOOSE(CONTROL!$C$12, $D$4, 100%, $F$4)</f>
        <v>11.6798</v>
      </c>
      <c r="I640" s="8">
        <f>CHOOSE( CONTROL!$C$29, 10.6798, 10.6732) * CHOOSE(CONTROL!$C$12, $D$4, 100%, $F$4)</f>
        <v>10.6732</v>
      </c>
      <c r="J640" s="4">
        <f>CHOOSE( CONTROL!$C$29, 10.5904, 10.5837) * CHOOSE(CONTROL!$C$12, $D$4, 100%, $F$4)</f>
        <v>10.5837</v>
      </c>
      <c r="K640" s="4"/>
      <c r="L640" s="9">
        <v>29.520499999999998</v>
      </c>
      <c r="M640" s="9">
        <v>12.063700000000001</v>
      </c>
      <c r="N640" s="9">
        <v>4.9444999999999997</v>
      </c>
      <c r="O640" s="9">
        <v>0.37459999999999999</v>
      </c>
      <c r="P640" s="9">
        <v>1.2192000000000001</v>
      </c>
      <c r="Q640" s="9">
        <v>19.688099999999999</v>
      </c>
      <c r="R640" s="9"/>
      <c r="S640" s="11"/>
    </row>
    <row r="641" spans="1:19" ht="15.6">
      <c r="A641" s="13">
        <v>61606</v>
      </c>
      <c r="B641" s="8">
        <f>CHOOSE( CONTROL!$C$29, 10.087, 10.0802) * CHOOSE(CONTROL!$C$12, $D$4, 100%, $F$4)</f>
        <v>10.0802</v>
      </c>
      <c r="C641" s="8">
        <f>CHOOSE( CONTROL!$C$29, 10.0973, 10.0905) * CHOOSE(CONTROL!$C$12, $D$4, 100%, $F$4)</f>
        <v>10.0905</v>
      </c>
      <c r="D641" s="8">
        <f>CHOOSE( CONTROL!$C$29, 10.0988, 10.092) * CHOOSE( CONTROL!$C$12, $D$4, 100%, $F$4)</f>
        <v>10.092000000000001</v>
      </c>
      <c r="E641" s="12">
        <f>CHOOSE( CONTROL!$C$29, 10.0967, 10.0899) * CHOOSE( CONTROL!$C$12, $D$4, 100%, $F$4)</f>
        <v>10.0899</v>
      </c>
      <c r="F641" s="4">
        <f>CHOOSE( CONTROL!$C$29, 11.0935, 11.0866) * CHOOSE(CONTROL!$C$12, $D$4, 100%, $F$4)</f>
        <v>11.086600000000001</v>
      </c>
      <c r="G641" s="8">
        <f>CHOOSE( CONTROL!$C$29, 9.9385, 9.9318) * CHOOSE( CONTROL!$C$12, $D$4, 100%, $F$4)</f>
        <v>9.9318000000000008</v>
      </c>
      <c r="H641" s="4">
        <f>CHOOSE( CONTROL!$C$29, 10.8528, 10.8461) * CHOOSE(CONTROL!$C$12, $D$4, 100%, $F$4)</f>
        <v>10.8461</v>
      </c>
      <c r="I641" s="8">
        <f>CHOOSE( CONTROL!$C$29, 9.8435, 9.8369) * CHOOSE(CONTROL!$C$12, $D$4, 100%, $F$4)</f>
        <v>9.8369</v>
      </c>
      <c r="J641" s="4">
        <f>CHOOSE( CONTROL!$C$29, 9.7734, 9.7668) * CHOOSE(CONTROL!$C$12, $D$4, 100%, $F$4)</f>
        <v>9.7667999999999999</v>
      </c>
      <c r="K641" s="4"/>
      <c r="L641" s="9">
        <v>29.520499999999998</v>
      </c>
      <c r="M641" s="9">
        <v>12.063700000000001</v>
      </c>
      <c r="N641" s="9">
        <v>4.9444999999999997</v>
      </c>
      <c r="O641" s="9">
        <v>0.37459999999999999</v>
      </c>
      <c r="P641" s="9">
        <v>1.2192000000000001</v>
      </c>
      <c r="Q641" s="9">
        <v>19.688099999999999</v>
      </c>
      <c r="R641" s="9"/>
      <c r="S641" s="11"/>
    </row>
    <row r="642" spans="1:19" ht="15.6">
      <c r="A642" s="13">
        <v>61636</v>
      </c>
      <c r="B642" s="8">
        <f>CHOOSE( CONTROL!$C$29, 9.8759, 9.8691) * CHOOSE(CONTROL!$C$12, $D$4, 100%, $F$4)</f>
        <v>9.8690999999999995</v>
      </c>
      <c r="C642" s="8">
        <f>CHOOSE( CONTROL!$C$29, 9.8862, 9.8794) * CHOOSE(CONTROL!$C$12, $D$4, 100%, $F$4)</f>
        <v>9.8794000000000004</v>
      </c>
      <c r="D642" s="8">
        <f>CHOOSE( CONTROL!$C$29, 9.8909, 9.8841) * CHOOSE( CONTROL!$C$12, $D$4, 100%, $F$4)</f>
        <v>9.8841000000000001</v>
      </c>
      <c r="E642" s="12">
        <f>CHOOSE( CONTROL!$C$29, 9.8876, 9.8808) * CHOOSE( CONTROL!$C$12, $D$4, 100%, $F$4)</f>
        <v>9.8808000000000007</v>
      </c>
      <c r="F642" s="4">
        <f>CHOOSE( CONTROL!$C$29, 10.8875, 10.8807) * CHOOSE(CONTROL!$C$12, $D$4, 100%, $F$4)</f>
        <v>10.880699999999999</v>
      </c>
      <c r="G642" s="8">
        <f>CHOOSE( CONTROL!$C$29, 9.7324, 9.7257) * CHOOSE( CONTROL!$C$12, $D$4, 100%, $F$4)</f>
        <v>9.7256999999999998</v>
      </c>
      <c r="H642" s="4">
        <f>CHOOSE( CONTROL!$C$29, 10.6498, 10.6431) * CHOOSE(CONTROL!$C$12, $D$4, 100%, $F$4)</f>
        <v>10.6431</v>
      </c>
      <c r="I642" s="8">
        <f>CHOOSE( CONTROL!$C$29, 9.6466, 9.64) * CHOOSE(CONTROL!$C$12, $D$4, 100%, $F$4)</f>
        <v>9.64</v>
      </c>
      <c r="J642" s="4">
        <f>CHOOSE( CONTROL!$C$29, 9.5688, 9.5622) * CHOOSE(CONTROL!$C$12, $D$4, 100%, $F$4)</f>
        <v>9.5622000000000007</v>
      </c>
      <c r="K642" s="4"/>
      <c r="L642" s="9">
        <v>28.568200000000001</v>
      </c>
      <c r="M642" s="9">
        <v>11.6745</v>
      </c>
      <c r="N642" s="9">
        <v>4.7850000000000001</v>
      </c>
      <c r="O642" s="9">
        <v>0.36249999999999999</v>
      </c>
      <c r="P642" s="9">
        <v>1.1798</v>
      </c>
      <c r="Q642" s="9">
        <v>19.053000000000001</v>
      </c>
      <c r="R642" s="9"/>
      <c r="S642" s="11"/>
    </row>
    <row r="643" spans="1:19" ht="15.6">
      <c r="A643" s="13">
        <v>61667</v>
      </c>
      <c r="B643" s="8">
        <f>10.3074 * CHOOSE(CONTROL!$C$12, $D$4, 100%, $F$4)</f>
        <v>10.307399999999999</v>
      </c>
      <c r="C643" s="8">
        <f>10.3178 * CHOOSE(CONTROL!$C$12, $D$4, 100%, $F$4)</f>
        <v>10.3178</v>
      </c>
      <c r="D643" s="8">
        <f>10.3128 * CHOOSE( CONTROL!$C$12, $D$4, 100%, $F$4)</f>
        <v>10.312799999999999</v>
      </c>
      <c r="E643" s="12">
        <f>10.3133 * CHOOSE( CONTROL!$C$12, $D$4, 100%, $F$4)</f>
        <v>10.3133</v>
      </c>
      <c r="F643" s="4">
        <f>11.2984 * CHOOSE(CONTROL!$C$12, $D$4, 100%, $F$4)</f>
        <v>11.298400000000001</v>
      </c>
      <c r="G643" s="8">
        <f>10.1546 * CHOOSE( CONTROL!$C$12, $D$4, 100%, $F$4)</f>
        <v>10.1546</v>
      </c>
      <c r="H643" s="4">
        <f>11.0548 * CHOOSE(CONTROL!$C$12, $D$4, 100%, $F$4)</f>
        <v>11.0548</v>
      </c>
      <c r="I643" s="8">
        <f>10.0689 * CHOOSE(CONTROL!$C$12, $D$4, 100%, $F$4)</f>
        <v>10.068899999999999</v>
      </c>
      <c r="J643" s="4">
        <f>9.987 * CHOOSE(CONTROL!$C$12, $D$4, 100%, $F$4)</f>
        <v>9.9870000000000001</v>
      </c>
      <c r="K643" s="4"/>
      <c r="L643" s="9">
        <v>28.921800000000001</v>
      </c>
      <c r="M643" s="9">
        <v>12.063700000000001</v>
      </c>
      <c r="N643" s="9">
        <v>4.9444999999999997</v>
      </c>
      <c r="O643" s="9">
        <v>0.37459999999999999</v>
      </c>
      <c r="P643" s="9">
        <v>1.2192000000000001</v>
      </c>
      <c r="Q643" s="9">
        <v>19.688099999999999</v>
      </c>
      <c r="R643" s="9"/>
      <c r="S643" s="11"/>
    </row>
    <row r="644" spans="1:19" ht="15.6">
      <c r="A644" s="13">
        <v>61697</v>
      </c>
      <c r="B644" s="8">
        <f>11.1166 * CHOOSE(CONTROL!$C$12, $D$4, 100%, $F$4)</f>
        <v>11.1166</v>
      </c>
      <c r="C644" s="8">
        <f>11.1269 * CHOOSE(CONTROL!$C$12, $D$4, 100%, $F$4)</f>
        <v>11.126899999999999</v>
      </c>
      <c r="D644" s="8">
        <f>11.0862 * CHOOSE( CONTROL!$C$12, $D$4, 100%, $F$4)</f>
        <v>11.0862</v>
      </c>
      <c r="E644" s="12">
        <f>11.1 * CHOOSE( CONTROL!$C$12, $D$4, 100%, $F$4)</f>
        <v>11.1</v>
      </c>
      <c r="F644" s="4">
        <f>12.0936 * CHOOSE(CONTROL!$C$12, $D$4, 100%, $F$4)</f>
        <v>12.0936</v>
      </c>
      <c r="G644" s="8">
        <f>10.9462 * CHOOSE( CONTROL!$C$12, $D$4, 100%, $F$4)</f>
        <v>10.946199999999999</v>
      </c>
      <c r="H644" s="4">
        <f>11.8387 * CHOOSE(CONTROL!$C$12, $D$4, 100%, $F$4)</f>
        <v>11.838699999999999</v>
      </c>
      <c r="I644" s="8">
        <f>10.8376 * CHOOSE(CONTROL!$C$12, $D$4, 100%, $F$4)</f>
        <v>10.8376</v>
      </c>
      <c r="J644" s="4">
        <f>10.771 * CHOOSE(CONTROL!$C$12, $D$4, 100%, $F$4)</f>
        <v>10.771000000000001</v>
      </c>
      <c r="K644" s="4"/>
      <c r="L644" s="9">
        <v>26.515499999999999</v>
      </c>
      <c r="M644" s="9">
        <v>11.6745</v>
      </c>
      <c r="N644" s="9">
        <v>4.7850000000000001</v>
      </c>
      <c r="O644" s="9">
        <v>0.36249999999999999</v>
      </c>
      <c r="P644" s="9">
        <v>1.2522</v>
      </c>
      <c r="Q644" s="9">
        <v>19.053000000000001</v>
      </c>
      <c r="R644" s="9"/>
      <c r="S644" s="11"/>
    </row>
    <row r="645" spans="1:19" ht="15.6">
      <c r="A645" s="13">
        <v>61728</v>
      </c>
      <c r="B645" s="8">
        <f>11.0964 * CHOOSE(CONTROL!$C$12, $D$4, 100%, $F$4)</f>
        <v>11.096399999999999</v>
      </c>
      <c r="C645" s="8">
        <f>11.1067 * CHOOSE(CONTROL!$C$12, $D$4, 100%, $F$4)</f>
        <v>11.1067</v>
      </c>
      <c r="D645" s="8">
        <f>11.0679 * CHOOSE( CONTROL!$C$12, $D$4, 100%, $F$4)</f>
        <v>11.0679</v>
      </c>
      <c r="E645" s="12">
        <f>11.081 * CHOOSE( CONTROL!$C$12, $D$4, 100%, $F$4)</f>
        <v>11.081</v>
      </c>
      <c r="F645" s="4">
        <f>12.0667 * CHOOSE(CONTROL!$C$12, $D$4, 100%, $F$4)</f>
        <v>12.066700000000001</v>
      </c>
      <c r="G645" s="8">
        <f>10.9286 * CHOOSE( CONTROL!$C$12, $D$4, 100%, $F$4)</f>
        <v>10.928599999999999</v>
      </c>
      <c r="H645" s="4">
        <f>11.8122 * CHOOSE(CONTROL!$C$12, $D$4, 100%, $F$4)</f>
        <v>11.812200000000001</v>
      </c>
      <c r="I645" s="8">
        <f>10.8288 * CHOOSE(CONTROL!$C$12, $D$4, 100%, $F$4)</f>
        <v>10.828799999999999</v>
      </c>
      <c r="J645" s="4">
        <f>10.7514 * CHOOSE(CONTROL!$C$12, $D$4, 100%, $F$4)</f>
        <v>10.7514</v>
      </c>
      <c r="K645" s="4"/>
      <c r="L645" s="9">
        <v>27.3993</v>
      </c>
      <c r="M645" s="9">
        <v>12.063700000000001</v>
      </c>
      <c r="N645" s="9">
        <v>4.9444999999999997</v>
      </c>
      <c r="O645" s="9">
        <v>0.37459999999999999</v>
      </c>
      <c r="P645" s="9">
        <v>1.2939000000000001</v>
      </c>
      <c r="Q645" s="9">
        <v>19.688099999999999</v>
      </c>
      <c r="R645" s="9"/>
      <c r="S645" s="11"/>
    </row>
    <row r="646" spans="1:19" ht="15.6">
      <c r="A646" s="13">
        <v>61759</v>
      </c>
      <c r="B646" s="8">
        <f>11.3553 * CHOOSE(CONTROL!$C$12, $D$4, 100%, $F$4)</f>
        <v>11.3553</v>
      </c>
      <c r="C646" s="8">
        <f>11.3656 * CHOOSE(CONTROL!$C$12, $D$4, 100%, $F$4)</f>
        <v>11.365600000000001</v>
      </c>
      <c r="D646" s="8">
        <f>11.3654 * CHOOSE( CONTROL!$C$12, $D$4, 100%, $F$4)</f>
        <v>11.365399999999999</v>
      </c>
      <c r="E646" s="12">
        <f>11.3644 * CHOOSE( CONTROL!$C$12, $D$4, 100%, $F$4)</f>
        <v>11.3644</v>
      </c>
      <c r="F646" s="4">
        <f>12.3772 * CHOOSE(CONTROL!$C$12, $D$4, 100%, $F$4)</f>
        <v>12.3772</v>
      </c>
      <c r="G646" s="8">
        <f>11.2248 * CHOOSE( CONTROL!$C$12, $D$4, 100%, $F$4)</f>
        <v>11.2248</v>
      </c>
      <c r="H646" s="4">
        <f>12.1183 * CHOOSE(CONTROL!$C$12, $D$4, 100%, $F$4)</f>
        <v>12.1183</v>
      </c>
      <c r="I646" s="8">
        <f>11.1164 * CHOOSE(CONTROL!$C$12, $D$4, 100%, $F$4)</f>
        <v>11.116400000000001</v>
      </c>
      <c r="J646" s="4">
        <f>11.0023 * CHOOSE(CONTROL!$C$12, $D$4, 100%, $F$4)</f>
        <v>11.0023</v>
      </c>
      <c r="K646" s="4"/>
      <c r="L646" s="9">
        <v>27.3993</v>
      </c>
      <c r="M646" s="9">
        <v>12.063700000000001</v>
      </c>
      <c r="N646" s="9">
        <v>4.9444999999999997</v>
      </c>
      <c r="O646" s="9">
        <v>0.37459999999999999</v>
      </c>
      <c r="P646" s="9">
        <v>1.2939000000000001</v>
      </c>
      <c r="Q646" s="9">
        <v>19.688099999999999</v>
      </c>
      <c r="R646" s="9"/>
      <c r="S646" s="11"/>
    </row>
    <row r="647" spans="1:19" ht="15.6">
      <c r="A647" s="13">
        <v>61787</v>
      </c>
      <c r="B647" s="8">
        <f>10.6213 * CHOOSE(CONTROL!$C$12, $D$4, 100%, $F$4)</f>
        <v>10.6213</v>
      </c>
      <c r="C647" s="8">
        <f>10.6316 * CHOOSE(CONTROL!$C$12, $D$4, 100%, $F$4)</f>
        <v>10.631600000000001</v>
      </c>
      <c r="D647" s="8">
        <f>10.6337 * CHOOSE( CONTROL!$C$12, $D$4, 100%, $F$4)</f>
        <v>10.633699999999999</v>
      </c>
      <c r="E647" s="12">
        <f>10.6318 * CHOOSE( CONTROL!$C$12, $D$4, 100%, $F$4)</f>
        <v>10.6318</v>
      </c>
      <c r="F647" s="4">
        <f>11.6354 * CHOOSE(CONTROL!$C$12, $D$4, 100%, $F$4)</f>
        <v>11.635400000000001</v>
      </c>
      <c r="G647" s="8">
        <f>10.5011 * CHOOSE( CONTROL!$C$12, $D$4, 100%, $F$4)</f>
        <v>10.501099999999999</v>
      </c>
      <c r="H647" s="4">
        <f>11.3871 * CHOOSE(CONTROL!$C$12, $D$4, 100%, $F$4)</f>
        <v>11.3871</v>
      </c>
      <c r="I647" s="8">
        <f>10.3938 * CHOOSE(CONTROL!$C$12, $D$4, 100%, $F$4)</f>
        <v>10.393800000000001</v>
      </c>
      <c r="J647" s="4">
        <f>10.2911 * CHOOSE(CONTROL!$C$12, $D$4, 100%, $F$4)</f>
        <v>10.2911</v>
      </c>
      <c r="K647" s="4"/>
      <c r="L647" s="9">
        <v>24.747800000000002</v>
      </c>
      <c r="M647" s="9">
        <v>10.8962</v>
      </c>
      <c r="N647" s="9">
        <v>4.4660000000000002</v>
      </c>
      <c r="O647" s="9">
        <v>0.33829999999999999</v>
      </c>
      <c r="P647" s="9">
        <v>1.1687000000000001</v>
      </c>
      <c r="Q647" s="9">
        <v>17.782800000000002</v>
      </c>
      <c r="R647" s="9"/>
      <c r="S647" s="11"/>
    </row>
    <row r="648" spans="1:19" ht="15.6">
      <c r="A648" s="13">
        <v>61818</v>
      </c>
      <c r="B648" s="8">
        <f>10.3952 * CHOOSE(CONTROL!$C$12, $D$4, 100%, $F$4)</f>
        <v>10.395200000000001</v>
      </c>
      <c r="C648" s="8">
        <f>10.4055 * CHOOSE(CONTROL!$C$12, $D$4, 100%, $F$4)</f>
        <v>10.4055</v>
      </c>
      <c r="D648" s="8">
        <f>10.3877 * CHOOSE( CONTROL!$C$12, $D$4, 100%, $F$4)</f>
        <v>10.387700000000001</v>
      </c>
      <c r="E648" s="12">
        <f>10.3931 * CHOOSE( CONTROL!$C$12, $D$4, 100%, $F$4)</f>
        <v>10.3931</v>
      </c>
      <c r="F648" s="4">
        <f>11.3934 * CHOOSE(CONTROL!$C$12, $D$4, 100%, $F$4)</f>
        <v>11.3934</v>
      </c>
      <c r="G648" s="8">
        <f>10.2578 * CHOOSE( CONTROL!$C$12, $D$4, 100%, $F$4)</f>
        <v>10.2578</v>
      </c>
      <c r="H648" s="4">
        <f>11.1485 * CHOOSE(CONTROL!$C$12, $D$4, 100%, $F$4)</f>
        <v>11.1485</v>
      </c>
      <c r="I648" s="8">
        <f>10.1352 * CHOOSE(CONTROL!$C$12, $D$4, 100%, $F$4)</f>
        <v>10.135199999999999</v>
      </c>
      <c r="J648" s="4">
        <f>10.072 * CHOOSE(CONTROL!$C$12, $D$4, 100%, $F$4)</f>
        <v>10.071999999999999</v>
      </c>
      <c r="K648" s="4"/>
      <c r="L648" s="9">
        <v>27.3993</v>
      </c>
      <c r="M648" s="9">
        <v>12.063700000000001</v>
      </c>
      <c r="N648" s="9">
        <v>4.9444999999999997</v>
      </c>
      <c r="O648" s="9">
        <v>0.37459999999999999</v>
      </c>
      <c r="P648" s="9">
        <v>1.2939000000000001</v>
      </c>
      <c r="Q648" s="9">
        <v>19.688099999999999</v>
      </c>
      <c r="R648" s="9"/>
      <c r="S648" s="11"/>
    </row>
    <row r="649" spans="1:19" ht="15.6">
      <c r="A649" s="13">
        <v>61848</v>
      </c>
      <c r="B649" s="8">
        <f>10.5532 * CHOOSE(CONTROL!$C$12, $D$4, 100%, $F$4)</f>
        <v>10.5532</v>
      </c>
      <c r="C649" s="8">
        <f>10.5635 * CHOOSE(CONTROL!$C$12, $D$4, 100%, $F$4)</f>
        <v>10.563499999999999</v>
      </c>
      <c r="D649" s="8">
        <f>10.5685 * CHOOSE( CONTROL!$C$12, $D$4, 100%, $F$4)</f>
        <v>10.5685</v>
      </c>
      <c r="E649" s="12">
        <f>10.5657 * CHOOSE( CONTROL!$C$12, $D$4, 100%, $F$4)</f>
        <v>10.5657</v>
      </c>
      <c r="F649" s="4">
        <f>11.5596 * CHOOSE(CONTROL!$C$12, $D$4, 100%, $F$4)</f>
        <v>11.5596</v>
      </c>
      <c r="G649" s="8">
        <f>10.4014 * CHOOSE( CONTROL!$C$12, $D$4, 100%, $F$4)</f>
        <v>10.401400000000001</v>
      </c>
      <c r="H649" s="4">
        <f>11.3123 * CHOOSE(CONTROL!$C$12, $D$4, 100%, $F$4)</f>
        <v>11.3123</v>
      </c>
      <c r="I649" s="8">
        <f>10.2784 * CHOOSE(CONTROL!$C$12, $D$4, 100%, $F$4)</f>
        <v>10.2784</v>
      </c>
      <c r="J649" s="4">
        <f>10.2251 * CHOOSE(CONTROL!$C$12, $D$4, 100%, $F$4)</f>
        <v>10.225099999999999</v>
      </c>
      <c r="K649" s="4"/>
      <c r="L649" s="9">
        <v>27.988800000000001</v>
      </c>
      <c r="M649" s="9">
        <v>11.6745</v>
      </c>
      <c r="N649" s="9">
        <v>4.7850000000000001</v>
      </c>
      <c r="O649" s="9">
        <v>0.36249999999999999</v>
      </c>
      <c r="P649" s="9">
        <v>1.1798</v>
      </c>
      <c r="Q649" s="9">
        <v>19.053000000000001</v>
      </c>
      <c r="R649" s="9"/>
      <c r="S649" s="11"/>
    </row>
    <row r="650" spans="1:19" ht="15.6">
      <c r="A650" s="13">
        <v>61879</v>
      </c>
      <c r="B650" s="8">
        <f>CHOOSE( CONTROL!$C$29, 10.8412, 10.8343) * CHOOSE(CONTROL!$C$12, $D$4, 100%, $F$4)</f>
        <v>10.834300000000001</v>
      </c>
      <c r="C650" s="8">
        <f>CHOOSE( CONTROL!$C$29, 10.8515, 10.8446) * CHOOSE(CONTROL!$C$12, $D$4, 100%, $F$4)</f>
        <v>10.8446</v>
      </c>
      <c r="D650" s="8">
        <f>CHOOSE( CONTROL!$C$29, 10.8317, 10.8249) * CHOOSE( CONTROL!$C$12, $D$4, 100%, $F$4)</f>
        <v>10.8249</v>
      </c>
      <c r="E650" s="12">
        <f>CHOOSE( CONTROL!$C$29, 10.8373, 10.8305) * CHOOSE( CONTROL!$C$12, $D$4, 100%, $F$4)</f>
        <v>10.830500000000001</v>
      </c>
      <c r="F650" s="4">
        <f>CHOOSE( CONTROL!$C$29, 11.8156, 11.8088) * CHOOSE(CONTROL!$C$12, $D$4, 100%, $F$4)</f>
        <v>11.8088</v>
      </c>
      <c r="G650" s="8">
        <f>CHOOSE( CONTROL!$C$29, 10.667, 10.6603) * CHOOSE( CONTROL!$C$12, $D$4, 100%, $F$4)</f>
        <v>10.660299999999999</v>
      </c>
      <c r="H650" s="4">
        <f>CHOOSE( CONTROL!$C$29, 11.5647, 11.558) * CHOOSE(CONTROL!$C$12, $D$4, 100%, $F$4)</f>
        <v>11.558</v>
      </c>
      <c r="I650" s="8">
        <f>CHOOSE( CONTROL!$C$29, 10.5361, 10.5295) * CHOOSE(CONTROL!$C$12, $D$4, 100%, $F$4)</f>
        <v>10.529500000000001</v>
      </c>
      <c r="J650" s="4">
        <f>CHOOSE( CONTROL!$C$29, 10.5041, 10.4975) * CHOOSE(CONTROL!$C$12, $D$4, 100%, $F$4)</f>
        <v>10.4975</v>
      </c>
      <c r="K650" s="4"/>
      <c r="L650" s="9">
        <v>29.520499999999998</v>
      </c>
      <c r="M650" s="9">
        <v>12.063700000000001</v>
      </c>
      <c r="N650" s="9">
        <v>4.9444999999999997</v>
      </c>
      <c r="O650" s="9">
        <v>0.37459999999999999</v>
      </c>
      <c r="P650" s="9">
        <v>1.2192000000000001</v>
      </c>
      <c r="Q650" s="9">
        <v>19.688099999999999</v>
      </c>
      <c r="R650" s="9"/>
      <c r="S650" s="11"/>
    </row>
    <row r="651" spans="1:19" ht="15.6">
      <c r="A651" s="13">
        <v>61909</v>
      </c>
      <c r="B651" s="8">
        <f>CHOOSE( CONTROL!$C$29, 10.667, 10.6602) * CHOOSE(CONTROL!$C$12, $D$4, 100%, $F$4)</f>
        <v>10.6602</v>
      </c>
      <c r="C651" s="8">
        <f>CHOOSE( CONTROL!$C$29, 10.6773, 10.6705) * CHOOSE(CONTROL!$C$12, $D$4, 100%, $F$4)</f>
        <v>10.670500000000001</v>
      </c>
      <c r="D651" s="8">
        <f>CHOOSE( CONTROL!$C$29, 10.652, 10.6452) * CHOOSE( CONTROL!$C$12, $D$4, 100%, $F$4)</f>
        <v>10.645200000000001</v>
      </c>
      <c r="E651" s="12">
        <f>CHOOSE( CONTROL!$C$29, 10.6596, 10.6528) * CHOOSE( CONTROL!$C$12, $D$4, 100%, $F$4)</f>
        <v>10.652799999999999</v>
      </c>
      <c r="F651" s="4">
        <f>CHOOSE( CONTROL!$C$29, 11.6311, 11.6243) * CHOOSE(CONTROL!$C$12, $D$4, 100%, $F$4)</f>
        <v>11.6243</v>
      </c>
      <c r="G651" s="8">
        <f>CHOOSE( CONTROL!$C$29, 10.4941, 10.4873) * CHOOSE( CONTROL!$C$12, $D$4, 100%, $F$4)</f>
        <v>10.487299999999999</v>
      </c>
      <c r="H651" s="4">
        <f>CHOOSE( CONTROL!$C$29, 11.3828, 11.3761) * CHOOSE(CONTROL!$C$12, $D$4, 100%, $F$4)</f>
        <v>11.376099999999999</v>
      </c>
      <c r="I651" s="8">
        <f>CHOOSE( CONTROL!$C$29, 10.3694, 10.3628) * CHOOSE(CONTROL!$C$12, $D$4, 100%, $F$4)</f>
        <v>10.3628</v>
      </c>
      <c r="J651" s="4">
        <f>CHOOSE( CONTROL!$C$29, 10.3354, 10.3287) * CHOOSE(CONTROL!$C$12, $D$4, 100%, $F$4)</f>
        <v>10.3287</v>
      </c>
      <c r="K651" s="4"/>
      <c r="L651" s="9">
        <v>28.568200000000001</v>
      </c>
      <c r="M651" s="9">
        <v>11.6745</v>
      </c>
      <c r="N651" s="9">
        <v>4.7850000000000001</v>
      </c>
      <c r="O651" s="9">
        <v>0.36249999999999999</v>
      </c>
      <c r="P651" s="9">
        <v>1.1798</v>
      </c>
      <c r="Q651" s="9">
        <v>19.053000000000001</v>
      </c>
      <c r="R651" s="9"/>
      <c r="S651" s="11"/>
    </row>
    <row r="652" spans="1:19" ht="15.6">
      <c r="A652" s="13">
        <v>61940</v>
      </c>
      <c r="B652" s="8">
        <f>CHOOSE( CONTROL!$C$29, 11.1257, 11.1188) * CHOOSE(CONTROL!$C$12, $D$4, 100%, $F$4)</f>
        <v>11.1188</v>
      </c>
      <c r="C652" s="8">
        <f>CHOOSE( CONTROL!$C$29, 11.136, 11.1291) * CHOOSE(CONTROL!$C$12, $D$4, 100%, $F$4)</f>
        <v>11.129099999999999</v>
      </c>
      <c r="D652" s="8">
        <f>CHOOSE( CONTROL!$C$29, 11.1441, 11.1373) * CHOOSE( CONTROL!$C$12, $D$4, 100%, $F$4)</f>
        <v>11.1373</v>
      </c>
      <c r="E652" s="12">
        <f>CHOOSE( CONTROL!$C$29, 11.1396, 11.1328) * CHOOSE( CONTROL!$C$12, $D$4, 100%, $F$4)</f>
        <v>11.1328</v>
      </c>
      <c r="F652" s="4">
        <f>CHOOSE( CONTROL!$C$29, 12.1347, 12.1278) * CHOOSE(CONTROL!$C$12, $D$4, 100%, $F$4)</f>
        <v>12.127800000000001</v>
      </c>
      <c r="G652" s="8">
        <f>CHOOSE( CONTROL!$C$29, 10.9723, 10.9655) * CHOOSE( CONTROL!$C$12, $D$4, 100%, $F$4)</f>
        <v>10.9655</v>
      </c>
      <c r="H652" s="4">
        <f>CHOOSE( CONTROL!$C$29, 11.8792, 11.8725) * CHOOSE(CONTROL!$C$12, $D$4, 100%, $F$4)</f>
        <v>11.8725</v>
      </c>
      <c r="I652" s="8">
        <f>CHOOSE( CONTROL!$C$29, 10.8694, 10.8627) * CHOOSE(CONTROL!$C$12, $D$4, 100%, $F$4)</f>
        <v>10.8627</v>
      </c>
      <c r="J652" s="4">
        <f>CHOOSE( CONTROL!$C$29, 10.7798, 10.7732) * CHOOSE(CONTROL!$C$12, $D$4, 100%, $F$4)</f>
        <v>10.773199999999999</v>
      </c>
      <c r="K652" s="4"/>
      <c r="L652" s="9">
        <v>29.520499999999998</v>
      </c>
      <c r="M652" s="9">
        <v>12.063700000000001</v>
      </c>
      <c r="N652" s="9">
        <v>4.9444999999999997</v>
      </c>
      <c r="O652" s="9">
        <v>0.37459999999999999</v>
      </c>
      <c r="P652" s="9">
        <v>1.2192000000000001</v>
      </c>
      <c r="Q652" s="9">
        <v>19.688099999999999</v>
      </c>
      <c r="R652" s="9"/>
      <c r="S652" s="11"/>
    </row>
    <row r="653" spans="1:19" ht="15.6">
      <c r="A653" s="13">
        <v>61971</v>
      </c>
      <c r="B653" s="8">
        <f>CHOOSE( CONTROL!$C$29, 10.2674, 10.2606) * CHOOSE(CONTROL!$C$12, $D$4, 100%, $F$4)</f>
        <v>10.2606</v>
      </c>
      <c r="C653" s="8">
        <f>CHOOSE( CONTROL!$C$29, 10.2778, 10.2709) * CHOOSE(CONTROL!$C$12, $D$4, 100%, $F$4)</f>
        <v>10.270899999999999</v>
      </c>
      <c r="D653" s="8">
        <f>CHOOSE( CONTROL!$C$29, 10.2792, 10.2724) * CHOOSE( CONTROL!$C$12, $D$4, 100%, $F$4)</f>
        <v>10.272399999999999</v>
      </c>
      <c r="E653" s="12">
        <f>CHOOSE( CONTROL!$C$29, 10.2771, 10.2703) * CHOOSE( CONTROL!$C$12, $D$4, 100%, $F$4)</f>
        <v>10.270300000000001</v>
      </c>
      <c r="F653" s="4">
        <f>CHOOSE( CONTROL!$C$29, 11.2739, 11.267) * CHOOSE(CONTROL!$C$12, $D$4, 100%, $F$4)</f>
        <v>11.266999999999999</v>
      </c>
      <c r="G653" s="8">
        <f>CHOOSE( CONTROL!$C$29, 10.1164, 10.1096) * CHOOSE( CONTROL!$C$12, $D$4, 100%, $F$4)</f>
        <v>10.1096</v>
      </c>
      <c r="H653" s="4">
        <f>CHOOSE( CONTROL!$C$29, 11.0307, 11.0239) * CHOOSE(CONTROL!$C$12, $D$4, 100%, $F$4)</f>
        <v>11.023899999999999</v>
      </c>
      <c r="I653" s="8">
        <f>CHOOSE( CONTROL!$C$29, 10.0184, 10.0118) * CHOOSE(CONTROL!$C$12, $D$4, 100%, $F$4)</f>
        <v>10.011799999999999</v>
      </c>
      <c r="J653" s="4">
        <f>CHOOSE( CONTROL!$C$29, 9.9482, 9.9416) * CHOOSE(CONTROL!$C$12, $D$4, 100%, $F$4)</f>
        <v>9.9415999999999993</v>
      </c>
      <c r="K653" s="4"/>
      <c r="L653" s="9">
        <v>29.520499999999998</v>
      </c>
      <c r="M653" s="9">
        <v>12.063700000000001</v>
      </c>
      <c r="N653" s="9">
        <v>4.9444999999999997</v>
      </c>
      <c r="O653" s="9">
        <v>0.37459999999999999</v>
      </c>
      <c r="P653" s="9">
        <v>1.2192000000000001</v>
      </c>
      <c r="Q653" s="9">
        <v>19.688099999999999</v>
      </c>
      <c r="R653" s="9"/>
      <c r="S653" s="11"/>
    </row>
    <row r="654" spans="1:19" ht="15.6">
      <c r="A654" s="13">
        <v>62001</v>
      </c>
      <c r="B654" s="8">
        <f>CHOOSE( CONTROL!$C$29, 10.0525, 10.0457) * CHOOSE(CONTROL!$C$12, $D$4, 100%, $F$4)</f>
        <v>10.0457</v>
      </c>
      <c r="C654" s="8">
        <f>CHOOSE( CONTROL!$C$29, 10.0629, 10.056) * CHOOSE(CONTROL!$C$12, $D$4, 100%, $F$4)</f>
        <v>10.055999999999999</v>
      </c>
      <c r="D654" s="8">
        <f>CHOOSE( CONTROL!$C$29, 10.0675, 10.0607) * CHOOSE( CONTROL!$C$12, $D$4, 100%, $F$4)</f>
        <v>10.060700000000001</v>
      </c>
      <c r="E654" s="12">
        <f>CHOOSE( CONTROL!$C$29, 10.0642, 10.0574) * CHOOSE( CONTROL!$C$12, $D$4, 100%, $F$4)</f>
        <v>10.057399999999999</v>
      </c>
      <c r="F654" s="4">
        <f>CHOOSE( CONTROL!$C$29, 11.0641, 11.0573) * CHOOSE(CONTROL!$C$12, $D$4, 100%, $F$4)</f>
        <v>11.0573</v>
      </c>
      <c r="G654" s="8">
        <f>CHOOSE( CONTROL!$C$29, 9.9066, 9.8998) * CHOOSE( CONTROL!$C$12, $D$4, 100%, $F$4)</f>
        <v>9.8998000000000008</v>
      </c>
      <c r="H654" s="4">
        <f>CHOOSE( CONTROL!$C$29, 10.8239, 10.8172) * CHOOSE(CONTROL!$C$12, $D$4, 100%, $F$4)</f>
        <v>10.8172</v>
      </c>
      <c r="I654" s="8">
        <f>CHOOSE( CONTROL!$C$29, 9.8179, 9.8112) * CHOOSE(CONTROL!$C$12, $D$4, 100%, $F$4)</f>
        <v>9.8111999999999995</v>
      </c>
      <c r="J654" s="4">
        <f>CHOOSE( CONTROL!$C$29, 9.74, 9.7333) * CHOOSE(CONTROL!$C$12, $D$4, 100%, $F$4)</f>
        <v>9.7332999999999998</v>
      </c>
      <c r="K654" s="4"/>
      <c r="L654" s="9">
        <v>28.568200000000001</v>
      </c>
      <c r="M654" s="9">
        <v>11.6745</v>
      </c>
      <c r="N654" s="9">
        <v>4.7850000000000001</v>
      </c>
      <c r="O654" s="9">
        <v>0.36249999999999999</v>
      </c>
      <c r="P654" s="9">
        <v>1.1798</v>
      </c>
      <c r="Q654" s="9">
        <v>19.053000000000001</v>
      </c>
      <c r="R654" s="9"/>
      <c r="S654" s="11"/>
    </row>
    <row r="655" spans="1:19" ht="15.6">
      <c r="A655" s="13">
        <v>62032</v>
      </c>
      <c r="B655" s="8">
        <f>10.4919 * CHOOSE(CONTROL!$C$12, $D$4, 100%, $F$4)</f>
        <v>10.491899999999999</v>
      </c>
      <c r="C655" s="8">
        <f>10.5022 * CHOOSE(CONTROL!$C$12, $D$4, 100%, $F$4)</f>
        <v>10.5022</v>
      </c>
      <c r="D655" s="8">
        <f>10.4973 * CHOOSE( CONTROL!$C$12, $D$4, 100%, $F$4)</f>
        <v>10.497299999999999</v>
      </c>
      <c r="E655" s="12">
        <f>10.4978 * CHOOSE( CONTROL!$C$12, $D$4, 100%, $F$4)</f>
        <v>10.4978</v>
      </c>
      <c r="F655" s="4">
        <f>11.4829 * CHOOSE(CONTROL!$C$12, $D$4, 100%, $F$4)</f>
        <v>11.482900000000001</v>
      </c>
      <c r="G655" s="8">
        <f>10.3365 * CHOOSE( CONTROL!$C$12, $D$4, 100%, $F$4)</f>
        <v>10.336499999999999</v>
      </c>
      <c r="H655" s="4">
        <f>11.2367 * CHOOSE(CONTROL!$C$12, $D$4, 100%, $F$4)</f>
        <v>11.236700000000001</v>
      </c>
      <c r="I655" s="8">
        <f>10.2477 * CHOOSE(CONTROL!$C$12, $D$4, 100%, $F$4)</f>
        <v>10.2477</v>
      </c>
      <c r="J655" s="4">
        <f>10.1657 * CHOOSE(CONTROL!$C$12, $D$4, 100%, $F$4)</f>
        <v>10.165699999999999</v>
      </c>
      <c r="K655" s="4"/>
      <c r="L655" s="9">
        <v>28.921800000000001</v>
      </c>
      <c r="M655" s="9">
        <v>12.063700000000001</v>
      </c>
      <c r="N655" s="9">
        <v>4.9444999999999997</v>
      </c>
      <c r="O655" s="9">
        <v>0.37459999999999999</v>
      </c>
      <c r="P655" s="9">
        <v>1.2192000000000001</v>
      </c>
      <c r="Q655" s="9">
        <v>19.688099999999999</v>
      </c>
      <c r="R655" s="9"/>
      <c r="S655" s="11"/>
    </row>
    <row r="656" spans="1:19" ht="15.6">
      <c r="A656" s="13">
        <v>62062</v>
      </c>
      <c r="B656" s="8">
        <f>11.3156 * CHOOSE(CONTROL!$C$12, $D$4, 100%, $F$4)</f>
        <v>11.3156</v>
      </c>
      <c r="C656" s="8">
        <f>11.3259 * CHOOSE(CONTROL!$C$12, $D$4, 100%, $F$4)</f>
        <v>11.325900000000001</v>
      </c>
      <c r="D656" s="8">
        <f>11.2852 * CHOOSE( CONTROL!$C$12, $D$4, 100%, $F$4)</f>
        <v>11.2852</v>
      </c>
      <c r="E656" s="12">
        <f>11.299 * CHOOSE( CONTROL!$C$12, $D$4, 100%, $F$4)</f>
        <v>11.298999999999999</v>
      </c>
      <c r="F656" s="4">
        <f>12.2926 * CHOOSE(CONTROL!$C$12, $D$4, 100%, $F$4)</f>
        <v>12.2926</v>
      </c>
      <c r="G656" s="8">
        <f>11.1423 * CHOOSE( CONTROL!$C$12, $D$4, 100%, $F$4)</f>
        <v>11.142300000000001</v>
      </c>
      <c r="H656" s="4">
        <f>12.0349 * CHOOSE(CONTROL!$C$12, $D$4, 100%, $F$4)</f>
        <v>12.0349</v>
      </c>
      <c r="I656" s="8">
        <f>11.0305 * CHOOSE(CONTROL!$C$12, $D$4, 100%, $F$4)</f>
        <v>11.0305</v>
      </c>
      <c r="J656" s="4">
        <f>10.9638 * CHOOSE(CONTROL!$C$12, $D$4, 100%, $F$4)</f>
        <v>10.963800000000001</v>
      </c>
      <c r="K656" s="4"/>
      <c r="L656" s="9">
        <v>26.515499999999999</v>
      </c>
      <c r="M656" s="9">
        <v>11.6745</v>
      </c>
      <c r="N656" s="9">
        <v>4.7850000000000001</v>
      </c>
      <c r="O656" s="9">
        <v>0.36249999999999999</v>
      </c>
      <c r="P656" s="9">
        <v>1.2522</v>
      </c>
      <c r="Q656" s="9">
        <v>19.053000000000001</v>
      </c>
      <c r="R656" s="9"/>
      <c r="S656" s="11"/>
    </row>
    <row r="657" spans="1:19" ht="15.6">
      <c r="A657" s="13">
        <v>62093</v>
      </c>
      <c r="B657" s="8">
        <f>11.295 * CHOOSE(CONTROL!$C$12, $D$4, 100%, $F$4)</f>
        <v>11.295</v>
      </c>
      <c r="C657" s="8">
        <f>11.3053 * CHOOSE(CONTROL!$C$12, $D$4, 100%, $F$4)</f>
        <v>11.305300000000001</v>
      </c>
      <c r="D657" s="8">
        <f>11.2665 * CHOOSE( CONTROL!$C$12, $D$4, 100%, $F$4)</f>
        <v>11.266500000000001</v>
      </c>
      <c r="E657" s="12">
        <f>11.2796 * CHOOSE( CONTROL!$C$12, $D$4, 100%, $F$4)</f>
        <v>11.2796</v>
      </c>
      <c r="F657" s="4">
        <f>12.2653 * CHOOSE(CONTROL!$C$12, $D$4, 100%, $F$4)</f>
        <v>12.2653</v>
      </c>
      <c r="G657" s="8">
        <f>11.1244 * CHOOSE( CONTROL!$C$12, $D$4, 100%, $F$4)</f>
        <v>11.1244</v>
      </c>
      <c r="H657" s="4">
        <f>12.008 * CHOOSE(CONTROL!$C$12, $D$4, 100%, $F$4)</f>
        <v>12.007999999999999</v>
      </c>
      <c r="I657" s="8">
        <f>11.0213 * CHOOSE(CONTROL!$C$12, $D$4, 100%, $F$4)</f>
        <v>11.0213</v>
      </c>
      <c r="J657" s="4">
        <f>10.9439 * CHOOSE(CONTROL!$C$12, $D$4, 100%, $F$4)</f>
        <v>10.943899999999999</v>
      </c>
      <c r="K657" s="4"/>
      <c r="L657" s="9">
        <v>27.3993</v>
      </c>
      <c r="M657" s="9">
        <v>12.063700000000001</v>
      </c>
      <c r="N657" s="9">
        <v>4.9444999999999997</v>
      </c>
      <c r="O657" s="9">
        <v>0.37459999999999999</v>
      </c>
      <c r="P657" s="9">
        <v>1.2939000000000001</v>
      </c>
      <c r="Q657" s="9">
        <v>19.688099999999999</v>
      </c>
      <c r="R657" s="9"/>
      <c r="S657" s="11"/>
    </row>
    <row r="658" spans="1:19" ht="15.6">
      <c r="A658" s="13">
        <v>62124</v>
      </c>
      <c r="B658" s="8">
        <f>11.5585 * CHOOSE(CONTROL!$C$12, $D$4, 100%, $F$4)</f>
        <v>11.5585</v>
      </c>
      <c r="C658" s="8">
        <f>11.5689 * CHOOSE(CONTROL!$C$12, $D$4, 100%, $F$4)</f>
        <v>11.568899999999999</v>
      </c>
      <c r="D658" s="8">
        <f>11.5687 * CHOOSE( CONTROL!$C$12, $D$4, 100%, $F$4)</f>
        <v>11.5687</v>
      </c>
      <c r="E658" s="12">
        <f>11.5677 * CHOOSE( CONTROL!$C$12, $D$4, 100%, $F$4)</f>
        <v>11.5677</v>
      </c>
      <c r="F658" s="4">
        <f>12.5805 * CHOOSE(CONTROL!$C$12, $D$4, 100%, $F$4)</f>
        <v>12.580500000000001</v>
      </c>
      <c r="G658" s="8">
        <f>11.4252 * CHOOSE( CONTROL!$C$12, $D$4, 100%, $F$4)</f>
        <v>11.4252</v>
      </c>
      <c r="H658" s="4">
        <f>12.3187 * CHOOSE(CONTROL!$C$12, $D$4, 100%, $F$4)</f>
        <v>12.3187</v>
      </c>
      <c r="I658" s="8">
        <f>11.3135 * CHOOSE(CONTROL!$C$12, $D$4, 100%, $F$4)</f>
        <v>11.313499999999999</v>
      </c>
      <c r="J658" s="4">
        <f>11.1993 * CHOOSE(CONTROL!$C$12, $D$4, 100%, $F$4)</f>
        <v>11.199299999999999</v>
      </c>
      <c r="K658" s="4"/>
      <c r="L658" s="9">
        <v>27.3993</v>
      </c>
      <c r="M658" s="9">
        <v>12.063700000000001</v>
      </c>
      <c r="N658" s="9">
        <v>4.9444999999999997</v>
      </c>
      <c r="O658" s="9">
        <v>0.37459999999999999</v>
      </c>
      <c r="P658" s="9">
        <v>1.2939000000000001</v>
      </c>
      <c r="Q658" s="9">
        <v>19.688099999999999</v>
      </c>
      <c r="R658" s="9"/>
      <c r="S658" s="11"/>
    </row>
    <row r="659" spans="1:19" ht="15.6">
      <c r="A659" s="13">
        <v>62152</v>
      </c>
      <c r="B659" s="8">
        <f>10.8114 * CHOOSE(CONTROL!$C$12, $D$4, 100%, $F$4)</f>
        <v>10.811400000000001</v>
      </c>
      <c r="C659" s="8">
        <f>10.8217 * CHOOSE(CONTROL!$C$12, $D$4, 100%, $F$4)</f>
        <v>10.8217</v>
      </c>
      <c r="D659" s="8">
        <f>10.8238 * CHOOSE( CONTROL!$C$12, $D$4, 100%, $F$4)</f>
        <v>10.8238</v>
      </c>
      <c r="E659" s="12">
        <f>10.8219 * CHOOSE( CONTROL!$C$12, $D$4, 100%, $F$4)</f>
        <v>10.821899999999999</v>
      </c>
      <c r="F659" s="4">
        <f>11.8255 * CHOOSE(CONTROL!$C$12, $D$4, 100%, $F$4)</f>
        <v>11.8255</v>
      </c>
      <c r="G659" s="8">
        <f>10.6885 * CHOOSE( CONTROL!$C$12, $D$4, 100%, $F$4)</f>
        <v>10.688499999999999</v>
      </c>
      <c r="H659" s="4">
        <f>11.5745 * CHOOSE(CONTROL!$C$12, $D$4, 100%, $F$4)</f>
        <v>11.5745</v>
      </c>
      <c r="I659" s="8">
        <f>10.5782 * CHOOSE(CONTROL!$C$12, $D$4, 100%, $F$4)</f>
        <v>10.578200000000001</v>
      </c>
      <c r="J659" s="4">
        <f>10.4753 * CHOOSE(CONTROL!$C$12, $D$4, 100%, $F$4)</f>
        <v>10.475300000000001</v>
      </c>
      <c r="K659" s="4"/>
      <c r="L659" s="9">
        <v>24.747800000000002</v>
      </c>
      <c r="M659" s="9">
        <v>10.8962</v>
      </c>
      <c r="N659" s="9">
        <v>4.4660000000000002</v>
      </c>
      <c r="O659" s="9">
        <v>0.33829999999999999</v>
      </c>
      <c r="P659" s="9">
        <v>1.1687000000000001</v>
      </c>
      <c r="Q659" s="9">
        <v>17.782800000000002</v>
      </c>
      <c r="R659" s="9"/>
      <c r="S659" s="11"/>
    </row>
    <row r="660" spans="1:19" ht="15.6">
      <c r="A660" s="13">
        <v>62183</v>
      </c>
      <c r="B660" s="8">
        <f>10.5812 * CHOOSE(CONTROL!$C$12, $D$4, 100%, $F$4)</f>
        <v>10.581200000000001</v>
      </c>
      <c r="C660" s="8">
        <f>10.5916 * CHOOSE(CONTROL!$C$12, $D$4, 100%, $F$4)</f>
        <v>10.5916</v>
      </c>
      <c r="D660" s="8">
        <f>10.5737 * CHOOSE( CONTROL!$C$12, $D$4, 100%, $F$4)</f>
        <v>10.573700000000001</v>
      </c>
      <c r="E660" s="12">
        <f>10.5791 * CHOOSE( CONTROL!$C$12, $D$4, 100%, $F$4)</f>
        <v>10.5791</v>
      </c>
      <c r="F660" s="4">
        <f>11.5794 * CHOOSE(CONTROL!$C$12, $D$4, 100%, $F$4)</f>
        <v>11.5794</v>
      </c>
      <c r="G660" s="8">
        <f>10.4412 * CHOOSE( CONTROL!$C$12, $D$4, 100%, $F$4)</f>
        <v>10.4412</v>
      </c>
      <c r="H660" s="4">
        <f>11.3319 * CHOOSE(CONTROL!$C$12, $D$4, 100%, $F$4)</f>
        <v>11.331899999999999</v>
      </c>
      <c r="I660" s="8">
        <f>10.3155 * CHOOSE(CONTROL!$C$12, $D$4, 100%, $F$4)</f>
        <v>10.3155</v>
      </c>
      <c r="J660" s="4">
        <f>10.2523 * CHOOSE(CONTROL!$C$12, $D$4, 100%, $F$4)</f>
        <v>10.2523</v>
      </c>
      <c r="K660" s="4"/>
      <c r="L660" s="9">
        <v>27.3993</v>
      </c>
      <c r="M660" s="9">
        <v>12.063700000000001</v>
      </c>
      <c r="N660" s="9">
        <v>4.9444999999999997</v>
      </c>
      <c r="O660" s="9">
        <v>0.37459999999999999</v>
      </c>
      <c r="P660" s="9">
        <v>1.2939000000000001</v>
      </c>
      <c r="Q660" s="9">
        <v>19.688099999999999</v>
      </c>
      <c r="R660" s="9"/>
      <c r="S660" s="11"/>
    </row>
    <row r="661" spans="1:19" ht="15.6">
      <c r="A661" s="13">
        <v>62213</v>
      </c>
      <c r="B661" s="8">
        <f>10.742 * CHOOSE(CONTROL!$C$12, $D$4, 100%, $F$4)</f>
        <v>10.742000000000001</v>
      </c>
      <c r="C661" s="8">
        <f>10.7524 * CHOOSE(CONTROL!$C$12, $D$4, 100%, $F$4)</f>
        <v>10.7524</v>
      </c>
      <c r="D661" s="8">
        <f>10.7574 * CHOOSE( CONTROL!$C$12, $D$4, 100%, $F$4)</f>
        <v>10.757400000000001</v>
      </c>
      <c r="E661" s="12">
        <f>10.7546 * CHOOSE( CONTROL!$C$12, $D$4, 100%, $F$4)</f>
        <v>10.7546</v>
      </c>
      <c r="F661" s="4">
        <f>11.7485 * CHOOSE(CONTROL!$C$12, $D$4, 100%, $F$4)</f>
        <v>11.7485</v>
      </c>
      <c r="G661" s="8">
        <f>10.5876 * CHOOSE( CONTROL!$C$12, $D$4, 100%, $F$4)</f>
        <v>10.5876</v>
      </c>
      <c r="H661" s="4">
        <f>11.4985 * CHOOSE(CONTROL!$C$12, $D$4, 100%, $F$4)</f>
        <v>11.4985</v>
      </c>
      <c r="I661" s="8">
        <f>10.4615 * CHOOSE(CONTROL!$C$12, $D$4, 100%, $F$4)</f>
        <v>10.461499999999999</v>
      </c>
      <c r="J661" s="4">
        <f>10.4081 * CHOOSE(CONTROL!$C$12, $D$4, 100%, $F$4)</f>
        <v>10.408099999999999</v>
      </c>
      <c r="K661" s="4"/>
      <c r="L661" s="9">
        <v>27.988800000000001</v>
      </c>
      <c r="M661" s="9">
        <v>11.6745</v>
      </c>
      <c r="N661" s="9">
        <v>4.7850000000000001</v>
      </c>
      <c r="O661" s="9">
        <v>0.36249999999999999</v>
      </c>
      <c r="P661" s="9">
        <v>1.1798</v>
      </c>
      <c r="Q661" s="9">
        <v>19.053000000000001</v>
      </c>
      <c r="R661" s="9"/>
      <c r="S661" s="11"/>
    </row>
    <row r="662" spans="1:19" ht="15.6">
      <c r="A662" s="13">
        <v>62244</v>
      </c>
      <c r="B662" s="8">
        <f>CHOOSE( CONTROL!$C$29, 11.0351, 11.0282) * CHOOSE(CONTROL!$C$12, $D$4, 100%, $F$4)</f>
        <v>11.0282</v>
      </c>
      <c r="C662" s="8">
        <f>CHOOSE( CONTROL!$C$29, 11.0454, 11.0386) * CHOOSE(CONTROL!$C$12, $D$4, 100%, $F$4)</f>
        <v>11.038600000000001</v>
      </c>
      <c r="D662" s="8">
        <f>CHOOSE( CONTROL!$C$29, 11.0257, 11.0188) * CHOOSE( CONTROL!$C$12, $D$4, 100%, $F$4)</f>
        <v>11.018800000000001</v>
      </c>
      <c r="E662" s="12">
        <f>CHOOSE( CONTROL!$C$29, 11.0313, 11.0244) * CHOOSE( CONTROL!$C$12, $D$4, 100%, $F$4)</f>
        <v>11.0244</v>
      </c>
      <c r="F662" s="4">
        <f>CHOOSE( CONTROL!$C$29, 12.0095, 12.0027) * CHOOSE(CONTROL!$C$12, $D$4, 100%, $F$4)</f>
        <v>12.002700000000001</v>
      </c>
      <c r="G662" s="8">
        <f>CHOOSE( CONTROL!$C$29, 10.8582, 10.8515) * CHOOSE( CONTROL!$C$12, $D$4, 100%, $F$4)</f>
        <v>10.8515</v>
      </c>
      <c r="H662" s="4">
        <f>CHOOSE( CONTROL!$C$29, 11.7559, 11.7491) * CHOOSE(CONTROL!$C$12, $D$4, 100%, $F$4)</f>
        <v>11.7491</v>
      </c>
      <c r="I662" s="8">
        <f>CHOOSE( CONTROL!$C$29, 10.7241, 10.7175) * CHOOSE(CONTROL!$C$12, $D$4, 100%, $F$4)</f>
        <v>10.717499999999999</v>
      </c>
      <c r="J662" s="4">
        <f>CHOOSE( CONTROL!$C$29, 10.692, 10.6854) * CHOOSE(CONTROL!$C$12, $D$4, 100%, $F$4)</f>
        <v>10.6854</v>
      </c>
      <c r="K662" s="4"/>
      <c r="L662" s="9">
        <v>29.520499999999998</v>
      </c>
      <c r="M662" s="9">
        <v>12.063700000000001</v>
      </c>
      <c r="N662" s="9">
        <v>4.9444999999999997</v>
      </c>
      <c r="O662" s="9">
        <v>0.37459999999999999</v>
      </c>
      <c r="P662" s="9">
        <v>1.2192000000000001</v>
      </c>
      <c r="Q662" s="9">
        <v>19.688099999999999</v>
      </c>
      <c r="R662" s="9"/>
      <c r="S662" s="11"/>
    </row>
    <row r="663" spans="1:19" ht="15.6">
      <c r="A663" s="13">
        <v>62274</v>
      </c>
      <c r="B663" s="8">
        <f>CHOOSE( CONTROL!$C$29, 10.8578, 10.851) * CHOOSE(CONTROL!$C$12, $D$4, 100%, $F$4)</f>
        <v>10.851000000000001</v>
      </c>
      <c r="C663" s="8">
        <f>CHOOSE( CONTROL!$C$29, 10.8681, 10.8613) * CHOOSE(CONTROL!$C$12, $D$4, 100%, $F$4)</f>
        <v>10.8613</v>
      </c>
      <c r="D663" s="8">
        <f>CHOOSE( CONTROL!$C$29, 10.8428, 10.836) * CHOOSE( CONTROL!$C$12, $D$4, 100%, $F$4)</f>
        <v>10.836</v>
      </c>
      <c r="E663" s="12">
        <f>CHOOSE( CONTROL!$C$29, 10.8504, 10.8436) * CHOOSE( CONTROL!$C$12, $D$4, 100%, $F$4)</f>
        <v>10.8436</v>
      </c>
      <c r="F663" s="4">
        <f>CHOOSE( CONTROL!$C$29, 11.8219, 11.8151) * CHOOSE(CONTROL!$C$12, $D$4, 100%, $F$4)</f>
        <v>11.815099999999999</v>
      </c>
      <c r="G663" s="8">
        <f>CHOOSE( CONTROL!$C$29, 10.6822, 10.6754) * CHOOSE( CONTROL!$C$12, $D$4, 100%, $F$4)</f>
        <v>10.6754</v>
      </c>
      <c r="H663" s="4">
        <f>CHOOSE( CONTROL!$C$29, 11.5709, 11.5642) * CHOOSE(CONTROL!$C$12, $D$4, 100%, $F$4)</f>
        <v>11.5642</v>
      </c>
      <c r="I663" s="8">
        <f>CHOOSE( CONTROL!$C$29, 10.5544, 10.5477) * CHOOSE(CONTROL!$C$12, $D$4, 100%, $F$4)</f>
        <v>10.547700000000001</v>
      </c>
      <c r="J663" s="4">
        <f>CHOOSE( CONTROL!$C$29, 10.5203, 10.5136) * CHOOSE(CONTROL!$C$12, $D$4, 100%, $F$4)</f>
        <v>10.5136</v>
      </c>
      <c r="K663" s="4"/>
      <c r="L663" s="9">
        <v>28.568200000000001</v>
      </c>
      <c r="M663" s="9">
        <v>11.6745</v>
      </c>
      <c r="N663" s="9">
        <v>4.7850000000000001</v>
      </c>
      <c r="O663" s="9">
        <v>0.36249999999999999</v>
      </c>
      <c r="P663" s="9">
        <v>1.1798</v>
      </c>
      <c r="Q663" s="9">
        <v>19.053000000000001</v>
      </c>
      <c r="R663" s="9"/>
      <c r="S663" s="11"/>
    </row>
    <row r="664" spans="1:19" ht="15.6">
      <c r="A664" s="13">
        <v>62305</v>
      </c>
      <c r="B664" s="8">
        <f>CHOOSE( CONTROL!$C$29, 11.3247, 11.3178) * CHOOSE(CONTROL!$C$12, $D$4, 100%, $F$4)</f>
        <v>11.3178</v>
      </c>
      <c r="C664" s="8">
        <f>CHOOSE( CONTROL!$C$29, 11.335, 11.3282) * CHOOSE(CONTROL!$C$12, $D$4, 100%, $F$4)</f>
        <v>11.328200000000001</v>
      </c>
      <c r="D664" s="8">
        <f>CHOOSE( CONTROL!$C$29, 11.3431, 11.3363) * CHOOSE( CONTROL!$C$12, $D$4, 100%, $F$4)</f>
        <v>11.3363</v>
      </c>
      <c r="E664" s="12">
        <f>CHOOSE( CONTROL!$C$29, 11.3386, 11.3318) * CHOOSE( CONTROL!$C$12, $D$4, 100%, $F$4)</f>
        <v>11.331799999999999</v>
      </c>
      <c r="F664" s="4">
        <f>CHOOSE( CONTROL!$C$29, 12.3337, 12.3269) * CHOOSE(CONTROL!$C$12, $D$4, 100%, $F$4)</f>
        <v>12.3269</v>
      </c>
      <c r="G664" s="8">
        <f>CHOOSE( CONTROL!$C$29, 11.1684, 11.1617) * CHOOSE( CONTROL!$C$12, $D$4, 100%, $F$4)</f>
        <v>11.1617</v>
      </c>
      <c r="H664" s="4">
        <f>CHOOSE( CONTROL!$C$29, 12.0754, 12.0687) * CHOOSE(CONTROL!$C$12, $D$4, 100%, $F$4)</f>
        <v>12.0687</v>
      </c>
      <c r="I664" s="8">
        <f>CHOOSE( CONTROL!$C$29, 11.0623, 11.0557) * CHOOSE(CONTROL!$C$12, $D$4, 100%, $F$4)</f>
        <v>11.0557</v>
      </c>
      <c r="J664" s="4">
        <f>CHOOSE( CONTROL!$C$29, 10.9727, 10.966) * CHOOSE(CONTROL!$C$12, $D$4, 100%, $F$4)</f>
        <v>10.965999999999999</v>
      </c>
      <c r="K664" s="4"/>
      <c r="L664" s="9">
        <v>29.520499999999998</v>
      </c>
      <c r="M664" s="9">
        <v>12.063700000000001</v>
      </c>
      <c r="N664" s="9">
        <v>4.9444999999999997</v>
      </c>
      <c r="O664" s="9">
        <v>0.37459999999999999</v>
      </c>
      <c r="P664" s="9">
        <v>1.2192000000000001</v>
      </c>
      <c r="Q664" s="9">
        <v>19.688099999999999</v>
      </c>
      <c r="R664" s="9"/>
      <c r="S664" s="11"/>
    </row>
    <row r="665" spans="1:19" ht="15.6">
      <c r="A665" s="13">
        <v>62336</v>
      </c>
      <c r="B665" s="8">
        <f>CHOOSE( CONTROL!$C$29, 10.4511, 10.4443) * CHOOSE(CONTROL!$C$12, $D$4, 100%, $F$4)</f>
        <v>10.4443</v>
      </c>
      <c r="C665" s="8">
        <f>CHOOSE( CONTROL!$C$29, 10.4614, 10.4546) * CHOOSE(CONTROL!$C$12, $D$4, 100%, $F$4)</f>
        <v>10.454599999999999</v>
      </c>
      <c r="D665" s="8">
        <f>CHOOSE( CONTROL!$C$29, 10.4629, 10.4561) * CHOOSE( CONTROL!$C$12, $D$4, 100%, $F$4)</f>
        <v>10.456099999999999</v>
      </c>
      <c r="E665" s="12">
        <f>CHOOSE( CONTROL!$C$29, 10.4608, 10.454) * CHOOSE( CONTROL!$C$12, $D$4, 100%, $F$4)</f>
        <v>10.454000000000001</v>
      </c>
      <c r="F665" s="4">
        <f>CHOOSE( CONTROL!$C$29, 11.4575, 11.4507) * CHOOSE(CONTROL!$C$12, $D$4, 100%, $F$4)</f>
        <v>11.450699999999999</v>
      </c>
      <c r="G665" s="8">
        <f>CHOOSE( CONTROL!$C$29, 10.2974, 10.2906) * CHOOSE( CONTROL!$C$12, $D$4, 100%, $F$4)</f>
        <v>10.2906</v>
      </c>
      <c r="H665" s="4">
        <f>CHOOSE( CONTROL!$C$29, 11.2117, 11.205) * CHOOSE(CONTROL!$C$12, $D$4, 100%, $F$4)</f>
        <v>11.205</v>
      </c>
      <c r="I665" s="8">
        <f>CHOOSE( CONTROL!$C$29, 10.1965, 10.1898) * CHOOSE(CONTROL!$C$12, $D$4, 100%, $F$4)</f>
        <v>10.1898</v>
      </c>
      <c r="J665" s="4">
        <f>CHOOSE( CONTROL!$C$29, 10.1262, 10.1195) * CHOOSE(CONTROL!$C$12, $D$4, 100%, $F$4)</f>
        <v>10.1195</v>
      </c>
      <c r="K665" s="4"/>
      <c r="L665" s="9">
        <v>29.520499999999998</v>
      </c>
      <c r="M665" s="9">
        <v>12.063700000000001</v>
      </c>
      <c r="N665" s="9">
        <v>4.9444999999999997</v>
      </c>
      <c r="O665" s="9">
        <v>0.37459999999999999</v>
      </c>
      <c r="P665" s="9">
        <v>1.2192000000000001</v>
      </c>
      <c r="Q665" s="9">
        <v>19.688099999999999</v>
      </c>
      <c r="R665" s="9"/>
      <c r="S665" s="11"/>
    </row>
    <row r="666" spans="1:19" ht="15.6">
      <c r="A666" s="13">
        <v>62366</v>
      </c>
      <c r="B666" s="8">
        <f>CHOOSE( CONTROL!$C$29, 10.2323, 10.2255) * CHOOSE(CONTROL!$C$12, $D$4, 100%, $F$4)</f>
        <v>10.2255</v>
      </c>
      <c r="C666" s="8">
        <f>CHOOSE( CONTROL!$C$29, 10.2427, 10.2358) * CHOOSE(CONTROL!$C$12, $D$4, 100%, $F$4)</f>
        <v>10.235799999999999</v>
      </c>
      <c r="D666" s="8">
        <f>CHOOSE( CONTROL!$C$29, 10.2473, 10.2405) * CHOOSE( CONTROL!$C$12, $D$4, 100%, $F$4)</f>
        <v>10.240500000000001</v>
      </c>
      <c r="E666" s="12">
        <f>CHOOSE( CONTROL!$C$29, 10.244, 10.2372) * CHOOSE( CONTROL!$C$12, $D$4, 100%, $F$4)</f>
        <v>10.2372</v>
      </c>
      <c r="F666" s="4">
        <f>CHOOSE( CONTROL!$C$29, 11.2439, 11.2371) * CHOOSE(CONTROL!$C$12, $D$4, 100%, $F$4)</f>
        <v>11.2371</v>
      </c>
      <c r="G666" s="8">
        <f>CHOOSE( CONTROL!$C$29, 10.0838, 10.0771) * CHOOSE( CONTROL!$C$12, $D$4, 100%, $F$4)</f>
        <v>10.0771</v>
      </c>
      <c r="H666" s="4">
        <f>CHOOSE( CONTROL!$C$29, 11.0012, 10.9944) * CHOOSE(CONTROL!$C$12, $D$4, 100%, $F$4)</f>
        <v>10.994400000000001</v>
      </c>
      <c r="I666" s="8">
        <f>CHOOSE( CONTROL!$C$29, 9.9922, 9.9856) * CHOOSE(CONTROL!$C$12, $D$4, 100%, $F$4)</f>
        <v>9.9855999999999998</v>
      </c>
      <c r="J666" s="4">
        <f>CHOOSE( CONTROL!$C$29, 9.9142, 9.9076) * CHOOSE(CONTROL!$C$12, $D$4, 100%, $F$4)</f>
        <v>9.9076000000000004</v>
      </c>
      <c r="K666" s="4"/>
      <c r="L666" s="9">
        <v>28.568200000000001</v>
      </c>
      <c r="M666" s="9">
        <v>11.6745</v>
      </c>
      <c r="N666" s="9">
        <v>4.7850000000000001</v>
      </c>
      <c r="O666" s="9">
        <v>0.36249999999999999</v>
      </c>
      <c r="P666" s="9">
        <v>1.1798</v>
      </c>
      <c r="Q666" s="9">
        <v>19.053000000000001</v>
      </c>
      <c r="R666" s="9"/>
      <c r="S666" s="11"/>
    </row>
    <row r="667" spans="1:19" ht="15.6">
      <c r="A667" s="13">
        <v>62397</v>
      </c>
      <c r="B667" s="8">
        <f>10.6797 * CHOOSE(CONTROL!$C$12, $D$4, 100%, $F$4)</f>
        <v>10.6797</v>
      </c>
      <c r="C667" s="8">
        <f>10.69 * CHOOSE(CONTROL!$C$12, $D$4, 100%, $F$4)</f>
        <v>10.69</v>
      </c>
      <c r="D667" s="8">
        <f>10.6851 * CHOOSE( CONTROL!$C$12, $D$4, 100%, $F$4)</f>
        <v>10.6851</v>
      </c>
      <c r="E667" s="12">
        <f>10.6856 * CHOOSE( CONTROL!$C$12, $D$4, 100%, $F$4)</f>
        <v>10.685600000000001</v>
      </c>
      <c r="F667" s="4">
        <f>11.6707 * CHOOSE(CONTROL!$C$12, $D$4, 100%, $F$4)</f>
        <v>11.6707</v>
      </c>
      <c r="G667" s="8">
        <f>10.5216 * CHOOSE( CONTROL!$C$12, $D$4, 100%, $F$4)</f>
        <v>10.521599999999999</v>
      </c>
      <c r="H667" s="4">
        <f>11.4218 * CHOOSE(CONTROL!$C$12, $D$4, 100%, $F$4)</f>
        <v>11.421799999999999</v>
      </c>
      <c r="I667" s="8">
        <f>10.4298 * CHOOSE(CONTROL!$C$12, $D$4, 100%, $F$4)</f>
        <v>10.4298</v>
      </c>
      <c r="J667" s="4">
        <f>10.3477 * CHOOSE(CONTROL!$C$12, $D$4, 100%, $F$4)</f>
        <v>10.3477</v>
      </c>
      <c r="K667" s="4"/>
      <c r="L667" s="9">
        <v>28.921800000000001</v>
      </c>
      <c r="M667" s="9">
        <v>12.063700000000001</v>
      </c>
      <c r="N667" s="9">
        <v>4.9444999999999997</v>
      </c>
      <c r="O667" s="9">
        <v>0.37459999999999999</v>
      </c>
      <c r="P667" s="9">
        <v>1.2192000000000001</v>
      </c>
      <c r="Q667" s="9">
        <v>19.688099999999999</v>
      </c>
      <c r="R667" s="9"/>
      <c r="S667" s="11"/>
    </row>
    <row r="668" spans="1:19" ht="15.6">
      <c r="A668" s="13">
        <v>62427</v>
      </c>
      <c r="B668" s="8">
        <f>11.5181 * CHOOSE(CONTROL!$C$12, $D$4, 100%, $F$4)</f>
        <v>11.5181</v>
      </c>
      <c r="C668" s="8">
        <f>11.5284 * CHOOSE(CONTROL!$C$12, $D$4, 100%, $F$4)</f>
        <v>11.5284</v>
      </c>
      <c r="D668" s="8">
        <f>11.4877 * CHOOSE( CONTROL!$C$12, $D$4, 100%, $F$4)</f>
        <v>11.4877</v>
      </c>
      <c r="E668" s="12">
        <f>11.5015 * CHOOSE( CONTROL!$C$12, $D$4, 100%, $F$4)</f>
        <v>11.5015</v>
      </c>
      <c r="F668" s="4">
        <f>12.4951 * CHOOSE(CONTROL!$C$12, $D$4, 100%, $F$4)</f>
        <v>12.495100000000001</v>
      </c>
      <c r="G668" s="8">
        <f>11.342 * CHOOSE( CONTROL!$C$12, $D$4, 100%, $F$4)</f>
        <v>11.342000000000001</v>
      </c>
      <c r="H668" s="4">
        <f>12.2345 * CHOOSE(CONTROL!$C$12, $D$4, 100%, $F$4)</f>
        <v>12.234500000000001</v>
      </c>
      <c r="I668" s="8">
        <f>11.2269 * CHOOSE(CONTROL!$C$12, $D$4, 100%, $F$4)</f>
        <v>11.226900000000001</v>
      </c>
      <c r="J668" s="4">
        <f>11.1601 * CHOOSE(CONTROL!$C$12, $D$4, 100%, $F$4)</f>
        <v>11.1601</v>
      </c>
      <c r="K668" s="4"/>
      <c r="L668" s="9">
        <v>26.515499999999999</v>
      </c>
      <c r="M668" s="9">
        <v>11.6745</v>
      </c>
      <c r="N668" s="9">
        <v>4.7850000000000001</v>
      </c>
      <c r="O668" s="9">
        <v>0.36249999999999999</v>
      </c>
      <c r="P668" s="9">
        <v>1.2522</v>
      </c>
      <c r="Q668" s="9">
        <v>19.053000000000001</v>
      </c>
      <c r="R668" s="9"/>
      <c r="S668" s="11"/>
    </row>
    <row r="669" spans="1:19" ht="15.6">
      <c r="A669" s="13">
        <v>62458</v>
      </c>
      <c r="B669" s="8">
        <f>11.4971 * CHOOSE(CONTROL!$C$12, $D$4, 100%, $F$4)</f>
        <v>11.4971</v>
      </c>
      <c r="C669" s="8">
        <f>11.5075 * CHOOSE(CONTROL!$C$12, $D$4, 100%, $F$4)</f>
        <v>11.5075</v>
      </c>
      <c r="D669" s="8">
        <f>11.4687 * CHOOSE( CONTROL!$C$12, $D$4, 100%, $F$4)</f>
        <v>11.4687</v>
      </c>
      <c r="E669" s="12">
        <f>11.4818 * CHOOSE( CONTROL!$C$12, $D$4, 100%, $F$4)</f>
        <v>11.4818</v>
      </c>
      <c r="F669" s="4">
        <f>12.4675 * CHOOSE(CONTROL!$C$12, $D$4, 100%, $F$4)</f>
        <v>12.467499999999999</v>
      </c>
      <c r="G669" s="8">
        <f>11.3237 * CHOOSE( CONTROL!$C$12, $D$4, 100%, $F$4)</f>
        <v>11.323700000000001</v>
      </c>
      <c r="H669" s="4">
        <f>12.2073 * CHOOSE(CONTROL!$C$12, $D$4, 100%, $F$4)</f>
        <v>12.2073</v>
      </c>
      <c r="I669" s="8">
        <f>11.2173 * CHOOSE(CONTROL!$C$12, $D$4, 100%, $F$4)</f>
        <v>11.2173</v>
      </c>
      <c r="J669" s="4">
        <f>11.1398 * CHOOSE(CONTROL!$C$12, $D$4, 100%, $F$4)</f>
        <v>11.139799999999999</v>
      </c>
      <c r="K669" s="4"/>
      <c r="L669" s="9">
        <v>27.3993</v>
      </c>
      <c r="M669" s="9">
        <v>12.063700000000001</v>
      </c>
      <c r="N669" s="9">
        <v>4.9444999999999997</v>
      </c>
      <c r="O669" s="9">
        <v>0.37459999999999999</v>
      </c>
      <c r="P669" s="9">
        <v>1.2939000000000001</v>
      </c>
      <c r="Q669" s="9">
        <v>19.688099999999999</v>
      </c>
      <c r="R669" s="9"/>
      <c r="S669" s="11"/>
    </row>
    <row r="670" spans="1:19" ht="15.6">
      <c r="A670" s="13">
        <v>62489</v>
      </c>
      <c r="B670" s="8">
        <f>11.7654 * CHOOSE(CONTROL!$C$12, $D$4, 100%, $F$4)</f>
        <v>11.7654</v>
      </c>
      <c r="C670" s="8">
        <f>11.7757 * CHOOSE(CONTROL!$C$12, $D$4, 100%, $F$4)</f>
        <v>11.775700000000001</v>
      </c>
      <c r="D670" s="8">
        <f>11.7755 * CHOOSE( CONTROL!$C$12, $D$4, 100%, $F$4)</f>
        <v>11.775499999999999</v>
      </c>
      <c r="E670" s="12">
        <f>11.7745 * CHOOSE( CONTROL!$C$12, $D$4, 100%, $F$4)</f>
        <v>11.7745</v>
      </c>
      <c r="F670" s="4">
        <f>12.7873 * CHOOSE(CONTROL!$C$12, $D$4, 100%, $F$4)</f>
        <v>12.7873</v>
      </c>
      <c r="G670" s="8">
        <f>11.6291 * CHOOSE( CONTROL!$C$12, $D$4, 100%, $F$4)</f>
        <v>11.629099999999999</v>
      </c>
      <c r="H670" s="4">
        <f>12.5226 * CHOOSE(CONTROL!$C$12, $D$4, 100%, $F$4)</f>
        <v>12.522600000000001</v>
      </c>
      <c r="I670" s="8">
        <f>11.514 * CHOOSE(CONTROL!$C$12, $D$4, 100%, $F$4)</f>
        <v>11.513999999999999</v>
      </c>
      <c r="J670" s="4">
        <f>11.3997 * CHOOSE(CONTROL!$C$12, $D$4, 100%, $F$4)</f>
        <v>11.399699999999999</v>
      </c>
      <c r="K670" s="4"/>
      <c r="L670" s="9">
        <v>27.3993</v>
      </c>
      <c r="M670" s="9">
        <v>12.063700000000001</v>
      </c>
      <c r="N670" s="9">
        <v>4.9444999999999997</v>
      </c>
      <c r="O670" s="9">
        <v>0.37459999999999999</v>
      </c>
      <c r="P670" s="9">
        <v>1.2939000000000001</v>
      </c>
      <c r="Q670" s="9">
        <v>19.688099999999999</v>
      </c>
      <c r="R670" s="9"/>
      <c r="S670" s="11"/>
    </row>
    <row r="671" spans="1:19" ht="15.6">
      <c r="A671" s="13">
        <v>62517</v>
      </c>
      <c r="B671" s="8">
        <f>11.0049 * CHOOSE(CONTROL!$C$12, $D$4, 100%, $F$4)</f>
        <v>11.004899999999999</v>
      </c>
      <c r="C671" s="8">
        <f>11.0152 * CHOOSE(CONTROL!$C$12, $D$4, 100%, $F$4)</f>
        <v>11.0152</v>
      </c>
      <c r="D671" s="8">
        <f>11.0173 * CHOOSE( CONTROL!$C$12, $D$4, 100%, $F$4)</f>
        <v>11.017300000000001</v>
      </c>
      <c r="E671" s="12">
        <f>11.0154 * CHOOSE( CONTROL!$C$12, $D$4, 100%, $F$4)</f>
        <v>11.0154</v>
      </c>
      <c r="F671" s="4">
        <f>12.019 * CHOOSE(CONTROL!$C$12, $D$4, 100%, $F$4)</f>
        <v>12.019</v>
      </c>
      <c r="G671" s="8">
        <f>10.8793 * CHOOSE( CONTROL!$C$12, $D$4, 100%, $F$4)</f>
        <v>10.879300000000001</v>
      </c>
      <c r="H671" s="4">
        <f>11.7652 * CHOOSE(CONTROL!$C$12, $D$4, 100%, $F$4)</f>
        <v>11.7652</v>
      </c>
      <c r="I671" s="8">
        <f>10.7658 * CHOOSE(CONTROL!$C$12, $D$4, 100%, $F$4)</f>
        <v>10.7658</v>
      </c>
      <c r="J671" s="4">
        <f>10.6628 * CHOOSE(CONTROL!$C$12, $D$4, 100%, $F$4)</f>
        <v>10.662800000000001</v>
      </c>
      <c r="K671" s="4"/>
      <c r="L671" s="9">
        <v>24.747800000000002</v>
      </c>
      <c r="M671" s="9">
        <v>10.8962</v>
      </c>
      <c r="N671" s="9">
        <v>4.4660000000000002</v>
      </c>
      <c r="O671" s="9">
        <v>0.33829999999999999</v>
      </c>
      <c r="P671" s="9">
        <v>1.1687000000000001</v>
      </c>
      <c r="Q671" s="9">
        <v>17.782800000000002</v>
      </c>
      <c r="R671" s="9"/>
      <c r="S671" s="11"/>
    </row>
    <row r="672" spans="1:19" ht="15.6">
      <c r="A672" s="13">
        <v>62548</v>
      </c>
      <c r="B672" s="8">
        <f>10.7706 * CHOOSE(CONTROL!$C$12, $D$4, 100%, $F$4)</f>
        <v>10.7706</v>
      </c>
      <c r="C672" s="8">
        <f>10.7809 * CHOOSE(CONTROL!$C$12, $D$4, 100%, $F$4)</f>
        <v>10.780900000000001</v>
      </c>
      <c r="D672" s="8">
        <f>10.7631 * CHOOSE( CONTROL!$C$12, $D$4, 100%, $F$4)</f>
        <v>10.7631</v>
      </c>
      <c r="E672" s="12">
        <f>10.7685 * CHOOSE( CONTROL!$C$12, $D$4, 100%, $F$4)</f>
        <v>10.7685</v>
      </c>
      <c r="F672" s="4">
        <f>11.7688 * CHOOSE(CONTROL!$C$12, $D$4, 100%, $F$4)</f>
        <v>11.768800000000001</v>
      </c>
      <c r="G672" s="8">
        <f>10.6279 * CHOOSE( CONTROL!$C$12, $D$4, 100%, $F$4)</f>
        <v>10.6279</v>
      </c>
      <c r="H672" s="4">
        <f>11.5186 * CHOOSE(CONTROL!$C$12, $D$4, 100%, $F$4)</f>
        <v>11.518599999999999</v>
      </c>
      <c r="I672" s="8">
        <f>10.4991 * CHOOSE(CONTROL!$C$12, $D$4, 100%, $F$4)</f>
        <v>10.4991</v>
      </c>
      <c r="J672" s="4">
        <f>10.4358 * CHOOSE(CONTROL!$C$12, $D$4, 100%, $F$4)</f>
        <v>10.4358</v>
      </c>
      <c r="K672" s="4"/>
      <c r="L672" s="9">
        <v>27.3993</v>
      </c>
      <c r="M672" s="9">
        <v>12.063700000000001</v>
      </c>
      <c r="N672" s="9">
        <v>4.9444999999999997</v>
      </c>
      <c r="O672" s="9">
        <v>0.37459999999999999</v>
      </c>
      <c r="P672" s="9">
        <v>1.2939000000000001</v>
      </c>
      <c r="Q672" s="9">
        <v>19.688099999999999</v>
      </c>
      <c r="R672" s="9"/>
      <c r="S672" s="11"/>
    </row>
    <row r="673" spans="1:19" ht="15.6">
      <c r="A673" s="13">
        <v>62578</v>
      </c>
      <c r="B673" s="8">
        <f>10.9343 * CHOOSE(CONTROL!$C$12, $D$4, 100%, $F$4)</f>
        <v>10.9343</v>
      </c>
      <c r="C673" s="8">
        <f>10.9446 * CHOOSE(CONTROL!$C$12, $D$4, 100%, $F$4)</f>
        <v>10.944599999999999</v>
      </c>
      <c r="D673" s="8">
        <f>10.9497 * CHOOSE( CONTROL!$C$12, $D$4, 100%, $F$4)</f>
        <v>10.9497</v>
      </c>
      <c r="E673" s="12">
        <f>10.9468 * CHOOSE( CONTROL!$C$12, $D$4, 100%, $F$4)</f>
        <v>10.9468</v>
      </c>
      <c r="F673" s="4">
        <f>11.9407 * CHOOSE(CONTROL!$C$12, $D$4, 100%, $F$4)</f>
        <v>11.9407</v>
      </c>
      <c r="G673" s="8">
        <f>10.7771 * CHOOSE( CONTROL!$C$12, $D$4, 100%, $F$4)</f>
        <v>10.777100000000001</v>
      </c>
      <c r="H673" s="4">
        <f>11.6881 * CHOOSE(CONTROL!$C$12, $D$4, 100%, $F$4)</f>
        <v>11.6881</v>
      </c>
      <c r="I673" s="8">
        <f>10.6479 * CHOOSE(CONTROL!$C$12, $D$4, 100%, $F$4)</f>
        <v>10.6479</v>
      </c>
      <c r="J673" s="4">
        <f>10.5944 * CHOOSE(CONTROL!$C$12, $D$4, 100%, $F$4)</f>
        <v>10.5944</v>
      </c>
      <c r="K673" s="4"/>
      <c r="L673" s="9">
        <v>27.988800000000001</v>
      </c>
      <c r="M673" s="9">
        <v>11.6745</v>
      </c>
      <c r="N673" s="9">
        <v>4.7850000000000001</v>
      </c>
      <c r="O673" s="9">
        <v>0.36249999999999999</v>
      </c>
      <c r="P673" s="9">
        <v>1.1798</v>
      </c>
      <c r="Q673" s="9">
        <v>19.053000000000001</v>
      </c>
      <c r="R673" s="9"/>
      <c r="S673" s="11"/>
    </row>
    <row r="674" spans="1:19" ht="15.6">
      <c r="A674" s="13">
        <v>62609</v>
      </c>
      <c r="B674" s="8">
        <f>CHOOSE( CONTROL!$C$29, 11.2325, 11.2256) * CHOOSE(CONTROL!$C$12, $D$4, 100%, $F$4)</f>
        <v>11.2256</v>
      </c>
      <c r="C674" s="8">
        <f>CHOOSE( CONTROL!$C$29, 11.2428, 11.236) * CHOOSE(CONTROL!$C$12, $D$4, 100%, $F$4)</f>
        <v>11.236000000000001</v>
      </c>
      <c r="D674" s="8">
        <f>CHOOSE( CONTROL!$C$29, 11.223, 11.2162) * CHOOSE( CONTROL!$C$12, $D$4, 100%, $F$4)</f>
        <v>11.216200000000001</v>
      </c>
      <c r="E674" s="12">
        <f>CHOOSE( CONTROL!$C$29, 11.2286, 11.2218) * CHOOSE( CONTROL!$C$12, $D$4, 100%, $F$4)</f>
        <v>11.2218</v>
      </c>
      <c r="F674" s="4">
        <f>CHOOSE( CONTROL!$C$29, 12.2069, 12.2001) * CHOOSE(CONTROL!$C$12, $D$4, 100%, $F$4)</f>
        <v>12.200100000000001</v>
      </c>
      <c r="G674" s="8">
        <f>CHOOSE( CONTROL!$C$29, 11.0528, 11.046) * CHOOSE( CONTROL!$C$12, $D$4, 100%, $F$4)</f>
        <v>11.045999999999999</v>
      </c>
      <c r="H674" s="4">
        <f>CHOOSE( CONTROL!$C$29, 11.9504, 11.9437) * CHOOSE(CONTROL!$C$12, $D$4, 100%, $F$4)</f>
        <v>11.9437</v>
      </c>
      <c r="I674" s="8">
        <f>CHOOSE( CONTROL!$C$29, 10.9155, 10.9088) * CHOOSE(CONTROL!$C$12, $D$4, 100%, $F$4)</f>
        <v>10.908799999999999</v>
      </c>
      <c r="J674" s="4">
        <f>CHOOSE( CONTROL!$C$29, 10.8833, 10.8767) * CHOOSE(CONTROL!$C$12, $D$4, 100%, $F$4)</f>
        <v>10.8767</v>
      </c>
      <c r="K674" s="4"/>
      <c r="L674" s="9">
        <v>29.520499999999998</v>
      </c>
      <c r="M674" s="9">
        <v>12.063700000000001</v>
      </c>
      <c r="N674" s="9">
        <v>4.9444999999999997</v>
      </c>
      <c r="O674" s="9">
        <v>0.37459999999999999</v>
      </c>
      <c r="P674" s="9">
        <v>1.2192000000000001</v>
      </c>
      <c r="Q674" s="9">
        <v>19.688099999999999</v>
      </c>
      <c r="R674" s="9"/>
      <c r="S674" s="11"/>
    </row>
    <row r="675" spans="1:19" ht="15.6">
      <c r="A675" s="13">
        <v>62639</v>
      </c>
      <c r="B675" s="8">
        <f>CHOOSE( CONTROL!$C$29, 11.052, 11.0452) * CHOOSE(CONTROL!$C$12, $D$4, 100%, $F$4)</f>
        <v>11.045199999999999</v>
      </c>
      <c r="C675" s="8">
        <f>CHOOSE( CONTROL!$C$29, 11.0623, 11.0555) * CHOOSE(CONTROL!$C$12, $D$4, 100%, $F$4)</f>
        <v>11.0555</v>
      </c>
      <c r="D675" s="8">
        <f>CHOOSE( CONTROL!$C$29, 11.037, 11.0302) * CHOOSE( CONTROL!$C$12, $D$4, 100%, $F$4)</f>
        <v>11.030200000000001</v>
      </c>
      <c r="E675" s="12">
        <f>CHOOSE( CONTROL!$C$29, 11.0446, 11.0378) * CHOOSE( CONTROL!$C$12, $D$4, 100%, $F$4)</f>
        <v>11.037800000000001</v>
      </c>
      <c r="F675" s="4">
        <f>CHOOSE( CONTROL!$C$29, 12.0161, 12.0093) * CHOOSE(CONTROL!$C$12, $D$4, 100%, $F$4)</f>
        <v>12.0093</v>
      </c>
      <c r="G675" s="8">
        <f>CHOOSE( CONTROL!$C$29, 10.8736, 10.8669) * CHOOSE( CONTROL!$C$12, $D$4, 100%, $F$4)</f>
        <v>10.866899999999999</v>
      </c>
      <c r="H675" s="4">
        <f>CHOOSE( CONTROL!$C$29, 11.7624, 11.7556) * CHOOSE(CONTROL!$C$12, $D$4, 100%, $F$4)</f>
        <v>11.755599999999999</v>
      </c>
      <c r="I675" s="8">
        <f>CHOOSE( CONTROL!$C$29, 10.7427, 10.736) * CHOOSE(CONTROL!$C$12, $D$4, 100%, $F$4)</f>
        <v>10.736000000000001</v>
      </c>
      <c r="J675" s="4">
        <f>CHOOSE( CONTROL!$C$29, 10.7084, 10.7018) * CHOOSE(CONTROL!$C$12, $D$4, 100%, $F$4)</f>
        <v>10.7018</v>
      </c>
      <c r="K675" s="4"/>
      <c r="L675" s="9">
        <v>28.568200000000001</v>
      </c>
      <c r="M675" s="9">
        <v>11.6745</v>
      </c>
      <c r="N675" s="9">
        <v>4.7850000000000001</v>
      </c>
      <c r="O675" s="9">
        <v>0.36249999999999999</v>
      </c>
      <c r="P675" s="9">
        <v>1.1798</v>
      </c>
      <c r="Q675" s="9">
        <v>19.053000000000001</v>
      </c>
      <c r="R675" s="9"/>
      <c r="S675" s="11"/>
    </row>
    <row r="676" spans="1:19" ht="15.6">
      <c r="A676" s="13">
        <v>62670</v>
      </c>
      <c r="B676" s="8">
        <f>CHOOSE( CONTROL!$C$29, 11.5272, 11.5204) * CHOOSE(CONTROL!$C$12, $D$4, 100%, $F$4)</f>
        <v>11.5204</v>
      </c>
      <c r="C676" s="8">
        <f>CHOOSE( CONTROL!$C$29, 11.5376, 11.5307) * CHOOSE(CONTROL!$C$12, $D$4, 100%, $F$4)</f>
        <v>11.5307</v>
      </c>
      <c r="D676" s="8">
        <f>CHOOSE( CONTROL!$C$29, 11.5457, 11.5389) * CHOOSE( CONTROL!$C$12, $D$4, 100%, $F$4)</f>
        <v>11.5389</v>
      </c>
      <c r="E676" s="12">
        <f>CHOOSE( CONTROL!$C$29, 11.5412, 11.5344) * CHOOSE( CONTROL!$C$12, $D$4, 100%, $F$4)</f>
        <v>11.5344</v>
      </c>
      <c r="F676" s="4">
        <f>CHOOSE( CONTROL!$C$29, 12.5363, 12.5294) * CHOOSE(CONTROL!$C$12, $D$4, 100%, $F$4)</f>
        <v>12.529400000000001</v>
      </c>
      <c r="G676" s="8">
        <f>CHOOSE( CONTROL!$C$29, 11.3681, 11.3614) * CHOOSE( CONTROL!$C$12, $D$4, 100%, $F$4)</f>
        <v>11.3614</v>
      </c>
      <c r="H676" s="4">
        <f>CHOOSE( CONTROL!$C$29, 12.2751, 12.2683) * CHOOSE(CONTROL!$C$12, $D$4, 100%, $F$4)</f>
        <v>12.2683</v>
      </c>
      <c r="I676" s="8">
        <f>CHOOSE( CONTROL!$C$29, 11.2587, 11.2521) * CHOOSE(CONTROL!$C$12, $D$4, 100%, $F$4)</f>
        <v>11.2521</v>
      </c>
      <c r="J676" s="4">
        <f>CHOOSE( CONTROL!$C$29, 11.1689, 11.1623) * CHOOSE(CONTROL!$C$12, $D$4, 100%, $F$4)</f>
        <v>11.1623</v>
      </c>
      <c r="K676" s="4"/>
      <c r="L676" s="9">
        <v>29.520499999999998</v>
      </c>
      <c r="M676" s="9">
        <v>12.063700000000001</v>
      </c>
      <c r="N676" s="9">
        <v>4.9444999999999997</v>
      </c>
      <c r="O676" s="9">
        <v>0.37459999999999999</v>
      </c>
      <c r="P676" s="9">
        <v>1.2192000000000001</v>
      </c>
      <c r="Q676" s="9">
        <v>19.688099999999999</v>
      </c>
      <c r="R676" s="9"/>
      <c r="S676" s="11"/>
    </row>
    <row r="677" spans="1:19" ht="15.6">
      <c r="A677" s="13">
        <v>62701</v>
      </c>
      <c r="B677" s="8">
        <f>CHOOSE( CONTROL!$C$29, 10.638, 10.6312) * CHOOSE(CONTROL!$C$12, $D$4, 100%, $F$4)</f>
        <v>10.6312</v>
      </c>
      <c r="C677" s="8">
        <f>CHOOSE( CONTROL!$C$29, 10.6483, 10.6415) * CHOOSE(CONTROL!$C$12, $D$4, 100%, $F$4)</f>
        <v>10.641500000000001</v>
      </c>
      <c r="D677" s="8">
        <f>CHOOSE( CONTROL!$C$29, 10.6498, 10.643) * CHOOSE( CONTROL!$C$12, $D$4, 100%, $F$4)</f>
        <v>10.643000000000001</v>
      </c>
      <c r="E677" s="12">
        <f>CHOOSE( CONTROL!$C$29, 10.6477, 10.6409) * CHOOSE( CONTROL!$C$12, $D$4, 100%, $F$4)</f>
        <v>10.6409</v>
      </c>
      <c r="F677" s="4">
        <f>CHOOSE( CONTROL!$C$29, 11.6445, 11.6376) * CHOOSE(CONTROL!$C$12, $D$4, 100%, $F$4)</f>
        <v>11.637600000000001</v>
      </c>
      <c r="G677" s="8">
        <f>CHOOSE( CONTROL!$C$29, 10.4817, 10.4749) * CHOOSE( CONTROL!$C$12, $D$4, 100%, $F$4)</f>
        <v>10.4749</v>
      </c>
      <c r="H677" s="4">
        <f>CHOOSE( CONTROL!$C$29, 11.396, 11.3892) * CHOOSE(CONTROL!$C$12, $D$4, 100%, $F$4)</f>
        <v>11.389200000000001</v>
      </c>
      <c r="I677" s="8">
        <f>CHOOSE( CONTROL!$C$29, 10.3777, 10.3711) * CHOOSE(CONTROL!$C$12, $D$4, 100%, $F$4)</f>
        <v>10.3711</v>
      </c>
      <c r="J677" s="4">
        <f>CHOOSE( CONTROL!$C$29, 10.3073, 10.3007) * CHOOSE(CONTROL!$C$12, $D$4, 100%, $F$4)</f>
        <v>10.300700000000001</v>
      </c>
      <c r="K677" s="4"/>
      <c r="L677" s="9">
        <v>29.520499999999998</v>
      </c>
      <c r="M677" s="9">
        <v>12.063700000000001</v>
      </c>
      <c r="N677" s="9">
        <v>4.9444999999999997</v>
      </c>
      <c r="O677" s="9">
        <v>0.37459999999999999</v>
      </c>
      <c r="P677" s="9">
        <v>1.2192000000000001</v>
      </c>
      <c r="Q677" s="9">
        <v>19.688099999999999</v>
      </c>
      <c r="R677" s="9"/>
      <c r="S677" s="11"/>
    </row>
    <row r="678" spans="1:19" ht="15.6">
      <c r="A678" s="13">
        <v>62731</v>
      </c>
      <c r="B678" s="8">
        <f>CHOOSE( CONTROL!$C$29, 10.4154, 10.4085) * CHOOSE(CONTROL!$C$12, $D$4, 100%, $F$4)</f>
        <v>10.4085</v>
      </c>
      <c r="C678" s="8">
        <f>CHOOSE( CONTROL!$C$29, 10.4257, 10.4188) * CHOOSE(CONTROL!$C$12, $D$4, 100%, $F$4)</f>
        <v>10.418799999999999</v>
      </c>
      <c r="D678" s="8">
        <f>CHOOSE( CONTROL!$C$29, 10.4304, 10.4235) * CHOOSE( CONTROL!$C$12, $D$4, 100%, $F$4)</f>
        <v>10.423500000000001</v>
      </c>
      <c r="E678" s="12">
        <f>CHOOSE( CONTROL!$C$29, 10.4271, 10.4202) * CHOOSE( CONTROL!$C$12, $D$4, 100%, $F$4)</f>
        <v>10.420199999999999</v>
      </c>
      <c r="F678" s="4">
        <f>CHOOSE( CONTROL!$C$29, 11.427, 11.4201) * CHOOSE(CONTROL!$C$12, $D$4, 100%, $F$4)</f>
        <v>11.4201</v>
      </c>
      <c r="G678" s="8">
        <f>CHOOSE( CONTROL!$C$29, 10.2642, 10.2575) * CHOOSE( CONTROL!$C$12, $D$4, 100%, $F$4)</f>
        <v>10.2575</v>
      </c>
      <c r="H678" s="4">
        <f>CHOOSE( CONTROL!$C$29, 11.1816, 11.1748) * CHOOSE(CONTROL!$C$12, $D$4, 100%, $F$4)</f>
        <v>11.174799999999999</v>
      </c>
      <c r="I678" s="8">
        <f>CHOOSE( CONTROL!$C$29, 10.1696, 10.163) * CHOOSE(CONTROL!$C$12, $D$4, 100%, $F$4)</f>
        <v>10.163</v>
      </c>
      <c r="J678" s="4">
        <f>CHOOSE( CONTROL!$C$29, 10.0915, 10.0849) * CHOOSE(CONTROL!$C$12, $D$4, 100%, $F$4)</f>
        <v>10.084899999999999</v>
      </c>
      <c r="K678" s="4"/>
      <c r="L678" s="9">
        <v>28.568200000000001</v>
      </c>
      <c r="M678" s="9">
        <v>11.6745</v>
      </c>
      <c r="N678" s="9">
        <v>4.7850000000000001</v>
      </c>
      <c r="O678" s="9">
        <v>0.36249999999999999</v>
      </c>
      <c r="P678" s="9">
        <v>1.1798</v>
      </c>
      <c r="Q678" s="9">
        <v>19.053000000000001</v>
      </c>
      <c r="R678" s="9"/>
      <c r="S678" s="11"/>
    </row>
    <row r="679" spans="1:19" ht="15.6">
      <c r="A679" s="13">
        <v>62762</v>
      </c>
      <c r="B679" s="8">
        <f>10.8709 * CHOOSE(CONTROL!$C$12, $D$4, 100%, $F$4)</f>
        <v>10.870900000000001</v>
      </c>
      <c r="C679" s="8">
        <f>10.8812 * CHOOSE(CONTROL!$C$12, $D$4, 100%, $F$4)</f>
        <v>10.8812</v>
      </c>
      <c r="D679" s="8">
        <f>10.8762 * CHOOSE( CONTROL!$C$12, $D$4, 100%, $F$4)</f>
        <v>10.876200000000001</v>
      </c>
      <c r="E679" s="12">
        <f>10.8768 * CHOOSE( CONTROL!$C$12, $D$4, 100%, $F$4)</f>
        <v>10.876799999999999</v>
      </c>
      <c r="F679" s="4">
        <f>11.8618 * CHOOSE(CONTROL!$C$12, $D$4, 100%, $F$4)</f>
        <v>11.861800000000001</v>
      </c>
      <c r="G679" s="8">
        <f>10.71 * CHOOSE( CONTROL!$C$12, $D$4, 100%, $F$4)</f>
        <v>10.71</v>
      </c>
      <c r="H679" s="4">
        <f>11.6102 * CHOOSE(CONTROL!$C$12, $D$4, 100%, $F$4)</f>
        <v>11.610200000000001</v>
      </c>
      <c r="I679" s="8">
        <f>10.6151 * CHOOSE(CONTROL!$C$12, $D$4, 100%, $F$4)</f>
        <v>10.6151</v>
      </c>
      <c r="J679" s="4">
        <f>10.5329 * CHOOSE(CONTROL!$C$12, $D$4, 100%, $F$4)</f>
        <v>10.5329</v>
      </c>
      <c r="K679" s="4"/>
      <c r="L679" s="9">
        <v>28.921800000000001</v>
      </c>
      <c r="M679" s="9">
        <v>12.063700000000001</v>
      </c>
      <c r="N679" s="9">
        <v>4.9444999999999997</v>
      </c>
      <c r="O679" s="9">
        <v>0.37459999999999999</v>
      </c>
      <c r="P679" s="9">
        <v>1.2192000000000001</v>
      </c>
      <c r="Q679" s="9">
        <v>19.688099999999999</v>
      </c>
      <c r="R679" s="9"/>
      <c r="S679" s="11"/>
    </row>
    <row r="680" spans="1:19" ht="15.6">
      <c r="A680" s="13">
        <v>62792</v>
      </c>
      <c r="B680" s="8">
        <f>11.7242 * CHOOSE(CONTROL!$C$12, $D$4, 100%, $F$4)</f>
        <v>11.7242</v>
      </c>
      <c r="C680" s="8">
        <f>11.7346 * CHOOSE(CONTROL!$C$12, $D$4, 100%, $F$4)</f>
        <v>11.7346</v>
      </c>
      <c r="D680" s="8">
        <f>11.6939 * CHOOSE( CONTROL!$C$12, $D$4, 100%, $F$4)</f>
        <v>11.693899999999999</v>
      </c>
      <c r="E680" s="12">
        <f>11.7077 * CHOOSE( CONTROL!$C$12, $D$4, 100%, $F$4)</f>
        <v>11.707700000000001</v>
      </c>
      <c r="F680" s="4">
        <f>12.7013 * CHOOSE(CONTROL!$C$12, $D$4, 100%, $F$4)</f>
        <v>12.7013</v>
      </c>
      <c r="G680" s="8">
        <f>11.5452 * CHOOSE( CONTROL!$C$12, $D$4, 100%, $F$4)</f>
        <v>11.545199999999999</v>
      </c>
      <c r="H680" s="4">
        <f>12.4377 * CHOOSE(CONTROL!$C$12, $D$4, 100%, $F$4)</f>
        <v>12.4377</v>
      </c>
      <c r="I680" s="8">
        <f>11.4267 * CHOOSE(CONTROL!$C$12, $D$4, 100%, $F$4)</f>
        <v>11.4267</v>
      </c>
      <c r="J680" s="4">
        <f>11.3598 * CHOOSE(CONTROL!$C$12, $D$4, 100%, $F$4)</f>
        <v>11.3598</v>
      </c>
      <c r="K680" s="4"/>
      <c r="L680" s="9">
        <v>26.515499999999999</v>
      </c>
      <c r="M680" s="9">
        <v>11.6745</v>
      </c>
      <c r="N680" s="9">
        <v>4.7850000000000001</v>
      </c>
      <c r="O680" s="9">
        <v>0.36249999999999999</v>
      </c>
      <c r="P680" s="9">
        <v>1.2522</v>
      </c>
      <c r="Q680" s="9">
        <v>19.053000000000001</v>
      </c>
      <c r="R680" s="9"/>
      <c r="S680" s="11"/>
    </row>
    <row r="681" spans="1:19" ht="15.6">
      <c r="A681" s="13">
        <v>62823</v>
      </c>
      <c r="B681" s="8">
        <f>11.7029 * CHOOSE(CONTROL!$C$12, $D$4, 100%, $F$4)</f>
        <v>11.7029</v>
      </c>
      <c r="C681" s="8">
        <f>11.7132 * CHOOSE(CONTROL!$C$12, $D$4, 100%, $F$4)</f>
        <v>11.713200000000001</v>
      </c>
      <c r="D681" s="8">
        <f>11.6744 * CHOOSE( CONTROL!$C$12, $D$4, 100%, $F$4)</f>
        <v>11.6744</v>
      </c>
      <c r="E681" s="12">
        <f>11.6875 * CHOOSE( CONTROL!$C$12, $D$4, 100%, $F$4)</f>
        <v>11.6875</v>
      </c>
      <c r="F681" s="4">
        <f>12.6732 * CHOOSE(CONTROL!$C$12, $D$4, 100%, $F$4)</f>
        <v>12.6732</v>
      </c>
      <c r="G681" s="8">
        <f>11.5265 * CHOOSE( CONTROL!$C$12, $D$4, 100%, $F$4)</f>
        <v>11.5265</v>
      </c>
      <c r="H681" s="4">
        <f>12.4101 * CHOOSE(CONTROL!$C$12, $D$4, 100%, $F$4)</f>
        <v>12.4101</v>
      </c>
      <c r="I681" s="8">
        <f>11.4168 * CHOOSE(CONTROL!$C$12, $D$4, 100%, $F$4)</f>
        <v>11.4168</v>
      </c>
      <c r="J681" s="4">
        <f>11.3392 * CHOOSE(CONTROL!$C$12, $D$4, 100%, $F$4)</f>
        <v>11.3392</v>
      </c>
      <c r="K681" s="4"/>
      <c r="L681" s="9">
        <v>27.3993</v>
      </c>
      <c r="M681" s="9">
        <v>12.063700000000001</v>
      </c>
      <c r="N681" s="9">
        <v>4.9444999999999997</v>
      </c>
      <c r="O681" s="9">
        <v>0.37459999999999999</v>
      </c>
      <c r="P681" s="9">
        <v>1.2939000000000001</v>
      </c>
      <c r="Q681" s="9">
        <v>19.688099999999999</v>
      </c>
      <c r="R681" s="9"/>
      <c r="S681" s="11"/>
    </row>
    <row r="682" spans="1:19" ht="15.6">
      <c r="A682" s="13">
        <v>62854</v>
      </c>
      <c r="B682" s="8">
        <f>11.976 * CHOOSE(CONTROL!$C$12, $D$4, 100%, $F$4)</f>
        <v>11.976000000000001</v>
      </c>
      <c r="C682" s="8">
        <f>11.9863 * CHOOSE(CONTROL!$C$12, $D$4, 100%, $F$4)</f>
        <v>11.9863</v>
      </c>
      <c r="D682" s="8">
        <f>11.9861 * CHOOSE( CONTROL!$C$12, $D$4, 100%, $F$4)</f>
        <v>11.9861</v>
      </c>
      <c r="E682" s="12">
        <f>11.9851 * CHOOSE( CONTROL!$C$12, $D$4, 100%, $F$4)</f>
        <v>11.985099999999999</v>
      </c>
      <c r="F682" s="4">
        <f>12.9979 * CHOOSE(CONTROL!$C$12, $D$4, 100%, $F$4)</f>
        <v>12.9979</v>
      </c>
      <c r="G682" s="8">
        <f>11.8367 * CHOOSE( CONTROL!$C$12, $D$4, 100%, $F$4)</f>
        <v>11.8367</v>
      </c>
      <c r="H682" s="4">
        <f>12.7302 * CHOOSE(CONTROL!$C$12, $D$4, 100%, $F$4)</f>
        <v>12.7302</v>
      </c>
      <c r="I682" s="8">
        <f>11.7182 * CHOOSE(CONTROL!$C$12, $D$4, 100%, $F$4)</f>
        <v>11.7182</v>
      </c>
      <c r="J682" s="4">
        <f>11.6038 * CHOOSE(CONTROL!$C$12, $D$4, 100%, $F$4)</f>
        <v>11.6038</v>
      </c>
      <c r="K682" s="4"/>
      <c r="L682" s="9">
        <v>27.3993</v>
      </c>
      <c r="M682" s="9">
        <v>12.063700000000001</v>
      </c>
      <c r="N682" s="9">
        <v>4.9444999999999997</v>
      </c>
      <c r="O682" s="9">
        <v>0.37459999999999999</v>
      </c>
      <c r="P682" s="9">
        <v>1.2939000000000001</v>
      </c>
      <c r="Q682" s="9">
        <v>19.688099999999999</v>
      </c>
      <c r="R682" s="9"/>
      <c r="S682" s="11"/>
    </row>
    <row r="683" spans="1:19" ht="15.6">
      <c r="A683" s="13">
        <v>62883</v>
      </c>
      <c r="B683" s="8">
        <f>11.2018 * CHOOSE(CONTROL!$C$12, $D$4, 100%, $F$4)</f>
        <v>11.2018</v>
      </c>
      <c r="C683" s="8">
        <f>11.2122 * CHOOSE(CONTROL!$C$12, $D$4, 100%, $F$4)</f>
        <v>11.212199999999999</v>
      </c>
      <c r="D683" s="8">
        <f>11.2142 * CHOOSE( CONTROL!$C$12, $D$4, 100%, $F$4)</f>
        <v>11.2142</v>
      </c>
      <c r="E683" s="12">
        <f>11.2124 * CHOOSE( CONTROL!$C$12, $D$4, 100%, $F$4)</f>
        <v>11.212400000000001</v>
      </c>
      <c r="F683" s="4">
        <f>12.216 * CHOOSE(CONTROL!$C$12, $D$4, 100%, $F$4)</f>
        <v>12.215999999999999</v>
      </c>
      <c r="G683" s="8">
        <f>11.0734 * CHOOSE( CONTROL!$C$12, $D$4, 100%, $F$4)</f>
        <v>11.073399999999999</v>
      </c>
      <c r="H683" s="4">
        <f>11.9594 * CHOOSE(CONTROL!$C$12, $D$4, 100%, $F$4)</f>
        <v>11.9594</v>
      </c>
      <c r="I683" s="8">
        <f>10.9567 * CHOOSE(CONTROL!$C$12, $D$4, 100%, $F$4)</f>
        <v>10.9567</v>
      </c>
      <c r="J683" s="4">
        <f>10.8536 * CHOOSE(CONTROL!$C$12, $D$4, 100%, $F$4)</f>
        <v>10.8536</v>
      </c>
      <c r="K683" s="4"/>
      <c r="L683" s="9">
        <v>25.631599999999999</v>
      </c>
      <c r="M683" s="9">
        <v>11.285299999999999</v>
      </c>
      <c r="N683" s="9">
        <v>4.6254999999999997</v>
      </c>
      <c r="O683" s="9">
        <v>0.35039999999999999</v>
      </c>
      <c r="P683" s="9">
        <v>1.2104999999999999</v>
      </c>
      <c r="Q683" s="9">
        <v>18.417899999999999</v>
      </c>
      <c r="R683" s="9"/>
      <c r="S683" s="11"/>
    </row>
    <row r="684" spans="1:19" ht="15.6">
      <c r="A684" s="13">
        <v>62914</v>
      </c>
      <c r="B684" s="8">
        <f>10.9634 * CHOOSE(CONTROL!$C$12, $D$4, 100%, $F$4)</f>
        <v>10.9634</v>
      </c>
      <c r="C684" s="8">
        <f>10.9737 * CHOOSE(CONTROL!$C$12, $D$4, 100%, $F$4)</f>
        <v>10.973699999999999</v>
      </c>
      <c r="D684" s="8">
        <f>10.9559 * CHOOSE( CONTROL!$C$12, $D$4, 100%, $F$4)</f>
        <v>10.9559</v>
      </c>
      <c r="E684" s="12">
        <f>10.9613 * CHOOSE( CONTROL!$C$12, $D$4, 100%, $F$4)</f>
        <v>10.9613</v>
      </c>
      <c r="F684" s="4">
        <f>11.9616 * CHOOSE(CONTROL!$C$12, $D$4, 100%, $F$4)</f>
        <v>11.961600000000001</v>
      </c>
      <c r="G684" s="8">
        <f>10.8179 * CHOOSE( CONTROL!$C$12, $D$4, 100%, $F$4)</f>
        <v>10.8179</v>
      </c>
      <c r="H684" s="4">
        <f>11.7086 * CHOOSE(CONTROL!$C$12, $D$4, 100%, $F$4)</f>
        <v>11.708600000000001</v>
      </c>
      <c r="I684" s="8">
        <f>10.686 * CHOOSE(CONTROL!$C$12, $D$4, 100%, $F$4)</f>
        <v>10.686</v>
      </c>
      <c r="J684" s="4">
        <f>10.6226 * CHOOSE(CONTROL!$C$12, $D$4, 100%, $F$4)</f>
        <v>10.6226</v>
      </c>
      <c r="K684" s="4"/>
      <c r="L684" s="9">
        <v>27.3993</v>
      </c>
      <c r="M684" s="9">
        <v>12.063700000000001</v>
      </c>
      <c r="N684" s="9">
        <v>4.9444999999999997</v>
      </c>
      <c r="O684" s="9">
        <v>0.37459999999999999</v>
      </c>
      <c r="P684" s="9">
        <v>1.2939000000000001</v>
      </c>
      <c r="Q684" s="9">
        <v>19.688099999999999</v>
      </c>
      <c r="R684" s="9"/>
      <c r="S684" s="11"/>
    </row>
    <row r="685" spans="1:19" ht="15.6">
      <c r="A685" s="13">
        <v>62944</v>
      </c>
      <c r="B685" s="8">
        <f>11.13 * CHOOSE(CONTROL!$C$12, $D$4, 100%, $F$4)</f>
        <v>11.13</v>
      </c>
      <c r="C685" s="8">
        <f>11.1403 * CHOOSE(CONTROL!$C$12, $D$4, 100%, $F$4)</f>
        <v>11.1403</v>
      </c>
      <c r="D685" s="8">
        <f>11.1454 * CHOOSE( CONTROL!$C$12, $D$4, 100%, $F$4)</f>
        <v>11.1454</v>
      </c>
      <c r="E685" s="12">
        <f>11.1425 * CHOOSE( CONTROL!$C$12, $D$4, 100%, $F$4)</f>
        <v>11.1425</v>
      </c>
      <c r="F685" s="4">
        <f>12.1365 * CHOOSE(CONTROL!$C$12, $D$4, 100%, $F$4)</f>
        <v>12.1365</v>
      </c>
      <c r="G685" s="8">
        <f>10.97 * CHOOSE( CONTROL!$C$12, $D$4, 100%, $F$4)</f>
        <v>10.97</v>
      </c>
      <c r="H685" s="4">
        <f>11.881 * CHOOSE(CONTROL!$C$12, $D$4, 100%, $F$4)</f>
        <v>11.881</v>
      </c>
      <c r="I685" s="8">
        <f>10.8377 * CHOOSE(CONTROL!$C$12, $D$4, 100%, $F$4)</f>
        <v>10.8377</v>
      </c>
      <c r="J685" s="4">
        <f>10.784 * CHOOSE(CONTROL!$C$12, $D$4, 100%, $F$4)</f>
        <v>10.784000000000001</v>
      </c>
      <c r="K685" s="4"/>
      <c r="L685" s="9">
        <v>27.988800000000001</v>
      </c>
      <c r="M685" s="9">
        <v>11.6745</v>
      </c>
      <c r="N685" s="9">
        <v>4.7850000000000001</v>
      </c>
      <c r="O685" s="9">
        <v>0.36249999999999999</v>
      </c>
      <c r="P685" s="9">
        <v>1.1798</v>
      </c>
      <c r="Q685" s="9">
        <v>19.053000000000001</v>
      </c>
      <c r="R685" s="9"/>
      <c r="S685" s="11"/>
    </row>
    <row r="686" spans="1:19" ht="15.6">
      <c r="A686" s="13">
        <v>62975</v>
      </c>
      <c r="B686" s="8">
        <f>CHOOSE( CONTROL!$C$29, 11.4334, 11.4266) * CHOOSE(CONTROL!$C$12, $D$4, 100%, $F$4)</f>
        <v>11.426600000000001</v>
      </c>
      <c r="C686" s="8">
        <f>CHOOSE( CONTROL!$C$29, 11.4437, 11.4369) * CHOOSE(CONTROL!$C$12, $D$4, 100%, $F$4)</f>
        <v>11.4369</v>
      </c>
      <c r="D686" s="8">
        <f>CHOOSE( CONTROL!$C$29, 11.424, 11.4171) * CHOOSE( CONTROL!$C$12, $D$4, 100%, $F$4)</f>
        <v>11.4171</v>
      </c>
      <c r="E686" s="12">
        <f>CHOOSE( CONTROL!$C$29, 11.4296, 11.4227) * CHOOSE( CONTROL!$C$12, $D$4, 100%, $F$4)</f>
        <v>11.422700000000001</v>
      </c>
      <c r="F686" s="4">
        <f>CHOOSE( CONTROL!$C$29, 12.4078, 12.401) * CHOOSE(CONTROL!$C$12, $D$4, 100%, $F$4)</f>
        <v>12.401</v>
      </c>
      <c r="G686" s="8">
        <f>CHOOSE( CONTROL!$C$29, 11.2508, 11.2441) * CHOOSE( CONTROL!$C$12, $D$4, 100%, $F$4)</f>
        <v>11.2441</v>
      </c>
      <c r="H686" s="4">
        <f>CHOOSE( CONTROL!$C$29, 12.1485, 12.1418) * CHOOSE(CONTROL!$C$12, $D$4, 100%, $F$4)</f>
        <v>12.1418</v>
      </c>
      <c r="I686" s="8">
        <f>CHOOSE( CONTROL!$C$29, 11.1102, 11.1036) * CHOOSE(CONTROL!$C$12, $D$4, 100%, $F$4)</f>
        <v>11.1036</v>
      </c>
      <c r="J686" s="4">
        <f>CHOOSE( CONTROL!$C$29, 11.078, 11.0714) * CHOOSE(CONTROL!$C$12, $D$4, 100%, $F$4)</f>
        <v>11.071400000000001</v>
      </c>
      <c r="K686" s="4"/>
      <c r="L686" s="9">
        <v>29.520499999999998</v>
      </c>
      <c r="M686" s="9">
        <v>12.063700000000001</v>
      </c>
      <c r="N686" s="9">
        <v>4.9444999999999997</v>
      </c>
      <c r="O686" s="9">
        <v>0.37459999999999999</v>
      </c>
      <c r="P686" s="9">
        <v>1.2192000000000001</v>
      </c>
      <c r="Q686" s="9">
        <v>19.688099999999999</v>
      </c>
      <c r="R686" s="9"/>
      <c r="S686" s="11"/>
    </row>
    <row r="687" spans="1:19" ht="15.6">
      <c r="A687" s="13">
        <v>63005</v>
      </c>
      <c r="B687" s="8">
        <f>CHOOSE( CONTROL!$C$29, 11.2497, 11.2429) * CHOOSE(CONTROL!$C$12, $D$4, 100%, $F$4)</f>
        <v>11.242900000000001</v>
      </c>
      <c r="C687" s="8">
        <f>CHOOSE( CONTROL!$C$29, 11.26, 11.2532) * CHOOSE(CONTROL!$C$12, $D$4, 100%, $F$4)</f>
        <v>11.2532</v>
      </c>
      <c r="D687" s="8">
        <f>CHOOSE( CONTROL!$C$29, 11.2347, 11.2279) * CHOOSE( CONTROL!$C$12, $D$4, 100%, $F$4)</f>
        <v>11.2279</v>
      </c>
      <c r="E687" s="12">
        <f>CHOOSE( CONTROL!$C$29, 11.2423, 11.2355) * CHOOSE( CONTROL!$C$12, $D$4, 100%, $F$4)</f>
        <v>11.2355</v>
      </c>
      <c r="F687" s="4">
        <f>CHOOSE( CONTROL!$C$29, 12.2138, 12.207) * CHOOSE(CONTROL!$C$12, $D$4, 100%, $F$4)</f>
        <v>12.207000000000001</v>
      </c>
      <c r="G687" s="8">
        <f>CHOOSE( CONTROL!$C$29, 11.0685, 11.0618) * CHOOSE( CONTROL!$C$12, $D$4, 100%, $F$4)</f>
        <v>11.0618</v>
      </c>
      <c r="H687" s="4">
        <f>CHOOSE( CONTROL!$C$29, 11.9572, 11.9505) * CHOOSE(CONTROL!$C$12, $D$4, 100%, $F$4)</f>
        <v>11.9505</v>
      </c>
      <c r="I687" s="8">
        <f>CHOOSE( CONTROL!$C$29, 10.9343, 10.9277) * CHOOSE(CONTROL!$C$12, $D$4, 100%, $F$4)</f>
        <v>10.9277</v>
      </c>
      <c r="J687" s="4">
        <f>CHOOSE( CONTROL!$C$29, 10.9, 10.8934) * CHOOSE(CONTROL!$C$12, $D$4, 100%, $F$4)</f>
        <v>10.8934</v>
      </c>
      <c r="K687" s="4"/>
      <c r="L687" s="9">
        <v>28.568200000000001</v>
      </c>
      <c r="M687" s="9">
        <v>11.6745</v>
      </c>
      <c r="N687" s="9">
        <v>4.7850000000000001</v>
      </c>
      <c r="O687" s="9">
        <v>0.36249999999999999</v>
      </c>
      <c r="P687" s="9">
        <v>1.1798</v>
      </c>
      <c r="Q687" s="9">
        <v>19.053000000000001</v>
      </c>
      <c r="R687" s="9"/>
      <c r="S687" s="11"/>
    </row>
    <row r="688" spans="1:19" ht="15.6">
      <c r="A688" s="13">
        <v>63036</v>
      </c>
      <c r="B688" s="8">
        <f>CHOOSE( CONTROL!$C$29, 11.7334, 11.7266) * CHOOSE(CONTROL!$C$12, $D$4, 100%, $F$4)</f>
        <v>11.726599999999999</v>
      </c>
      <c r="C688" s="8">
        <f>CHOOSE( CONTROL!$C$29, 11.7438, 11.7369) * CHOOSE(CONTROL!$C$12, $D$4, 100%, $F$4)</f>
        <v>11.7369</v>
      </c>
      <c r="D688" s="8">
        <f>CHOOSE( CONTROL!$C$29, 11.7519, 11.7451) * CHOOSE( CONTROL!$C$12, $D$4, 100%, $F$4)</f>
        <v>11.745100000000001</v>
      </c>
      <c r="E688" s="12">
        <f>CHOOSE( CONTROL!$C$29, 11.7474, 11.7406) * CHOOSE( CONTROL!$C$12, $D$4, 100%, $F$4)</f>
        <v>11.740600000000001</v>
      </c>
      <c r="F688" s="4">
        <f>CHOOSE( CONTROL!$C$29, 12.7425, 12.7356) * CHOOSE(CONTROL!$C$12, $D$4, 100%, $F$4)</f>
        <v>12.7356</v>
      </c>
      <c r="G688" s="8">
        <f>CHOOSE( CONTROL!$C$29, 11.5714, 11.5647) * CHOOSE( CONTROL!$C$12, $D$4, 100%, $F$4)</f>
        <v>11.5647</v>
      </c>
      <c r="H688" s="4">
        <f>CHOOSE( CONTROL!$C$29, 12.4783, 12.4716) * CHOOSE(CONTROL!$C$12, $D$4, 100%, $F$4)</f>
        <v>12.4716</v>
      </c>
      <c r="I688" s="8">
        <f>CHOOSE( CONTROL!$C$29, 11.4586, 11.452) * CHOOSE(CONTROL!$C$12, $D$4, 100%, $F$4)</f>
        <v>11.452</v>
      </c>
      <c r="J688" s="4">
        <f>CHOOSE( CONTROL!$C$29, 11.3688, 11.3621) * CHOOSE(CONTROL!$C$12, $D$4, 100%, $F$4)</f>
        <v>11.3621</v>
      </c>
      <c r="K688" s="4"/>
      <c r="L688" s="9">
        <v>29.520499999999998</v>
      </c>
      <c r="M688" s="9">
        <v>12.063700000000001</v>
      </c>
      <c r="N688" s="9">
        <v>4.9444999999999997</v>
      </c>
      <c r="O688" s="9">
        <v>0.37459999999999999</v>
      </c>
      <c r="P688" s="9">
        <v>1.2192000000000001</v>
      </c>
      <c r="Q688" s="9">
        <v>19.688099999999999</v>
      </c>
      <c r="R688" s="9"/>
      <c r="S688" s="11"/>
    </row>
    <row r="689" spans="1:19" ht="15.6">
      <c r="A689" s="13">
        <v>63067</v>
      </c>
      <c r="B689" s="8">
        <f>CHOOSE( CONTROL!$C$29, 10.8283, 10.8215) * CHOOSE(CONTROL!$C$12, $D$4, 100%, $F$4)</f>
        <v>10.8215</v>
      </c>
      <c r="C689" s="8">
        <f>CHOOSE( CONTROL!$C$29, 10.8386, 10.8318) * CHOOSE(CONTROL!$C$12, $D$4, 100%, $F$4)</f>
        <v>10.831799999999999</v>
      </c>
      <c r="D689" s="8">
        <f>CHOOSE( CONTROL!$C$29, 10.8401, 10.8333) * CHOOSE( CONTROL!$C$12, $D$4, 100%, $F$4)</f>
        <v>10.833299999999999</v>
      </c>
      <c r="E689" s="12">
        <f>CHOOSE( CONTROL!$C$29, 10.838, 10.8312) * CHOOSE( CONTROL!$C$12, $D$4, 100%, $F$4)</f>
        <v>10.831200000000001</v>
      </c>
      <c r="F689" s="4">
        <f>CHOOSE( CONTROL!$C$29, 11.8347, 11.8279) * CHOOSE(CONTROL!$C$12, $D$4, 100%, $F$4)</f>
        <v>11.8279</v>
      </c>
      <c r="G689" s="8">
        <f>CHOOSE( CONTROL!$C$29, 10.6692, 10.6625) * CHOOSE( CONTROL!$C$12, $D$4, 100%, $F$4)</f>
        <v>10.6625</v>
      </c>
      <c r="H689" s="4">
        <f>CHOOSE( CONTROL!$C$29, 11.5836, 11.5768) * CHOOSE(CONTROL!$C$12, $D$4, 100%, $F$4)</f>
        <v>11.5768</v>
      </c>
      <c r="I689" s="8">
        <f>CHOOSE( CONTROL!$C$29, 10.5622, 10.5555) * CHOOSE(CONTROL!$C$12, $D$4, 100%, $F$4)</f>
        <v>10.5555</v>
      </c>
      <c r="J689" s="4">
        <f>CHOOSE( CONTROL!$C$29, 10.4917, 10.4851) * CHOOSE(CONTROL!$C$12, $D$4, 100%, $F$4)</f>
        <v>10.485099999999999</v>
      </c>
      <c r="K689" s="4"/>
      <c r="L689" s="9">
        <v>29.520499999999998</v>
      </c>
      <c r="M689" s="9">
        <v>12.063700000000001</v>
      </c>
      <c r="N689" s="9">
        <v>4.9444999999999997</v>
      </c>
      <c r="O689" s="9">
        <v>0.37459999999999999</v>
      </c>
      <c r="P689" s="9">
        <v>1.2192000000000001</v>
      </c>
      <c r="Q689" s="9">
        <v>19.688099999999999</v>
      </c>
      <c r="R689" s="9"/>
      <c r="S689" s="11"/>
    </row>
    <row r="690" spans="1:19" ht="15.6">
      <c r="A690" s="13">
        <v>63097</v>
      </c>
      <c r="B690" s="8">
        <f>CHOOSE( CONTROL!$C$29, 10.6017, 10.5948) * CHOOSE(CONTROL!$C$12, $D$4, 100%, $F$4)</f>
        <v>10.594799999999999</v>
      </c>
      <c r="C690" s="8">
        <f>CHOOSE( CONTROL!$C$29, 10.612, 10.6051) * CHOOSE(CONTROL!$C$12, $D$4, 100%, $F$4)</f>
        <v>10.6051</v>
      </c>
      <c r="D690" s="8">
        <f>CHOOSE( CONTROL!$C$29, 10.6167, 10.6098) * CHOOSE( CONTROL!$C$12, $D$4, 100%, $F$4)</f>
        <v>10.6098</v>
      </c>
      <c r="E690" s="12">
        <f>CHOOSE( CONTROL!$C$29, 10.6134, 10.6065) * CHOOSE( CONTROL!$C$12, $D$4, 100%, $F$4)</f>
        <v>10.6065</v>
      </c>
      <c r="F690" s="4">
        <f>CHOOSE( CONTROL!$C$29, 11.6133, 11.6064) * CHOOSE(CONTROL!$C$12, $D$4, 100%, $F$4)</f>
        <v>11.606400000000001</v>
      </c>
      <c r="G690" s="8">
        <f>CHOOSE( CONTROL!$C$29, 10.4479, 10.4411) * CHOOSE( CONTROL!$C$12, $D$4, 100%, $F$4)</f>
        <v>10.4411</v>
      </c>
      <c r="H690" s="4">
        <f>CHOOSE( CONTROL!$C$29, 11.3652, 11.3585) * CHOOSE(CONTROL!$C$12, $D$4, 100%, $F$4)</f>
        <v>11.358499999999999</v>
      </c>
      <c r="I690" s="8">
        <f>CHOOSE( CONTROL!$C$29, 10.3502, 10.3436) * CHOOSE(CONTROL!$C$12, $D$4, 100%, $F$4)</f>
        <v>10.3436</v>
      </c>
      <c r="J690" s="4">
        <f>CHOOSE( CONTROL!$C$29, 10.2721, 10.2654) * CHOOSE(CONTROL!$C$12, $D$4, 100%, $F$4)</f>
        <v>10.2654</v>
      </c>
      <c r="K690" s="4"/>
      <c r="L690" s="9">
        <v>28.568200000000001</v>
      </c>
      <c r="M690" s="9">
        <v>11.6745</v>
      </c>
      <c r="N690" s="9">
        <v>4.7850000000000001</v>
      </c>
      <c r="O690" s="9">
        <v>0.36249999999999999</v>
      </c>
      <c r="P690" s="9">
        <v>1.1798</v>
      </c>
      <c r="Q690" s="9">
        <v>19.053000000000001</v>
      </c>
      <c r="R690" s="9"/>
      <c r="S690" s="11"/>
    </row>
    <row r="691" spans="1:19" ht="15.6">
      <c r="A691" s="13">
        <v>63128</v>
      </c>
      <c r="B691" s="8">
        <f>11.0654 * CHOOSE(CONTROL!$C$12, $D$4, 100%, $F$4)</f>
        <v>11.0654</v>
      </c>
      <c r="C691" s="8">
        <f>11.0757 * CHOOSE(CONTROL!$C$12, $D$4, 100%, $F$4)</f>
        <v>11.075699999999999</v>
      </c>
      <c r="D691" s="8">
        <f>11.0708 * CHOOSE( CONTROL!$C$12, $D$4, 100%, $F$4)</f>
        <v>11.0708</v>
      </c>
      <c r="E691" s="12">
        <f>11.0713 * CHOOSE( CONTROL!$C$12, $D$4, 100%, $F$4)</f>
        <v>11.071300000000001</v>
      </c>
      <c r="F691" s="4">
        <f>12.0564 * CHOOSE(CONTROL!$C$12, $D$4, 100%, $F$4)</f>
        <v>12.0564</v>
      </c>
      <c r="G691" s="8">
        <f>10.9018 * CHOOSE( CONTROL!$C$12, $D$4, 100%, $F$4)</f>
        <v>10.9018</v>
      </c>
      <c r="H691" s="4">
        <f>11.802 * CHOOSE(CONTROL!$C$12, $D$4, 100%, $F$4)</f>
        <v>11.802</v>
      </c>
      <c r="I691" s="8">
        <f>10.8037 * CHOOSE(CONTROL!$C$12, $D$4, 100%, $F$4)</f>
        <v>10.803699999999999</v>
      </c>
      <c r="J691" s="4">
        <f>10.7214 * CHOOSE(CONTROL!$C$12, $D$4, 100%, $F$4)</f>
        <v>10.721399999999999</v>
      </c>
      <c r="K691" s="4"/>
      <c r="L691" s="9">
        <v>28.921800000000001</v>
      </c>
      <c r="M691" s="9">
        <v>12.063700000000001</v>
      </c>
      <c r="N691" s="9">
        <v>4.9444999999999997</v>
      </c>
      <c r="O691" s="9">
        <v>0.37459999999999999</v>
      </c>
      <c r="P691" s="9">
        <v>1.2192000000000001</v>
      </c>
      <c r="Q691" s="9">
        <v>19.688099999999999</v>
      </c>
      <c r="R691" s="9"/>
      <c r="S691" s="11"/>
    </row>
    <row r="692" spans="1:19" ht="15.6">
      <c r="A692" s="13">
        <v>63158</v>
      </c>
      <c r="B692" s="8">
        <f>11.9341 * CHOOSE(CONTROL!$C$12, $D$4, 100%, $F$4)</f>
        <v>11.934100000000001</v>
      </c>
      <c r="C692" s="8">
        <f>11.9444 * CHOOSE(CONTROL!$C$12, $D$4, 100%, $F$4)</f>
        <v>11.9444</v>
      </c>
      <c r="D692" s="8">
        <f>11.9037 * CHOOSE( CONTROL!$C$12, $D$4, 100%, $F$4)</f>
        <v>11.903700000000001</v>
      </c>
      <c r="E692" s="12">
        <f>11.9175 * CHOOSE( CONTROL!$C$12, $D$4, 100%, $F$4)</f>
        <v>11.9175</v>
      </c>
      <c r="F692" s="4">
        <f>12.9111 * CHOOSE(CONTROL!$C$12, $D$4, 100%, $F$4)</f>
        <v>12.911099999999999</v>
      </c>
      <c r="G692" s="8">
        <f>11.752 * CHOOSE( CONTROL!$C$12, $D$4, 100%, $F$4)</f>
        <v>11.752000000000001</v>
      </c>
      <c r="H692" s="4">
        <f>12.6446 * CHOOSE(CONTROL!$C$12, $D$4, 100%, $F$4)</f>
        <v>12.644600000000001</v>
      </c>
      <c r="I692" s="8">
        <f>11.6302 * CHOOSE(CONTROL!$C$12, $D$4, 100%, $F$4)</f>
        <v>11.6302</v>
      </c>
      <c r="J692" s="4">
        <f>11.5632 * CHOOSE(CONTROL!$C$12, $D$4, 100%, $F$4)</f>
        <v>11.5632</v>
      </c>
      <c r="K692" s="4"/>
      <c r="L692" s="9">
        <v>26.515499999999999</v>
      </c>
      <c r="M692" s="9">
        <v>11.6745</v>
      </c>
      <c r="N692" s="9">
        <v>4.7850000000000001</v>
      </c>
      <c r="O692" s="9">
        <v>0.36249999999999999</v>
      </c>
      <c r="P692" s="9">
        <v>1.2522</v>
      </c>
      <c r="Q692" s="9">
        <v>19.053000000000001</v>
      </c>
      <c r="R692" s="9"/>
      <c r="S692" s="11"/>
    </row>
    <row r="693" spans="1:19" ht="15.6">
      <c r="A693" s="13">
        <v>63189</v>
      </c>
      <c r="B693" s="8">
        <f>11.9124 * CHOOSE(CONTROL!$C$12, $D$4, 100%, $F$4)</f>
        <v>11.9124</v>
      </c>
      <c r="C693" s="8">
        <f>11.9227 * CHOOSE(CONTROL!$C$12, $D$4, 100%, $F$4)</f>
        <v>11.922700000000001</v>
      </c>
      <c r="D693" s="8">
        <f>11.8839 * CHOOSE( CONTROL!$C$12, $D$4, 100%, $F$4)</f>
        <v>11.883900000000001</v>
      </c>
      <c r="E693" s="12">
        <f>11.897 * CHOOSE( CONTROL!$C$12, $D$4, 100%, $F$4)</f>
        <v>11.897</v>
      </c>
      <c r="F693" s="4">
        <f>12.8827 * CHOOSE(CONTROL!$C$12, $D$4, 100%, $F$4)</f>
        <v>12.8827</v>
      </c>
      <c r="G693" s="8">
        <f>11.733 * CHOOSE( CONTROL!$C$12, $D$4, 100%, $F$4)</f>
        <v>11.733000000000001</v>
      </c>
      <c r="H693" s="4">
        <f>12.6166 * CHOOSE(CONTROL!$C$12, $D$4, 100%, $F$4)</f>
        <v>12.6166</v>
      </c>
      <c r="I693" s="8">
        <f>11.6199 * CHOOSE(CONTROL!$C$12, $D$4, 100%, $F$4)</f>
        <v>11.619899999999999</v>
      </c>
      <c r="J693" s="4">
        <f>11.5422 * CHOOSE(CONTROL!$C$12, $D$4, 100%, $F$4)</f>
        <v>11.542199999999999</v>
      </c>
      <c r="K693" s="4"/>
      <c r="L693" s="9">
        <v>27.3993</v>
      </c>
      <c r="M693" s="9">
        <v>12.063700000000001</v>
      </c>
      <c r="N693" s="9">
        <v>4.9444999999999997</v>
      </c>
      <c r="O693" s="9">
        <v>0.37459999999999999</v>
      </c>
      <c r="P693" s="9">
        <v>1.2939000000000001</v>
      </c>
      <c r="Q693" s="9">
        <v>19.688099999999999</v>
      </c>
      <c r="R693" s="9"/>
      <c r="S693" s="11"/>
    </row>
    <row r="694" spans="1:19" ht="15.6">
      <c r="A694" s="13">
        <v>63220</v>
      </c>
      <c r="B694" s="8">
        <f>12.1904 * CHOOSE(CONTROL!$C$12, $D$4, 100%, $F$4)</f>
        <v>12.1904</v>
      </c>
      <c r="C694" s="8">
        <f>12.2007 * CHOOSE(CONTROL!$C$12, $D$4, 100%, $F$4)</f>
        <v>12.200699999999999</v>
      </c>
      <c r="D694" s="8">
        <f>12.2005 * CHOOSE( CONTROL!$C$12, $D$4, 100%, $F$4)</f>
        <v>12.2005</v>
      </c>
      <c r="E694" s="12">
        <f>12.1995 * CHOOSE( CONTROL!$C$12, $D$4, 100%, $F$4)</f>
        <v>12.1995</v>
      </c>
      <c r="F694" s="4">
        <f>13.2123 * CHOOSE(CONTROL!$C$12, $D$4, 100%, $F$4)</f>
        <v>13.212300000000001</v>
      </c>
      <c r="G694" s="8">
        <f>12.048 * CHOOSE( CONTROL!$C$12, $D$4, 100%, $F$4)</f>
        <v>12.048</v>
      </c>
      <c r="H694" s="4">
        <f>12.9415 * CHOOSE(CONTROL!$C$12, $D$4, 100%, $F$4)</f>
        <v>12.9415</v>
      </c>
      <c r="I694" s="8">
        <f>11.926 * CHOOSE(CONTROL!$C$12, $D$4, 100%, $F$4)</f>
        <v>11.926</v>
      </c>
      <c r="J694" s="4">
        <f>11.8115 * CHOOSE(CONTROL!$C$12, $D$4, 100%, $F$4)</f>
        <v>11.811500000000001</v>
      </c>
      <c r="K694" s="4"/>
      <c r="L694" s="9">
        <v>27.3993</v>
      </c>
      <c r="M694" s="9">
        <v>12.063700000000001</v>
      </c>
      <c r="N694" s="9">
        <v>4.9444999999999997</v>
      </c>
      <c r="O694" s="9">
        <v>0.37459999999999999</v>
      </c>
      <c r="P694" s="9">
        <v>1.2939000000000001</v>
      </c>
      <c r="Q694" s="9">
        <v>19.688099999999999</v>
      </c>
      <c r="R694" s="9"/>
      <c r="S694" s="11"/>
    </row>
    <row r="695" spans="1:19" ht="15.6">
      <c r="A695" s="13">
        <v>63248</v>
      </c>
      <c r="B695" s="8">
        <f>11.4023 * CHOOSE(CONTROL!$C$12, $D$4, 100%, $F$4)</f>
        <v>11.4023</v>
      </c>
      <c r="C695" s="8">
        <f>11.4127 * CHOOSE(CONTROL!$C$12, $D$4, 100%, $F$4)</f>
        <v>11.412699999999999</v>
      </c>
      <c r="D695" s="8">
        <f>11.4147 * CHOOSE( CONTROL!$C$12, $D$4, 100%, $F$4)</f>
        <v>11.4147</v>
      </c>
      <c r="E695" s="12">
        <f>11.4129 * CHOOSE( CONTROL!$C$12, $D$4, 100%, $F$4)</f>
        <v>11.4129</v>
      </c>
      <c r="F695" s="4">
        <f>12.4165 * CHOOSE(CONTROL!$C$12, $D$4, 100%, $F$4)</f>
        <v>12.416499999999999</v>
      </c>
      <c r="G695" s="8">
        <f>11.2711 * CHOOSE( CONTROL!$C$12, $D$4, 100%, $F$4)</f>
        <v>11.271100000000001</v>
      </c>
      <c r="H695" s="4">
        <f>12.157 * CHOOSE(CONTROL!$C$12, $D$4, 100%, $F$4)</f>
        <v>12.157</v>
      </c>
      <c r="I695" s="8">
        <f>11.1511 * CHOOSE(CONTROL!$C$12, $D$4, 100%, $F$4)</f>
        <v>11.1511</v>
      </c>
      <c r="J695" s="4">
        <f>11.0479 * CHOOSE(CONTROL!$C$12, $D$4, 100%, $F$4)</f>
        <v>11.0479</v>
      </c>
      <c r="K695" s="4"/>
      <c r="L695" s="9">
        <v>24.747800000000002</v>
      </c>
      <c r="M695" s="9">
        <v>10.8962</v>
      </c>
      <c r="N695" s="9">
        <v>4.4660000000000002</v>
      </c>
      <c r="O695" s="9">
        <v>0.33829999999999999</v>
      </c>
      <c r="P695" s="9">
        <v>1.1687000000000001</v>
      </c>
      <c r="Q695" s="9">
        <v>17.782800000000002</v>
      </c>
      <c r="R695" s="9"/>
      <c r="S695" s="11"/>
    </row>
    <row r="696" spans="1:19" ht="15.6">
      <c r="A696" s="13">
        <v>63279</v>
      </c>
      <c r="B696" s="8">
        <f>11.1596 * CHOOSE(CONTROL!$C$12, $D$4, 100%, $F$4)</f>
        <v>11.159599999999999</v>
      </c>
      <c r="C696" s="8">
        <f>11.1699 * CHOOSE(CONTROL!$C$12, $D$4, 100%, $F$4)</f>
        <v>11.1699</v>
      </c>
      <c r="D696" s="8">
        <f>11.1521 * CHOOSE( CONTROL!$C$12, $D$4, 100%, $F$4)</f>
        <v>11.152100000000001</v>
      </c>
      <c r="E696" s="12">
        <f>11.1575 * CHOOSE( CONTROL!$C$12, $D$4, 100%, $F$4)</f>
        <v>11.157500000000001</v>
      </c>
      <c r="F696" s="4">
        <f>12.1578 * CHOOSE(CONTROL!$C$12, $D$4, 100%, $F$4)</f>
        <v>12.1578</v>
      </c>
      <c r="G696" s="8">
        <f>11.0113 * CHOOSE( CONTROL!$C$12, $D$4, 100%, $F$4)</f>
        <v>11.0113</v>
      </c>
      <c r="H696" s="4">
        <f>11.902 * CHOOSE(CONTROL!$C$12, $D$4, 100%, $F$4)</f>
        <v>11.901999999999999</v>
      </c>
      <c r="I696" s="8">
        <f>10.8763 * CHOOSE(CONTROL!$C$12, $D$4, 100%, $F$4)</f>
        <v>10.876300000000001</v>
      </c>
      <c r="J696" s="4">
        <f>10.8127 * CHOOSE(CONTROL!$C$12, $D$4, 100%, $F$4)</f>
        <v>10.8127</v>
      </c>
      <c r="K696" s="4"/>
      <c r="L696" s="9">
        <v>27.3993</v>
      </c>
      <c r="M696" s="9">
        <v>12.063700000000001</v>
      </c>
      <c r="N696" s="9">
        <v>4.9444999999999997</v>
      </c>
      <c r="O696" s="9">
        <v>0.37459999999999999</v>
      </c>
      <c r="P696" s="9">
        <v>1.2939000000000001</v>
      </c>
      <c r="Q696" s="9">
        <v>19.688099999999999</v>
      </c>
      <c r="R696" s="9"/>
      <c r="S696" s="11"/>
    </row>
    <row r="697" spans="1:19" ht="15.6">
      <c r="A697" s="13">
        <v>63309</v>
      </c>
      <c r="B697" s="8">
        <f>11.3292 * CHOOSE(CONTROL!$C$12, $D$4, 100%, $F$4)</f>
        <v>11.3292</v>
      </c>
      <c r="C697" s="8">
        <f>11.3395 * CHOOSE(CONTROL!$C$12, $D$4, 100%, $F$4)</f>
        <v>11.339499999999999</v>
      </c>
      <c r="D697" s="8">
        <f>11.3446 * CHOOSE( CONTROL!$C$12, $D$4, 100%, $F$4)</f>
        <v>11.3446</v>
      </c>
      <c r="E697" s="12">
        <f>11.3417 * CHOOSE( CONTROL!$C$12, $D$4, 100%, $F$4)</f>
        <v>11.341699999999999</v>
      </c>
      <c r="F697" s="4">
        <f>12.3357 * CHOOSE(CONTROL!$C$12, $D$4, 100%, $F$4)</f>
        <v>12.335699999999999</v>
      </c>
      <c r="G697" s="8">
        <f>11.1664 * CHOOSE( CONTROL!$C$12, $D$4, 100%, $F$4)</f>
        <v>11.166399999999999</v>
      </c>
      <c r="H697" s="4">
        <f>12.0773 * CHOOSE(CONTROL!$C$12, $D$4, 100%, $F$4)</f>
        <v>12.077299999999999</v>
      </c>
      <c r="I697" s="8">
        <f>11.0308 * CHOOSE(CONTROL!$C$12, $D$4, 100%, $F$4)</f>
        <v>11.030799999999999</v>
      </c>
      <c r="J697" s="4">
        <f>10.9771 * CHOOSE(CONTROL!$C$12, $D$4, 100%, $F$4)</f>
        <v>10.9771</v>
      </c>
      <c r="K697" s="4"/>
      <c r="L697" s="9">
        <v>27.988800000000001</v>
      </c>
      <c r="M697" s="9">
        <v>11.6745</v>
      </c>
      <c r="N697" s="9">
        <v>4.7850000000000001</v>
      </c>
      <c r="O697" s="9">
        <v>0.36249999999999999</v>
      </c>
      <c r="P697" s="9">
        <v>1.1798</v>
      </c>
      <c r="Q697" s="9">
        <v>19.053000000000001</v>
      </c>
      <c r="R697" s="9"/>
      <c r="S697" s="11"/>
    </row>
    <row r="698" spans="1:19" ht="15.6">
      <c r="A698" s="13">
        <v>63340</v>
      </c>
      <c r="B698" s="8">
        <f>CHOOSE( CONTROL!$C$29, 11.6379, 11.6311) * CHOOSE(CONTROL!$C$12, $D$4, 100%, $F$4)</f>
        <v>11.6311</v>
      </c>
      <c r="C698" s="8">
        <f>CHOOSE( CONTROL!$C$29, 11.6482, 11.6414) * CHOOSE(CONTROL!$C$12, $D$4, 100%, $F$4)</f>
        <v>11.641400000000001</v>
      </c>
      <c r="D698" s="8">
        <f>CHOOSE( CONTROL!$C$29, 11.6285, 11.6216) * CHOOSE( CONTROL!$C$12, $D$4, 100%, $F$4)</f>
        <v>11.621600000000001</v>
      </c>
      <c r="E698" s="12">
        <f>CHOOSE( CONTROL!$C$29, 11.6341, 11.6272) * CHOOSE( CONTROL!$C$12, $D$4, 100%, $F$4)</f>
        <v>11.6272</v>
      </c>
      <c r="F698" s="4">
        <f>CHOOSE( CONTROL!$C$29, 12.6124, 12.6055) * CHOOSE(CONTROL!$C$12, $D$4, 100%, $F$4)</f>
        <v>12.605499999999999</v>
      </c>
      <c r="G698" s="8">
        <f>CHOOSE( CONTROL!$C$29, 11.4524, 11.4457) * CHOOSE( CONTROL!$C$12, $D$4, 100%, $F$4)</f>
        <v>11.4457</v>
      </c>
      <c r="H698" s="4">
        <f>CHOOSE( CONTROL!$C$29, 12.3501, 12.3434) * CHOOSE(CONTROL!$C$12, $D$4, 100%, $F$4)</f>
        <v>12.343400000000001</v>
      </c>
      <c r="I698" s="8">
        <f>CHOOSE( CONTROL!$C$29, 11.3085, 11.3019) * CHOOSE(CONTROL!$C$12, $D$4, 100%, $F$4)</f>
        <v>11.3019</v>
      </c>
      <c r="J698" s="4">
        <f>CHOOSE( CONTROL!$C$29, 11.2762, 11.2696) * CHOOSE(CONTROL!$C$12, $D$4, 100%, $F$4)</f>
        <v>11.269600000000001</v>
      </c>
      <c r="K698" s="4"/>
      <c r="L698" s="9">
        <v>29.520499999999998</v>
      </c>
      <c r="M698" s="9">
        <v>12.063700000000001</v>
      </c>
      <c r="N698" s="9">
        <v>4.9444999999999997</v>
      </c>
      <c r="O698" s="9">
        <v>0.37459999999999999</v>
      </c>
      <c r="P698" s="9">
        <v>1.2192000000000001</v>
      </c>
      <c r="Q698" s="9">
        <v>19.688099999999999</v>
      </c>
      <c r="R698" s="9"/>
      <c r="S698" s="11"/>
    </row>
    <row r="699" spans="1:19" ht="15.6">
      <c r="A699" s="13">
        <v>63370</v>
      </c>
      <c r="B699" s="8">
        <f>CHOOSE( CONTROL!$C$29, 11.4509, 11.4441) * CHOOSE(CONTROL!$C$12, $D$4, 100%, $F$4)</f>
        <v>11.444100000000001</v>
      </c>
      <c r="C699" s="8">
        <f>CHOOSE( CONTROL!$C$29, 11.4612, 11.4544) * CHOOSE(CONTROL!$C$12, $D$4, 100%, $F$4)</f>
        <v>11.4544</v>
      </c>
      <c r="D699" s="8">
        <f>CHOOSE( CONTROL!$C$29, 11.436, 11.4291) * CHOOSE( CONTROL!$C$12, $D$4, 100%, $F$4)</f>
        <v>11.4291</v>
      </c>
      <c r="E699" s="12">
        <f>CHOOSE( CONTROL!$C$29, 11.4436, 11.4367) * CHOOSE( CONTROL!$C$12, $D$4, 100%, $F$4)</f>
        <v>11.4367</v>
      </c>
      <c r="F699" s="4">
        <f>CHOOSE( CONTROL!$C$29, 12.4151, 12.4082) * CHOOSE(CONTROL!$C$12, $D$4, 100%, $F$4)</f>
        <v>12.408200000000001</v>
      </c>
      <c r="G699" s="8">
        <f>CHOOSE( CONTROL!$C$29, 11.2669, 11.2601) * CHOOSE( CONTROL!$C$12, $D$4, 100%, $F$4)</f>
        <v>11.2601</v>
      </c>
      <c r="H699" s="4">
        <f>CHOOSE( CONTROL!$C$29, 12.1556, 12.1489) * CHOOSE(CONTROL!$C$12, $D$4, 100%, $F$4)</f>
        <v>12.148899999999999</v>
      </c>
      <c r="I699" s="8">
        <f>CHOOSE( CONTROL!$C$29, 11.1294, 11.1228) * CHOOSE(CONTROL!$C$12, $D$4, 100%, $F$4)</f>
        <v>11.1228</v>
      </c>
      <c r="J699" s="4">
        <f>CHOOSE( CONTROL!$C$29, 11.095, 11.0884) * CHOOSE(CONTROL!$C$12, $D$4, 100%, $F$4)</f>
        <v>11.0884</v>
      </c>
      <c r="K699" s="4"/>
      <c r="L699" s="9">
        <v>28.568200000000001</v>
      </c>
      <c r="M699" s="9">
        <v>11.6745</v>
      </c>
      <c r="N699" s="9">
        <v>4.7850000000000001</v>
      </c>
      <c r="O699" s="9">
        <v>0.36249999999999999</v>
      </c>
      <c r="P699" s="9">
        <v>1.1798</v>
      </c>
      <c r="Q699" s="9">
        <v>19.053000000000001</v>
      </c>
      <c r="R699" s="9"/>
      <c r="S699" s="11"/>
    </row>
    <row r="700" spans="1:19" ht="15.6">
      <c r="A700" s="13">
        <v>63401</v>
      </c>
      <c r="B700" s="8">
        <f>CHOOSE( CONTROL!$C$29, 11.9433, 11.9365) * CHOOSE(CONTROL!$C$12, $D$4, 100%, $F$4)</f>
        <v>11.936500000000001</v>
      </c>
      <c r="C700" s="8">
        <f>CHOOSE( CONTROL!$C$29, 11.9536, 11.9468) * CHOOSE(CONTROL!$C$12, $D$4, 100%, $F$4)</f>
        <v>11.9468</v>
      </c>
      <c r="D700" s="8">
        <f>CHOOSE( CONTROL!$C$29, 11.9618, 11.9549) * CHOOSE( CONTROL!$C$12, $D$4, 100%, $F$4)</f>
        <v>11.9549</v>
      </c>
      <c r="E700" s="12">
        <f>CHOOSE( CONTROL!$C$29, 11.9573, 11.9504) * CHOOSE( CONTROL!$C$12, $D$4, 100%, $F$4)</f>
        <v>11.9504</v>
      </c>
      <c r="F700" s="4">
        <f>CHOOSE( CONTROL!$C$29, 12.9523, 12.9455) * CHOOSE(CONTROL!$C$12, $D$4, 100%, $F$4)</f>
        <v>12.945499999999999</v>
      </c>
      <c r="G700" s="8">
        <f>CHOOSE( CONTROL!$C$29, 11.7783, 11.7716) * CHOOSE( CONTROL!$C$12, $D$4, 100%, $F$4)</f>
        <v>11.771599999999999</v>
      </c>
      <c r="H700" s="4">
        <f>CHOOSE( CONTROL!$C$29, 12.6852, 12.6785) * CHOOSE(CONTROL!$C$12, $D$4, 100%, $F$4)</f>
        <v>12.6785</v>
      </c>
      <c r="I700" s="8">
        <f>CHOOSE( CONTROL!$C$29, 11.6621, 11.6554) * CHOOSE(CONTROL!$C$12, $D$4, 100%, $F$4)</f>
        <v>11.6554</v>
      </c>
      <c r="J700" s="4">
        <f>CHOOSE( CONTROL!$C$29, 11.5721, 11.5655) * CHOOSE(CONTROL!$C$12, $D$4, 100%, $F$4)</f>
        <v>11.5655</v>
      </c>
      <c r="K700" s="4"/>
      <c r="L700" s="9">
        <v>29.520499999999998</v>
      </c>
      <c r="M700" s="9">
        <v>12.063700000000001</v>
      </c>
      <c r="N700" s="9">
        <v>4.9444999999999997</v>
      </c>
      <c r="O700" s="9">
        <v>0.37459999999999999</v>
      </c>
      <c r="P700" s="9">
        <v>1.2192000000000001</v>
      </c>
      <c r="Q700" s="9">
        <v>19.688099999999999</v>
      </c>
      <c r="R700" s="9"/>
      <c r="S700" s="11"/>
    </row>
    <row r="701" spans="1:19" ht="15.6">
      <c r="A701" s="13">
        <v>63432</v>
      </c>
      <c r="B701" s="8">
        <f>CHOOSE( CONTROL!$C$29, 11.022, 11.0152) * CHOOSE(CONTROL!$C$12, $D$4, 100%, $F$4)</f>
        <v>11.0152</v>
      </c>
      <c r="C701" s="8">
        <f>CHOOSE( CONTROL!$C$29, 11.0323, 11.0255) * CHOOSE(CONTROL!$C$12, $D$4, 100%, $F$4)</f>
        <v>11.025499999999999</v>
      </c>
      <c r="D701" s="8">
        <f>CHOOSE( CONTROL!$C$29, 11.0338, 11.027) * CHOOSE( CONTROL!$C$12, $D$4, 100%, $F$4)</f>
        <v>11.026999999999999</v>
      </c>
      <c r="E701" s="12">
        <f>CHOOSE( CONTROL!$C$29, 11.0317, 11.0249) * CHOOSE( CONTROL!$C$12, $D$4, 100%, $F$4)</f>
        <v>11.024900000000001</v>
      </c>
      <c r="F701" s="4">
        <f>CHOOSE( CONTROL!$C$29, 12.0284, 12.0216) * CHOOSE(CONTROL!$C$12, $D$4, 100%, $F$4)</f>
        <v>12.021599999999999</v>
      </c>
      <c r="G701" s="8">
        <f>CHOOSE( CONTROL!$C$29, 10.8602, 10.8534) * CHOOSE( CONTROL!$C$12, $D$4, 100%, $F$4)</f>
        <v>10.853400000000001</v>
      </c>
      <c r="H701" s="4">
        <f>CHOOSE( CONTROL!$C$29, 11.7745, 11.7677) * CHOOSE(CONTROL!$C$12, $D$4, 100%, $F$4)</f>
        <v>11.7677</v>
      </c>
      <c r="I701" s="8">
        <f>CHOOSE( CONTROL!$C$29, 10.75, 10.7433) * CHOOSE(CONTROL!$C$12, $D$4, 100%, $F$4)</f>
        <v>10.7433</v>
      </c>
      <c r="J701" s="4">
        <f>CHOOSE( CONTROL!$C$29, 10.6794, 10.6727) * CHOOSE(CONTROL!$C$12, $D$4, 100%, $F$4)</f>
        <v>10.672700000000001</v>
      </c>
      <c r="K701" s="4"/>
      <c r="L701" s="9">
        <v>29.520499999999998</v>
      </c>
      <c r="M701" s="9">
        <v>12.063700000000001</v>
      </c>
      <c r="N701" s="9">
        <v>4.9444999999999997</v>
      </c>
      <c r="O701" s="9">
        <v>0.37459999999999999</v>
      </c>
      <c r="P701" s="9">
        <v>1.2192000000000001</v>
      </c>
      <c r="Q701" s="9">
        <v>19.688099999999999</v>
      </c>
      <c r="R701" s="9"/>
      <c r="S701" s="11"/>
    </row>
    <row r="702" spans="1:19" ht="15.6">
      <c r="A702" s="13">
        <v>63462</v>
      </c>
      <c r="B702" s="8">
        <f>CHOOSE( CONTROL!$C$29, 10.7913, 10.7844) * CHOOSE(CONTROL!$C$12, $D$4, 100%, $F$4)</f>
        <v>10.7844</v>
      </c>
      <c r="C702" s="8">
        <f>CHOOSE( CONTROL!$C$29, 10.8016, 10.7948) * CHOOSE(CONTROL!$C$12, $D$4, 100%, $F$4)</f>
        <v>10.7948</v>
      </c>
      <c r="D702" s="8">
        <f>CHOOSE( CONTROL!$C$29, 10.8063, 10.7994) * CHOOSE( CONTROL!$C$12, $D$4, 100%, $F$4)</f>
        <v>10.7994</v>
      </c>
      <c r="E702" s="12">
        <f>CHOOSE( CONTROL!$C$29, 10.803, 10.7961) * CHOOSE( CONTROL!$C$12, $D$4, 100%, $F$4)</f>
        <v>10.796099999999999</v>
      </c>
      <c r="F702" s="4">
        <f>CHOOSE( CONTROL!$C$29, 11.8029, 11.796) * CHOOSE(CONTROL!$C$12, $D$4, 100%, $F$4)</f>
        <v>11.795999999999999</v>
      </c>
      <c r="G702" s="8">
        <f>CHOOSE( CONTROL!$C$29, 10.6348, 10.628) * CHOOSE( CONTROL!$C$12, $D$4, 100%, $F$4)</f>
        <v>10.628</v>
      </c>
      <c r="H702" s="4">
        <f>CHOOSE( CONTROL!$C$29, 11.5521, 11.5454) * CHOOSE(CONTROL!$C$12, $D$4, 100%, $F$4)</f>
        <v>11.545400000000001</v>
      </c>
      <c r="I702" s="8">
        <f>CHOOSE( CONTROL!$C$29, 10.5341, 10.5274) * CHOOSE(CONTROL!$C$12, $D$4, 100%, $F$4)</f>
        <v>10.5274</v>
      </c>
      <c r="J702" s="4">
        <f>CHOOSE( CONTROL!$C$29, 10.4558, 10.4492) * CHOOSE(CONTROL!$C$12, $D$4, 100%, $F$4)</f>
        <v>10.449199999999999</v>
      </c>
      <c r="K702" s="4"/>
      <c r="L702" s="9">
        <v>28.568200000000001</v>
      </c>
      <c r="M702" s="9">
        <v>11.6745</v>
      </c>
      <c r="N702" s="9">
        <v>4.7850000000000001</v>
      </c>
      <c r="O702" s="9">
        <v>0.36249999999999999</v>
      </c>
      <c r="P702" s="9">
        <v>1.1798</v>
      </c>
      <c r="Q702" s="9">
        <v>19.053000000000001</v>
      </c>
      <c r="R702" s="9"/>
      <c r="S702" s="11"/>
    </row>
    <row r="703" spans="1:19" ht="15.6">
      <c r="A703" s="13">
        <v>63493</v>
      </c>
      <c r="B703" s="8">
        <f>11.2635 * CHOOSE(CONTROL!$C$12, $D$4, 100%, $F$4)</f>
        <v>11.263500000000001</v>
      </c>
      <c r="C703" s="8">
        <f>11.2738 * CHOOSE(CONTROL!$C$12, $D$4, 100%, $F$4)</f>
        <v>11.2738</v>
      </c>
      <c r="D703" s="8">
        <f>11.2689 * CHOOSE( CONTROL!$C$12, $D$4, 100%, $F$4)</f>
        <v>11.2689</v>
      </c>
      <c r="E703" s="12">
        <f>11.2694 * CHOOSE( CONTROL!$C$12, $D$4, 100%, $F$4)</f>
        <v>11.269399999999999</v>
      </c>
      <c r="F703" s="4">
        <f>12.2544 * CHOOSE(CONTROL!$C$12, $D$4, 100%, $F$4)</f>
        <v>12.2544</v>
      </c>
      <c r="G703" s="8">
        <f>11.0971 * CHOOSE( CONTROL!$C$12, $D$4, 100%, $F$4)</f>
        <v>11.097099999999999</v>
      </c>
      <c r="H703" s="4">
        <f>11.9973 * CHOOSE(CONTROL!$C$12, $D$4, 100%, $F$4)</f>
        <v>11.997299999999999</v>
      </c>
      <c r="I703" s="8">
        <f>10.9957 * CHOOSE(CONTROL!$C$12, $D$4, 100%, $F$4)</f>
        <v>10.995699999999999</v>
      </c>
      <c r="J703" s="4">
        <f>10.9134 * CHOOSE(CONTROL!$C$12, $D$4, 100%, $F$4)</f>
        <v>10.913399999999999</v>
      </c>
      <c r="K703" s="4"/>
      <c r="L703" s="9">
        <v>28.921800000000001</v>
      </c>
      <c r="M703" s="9">
        <v>12.063700000000001</v>
      </c>
      <c r="N703" s="9">
        <v>4.9444999999999997</v>
      </c>
      <c r="O703" s="9">
        <v>0.37459999999999999</v>
      </c>
      <c r="P703" s="9">
        <v>1.2192000000000001</v>
      </c>
      <c r="Q703" s="9">
        <v>19.688099999999999</v>
      </c>
      <c r="R703" s="9"/>
      <c r="S703" s="11"/>
    </row>
    <row r="704" spans="1:19" ht="15.6">
      <c r="A704" s="13">
        <v>63523</v>
      </c>
      <c r="B704" s="8">
        <f>12.1477 * CHOOSE(CONTROL!$C$12, $D$4, 100%, $F$4)</f>
        <v>12.1477</v>
      </c>
      <c r="C704" s="8">
        <f>12.158 * CHOOSE(CONTROL!$C$12, $D$4, 100%, $F$4)</f>
        <v>12.157999999999999</v>
      </c>
      <c r="D704" s="8">
        <f>12.1173 * CHOOSE( CONTROL!$C$12, $D$4, 100%, $F$4)</f>
        <v>12.1173</v>
      </c>
      <c r="E704" s="12">
        <f>12.1311 * CHOOSE( CONTROL!$C$12, $D$4, 100%, $F$4)</f>
        <v>12.1311</v>
      </c>
      <c r="F704" s="4">
        <f>13.1247 * CHOOSE(CONTROL!$C$12, $D$4, 100%, $F$4)</f>
        <v>13.124700000000001</v>
      </c>
      <c r="G704" s="8">
        <f>11.9626 * CHOOSE( CONTROL!$C$12, $D$4, 100%, $F$4)</f>
        <v>11.9626</v>
      </c>
      <c r="H704" s="4">
        <f>12.8552 * CHOOSE(CONTROL!$C$12, $D$4, 100%, $F$4)</f>
        <v>12.8552</v>
      </c>
      <c r="I704" s="8">
        <f>11.8373 * CHOOSE(CONTROL!$C$12, $D$4, 100%, $F$4)</f>
        <v>11.837300000000001</v>
      </c>
      <c r="J704" s="4">
        <f>11.7702 * CHOOSE(CONTROL!$C$12, $D$4, 100%, $F$4)</f>
        <v>11.770200000000001</v>
      </c>
      <c r="K704" s="4"/>
      <c r="L704" s="9">
        <v>26.515499999999999</v>
      </c>
      <c r="M704" s="9">
        <v>11.6745</v>
      </c>
      <c r="N704" s="9">
        <v>4.7850000000000001</v>
      </c>
      <c r="O704" s="9">
        <v>0.36249999999999999</v>
      </c>
      <c r="P704" s="9">
        <v>1.2522</v>
      </c>
      <c r="Q704" s="9">
        <v>19.053000000000001</v>
      </c>
      <c r="R704" s="9"/>
      <c r="S704" s="11"/>
    </row>
    <row r="705" spans="1:19" ht="15.6">
      <c r="A705" s="13">
        <v>63554</v>
      </c>
      <c r="B705" s="8">
        <f>12.1256 * CHOOSE(CONTROL!$C$12, $D$4, 100%, $F$4)</f>
        <v>12.1256</v>
      </c>
      <c r="C705" s="8">
        <f>12.1359 * CHOOSE(CONTROL!$C$12, $D$4, 100%, $F$4)</f>
        <v>12.135899999999999</v>
      </c>
      <c r="D705" s="8">
        <f>12.0971 * CHOOSE( CONTROL!$C$12, $D$4, 100%, $F$4)</f>
        <v>12.097099999999999</v>
      </c>
      <c r="E705" s="12">
        <f>12.1102 * CHOOSE( CONTROL!$C$12, $D$4, 100%, $F$4)</f>
        <v>12.110200000000001</v>
      </c>
      <c r="F705" s="4">
        <f>13.0959 * CHOOSE(CONTROL!$C$12, $D$4, 100%, $F$4)</f>
        <v>13.0959</v>
      </c>
      <c r="G705" s="8">
        <f>11.9432 * CHOOSE( CONTROL!$C$12, $D$4, 100%, $F$4)</f>
        <v>11.943199999999999</v>
      </c>
      <c r="H705" s="4">
        <f>12.8268 * CHOOSE(CONTROL!$C$12, $D$4, 100%, $F$4)</f>
        <v>12.8268</v>
      </c>
      <c r="I705" s="8">
        <f>11.8266 * CHOOSE(CONTROL!$C$12, $D$4, 100%, $F$4)</f>
        <v>11.826599999999999</v>
      </c>
      <c r="J705" s="4">
        <f>11.7488 * CHOOSE(CONTROL!$C$12, $D$4, 100%, $F$4)</f>
        <v>11.748799999999999</v>
      </c>
      <c r="K705" s="4"/>
      <c r="L705" s="9">
        <v>27.3993</v>
      </c>
      <c r="M705" s="9">
        <v>12.063700000000001</v>
      </c>
      <c r="N705" s="9">
        <v>4.9444999999999997</v>
      </c>
      <c r="O705" s="9">
        <v>0.37459999999999999</v>
      </c>
      <c r="P705" s="9">
        <v>1.2939000000000001</v>
      </c>
      <c r="Q705" s="9">
        <v>19.688099999999999</v>
      </c>
      <c r="R705" s="9"/>
      <c r="S705" s="11"/>
    </row>
    <row r="706" spans="1:19" ht="15.6">
      <c r="A706" s="13">
        <v>63585</v>
      </c>
      <c r="B706" s="8">
        <f>12.4085 * CHOOSE(CONTROL!$C$12, $D$4, 100%, $F$4)</f>
        <v>12.4085</v>
      </c>
      <c r="C706" s="8">
        <f>12.4189 * CHOOSE(CONTROL!$C$12, $D$4, 100%, $F$4)</f>
        <v>12.418900000000001</v>
      </c>
      <c r="D706" s="8">
        <f>12.4187 * CHOOSE( CONTROL!$C$12, $D$4, 100%, $F$4)</f>
        <v>12.418699999999999</v>
      </c>
      <c r="E706" s="12">
        <f>12.4177 * CHOOSE( CONTROL!$C$12, $D$4, 100%, $F$4)</f>
        <v>12.4177</v>
      </c>
      <c r="F706" s="4">
        <f>13.4305 * CHOOSE(CONTROL!$C$12, $D$4, 100%, $F$4)</f>
        <v>13.4305</v>
      </c>
      <c r="G706" s="8">
        <f>12.2631 * CHOOSE( CONTROL!$C$12, $D$4, 100%, $F$4)</f>
        <v>12.2631</v>
      </c>
      <c r="H706" s="4">
        <f>13.1566 * CHOOSE(CONTROL!$C$12, $D$4, 100%, $F$4)</f>
        <v>13.156599999999999</v>
      </c>
      <c r="I706" s="8">
        <f>12.1375 * CHOOSE(CONTROL!$C$12, $D$4, 100%, $F$4)</f>
        <v>12.137499999999999</v>
      </c>
      <c r="J706" s="4">
        <f>12.0229 * CHOOSE(CONTROL!$C$12, $D$4, 100%, $F$4)</f>
        <v>12.0229</v>
      </c>
      <c r="K706" s="4"/>
      <c r="L706" s="9">
        <v>27.3993</v>
      </c>
      <c r="M706" s="9">
        <v>12.063700000000001</v>
      </c>
      <c r="N706" s="9">
        <v>4.9444999999999997</v>
      </c>
      <c r="O706" s="9">
        <v>0.37459999999999999</v>
      </c>
      <c r="P706" s="9">
        <v>1.2939000000000001</v>
      </c>
      <c r="Q706" s="9">
        <v>19.688099999999999</v>
      </c>
      <c r="R706" s="9"/>
      <c r="S706" s="11"/>
    </row>
    <row r="707" spans="1:19" ht="15.6">
      <c r="A707" s="13">
        <v>63613</v>
      </c>
      <c r="B707" s="8">
        <f>11.6064 * CHOOSE(CONTROL!$C$12, $D$4, 100%, $F$4)</f>
        <v>11.606400000000001</v>
      </c>
      <c r="C707" s="8">
        <f>11.6167 * CHOOSE(CONTROL!$C$12, $D$4, 100%, $F$4)</f>
        <v>11.6167</v>
      </c>
      <c r="D707" s="8">
        <f>11.6188 * CHOOSE( CONTROL!$C$12, $D$4, 100%, $F$4)</f>
        <v>11.6188</v>
      </c>
      <c r="E707" s="12">
        <f>11.6169 * CHOOSE( CONTROL!$C$12, $D$4, 100%, $F$4)</f>
        <v>11.616899999999999</v>
      </c>
      <c r="F707" s="4">
        <f>12.6206 * CHOOSE(CONTROL!$C$12, $D$4, 100%, $F$4)</f>
        <v>12.6206</v>
      </c>
      <c r="G707" s="8">
        <f>11.4722 * CHOOSE( CONTROL!$C$12, $D$4, 100%, $F$4)</f>
        <v>11.472200000000001</v>
      </c>
      <c r="H707" s="4">
        <f>12.3582 * CHOOSE(CONTROL!$C$12, $D$4, 100%, $F$4)</f>
        <v>12.3582</v>
      </c>
      <c r="I707" s="8">
        <f>11.3489 * CHOOSE(CONTROL!$C$12, $D$4, 100%, $F$4)</f>
        <v>11.3489</v>
      </c>
      <c r="J707" s="4">
        <f>11.2457 * CHOOSE(CONTROL!$C$12, $D$4, 100%, $F$4)</f>
        <v>11.245699999999999</v>
      </c>
      <c r="K707" s="4"/>
      <c r="L707" s="9">
        <v>24.747800000000002</v>
      </c>
      <c r="M707" s="9">
        <v>10.8962</v>
      </c>
      <c r="N707" s="9">
        <v>4.4660000000000002</v>
      </c>
      <c r="O707" s="9">
        <v>0.33829999999999999</v>
      </c>
      <c r="P707" s="9">
        <v>1.1687000000000001</v>
      </c>
      <c r="Q707" s="9">
        <v>17.782800000000002</v>
      </c>
      <c r="R707" s="9"/>
      <c r="S707" s="11"/>
    </row>
    <row r="708" spans="1:19" ht="15.6">
      <c r="A708" s="13">
        <v>63644</v>
      </c>
      <c r="B708" s="8">
        <f>11.3594 * CHOOSE(CONTROL!$C$12, $D$4, 100%, $F$4)</f>
        <v>11.359400000000001</v>
      </c>
      <c r="C708" s="8">
        <f>11.3697 * CHOOSE(CONTROL!$C$12, $D$4, 100%, $F$4)</f>
        <v>11.3697</v>
      </c>
      <c r="D708" s="8">
        <f>11.3519 * CHOOSE( CONTROL!$C$12, $D$4, 100%, $F$4)</f>
        <v>11.351900000000001</v>
      </c>
      <c r="E708" s="12">
        <f>11.3573 * CHOOSE( CONTROL!$C$12, $D$4, 100%, $F$4)</f>
        <v>11.3573</v>
      </c>
      <c r="F708" s="4">
        <f>12.3575 * CHOOSE(CONTROL!$C$12, $D$4, 100%, $F$4)</f>
        <v>12.3575</v>
      </c>
      <c r="G708" s="8">
        <f>11.2082 * CHOOSE( CONTROL!$C$12, $D$4, 100%, $F$4)</f>
        <v>11.2082</v>
      </c>
      <c r="H708" s="4">
        <f>12.0989 * CHOOSE(CONTROL!$C$12, $D$4, 100%, $F$4)</f>
        <v>12.0989</v>
      </c>
      <c r="I708" s="8">
        <f>11.0699 * CHOOSE(CONTROL!$C$12, $D$4, 100%, $F$4)</f>
        <v>11.069900000000001</v>
      </c>
      <c r="J708" s="4">
        <f>11.0063 * CHOOSE(CONTROL!$C$12, $D$4, 100%, $F$4)</f>
        <v>11.0063</v>
      </c>
      <c r="K708" s="4"/>
      <c r="L708" s="9">
        <v>27.3993</v>
      </c>
      <c r="M708" s="9">
        <v>12.063700000000001</v>
      </c>
      <c r="N708" s="9">
        <v>4.9444999999999997</v>
      </c>
      <c r="O708" s="9">
        <v>0.37459999999999999</v>
      </c>
      <c r="P708" s="9">
        <v>1.2939000000000001</v>
      </c>
      <c r="Q708" s="9">
        <v>19.688099999999999</v>
      </c>
      <c r="R708" s="9"/>
      <c r="S708" s="11"/>
    </row>
    <row r="709" spans="1:19" ht="15.6">
      <c r="A709" s="13">
        <v>63674</v>
      </c>
      <c r="B709" s="8">
        <f>11.532 * CHOOSE(CONTROL!$C$12, $D$4, 100%, $F$4)</f>
        <v>11.532</v>
      </c>
      <c r="C709" s="8">
        <f>11.5423 * CHOOSE(CONTROL!$C$12, $D$4, 100%, $F$4)</f>
        <v>11.542299999999999</v>
      </c>
      <c r="D709" s="8">
        <f>11.5474 * CHOOSE( CONTROL!$C$12, $D$4, 100%, $F$4)</f>
        <v>11.5474</v>
      </c>
      <c r="E709" s="12">
        <f>11.5445 * CHOOSE( CONTROL!$C$12, $D$4, 100%, $F$4)</f>
        <v>11.544499999999999</v>
      </c>
      <c r="F709" s="4">
        <f>12.5384 * CHOOSE(CONTROL!$C$12, $D$4, 100%, $F$4)</f>
        <v>12.538399999999999</v>
      </c>
      <c r="G709" s="8">
        <f>11.3663 * CHOOSE( CONTROL!$C$12, $D$4, 100%, $F$4)</f>
        <v>11.366300000000001</v>
      </c>
      <c r="H709" s="4">
        <f>12.2772 * CHOOSE(CONTROL!$C$12, $D$4, 100%, $F$4)</f>
        <v>12.277200000000001</v>
      </c>
      <c r="I709" s="8">
        <f>11.2274 * CHOOSE(CONTROL!$C$12, $D$4, 100%, $F$4)</f>
        <v>11.227399999999999</v>
      </c>
      <c r="J709" s="4">
        <f>11.1736 * CHOOSE(CONTROL!$C$12, $D$4, 100%, $F$4)</f>
        <v>11.1736</v>
      </c>
      <c r="K709" s="4"/>
      <c r="L709" s="9">
        <v>27.988800000000001</v>
      </c>
      <c r="M709" s="9">
        <v>11.6745</v>
      </c>
      <c r="N709" s="9">
        <v>4.7850000000000001</v>
      </c>
      <c r="O709" s="9">
        <v>0.36249999999999999</v>
      </c>
      <c r="P709" s="9">
        <v>1.1798</v>
      </c>
      <c r="Q709" s="9">
        <v>19.053000000000001</v>
      </c>
      <c r="R709" s="9"/>
      <c r="S709" s="11"/>
    </row>
    <row r="710" spans="1:19" ht="15.6">
      <c r="A710" s="13">
        <v>63705</v>
      </c>
      <c r="B710" s="8">
        <f>CHOOSE( CONTROL!$C$29, 11.8461, 11.8393) * CHOOSE(CONTROL!$C$12, $D$4, 100%, $F$4)</f>
        <v>11.8393</v>
      </c>
      <c r="C710" s="8">
        <f>CHOOSE( CONTROL!$C$29, 11.8564, 11.8496) * CHOOSE(CONTROL!$C$12, $D$4, 100%, $F$4)</f>
        <v>11.849600000000001</v>
      </c>
      <c r="D710" s="8">
        <f>CHOOSE( CONTROL!$C$29, 11.8367, 11.8298) * CHOOSE( CONTROL!$C$12, $D$4, 100%, $F$4)</f>
        <v>11.829800000000001</v>
      </c>
      <c r="E710" s="12">
        <f>CHOOSE( CONTROL!$C$29, 11.8423, 11.8354) * CHOOSE( CONTROL!$C$12, $D$4, 100%, $F$4)</f>
        <v>11.8354</v>
      </c>
      <c r="F710" s="4">
        <f>CHOOSE( CONTROL!$C$29, 12.8205, 12.8137) * CHOOSE(CONTROL!$C$12, $D$4, 100%, $F$4)</f>
        <v>12.813700000000001</v>
      </c>
      <c r="G710" s="8">
        <f>CHOOSE( CONTROL!$C$29, 11.6577, 11.6509) * CHOOSE( CONTROL!$C$12, $D$4, 100%, $F$4)</f>
        <v>11.6509</v>
      </c>
      <c r="H710" s="4">
        <f>CHOOSE( CONTROL!$C$29, 12.5553, 12.5486) * CHOOSE(CONTROL!$C$12, $D$4, 100%, $F$4)</f>
        <v>12.5486</v>
      </c>
      <c r="I710" s="8">
        <f>CHOOSE( CONTROL!$C$29, 11.5104, 11.5037) * CHOOSE(CONTROL!$C$12, $D$4, 100%, $F$4)</f>
        <v>11.5037</v>
      </c>
      <c r="J710" s="4">
        <f>CHOOSE( CONTROL!$C$29, 11.4779, 11.4713) * CHOOSE(CONTROL!$C$12, $D$4, 100%, $F$4)</f>
        <v>11.471299999999999</v>
      </c>
      <c r="K710" s="4"/>
      <c r="L710" s="9">
        <v>29.520499999999998</v>
      </c>
      <c r="M710" s="9">
        <v>12.063700000000001</v>
      </c>
      <c r="N710" s="9">
        <v>4.9444999999999997</v>
      </c>
      <c r="O710" s="9">
        <v>0.37459999999999999</v>
      </c>
      <c r="P710" s="9">
        <v>1.2192000000000001</v>
      </c>
      <c r="Q710" s="9">
        <v>19.688099999999999</v>
      </c>
      <c r="R710" s="9"/>
      <c r="S710" s="11"/>
    </row>
    <row r="711" spans="1:19" ht="15.6">
      <c r="A711" s="13">
        <v>63735</v>
      </c>
      <c r="B711" s="8">
        <f>CHOOSE( CONTROL!$C$29, 11.6558, 11.6489) * CHOOSE(CONTROL!$C$12, $D$4, 100%, $F$4)</f>
        <v>11.648899999999999</v>
      </c>
      <c r="C711" s="8">
        <f>CHOOSE( CONTROL!$C$29, 11.6661, 11.6592) * CHOOSE(CONTROL!$C$12, $D$4, 100%, $F$4)</f>
        <v>11.6592</v>
      </c>
      <c r="D711" s="8">
        <f>CHOOSE( CONTROL!$C$29, 11.6408, 11.634) * CHOOSE( CONTROL!$C$12, $D$4, 100%, $F$4)</f>
        <v>11.634</v>
      </c>
      <c r="E711" s="12">
        <f>CHOOSE( CONTROL!$C$29, 11.6484, 11.6416) * CHOOSE( CONTROL!$C$12, $D$4, 100%, $F$4)</f>
        <v>11.6416</v>
      </c>
      <c r="F711" s="4">
        <f>CHOOSE( CONTROL!$C$29, 12.6199, 12.613) * CHOOSE(CONTROL!$C$12, $D$4, 100%, $F$4)</f>
        <v>12.613</v>
      </c>
      <c r="G711" s="8">
        <f>CHOOSE( CONTROL!$C$29, 11.4688, 11.462) * CHOOSE( CONTROL!$C$12, $D$4, 100%, $F$4)</f>
        <v>11.462</v>
      </c>
      <c r="H711" s="4">
        <f>CHOOSE( CONTROL!$C$29, 12.3575, 12.3508) * CHOOSE(CONTROL!$C$12, $D$4, 100%, $F$4)</f>
        <v>12.3508</v>
      </c>
      <c r="I711" s="8">
        <f>CHOOSE( CONTROL!$C$29, 11.328, 11.3214) * CHOOSE(CONTROL!$C$12, $D$4, 100%, $F$4)</f>
        <v>11.321400000000001</v>
      </c>
      <c r="J711" s="4">
        <f>CHOOSE( CONTROL!$C$29, 11.2935, 11.2869) * CHOOSE(CONTROL!$C$12, $D$4, 100%, $F$4)</f>
        <v>11.286899999999999</v>
      </c>
      <c r="K711" s="4"/>
      <c r="L711" s="9">
        <v>28.568200000000001</v>
      </c>
      <c r="M711" s="9">
        <v>11.6745</v>
      </c>
      <c r="N711" s="9">
        <v>4.7850000000000001</v>
      </c>
      <c r="O711" s="9">
        <v>0.36249999999999999</v>
      </c>
      <c r="P711" s="9">
        <v>1.1798</v>
      </c>
      <c r="Q711" s="9">
        <v>19.053000000000001</v>
      </c>
      <c r="R711" s="9"/>
      <c r="S711" s="11"/>
    </row>
    <row r="712" spans="1:19" ht="15.6">
      <c r="A712" s="13">
        <v>63766</v>
      </c>
      <c r="B712" s="8">
        <f>CHOOSE( CONTROL!$C$29, 12.157, 12.1501) * CHOOSE(CONTROL!$C$12, $D$4, 100%, $F$4)</f>
        <v>12.1501</v>
      </c>
      <c r="C712" s="8">
        <f>CHOOSE( CONTROL!$C$29, 12.1673, 12.1605) * CHOOSE(CONTROL!$C$12, $D$4, 100%, $F$4)</f>
        <v>12.160500000000001</v>
      </c>
      <c r="D712" s="8">
        <f>CHOOSE( CONTROL!$C$29, 12.1754, 12.1686) * CHOOSE( CONTROL!$C$12, $D$4, 100%, $F$4)</f>
        <v>12.1686</v>
      </c>
      <c r="E712" s="12">
        <f>CHOOSE( CONTROL!$C$29, 12.1709, 12.1641) * CHOOSE( CONTROL!$C$12, $D$4, 100%, $F$4)</f>
        <v>12.164099999999999</v>
      </c>
      <c r="F712" s="4">
        <f>CHOOSE( CONTROL!$C$29, 13.166, 13.1592) * CHOOSE(CONTROL!$C$12, $D$4, 100%, $F$4)</f>
        <v>13.1592</v>
      </c>
      <c r="G712" s="8">
        <f>CHOOSE( CONTROL!$C$29, 11.9889, 11.9822) * CHOOSE( CONTROL!$C$12, $D$4, 100%, $F$4)</f>
        <v>11.982200000000001</v>
      </c>
      <c r="H712" s="4">
        <f>CHOOSE( CONTROL!$C$29, 12.8958, 12.8891) * CHOOSE(CONTROL!$C$12, $D$4, 100%, $F$4)</f>
        <v>12.889099999999999</v>
      </c>
      <c r="I712" s="8">
        <f>CHOOSE( CONTROL!$C$29, 11.8692, 11.8626) * CHOOSE(CONTROL!$C$12, $D$4, 100%, $F$4)</f>
        <v>11.8626</v>
      </c>
      <c r="J712" s="4">
        <f>CHOOSE( CONTROL!$C$29, 11.7792, 11.7725) * CHOOSE(CONTROL!$C$12, $D$4, 100%, $F$4)</f>
        <v>11.772500000000001</v>
      </c>
      <c r="K712" s="4"/>
      <c r="L712" s="9">
        <v>29.520499999999998</v>
      </c>
      <c r="M712" s="9">
        <v>12.063700000000001</v>
      </c>
      <c r="N712" s="9">
        <v>4.9444999999999997</v>
      </c>
      <c r="O712" s="9">
        <v>0.37459999999999999</v>
      </c>
      <c r="P712" s="9">
        <v>1.2192000000000001</v>
      </c>
      <c r="Q712" s="9">
        <v>19.688099999999999</v>
      </c>
      <c r="R712" s="9"/>
      <c r="S712" s="11"/>
    </row>
    <row r="713" spans="1:19" ht="15.6">
      <c r="A713" s="13">
        <v>63797</v>
      </c>
      <c r="B713" s="8">
        <f>CHOOSE( CONTROL!$C$29, 11.2191, 11.2123) * CHOOSE(CONTROL!$C$12, $D$4, 100%, $F$4)</f>
        <v>11.212300000000001</v>
      </c>
      <c r="C713" s="8">
        <f>CHOOSE( CONTROL!$C$29, 11.2295, 11.2226) * CHOOSE(CONTROL!$C$12, $D$4, 100%, $F$4)</f>
        <v>11.2226</v>
      </c>
      <c r="D713" s="8">
        <f>CHOOSE( CONTROL!$C$29, 11.2309, 11.2241) * CHOOSE( CONTROL!$C$12, $D$4, 100%, $F$4)</f>
        <v>11.2241</v>
      </c>
      <c r="E713" s="12">
        <f>CHOOSE( CONTROL!$C$29, 11.2288, 11.222) * CHOOSE( CONTROL!$C$12, $D$4, 100%, $F$4)</f>
        <v>11.222</v>
      </c>
      <c r="F713" s="4">
        <f>CHOOSE( CONTROL!$C$29, 12.2256, 12.2187) * CHOOSE(CONTROL!$C$12, $D$4, 100%, $F$4)</f>
        <v>12.2187</v>
      </c>
      <c r="G713" s="8">
        <f>CHOOSE( CONTROL!$C$29, 11.0545, 11.0478) * CHOOSE( CONTROL!$C$12, $D$4, 100%, $F$4)</f>
        <v>11.047800000000001</v>
      </c>
      <c r="H713" s="4">
        <f>CHOOSE( CONTROL!$C$29, 11.9688, 11.9621) * CHOOSE(CONTROL!$C$12, $D$4, 100%, $F$4)</f>
        <v>11.9621</v>
      </c>
      <c r="I713" s="8">
        <f>CHOOSE( CONTROL!$C$29, 10.9411, 10.9345) * CHOOSE(CONTROL!$C$12, $D$4, 100%, $F$4)</f>
        <v>10.9345</v>
      </c>
      <c r="J713" s="4">
        <f>CHOOSE( CONTROL!$C$29, 10.8704, 10.8638) * CHOOSE(CONTROL!$C$12, $D$4, 100%, $F$4)</f>
        <v>10.863799999999999</v>
      </c>
      <c r="K713" s="4"/>
      <c r="L713" s="9">
        <v>29.520499999999998</v>
      </c>
      <c r="M713" s="9">
        <v>12.063700000000001</v>
      </c>
      <c r="N713" s="9">
        <v>4.9444999999999997</v>
      </c>
      <c r="O713" s="9">
        <v>0.37459999999999999</v>
      </c>
      <c r="P713" s="9">
        <v>1.2192000000000001</v>
      </c>
      <c r="Q713" s="9">
        <v>19.688099999999999</v>
      </c>
      <c r="R713" s="9"/>
      <c r="S713" s="11"/>
    </row>
    <row r="714" spans="1:19" ht="15.6">
      <c r="A714" s="13">
        <v>63827</v>
      </c>
      <c r="B714" s="8">
        <f>CHOOSE( CONTROL!$C$29, 10.9843, 10.9775) * CHOOSE(CONTROL!$C$12, $D$4, 100%, $F$4)</f>
        <v>10.977499999999999</v>
      </c>
      <c r="C714" s="8">
        <f>CHOOSE( CONTROL!$C$29, 10.9946, 10.9878) * CHOOSE(CONTROL!$C$12, $D$4, 100%, $F$4)</f>
        <v>10.9878</v>
      </c>
      <c r="D714" s="8">
        <f>CHOOSE( CONTROL!$C$29, 10.9993, 10.9925) * CHOOSE( CONTROL!$C$12, $D$4, 100%, $F$4)</f>
        <v>10.9925</v>
      </c>
      <c r="E714" s="12">
        <f>CHOOSE( CONTROL!$C$29, 10.996, 10.9892) * CHOOSE( CONTROL!$C$12, $D$4, 100%, $F$4)</f>
        <v>10.9892</v>
      </c>
      <c r="F714" s="4">
        <f>CHOOSE( CONTROL!$C$29, 11.9959, 11.9891) * CHOOSE(CONTROL!$C$12, $D$4, 100%, $F$4)</f>
        <v>11.989100000000001</v>
      </c>
      <c r="G714" s="8">
        <f>CHOOSE( CONTROL!$C$29, 10.8251, 10.8183) * CHOOSE( CONTROL!$C$12, $D$4, 100%, $F$4)</f>
        <v>10.818300000000001</v>
      </c>
      <c r="H714" s="4">
        <f>CHOOSE( CONTROL!$C$29, 11.7424, 11.7357) * CHOOSE(CONTROL!$C$12, $D$4, 100%, $F$4)</f>
        <v>11.7357</v>
      </c>
      <c r="I714" s="8">
        <f>CHOOSE( CONTROL!$C$29, 10.7212, 10.7146) * CHOOSE(CONTROL!$C$12, $D$4, 100%, $F$4)</f>
        <v>10.714600000000001</v>
      </c>
      <c r="J714" s="4">
        <f>CHOOSE( CONTROL!$C$29, 10.6428, 10.6362) * CHOOSE(CONTROL!$C$12, $D$4, 100%, $F$4)</f>
        <v>10.636200000000001</v>
      </c>
      <c r="K714" s="4"/>
      <c r="L714" s="9">
        <v>28.568200000000001</v>
      </c>
      <c r="M714" s="9">
        <v>11.6745</v>
      </c>
      <c r="N714" s="9">
        <v>4.7850000000000001</v>
      </c>
      <c r="O714" s="9">
        <v>0.36249999999999999</v>
      </c>
      <c r="P714" s="9">
        <v>1.1798</v>
      </c>
      <c r="Q714" s="9">
        <v>19.053000000000001</v>
      </c>
      <c r="R714" s="9"/>
      <c r="S714" s="11"/>
    </row>
    <row r="715" spans="1:19" ht="15.6">
      <c r="A715" s="13">
        <v>63858</v>
      </c>
      <c r="B715" s="8">
        <f>11.4651 * CHOOSE(CONTROL!$C$12, $D$4, 100%, $F$4)</f>
        <v>11.4651</v>
      </c>
      <c r="C715" s="8">
        <f>11.4754 * CHOOSE(CONTROL!$C$12, $D$4, 100%, $F$4)</f>
        <v>11.4754</v>
      </c>
      <c r="D715" s="8">
        <f>11.4705 * CHOOSE( CONTROL!$C$12, $D$4, 100%, $F$4)</f>
        <v>11.470499999999999</v>
      </c>
      <c r="E715" s="12">
        <f>11.471 * CHOOSE( CONTROL!$C$12, $D$4, 100%, $F$4)</f>
        <v>11.471</v>
      </c>
      <c r="F715" s="4">
        <f>12.456 * CHOOSE(CONTROL!$C$12, $D$4, 100%, $F$4)</f>
        <v>12.456</v>
      </c>
      <c r="G715" s="8">
        <f>11.2958 * CHOOSE( CONTROL!$C$12, $D$4, 100%, $F$4)</f>
        <v>11.2958</v>
      </c>
      <c r="H715" s="4">
        <f>12.196 * CHOOSE(CONTROL!$C$12, $D$4, 100%, $F$4)</f>
        <v>12.196</v>
      </c>
      <c r="I715" s="8">
        <f>11.1912 * CHOOSE(CONTROL!$C$12, $D$4, 100%, $F$4)</f>
        <v>11.1912</v>
      </c>
      <c r="J715" s="4">
        <f>11.1087 * CHOOSE(CONTROL!$C$12, $D$4, 100%, $F$4)</f>
        <v>11.108700000000001</v>
      </c>
      <c r="K715" s="4"/>
      <c r="L715" s="9">
        <v>28.921800000000001</v>
      </c>
      <c r="M715" s="9">
        <v>12.063700000000001</v>
      </c>
      <c r="N715" s="9">
        <v>4.9444999999999997</v>
      </c>
      <c r="O715" s="9">
        <v>0.37459999999999999</v>
      </c>
      <c r="P715" s="9">
        <v>1.2192000000000001</v>
      </c>
      <c r="Q715" s="9">
        <v>19.688099999999999</v>
      </c>
      <c r="R715" s="9"/>
      <c r="S715" s="11"/>
    </row>
    <row r="716" spans="1:19" ht="15.6">
      <c r="A716" s="13">
        <v>63888</v>
      </c>
      <c r="B716" s="8">
        <f>12.3651 * CHOOSE(CONTROL!$C$12, $D$4, 100%, $F$4)</f>
        <v>12.3651</v>
      </c>
      <c r="C716" s="8">
        <f>12.3754 * CHOOSE(CONTROL!$C$12, $D$4, 100%, $F$4)</f>
        <v>12.375400000000001</v>
      </c>
      <c r="D716" s="8">
        <f>12.3348 * CHOOSE( CONTROL!$C$12, $D$4, 100%, $F$4)</f>
        <v>12.3348</v>
      </c>
      <c r="E716" s="12">
        <f>12.3485 * CHOOSE( CONTROL!$C$12, $D$4, 100%, $F$4)</f>
        <v>12.3485</v>
      </c>
      <c r="F716" s="4">
        <f>13.3421 * CHOOSE(CONTROL!$C$12, $D$4, 100%, $F$4)</f>
        <v>13.3421</v>
      </c>
      <c r="G716" s="8">
        <f>12.1769 * CHOOSE( CONTROL!$C$12, $D$4, 100%, $F$4)</f>
        <v>12.1769</v>
      </c>
      <c r="H716" s="4">
        <f>13.0695 * CHOOSE(CONTROL!$C$12, $D$4, 100%, $F$4)</f>
        <v>13.0695</v>
      </c>
      <c r="I716" s="8">
        <f>12.0481 * CHOOSE(CONTROL!$C$12, $D$4, 100%, $F$4)</f>
        <v>12.0481</v>
      </c>
      <c r="J716" s="4">
        <f>11.9808 * CHOOSE(CONTROL!$C$12, $D$4, 100%, $F$4)</f>
        <v>11.9808</v>
      </c>
      <c r="K716" s="4"/>
      <c r="L716" s="9">
        <v>26.515499999999999</v>
      </c>
      <c r="M716" s="9">
        <v>11.6745</v>
      </c>
      <c r="N716" s="9">
        <v>4.7850000000000001</v>
      </c>
      <c r="O716" s="9">
        <v>0.36249999999999999</v>
      </c>
      <c r="P716" s="9">
        <v>1.2522</v>
      </c>
      <c r="Q716" s="9">
        <v>19.053000000000001</v>
      </c>
      <c r="R716" s="9"/>
      <c r="S716" s="11"/>
    </row>
    <row r="717" spans="1:19" ht="15.6">
      <c r="A717" s="13">
        <v>63919</v>
      </c>
      <c r="B717" s="8">
        <f>12.3426 * CHOOSE(CONTROL!$C$12, $D$4, 100%, $F$4)</f>
        <v>12.342599999999999</v>
      </c>
      <c r="C717" s="8">
        <f>12.3529 * CHOOSE(CONTROL!$C$12, $D$4, 100%, $F$4)</f>
        <v>12.3529</v>
      </c>
      <c r="D717" s="8">
        <f>12.3142 * CHOOSE( CONTROL!$C$12, $D$4, 100%, $F$4)</f>
        <v>12.3142</v>
      </c>
      <c r="E717" s="12">
        <f>12.3273 * CHOOSE( CONTROL!$C$12, $D$4, 100%, $F$4)</f>
        <v>12.327299999999999</v>
      </c>
      <c r="F717" s="4">
        <f>13.3129 * CHOOSE(CONTROL!$C$12, $D$4, 100%, $F$4)</f>
        <v>13.312900000000001</v>
      </c>
      <c r="G717" s="8">
        <f>12.1571 * CHOOSE( CONTROL!$C$12, $D$4, 100%, $F$4)</f>
        <v>12.1571</v>
      </c>
      <c r="H717" s="4">
        <f>13.0407 * CHOOSE(CONTROL!$C$12, $D$4, 100%, $F$4)</f>
        <v>13.040699999999999</v>
      </c>
      <c r="I717" s="8">
        <f>12.037 * CHOOSE(CONTROL!$C$12, $D$4, 100%, $F$4)</f>
        <v>12.037000000000001</v>
      </c>
      <c r="J717" s="4">
        <f>11.9591 * CHOOSE(CONTROL!$C$12, $D$4, 100%, $F$4)</f>
        <v>11.959099999999999</v>
      </c>
      <c r="K717" s="4"/>
      <c r="L717" s="9">
        <v>27.3993</v>
      </c>
      <c r="M717" s="9">
        <v>12.063700000000001</v>
      </c>
      <c r="N717" s="9">
        <v>4.9444999999999997</v>
      </c>
      <c r="O717" s="9">
        <v>0.37459999999999999</v>
      </c>
      <c r="P717" s="9">
        <v>1.2939000000000001</v>
      </c>
      <c r="Q717" s="9">
        <v>19.688099999999999</v>
      </c>
      <c r="R717" s="9"/>
      <c r="S717" s="11"/>
    </row>
    <row r="718" spans="1:19" ht="15.6">
      <c r="A718" s="13">
        <v>63950</v>
      </c>
      <c r="B718" s="8">
        <f>12.6306 * CHOOSE(CONTROL!$C$12, $D$4, 100%, $F$4)</f>
        <v>12.630599999999999</v>
      </c>
      <c r="C718" s="8">
        <f>12.641 * CHOOSE(CONTROL!$C$12, $D$4, 100%, $F$4)</f>
        <v>12.641</v>
      </c>
      <c r="D718" s="8">
        <f>12.6408 * CHOOSE( CONTROL!$C$12, $D$4, 100%, $F$4)</f>
        <v>12.6408</v>
      </c>
      <c r="E718" s="12">
        <f>12.6398 * CHOOSE( CONTROL!$C$12, $D$4, 100%, $F$4)</f>
        <v>12.639799999999999</v>
      </c>
      <c r="F718" s="4">
        <f>13.6526 * CHOOSE(CONTROL!$C$12, $D$4, 100%, $F$4)</f>
        <v>13.6526</v>
      </c>
      <c r="G718" s="8">
        <f>12.482 * CHOOSE( CONTROL!$C$12, $D$4, 100%, $F$4)</f>
        <v>12.481999999999999</v>
      </c>
      <c r="H718" s="4">
        <f>13.3755 * CHOOSE(CONTROL!$C$12, $D$4, 100%, $F$4)</f>
        <v>13.375500000000001</v>
      </c>
      <c r="I718" s="8">
        <f>12.3528 * CHOOSE(CONTROL!$C$12, $D$4, 100%, $F$4)</f>
        <v>12.3528</v>
      </c>
      <c r="J718" s="4">
        <f>12.2381 * CHOOSE(CONTROL!$C$12, $D$4, 100%, $F$4)</f>
        <v>12.238099999999999</v>
      </c>
      <c r="K718" s="4"/>
      <c r="L718" s="9">
        <v>27.3993</v>
      </c>
      <c r="M718" s="9">
        <v>12.063700000000001</v>
      </c>
      <c r="N718" s="9">
        <v>4.9444999999999997</v>
      </c>
      <c r="O718" s="9">
        <v>0.37459999999999999</v>
      </c>
      <c r="P718" s="9">
        <v>1.2939000000000001</v>
      </c>
      <c r="Q718" s="9">
        <v>19.688099999999999</v>
      </c>
      <c r="R718" s="9"/>
      <c r="S718" s="11"/>
    </row>
    <row r="719" spans="1:19" ht="15.6">
      <c r="A719" s="13">
        <v>63978</v>
      </c>
      <c r="B719" s="8">
        <f>11.8142 * CHOOSE(CONTROL!$C$12, $D$4, 100%, $F$4)</f>
        <v>11.8142</v>
      </c>
      <c r="C719" s="8">
        <f>11.8245 * CHOOSE(CONTROL!$C$12, $D$4, 100%, $F$4)</f>
        <v>11.8245</v>
      </c>
      <c r="D719" s="8">
        <f>11.8266 * CHOOSE( CONTROL!$C$12, $D$4, 100%, $F$4)</f>
        <v>11.826599999999999</v>
      </c>
      <c r="E719" s="12">
        <f>11.8247 * CHOOSE( CONTROL!$C$12, $D$4, 100%, $F$4)</f>
        <v>11.8247</v>
      </c>
      <c r="F719" s="4">
        <f>12.8283 * CHOOSE(CONTROL!$C$12, $D$4, 100%, $F$4)</f>
        <v>12.8283</v>
      </c>
      <c r="G719" s="8">
        <f>11.677 * CHOOSE( CONTROL!$C$12, $D$4, 100%, $F$4)</f>
        <v>11.677</v>
      </c>
      <c r="H719" s="4">
        <f>12.563 * CHOOSE(CONTROL!$C$12, $D$4, 100%, $F$4)</f>
        <v>12.563000000000001</v>
      </c>
      <c r="I719" s="8">
        <f>11.5503 * CHOOSE(CONTROL!$C$12, $D$4, 100%, $F$4)</f>
        <v>11.5503</v>
      </c>
      <c r="J719" s="4">
        <f>11.447 * CHOOSE(CONTROL!$C$12, $D$4, 100%, $F$4)</f>
        <v>11.446999999999999</v>
      </c>
      <c r="K719" s="4"/>
      <c r="L719" s="9">
        <v>24.747800000000002</v>
      </c>
      <c r="M719" s="9">
        <v>10.8962</v>
      </c>
      <c r="N719" s="9">
        <v>4.4660000000000002</v>
      </c>
      <c r="O719" s="9">
        <v>0.33829999999999999</v>
      </c>
      <c r="P719" s="9">
        <v>1.1687000000000001</v>
      </c>
      <c r="Q719" s="9">
        <v>17.782800000000002</v>
      </c>
      <c r="R719" s="9"/>
      <c r="S719" s="11"/>
    </row>
    <row r="720" spans="1:19" ht="15.6">
      <c r="A720" s="13">
        <v>64009</v>
      </c>
      <c r="B720" s="8">
        <f>11.5627 * CHOOSE(CONTROL!$C$12, $D$4, 100%, $F$4)</f>
        <v>11.5627</v>
      </c>
      <c r="C720" s="8">
        <f>11.573 * CHOOSE(CONTROL!$C$12, $D$4, 100%, $F$4)</f>
        <v>11.573</v>
      </c>
      <c r="D720" s="8">
        <f>11.5552 * CHOOSE( CONTROL!$C$12, $D$4, 100%, $F$4)</f>
        <v>11.555199999999999</v>
      </c>
      <c r="E720" s="12">
        <f>11.5606 * CHOOSE( CONTROL!$C$12, $D$4, 100%, $F$4)</f>
        <v>11.560600000000001</v>
      </c>
      <c r="F720" s="4">
        <f>12.5609 * CHOOSE(CONTROL!$C$12, $D$4, 100%, $F$4)</f>
        <v>12.5609</v>
      </c>
      <c r="G720" s="8">
        <f>11.4086 * CHOOSE( CONTROL!$C$12, $D$4, 100%, $F$4)</f>
        <v>11.4086</v>
      </c>
      <c r="H720" s="4">
        <f>12.2993 * CHOOSE(CONTROL!$C$12, $D$4, 100%, $F$4)</f>
        <v>12.299300000000001</v>
      </c>
      <c r="I720" s="8">
        <f>11.267 * CHOOSE(CONTROL!$C$12, $D$4, 100%, $F$4)</f>
        <v>11.266999999999999</v>
      </c>
      <c r="J720" s="4">
        <f>11.2033 * CHOOSE(CONTROL!$C$12, $D$4, 100%, $F$4)</f>
        <v>11.2033</v>
      </c>
      <c r="K720" s="4"/>
      <c r="L720" s="9">
        <v>27.3993</v>
      </c>
      <c r="M720" s="9">
        <v>12.063700000000001</v>
      </c>
      <c r="N720" s="9">
        <v>4.9444999999999997</v>
      </c>
      <c r="O720" s="9">
        <v>0.37459999999999999</v>
      </c>
      <c r="P720" s="9">
        <v>1.2939000000000001</v>
      </c>
      <c r="Q720" s="9">
        <v>19.688099999999999</v>
      </c>
      <c r="R720" s="9"/>
      <c r="S720" s="11"/>
    </row>
    <row r="721" spans="1:19" ht="15.6">
      <c r="A721" s="13">
        <v>64039</v>
      </c>
      <c r="B721" s="8">
        <f>11.7384 * CHOOSE(CONTROL!$C$12, $D$4, 100%, $F$4)</f>
        <v>11.7384</v>
      </c>
      <c r="C721" s="8">
        <f>11.7487 * CHOOSE(CONTROL!$C$12, $D$4, 100%, $F$4)</f>
        <v>11.748699999999999</v>
      </c>
      <c r="D721" s="8">
        <f>11.7538 * CHOOSE( CONTROL!$C$12, $D$4, 100%, $F$4)</f>
        <v>11.7538</v>
      </c>
      <c r="E721" s="12">
        <f>11.7509 * CHOOSE( CONTROL!$C$12, $D$4, 100%, $F$4)</f>
        <v>11.7509</v>
      </c>
      <c r="F721" s="4">
        <f>12.7448 * CHOOSE(CONTROL!$C$12, $D$4, 100%, $F$4)</f>
        <v>12.7448</v>
      </c>
      <c r="G721" s="8">
        <f>11.5697 * CHOOSE( CONTROL!$C$12, $D$4, 100%, $F$4)</f>
        <v>11.569699999999999</v>
      </c>
      <c r="H721" s="4">
        <f>12.4807 * CHOOSE(CONTROL!$C$12, $D$4, 100%, $F$4)</f>
        <v>12.480700000000001</v>
      </c>
      <c r="I721" s="8">
        <f>11.4275 * CHOOSE(CONTROL!$C$12, $D$4, 100%, $F$4)</f>
        <v>11.4275</v>
      </c>
      <c r="J721" s="4">
        <f>11.3736 * CHOOSE(CONTROL!$C$12, $D$4, 100%, $F$4)</f>
        <v>11.3736</v>
      </c>
      <c r="K721" s="4"/>
      <c r="L721" s="9">
        <v>27.988800000000001</v>
      </c>
      <c r="M721" s="9">
        <v>11.6745</v>
      </c>
      <c r="N721" s="9">
        <v>4.7850000000000001</v>
      </c>
      <c r="O721" s="9">
        <v>0.36249999999999999</v>
      </c>
      <c r="P721" s="9">
        <v>1.1798</v>
      </c>
      <c r="Q721" s="9">
        <v>19.053000000000001</v>
      </c>
      <c r="R721" s="9"/>
      <c r="S721" s="11"/>
    </row>
    <row r="722" spans="1:19" ht="15.6">
      <c r="A722" s="13">
        <v>64070</v>
      </c>
      <c r="B722" s="8">
        <f>CHOOSE( CONTROL!$C$29, 12.058, 12.0512) * CHOOSE(CONTROL!$C$12, $D$4, 100%, $F$4)</f>
        <v>12.0512</v>
      </c>
      <c r="C722" s="8">
        <f>CHOOSE( CONTROL!$C$29, 12.0683, 12.0615) * CHOOSE(CONTROL!$C$12, $D$4, 100%, $F$4)</f>
        <v>12.061500000000001</v>
      </c>
      <c r="D722" s="8">
        <f>CHOOSE( CONTROL!$C$29, 12.0486, 12.0417) * CHOOSE( CONTROL!$C$12, $D$4, 100%, $F$4)</f>
        <v>12.041700000000001</v>
      </c>
      <c r="E722" s="12">
        <f>CHOOSE( CONTROL!$C$29, 12.0542, 12.0473) * CHOOSE( CONTROL!$C$12, $D$4, 100%, $F$4)</f>
        <v>12.0473</v>
      </c>
      <c r="F722" s="4">
        <f>CHOOSE( CONTROL!$C$29, 13.0324, 13.0256) * CHOOSE(CONTROL!$C$12, $D$4, 100%, $F$4)</f>
        <v>13.025600000000001</v>
      </c>
      <c r="G722" s="8">
        <f>CHOOSE( CONTROL!$C$29, 11.8665, 11.8598) * CHOOSE( CONTROL!$C$12, $D$4, 100%, $F$4)</f>
        <v>11.8598</v>
      </c>
      <c r="H722" s="4">
        <f>CHOOSE( CONTROL!$C$29, 12.7642, 12.7575) * CHOOSE(CONTROL!$C$12, $D$4, 100%, $F$4)</f>
        <v>12.7575</v>
      </c>
      <c r="I722" s="8">
        <f>CHOOSE( CONTROL!$C$29, 11.7158, 11.7092) * CHOOSE(CONTROL!$C$12, $D$4, 100%, $F$4)</f>
        <v>11.709199999999999</v>
      </c>
      <c r="J722" s="4">
        <f>CHOOSE( CONTROL!$C$29, 11.6832, 11.6766) * CHOOSE(CONTROL!$C$12, $D$4, 100%, $F$4)</f>
        <v>11.676600000000001</v>
      </c>
      <c r="K722" s="4"/>
      <c r="L722" s="9">
        <v>29.520499999999998</v>
      </c>
      <c r="M722" s="9">
        <v>12.063700000000001</v>
      </c>
      <c r="N722" s="9">
        <v>4.9444999999999997</v>
      </c>
      <c r="O722" s="9">
        <v>0.37459999999999999</v>
      </c>
      <c r="P722" s="9">
        <v>1.2192000000000001</v>
      </c>
      <c r="Q722" s="9">
        <v>19.688099999999999</v>
      </c>
      <c r="R722" s="9"/>
      <c r="S722" s="11"/>
    </row>
    <row r="723" spans="1:19" ht="15.6">
      <c r="A723" s="13">
        <v>64100</v>
      </c>
      <c r="B723" s="8">
        <f>CHOOSE( CONTROL!$C$29, 11.8643, 11.8574) * CHOOSE(CONTROL!$C$12, $D$4, 100%, $F$4)</f>
        <v>11.8574</v>
      </c>
      <c r="C723" s="8">
        <f>CHOOSE( CONTROL!$C$29, 11.8746, 11.8677) * CHOOSE(CONTROL!$C$12, $D$4, 100%, $F$4)</f>
        <v>11.867699999999999</v>
      </c>
      <c r="D723" s="8">
        <f>CHOOSE( CONTROL!$C$29, 11.8493, 11.8425) * CHOOSE( CONTROL!$C$12, $D$4, 100%, $F$4)</f>
        <v>11.842499999999999</v>
      </c>
      <c r="E723" s="12">
        <f>CHOOSE( CONTROL!$C$29, 11.8569, 11.8501) * CHOOSE( CONTROL!$C$12, $D$4, 100%, $F$4)</f>
        <v>11.850099999999999</v>
      </c>
      <c r="F723" s="4">
        <f>CHOOSE( CONTROL!$C$29, 12.8284, 12.8215) * CHOOSE(CONTROL!$C$12, $D$4, 100%, $F$4)</f>
        <v>12.8215</v>
      </c>
      <c r="G723" s="8">
        <f>CHOOSE( CONTROL!$C$29, 11.6743, 11.6676) * CHOOSE( CONTROL!$C$12, $D$4, 100%, $F$4)</f>
        <v>11.6676</v>
      </c>
      <c r="H723" s="4">
        <f>CHOOSE( CONTROL!$C$29, 12.563, 12.5563) * CHOOSE(CONTROL!$C$12, $D$4, 100%, $F$4)</f>
        <v>12.5563</v>
      </c>
      <c r="I723" s="8">
        <f>CHOOSE( CONTROL!$C$29, 11.5301, 11.5235) * CHOOSE(CONTROL!$C$12, $D$4, 100%, $F$4)</f>
        <v>11.5235</v>
      </c>
      <c r="J723" s="4">
        <f>CHOOSE( CONTROL!$C$29, 11.4955, 11.4889) * CHOOSE(CONTROL!$C$12, $D$4, 100%, $F$4)</f>
        <v>11.488899999999999</v>
      </c>
      <c r="K723" s="4"/>
      <c r="L723" s="9">
        <v>28.568200000000001</v>
      </c>
      <c r="M723" s="9">
        <v>11.6745</v>
      </c>
      <c r="N723" s="9">
        <v>4.7850000000000001</v>
      </c>
      <c r="O723" s="9">
        <v>0.36249999999999999</v>
      </c>
      <c r="P723" s="9">
        <v>1.1798</v>
      </c>
      <c r="Q723" s="9">
        <v>19.053000000000001</v>
      </c>
      <c r="R723" s="9"/>
      <c r="S723" s="11"/>
    </row>
    <row r="724" spans="1:19" ht="15.6">
      <c r="A724" s="13">
        <v>64131</v>
      </c>
      <c r="B724" s="8">
        <f>CHOOSE( CONTROL!$C$29, 12.3744, 12.3676) * CHOOSE(CONTROL!$C$12, $D$4, 100%, $F$4)</f>
        <v>12.367599999999999</v>
      </c>
      <c r="C724" s="8">
        <f>CHOOSE( CONTROL!$C$29, 12.3848, 12.3779) * CHOOSE(CONTROL!$C$12, $D$4, 100%, $F$4)</f>
        <v>12.3779</v>
      </c>
      <c r="D724" s="8">
        <f>CHOOSE( CONTROL!$C$29, 12.3929, 12.3861) * CHOOSE( CONTROL!$C$12, $D$4, 100%, $F$4)</f>
        <v>12.386100000000001</v>
      </c>
      <c r="E724" s="12">
        <f>CHOOSE( CONTROL!$C$29, 12.3884, 12.3816) * CHOOSE( CONTROL!$C$12, $D$4, 100%, $F$4)</f>
        <v>12.381600000000001</v>
      </c>
      <c r="F724" s="4">
        <f>CHOOSE( CONTROL!$C$29, 13.3835, 13.3766) * CHOOSE(CONTROL!$C$12, $D$4, 100%, $F$4)</f>
        <v>13.3766</v>
      </c>
      <c r="G724" s="8">
        <f>CHOOSE( CONTROL!$C$29, 12.2033, 12.1965) * CHOOSE( CONTROL!$C$12, $D$4, 100%, $F$4)</f>
        <v>12.1965</v>
      </c>
      <c r="H724" s="4">
        <f>CHOOSE( CONTROL!$C$29, 13.1102, 13.1035) * CHOOSE(CONTROL!$C$12, $D$4, 100%, $F$4)</f>
        <v>13.1035</v>
      </c>
      <c r="I724" s="8">
        <f>CHOOSE( CONTROL!$C$29, 12.08, 12.0734) * CHOOSE(CONTROL!$C$12, $D$4, 100%, $F$4)</f>
        <v>12.073399999999999</v>
      </c>
      <c r="J724" s="4">
        <f>CHOOSE( CONTROL!$C$29, 11.9899, 11.9833) * CHOOSE(CONTROL!$C$12, $D$4, 100%, $F$4)</f>
        <v>11.9833</v>
      </c>
      <c r="K724" s="4"/>
      <c r="L724" s="9">
        <v>29.520499999999998</v>
      </c>
      <c r="M724" s="9">
        <v>12.063700000000001</v>
      </c>
      <c r="N724" s="9">
        <v>4.9444999999999997</v>
      </c>
      <c r="O724" s="9">
        <v>0.37459999999999999</v>
      </c>
      <c r="P724" s="9">
        <v>1.2192000000000001</v>
      </c>
      <c r="Q724" s="9">
        <v>19.688099999999999</v>
      </c>
      <c r="R724" s="9"/>
      <c r="S724" s="11"/>
    </row>
    <row r="725" spans="1:19" ht="15.6">
      <c r="A725" s="13">
        <v>64162</v>
      </c>
      <c r="B725" s="8">
        <f>CHOOSE( CONTROL!$C$29, 11.4198, 11.413) * CHOOSE(CONTROL!$C$12, $D$4, 100%, $F$4)</f>
        <v>11.413</v>
      </c>
      <c r="C725" s="8">
        <f>CHOOSE( CONTROL!$C$29, 11.4302, 11.4233) * CHOOSE(CONTROL!$C$12, $D$4, 100%, $F$4)</f>
        <v>11.423299999999999</v>
      </c>
      <c r="D725" s="8">
        <f>CHOOSE( CONTROL!$C$29, 11.4316, 11.4248) * CHOOSE( CONTROL!$C$12, $D$4, 100%, $F$4)</f>
        <v>11.424799999999999</v>
      </c>
      <c r="E725" s="12">
        <f>CHOOSE( CONTROL!$C$29, 11.4295, 11.4227) * CHOOSE( CONTROL!$C$12, $D$4, 100%, $F$4)</f>
        <v>11.422700000000001</v>
      </c>
      <c r="F725" s="4">
        <f>CHOOSE( CONTROL!$C$29, 12.4263, 12.4194) * CHOOSE(CONTROL!$C$12, $D$4, 100%, $F$4)</f>
        <v>12.4194</v>
      </c>
      <c r="G725" s="8">
        <f>CHOOSE( CONTROL!$C$29, 11.2523, 11.2456) * CHOOSE( CONTROL!$C$12, $D$4, 100%, $F$4)</f>
        <v>11.2456</v>
      </c>
      <c r="H725" s="4">
        <f>CHOOSE( CONTROL!$C$29, 12.1667, 12.1599) * CHOOSE(CONTROL!$C$12, $D$4, 100%, $F$4)</f>
        <v>12.1599</v>
      </c>
      <c r="I725" s="8">
        <f>CHOOSE( CONTROL!$C$29, 11.1357, 11.129) * CHOOSE(CONTROL!$C$12, $D$4, 100%, $F$4)</f>
        <v>11.129</v>
      </c>
      <c r="J725" s="4">
        <f>CHOOSE( CONTROL!$C$29, 11.0649, 11.0582) * CHOOSE(CONTROL!$C$12, $D$4, 100%, $F$4)</f>
        <v>11.058199999999999</v>
      </c>
      <c r="K725" s="4"/>
      <c r="L725" s="9">
        <v>29.520499999999998</v>
      </c>
      <c r="M725" s="9">
        <v>12.063700000000001</v>
      </c>
      <c r="N725" s="9">
        <v>4.9444999999999997</v>
      </c>
      <c r="O725" s="9">
        <v>0.37459999999999999</v>
      </c>
      <c r="P725" s="9">
        <v>1.2192000000000001</v>
      </c>
      <c r="Q725" s="9">
        <v>19.688099999999999</v>
      </c>
      <c r="R725" s="9"/>
      <c r="S725" s="11"/>
    </row>
    <row r="726" spans="1:19" ht="15.6">
      <c r="A726" s="13">
        <v>64192</v>
      </c>
      <c r="B726" s="8">
        <f>CHOOSE( CONTROL!$C$29, 11.1808, 11.1739) * CHOOSE(CONTROL!$C$12, $D$4, 100%, $F$4)</f>
        <v>11.1739</v>
      </c>
      <c r="C726" s="8">
        <f>CHOOSE( CONTROL!$C$29, 11.1911, 11.1843) * CHOOSE(CONTROL!$C$12, $D$4, 100%, $F$4)</f>
        <v>11.1843</v>
      </c>
      <c r="D726" s="8">
        <f>CHOOSE( CONTROL!$C$29, 11.1958, 11.1889) * CHOOSE( CONTROL!$C$12, $D$4, 100%, $F$4)</f>
        <v>11.1889</v>
      </c>
      <c r="E726" s="12">
        <f>CHOOSE( CONTROL!$C$29, 11.1925, 11.1856) * CHOOSE( CONTROL!$C$12, $D$4, 100%, $F$4)</f>
        <v>11.185600000000001</v>
      </c>
      <c r="F726" s="4">
        <f>CHOOSE( CONTROL!$C$29, 12.1924, 12.1855) * CHOOSE(CONTROL!$C$12, $D$4, 100%, $F$4)</f>
        <v>12.185499999999999</v>
      </c>
      <c r="G726" s="8">
        <f>CHOOSE( CONTROL!$C$29, 11.0187, 11.012) * CHOOSE( CONTROL!$C$12, $D$4, 100%, $F$4)</f>
        <v>11.012</v>
      </c>
      <c r="H726" s="4">
        <f>CHOOSE( CONTROL!$C$29, 11.9361, 11.9294) * CHOOSE(CONTROL!$C$12, $D$4, 100%, $F$4)</f>
        <v>11.929399999999999</v>
      </c>
      <c r="I726" s="8">
        <f>CHOOSE( CONTROL!$C$29, 10.9117, 10.9051) * CHOOSE(CONTROL!$C$12, $D$4, 100%, $F$4)</f>
        <v>10.905099999999999</v>
      </c>
      <c r="J726" s="4">
        <f>CHOOSE( CONTROL!$C$29, 10.8332, 10.8266) * CHOOSE(CONTROL!$C$12, $D$4, 100%, $F$4)</f>
        <v>10.826599999999999</v>
      </c>
      <c r="K726" s="4"/>
      <c r="L726" s="9">
        <v>28.568200000000001</v>
      </c>
      <c r="M726" s="9">
        <v>11.6745</v>
      </c>
      <c r="N726" s="9">
        <v>4.7850000000000001</v>
      </c>
      <c r="O726" s="9">
        <v>0.36249999999999999</v>
      </c>
      <c r="P726" s="9">
        <v>1.1798</v>
      </c>
      <c r="Q726" s="9">
        <v>19.053000000000001</v>
      </c>
      <c r="R726" s="9"/>
      <c r="S726" s="11"/>
    </row>
    <row r="727" spans="1:19" ht="15.6">
      <c r="A727" s="13">
        <v>64223</v>
      </c>
      <c r="B727" s="8">
        <f>11.6703 * CHOOSE(CONTROL!$C$12, $D$4, 100%, $F$4)</f>
        <v>11.670299999999999</v>
      </c>
      <c r="C727" s="8">
        <f>11.6806 * CHOOSE(CONTROL!$C$12, $D$4, 100%, $F$4)</f>
        <v>11.6806</v>
      </c>
      <c r="D727" s="8">
        <f>11.6757 * CHOOSE( CONTROL!$C$12, $D$4, 100%, $F$4)</f>
        <v>11.675700000000001</v>
      </c>
      <c r="E727" s="12">
        <f>11.6762 * CHOOSE( CONTROL!$C$12, $D$4, 100%, $F$4)</f>
        <v>11.6762</v>
      </c>
      <c r="F727" s="4">
        <f>12.6612 * CHOOSE(CONTROL!$C$12, $D$4, 100%, $F$4)</f>
        <v>12.661199999999999</v>
      </c>
      <c r="G727" s="8">
        <f>11.4981 * CHOOSE( CONTROL!$C$12, $D$4, 100%, $F$4)</f>
        <v>11.498100000000001</v>
      </c>
      <c r="H727" s="4">
        <f>12.3983 * CHOOSE(CONTROL!$C$12, $D$4, 100%, $F$4)</f>
        <v>12.398300000000001</v>
      </c>
      <c r="I727" s="8">
        <f>11.3901 * CHOOSE(CONTROL!$C$12, $D$4, 100%, $F$4)</f>
        <v>11.3901</v>
      </c>
      <c r="J727" s="4">
        <f>11.3076 * CHOOSE(CONTROL!$C$12, $D$4, 100%, $F$4)</f>
        <v>11.307600000000001</v>
      </c>
      <c r="K727" s="4"/>
      <c r="L727" s="9">
        <v>28.921800000000001</v>
      </c>
      <c r="M727" s="9">
        <v>12.063700000000001</v>
      </c>
      <c r="N727" s="9">
        <v>4.9444999999999997</v>
      </c>
      <c r="O727" s="9">
        <v>0.37459999999999999</v>
      </c>
      <c r="P727" s="9">
        <v>1.2192000000000001</v>
      </c>
      <c r="Q727" s="9">
        <v>19.688099999999999</v>
      </c>
      <c r="R727" s="9"/>
      <c r="S727" s="11"/>
    </row>
    <row r="728" spans="1:19" ht="15.6">
      <c r="A728" s="13">
        <v>64253</v>
      </c>
      <c r="B728" s="8">
        <f>12.5864 * CHOOSE(CONTROL!$C$12, $D$4, 100%, $F$4)</f>
        <v>12.586399999999999</v>
      </c>
      <c r="C728" s="8">
        <f>12.5968 * CHOOSE(CONTROL!$C$12, $D$4, 100%, $F$4)</f>
        <v>12.5968</v>
      </c>
      <c r="D728" s="8">
        <f>12.5561 * CHOOSE( CONTROL!$C$12, $D$4, 100%, $F$4)</f>
        <v>12.556100000000001</v>
      </c>
      <c r="E728" s="12">
        <f>12.5699 * CHOOSE( CONTROL!$C$12, $D$4, 100%, $F$4)</f>
        <v>12.569900000000001</v>
      </c>
      <c r="F728" s="4">
        <f>13.5635 * CHOOSE(CONTROL!$C$12, $D$4, 100%, $F$4)</f>
        <v>13.563499999999999</v>
      </c>
      <c r="G728" s="8">
        <f>12.3951 * CHOOSE( CONTROL!$C$12, $D$4, 100%, $F$4)</f>
        <v>12.395099999999999</v>
      </c>
      <c r="H728" s="4">
        <f>13.2877 * CHOOSE(CONTROL!$C$12, $D$4, 100%, $F$4)</f>
        <v>13.287699999999999</v>
      </c>
      <c r="I728" s="8">
        <f>12.2626 * CHOOSE(CONTROL!$C$12, $D$4, 100%, $F$4)</f>
        <v>12.262600000000001</v>
      </c>
      <c r="J728" s="4">
        <f>12.1953 * CHOOSE(CONTROL!$C$12, $D$4, 100%, $F$4)</f>
        <v>12.1953</v>
      </c>
      <c r="K728" s="4"/>
      <c r="L728" s="9">
        <v>26.515499999999999</v>
      </c>
      <c r="M728" s="9">
        <v>11.6745</v>
      </c>
      <c r="N728" s="9">
        <v>4.7850000000000001</v>
      </c>
      <c r="O728" s="9">
        <v>0.36249999999999999</v>
      </c>
      <c r="P728" s="9">
        <v>1.2522</v>
      </c>
      <c r="Q728" s="9">
        <v>19.053000000000001</v>
      </c>
      <c r="R728" s="9"/>
      <c r="S728" s="11"/>
    </row>
    <row r="729" spans="1:19" ht="15.6">
      <c r="A729" s="13">
        <v>64284</v>
      </c>
      <c r="B729" s="8">
        <f>12.5635 * CHOOSE(CONTROL!$C$12, $D$4, 100%, $F$4)</f>
        <v>12.563499999999999</v>
      </c>
      <c r="C729" s="8">
        <f>12.5739 * CHOOSE(CONTROL!$C$12, $D$4, 100%, $F$4)</f>
        <v>12.5739</v>
      </c>
      <c r="D729" s="8">
        <f>12.5351 * CHOOSE( CONTROL!$C$12, $D$4, 100%, $F$4)</f>
        <v>12.5351</v>
      </c>
      <c r="E729" s="12">
        <f>12.5482 * CHOOSE( CONTROL!$C$12, $D$4, 100%, $F$4)</f>
        <v>12.5482</v>
      </c>
      <c r="F729" s="4">
        <f>13.5339 * CHOOSE(CONTROL!$C$12, $D$4, 100%, $F$4)</f>
        <v>13.533899999999999</v>
      </c>
      <c r="G729" s="8">
        <f>12.3749 * CHOOSE( CONTROL!$C$12, $D$4, 100%, $F$4)</f>
        <v>12.3749</v>
      </c>
      <c r="H729" s="4">
        <f>13.2585 * CHOOSE(CONTROL!$C$12, $D$4, 100%, $F$4)</f>
        <v>13.2585</v>
      </c>
      <c r="I729" s="8">
        <f>12.2512 * CHOOSE(CONTROL!$C$12, $D$4, 100%, $F$4)</f>
        <v>12.251200000000001</v>
      </c>
      <c r="J729" s="4">
        <f>12.1731 * CHOOSE(CONTROL!$C$12, $D$4, 100%, $F$4)</f>
        <v>12.1731</v>
      </c>
      <c r="K729" s="4"/>
      <c r="L729" s="9">
        <v>27.3993</v>
      </c>
      <c r="M729" s="9">
        <v>12.063700000000001</v>
      </c>
      <c r="N729" s="9">
        <v>4.9444999999999997</v>
      </c>
      <c r="O729" s="9">
        <v>0.37459999999999999</v>
      </c>
      <c r="P729" s="9">
        <v>1.2939000000000001</v>
      </c>
      <c r="Q729" s="9">
        <v>19.688099999999999</v>
      </c>
      <c r="R729" s="9"/>
      <c r="S729" s="11"/>
    </row>
    <row r="730" spans="1:19" ht="15.6">
      <c r="A730" s="13">
        <v>64315</v>
      </c>
      <c r="B730" s="8">
        <f>12.8567 * CHOOSE(CONTROL!$C$12, $D$4, 100%, $F$4)</f>
        <v>12.8567</v>
      </c>
      <c r="C730" s="8">
        <f>12.867 * CHOOSE(CONTROL!$C$12, $D$4, 100%, $F$4)</f>
        <v>12.867000000000001</v>
      </c>
      <c r="D730" s="8">
        <f>12.8668 * CHOOSE( CONTROL!$C$12, $D$4, 100%, $F$4)</f>
        <v>12.8668</v>
      </c>
      <c r="E730" s="12">
        <f>12.8658 * CHOOSE( CONTROL!$C$12, $D$4, 100%, $F$4)</f>
        <v>12.8658</v>
      </c>
      <c r="F730" s="4">
        <f>13.8786 * CHOOSE(CONTROL!$C$12, $D$4, 100%, $F$4)</f>
        <v>13.8786</v>
      </c>
      <c r="G730" s="8">
        <f>12.7049 * CHOOSE( CONTROL!$C$12, $D$4, 100%, $F$4)</f>
        <v>12.7049</v>
      </c>
      <c r="H730" s="4">
        <f>13.5983 * CHOOSE(CONTROL!$C$12, $D$4, 100%, $F$4)</f>
        <v>13.5983</v>
      </c>
      <c r="I730" s="8">
        <f>12.572 * CHOOSE(CONTROL!$C$12, $D$4, 100%, $F$4)</f>
        <v>12.571999999999999</v>
      </c>
      <c r="J730" s="4">
        <f>12.4572 * CHOOSE(CONTROL!$C$12, $D$4, 100%, $F$4)</f>
        <v>12.4572</v>
      </c>
      <c r="K730" s="4"/>
      <c r="L730" s="9">
        <v>27.3993</v>
      </c>
      <c r="M730" s="9">
        <v>12.063700000000001</v>
      </c>
      <c r="N730" s="9">
        <v>4.9444999999999997</v>
      </c>
      <c r="O730" s="9">
        <v>0.37459999999999999</v>
      </c>
      <c r="P730" s="9">
        <v>1.2939000000000001</v>
      </c>
      <c r="Q730" s="9">
        <v>19.688099999999999</v>
      </c>
      <c r="R730" s="9"/>
      <c r="S730" s="11"/>
    </row>
    <row r="731" spans="1:19" ht="15.6">
      <c r="A731" s="13">
        <v>64344</v>
      </c>
      <c r="B731" s="8">
        <f>12.0256 * CHOOSE(CONTROL!$C$12, $D$4, 100%, $F$4)</f>
        <v>12.025600000000001</v>
      </c>
      <c r="C731" s="8">
        <f>12.0359 * CHOOSE(CONTROL!$C$12, $D$4, 100%, $F$4)</f>
        <v>12.0359</v>
      </c>
      <c r="D731" s="8">
        <f>12.038 * CHOOSE( CONTROL!$C$12, $D$4, 100%, $F$4)</f>
        <v>12.038</v>
      </c>
      <c r="E731" s="12">
        <f>12.0361 * CHOOSE( CONTROL!$C$12, $D$4, 100%, $F$4)</f>
        <v>12.036099999999999</v>
      </c>
      <c r="F731" s="4">
        <f>13.0398 * CHOOSE(CONTROL!$C$12, $D$4, 100%, $F$4)</f>
        <v>13.0398</v>
      </c>
      <c r="G731" s="8">
        <f>11.8855 * CHOOSE( CONTROL!$C$12, $D$4, 100%, $F$4)</f>
        <v>11.8855</v>
      </c>
      <c r="H731" s="4">
        <f>12.7714 * CHOOSE(CONTROL!$C$12, $D$4, 100%, $F$4)</f>
        <v>12.7714</v>
      </c>
      <c r="I731" s="8">
        <f>11.7553 * CHOOSE(CONTROL!$C$12, $D$4, 100%, $F$4)</f>
        <v>11.7553</v>
      </c>
      <c r="J731" s="4">
        <f>11.6519 * CHOOSE(CONTROL!$C$12, $D$4, 100%, $F$4)</f>
        <v>11.651899999999999</v>
      </c>
      <c r="K731" s="4"/>
      <c r="L731" s="9">
        <v>25.631599999999999</v>
      </c>
      <c r="M731" s="9">
        <v>11.285299999999999</v>
      </c>
      <c r="N731" s="9">
        <v>4.6254999999999997</v>
      </c>
      <c r="O731" s="9">
        <v>0.35039999999999999</v>
      </c>
      <c r="P731" s="9">
        <v>1.2104999999999999</v>
      </c>
      <c r="Q731" s="9">
        <v>18.417899999999999</v>
      </c>
      <c r="R731" s="9"/>
      <c r="S731" s="11"/>
    </row>
    <row r="732" spans="1:19" ht="15.6">
      <c r="A732" s="13">
        <v>64375</v>
      </c>
      <c r="B732" s="8">
        <f>11.7696 * CHOOSE(CONTROL!$C$12, $D$4, 100%, $F$4)</f>
        <v>11.769600000000001</v>
      </c>
      <c r="C732" s="8">
        <f>11.78 * CHOOSE(CONTROL!$C$12, $D$4, 100%, $F$4)</f>
        <v>11.78</v>
      </c>
      <c r="D732" s="8">
        <f>11.7621 * CHOOSE( CONTROL!$C$12, $D$4, 100%, $F$4)</f>
        <v>11.7621</v>
      </c>
      <c r="E732" s="12">
        <f>11.7675 * CHOOSE( CONTROL!$C$12, $D$4, 100%, $F$4)</f>
        <v>11.7675</v>
      </c>
      <c r="F732" s="4">
        <f>12.7678 * CHOOSE(CONTROL!$C$12, $D$4, 100%, $F$4)</f>
        <v>12.767799999999999</v>
      </c>
      <c r="G732" s="8">
        <f>11.6126 * CHOOSE( CONTROL!$C$12, $D$4, 100%, $F$4)</f>
        <v>11.6126</v>
      </c>
      <c r="H732" s="4">
        <f>12.5033 * CHOOSE(CONTROL!$C$12, $D$4, 100%, $F$4)</f>
        <v>12.503299999999999</v>
      </c>
      <c r="I732" s="8">
        <f>11.4677 * CHOOSE(CONTROL!$C$12, $D$4, 100%, $F$4)</f>
        <v>11.467700000000001</v>
      </c>
      <c r="J732" s="4">
        <f>11.4038 * CHOOSE(CONTROL!$C$12, $D$4, 100%, $F$4)</f>
        <v>11.4038</v>
      </c>
      <c r="K732" s="4"/>
      <c r="L732" s="9">
        <v>27.3993</v>
      </c>
      <c r="M732" s="9">
        <v>12.063700000000001</v>
      </c>
      <c r="N732" s="9">
        <v>4.9444999999999997</v>
      </c>
      <c r="O732" s="9">
        <v>0.37459999999999999</v>
      </c>
      <c r="P732" s="9">
        <v>1.2939000000000001</v>
      </c>
      <c r="Q732" s="9">
        <v>19.688099999999999</v>
      </c>
      <c r="R732" s="9"/>
      <c r="S732" s="11"/>
    </row>
    <row r="733" spans="1:19" ht="15.6">
      <c r="A733" s="13">
        <v>64405</v>
      </c>
      <c r="B733" s="8">
        <f>11.9485 * CHOOSE(CONTROL!$C$12, $D$4, 100%, $F$4)</f>
        <v>11.948499999999999</v>
      </c>
      <c r="C733" s="8">
        <f>11.9588 * CHOOSE(CONTROL!$C$12, $D$4, 100%, $F$4)</f>
        <v>11.9588</v>
      </c>
      <c r="D733" s="8">
        <f>11.9639 * CHOOSE( CONTROL!$C$12, $D$4, 100%, $F$4)</f>
        <v>11.963900000000001</v>
      </c>
      <c r="E733" s="12">
        <f>11.961 * CHOOSE( CONTROL!$C$12, $D$4, 100%, $F$4)</f>
        <v>11.961</v>
      </c>
      <c r="F733" s="4">
        <f>12.9549 * CHOOSE(CONTROL!$C$12, $D$4, 100%, $F$4)</f>
        <v>12.9549</v>
      </c>
      <c r="G733" s="8">
        <f>11.7768 * CHOOSE( CONTROL!$C$12, $D$4, 100%, $F$4)</f>
        <v>11.7768</v>
      </c>
      <c r="H733" s="4">
        <f>12.6878 * CHOOSE(CONTROL!$C$12, $D$4, 100%, $F$4)</f>
        <v>12.687799999999999</v>
      </c>
      <c r="I733" s="8">
        <f>11.6312 * CHOOSE(CONTROL!$C$12, $D$4, 100%, $F$4)</f>
        <v>11.6312</v>
      </c>
      <c r="J733" s="4">
        <f>11.5772 * CHOOSE(CONTROL!$C$12, $D$4, 100%, $F$4)</f>
        <v>11.577199999999999</v>
      </c>
      <c r="K733" s="4"/>
      <c r="L733" s="9">
        <v>27.988800000000001</v>
      </c>
      <c r="M733" s="9">
        <v>11.6745</v>
      </c>
      <c r="N733" s="9">
        <v>4.7850000000000001</v>
      </c>
      <c r="O733" s="9">
        <v>0.36249999999999999</v>
      </c>
      <c r="P733" s="9">
        <v>1.1798</v>
      </c>
      <c r="Q733" s="9">
        <v>19.053000000000001</v>
      </c>
      <c r="R733" s="9"/>
      <c r="S733" s="11"/>
    </row>
    <row r="734" spans="1:19" ht="15.6">
      <c r="A734" s="13">
        <v>64436</v>
      </c>
      <c r="B734" s="8">
        <f>CHOOSE( CONTROL!$C$29, 12.2737, 12.2669) * CHOOSE(CONTROL!$C$12, $D$4, 100%, $F$4)</f>
        <v>12.2669</v>
      </c>
      <c r="C734" s="8">
        <f>CHOOSE( CONTROL!$C$29, 12.284, 12.2772) * CHOOSE(CONTROL!$C$12, $D$4, 100%, $F$4)</f>
        <v>12.277200000000001</v>
      </c>
      <c r="D734" s="8">
        <f>CHOOSE( CONTROL!$C$29, 12.2643, 12.2574) * CHOOSE( CONTROL!$C$12, $D$4, 100%, $F$4)</f>
        <v>12.257400000000001</v>
      </c>
      <c r="E734" s="12">
        <f>CHOOSE( CONTROL!$C$29, 12.2699, 12.263) * CHOOSE( CONTROL!$C$12, $D$4, 100%, $F$4)</f>
        <v>12.263</v>
      </c>
      <c r="F734" s="4">
        <f>CHOOSE( CONTROL!$C$29, 13.2481, 13.2413) * CHOOSE(CONTROL!$C$12, $D$4, 100%, $F$4)</f>
        <v>13.241300000000001</v>
      </c>
      <c r="G734" s="8">
        <f>CHOOSE( CONTROL!$C$29, 12.0792, 12.0724) * CHOOSE( CONTROL!$C$12, $D$4, 100%, $F$4)</f>
        <v>12.0724</v>
      </c>
      <c r="H734" s="4">
        <f>CHOOSE( CONTROL!$C$29, 12.9768, 12.9701) * CHOOSE(CONTROL!$C$12, $D$4, 100%, $F$4)</f>
        <v>12.9701</v>
      </c>
      <c r="I734" s="8">
        <f>CHOOSE( CONTROL!$C$29, 11.9249, 11.9183) * CHOOSE(CONTROL!$C$12, $D$4, 100%, $F$4)</f>
        <v>11.9183</v>
      </c>
      <c r="J734" s="4">
        <f>CHOOSE( CONTROL!$C$29, 11.8923, 11.8856) * CHOOSE(CONTROL!$C$12, $D$4, 100%, $F$4)</f>
        <v>11.8856</v>
      </c>
      <c r="K734" s="4"/>
      <c r="L734" s="9">
        <v>29.520499999999998</v>
      </c>
      <c r="M734" s="9">
        <v>12.063700000000001</v>
      </c>
      <c r="N734" s="9">
        <v>4.9444999999999997</v>
      </c>
      <c r="O734" s="9">
        <v>0.37459999999999999</v>
      </c>
      <c r="P734" s="9">
        <v>1.2192000000000001</v>
      </c>
      <c r="Q734" s="9">
        <v>19.688099999999999</v>
      </c>
      <c r="R734" s="9"/>
      <c r="S734" s="11"/>
    </row>
    <row r="735" spans="1:19" ht="15.6">
      <c r="A735" s="13">
        <v>64466</v>
      </c>
      <c r="B735" s="8">
        <f>CHOOSE( CONTROL!$C$29, 12.0765, 12.0696) * CHOOSE(CONTROL!$C$12, $D$4, 100%, $F$4)</f>
        <v>12.069599999999999</v>
      </c>
      <c r="C735" s="8">
        <f>CHOOSE( CONTROL!$C$29, 12.0868, 12.08) * CHOOSE(CONTROL!$C$12, $D$4, 100%, $F$4)</f>
        <v>12.08</v>
      </c>
      <c r="D735" s="8">
        <f>CHOOSE( CONTROL!$C$29, 12.0615, 12.0547) * CHOOSE( CONTROL!$C$12, $D$4, 100%, $F$4)</f>
        <v>12.0547</v>
      </c>
      <c r="E735" s="12">
        <f>CHOOSE( CONTROL!$C$29, 12.0691, 12.0623) * CHOOSE( CONTROL!$C$12, $D$4, 100%, $F$4)</f>
        <v>12.0623</v>
      </c>
      <c r="F735" s="4">
        <f>CHOOSE( CONTROL!$C$29, 13.0406, 13.0338) * CHOOSE(CONTROL!$C$12, $D$4, 100%, $F$4)</f>
        <v>13.033799999999999</v>
      </c>
      <c r="G735" s="8">
        <f>CHOOSE( CONTROL!$C$29, 11.8835, 11.8768) * CHOOSE( CONTROL!$C$12, $D$4, 100%, $F$4)</f>
        <v>11.876799999999999</v>
      </c>
      <c r="H735" s="4">
        <f>CHOOSE( CONTROL!$C$29, 12.7723, 12.7655) * CHOOSE(CONTROL!$C$12, $D$4, 100%, $F$4)</f>
        <v>12.765499999999999</v>
      </c>
      <c r="I735" s="8">
        <f>CHOOSE( CONTROL!$C$29, 11.7359, 11.7293) * CHOOSE(CONTROL!$C$12, $D$4, 100%, $F$4)</f>
        <v>11.7293</v>
      </c>
      <c r="J735" s="4">
        <f>CHOOSE( CONTROL!$C$29, 11.7012, 11.6945) * CHOOSE(CONTROL!$C$12, $D$4, 100%, $F$4)</f>
        <v>11.6945</v>
      </c>
      <c r="K735" s="4"/>
      <c r="L735" s="9">
        <v>28.568200000000001</v>
      </c>
      <c r="M735" s="9">
        <v>11.6745</v>
      </c>
      <c r="N735" s="9">
        <v>4.7850000000000001</v>
      </c>
      <c r="O735" s="9">
        <v>0.36249999999999999</v>
      </c>
      <c r="P735" s="9">
        <v>1.1798</v>
      </c>
      <c r="Q735" s="9">
        <v>19.053000000000001</v>
      </c>
      <c r="R735" s="9"/>
      <c r="S735" s="11"/>
    </row>
    <row r="736" spans="1:19" ht="15.6">
      <c r="A736" s="13">
        <v>64497</v>
      </c>
      <c r="B736" s="8">
        <f>CHOOSE( CONTROL!$C$29, 12.5958, 12.589) * CHOOSE(CONTROL!$C$12, $D$4, 100%, $F$4)</f>
        <v>12.589</v>
      </c>
      <c r="C736" s="8">
        <f>CHOOSE( CONTROL!$C$29, 12.6061, 12.5993) * CHOOSE(CONTROL!$C$12, $D$4, 100%, $F$4)</f>
        <v>12.599299999999999</v>
      </c>
      <c r="D736" s="8">
        <f>CHOOSE( CONTROL!$C$29, 12.6143, 12.6074) * CHOOSE( CONTROL!$C$12, $D$4, 100%, $F$4)</f>
        <v>12.6074</v>
      </c>
      <c r="E736" s="12">
        <f>CHOOSE( CONTROL!$C$29, 12.6098, 12.6029) * CHOOSE( CONTROL!$C$12, $D$4, 100%, $F$4)</f>
        <v>12.6029</v>
      </c>
      <c r="F736" s="4">
        <f>CHOOSE( CONTROL!$C$29, 13.6048, 13.598) * CHOOSE(CONTROL!$C$12, $D$4, 100%, $F$4)</f>
        <v>13.598000000000001</v>
      </c>
      <c r="G736" s="8">
        <f>CHOOSE( CONTROL!$C$29, 12.4215, 12.4147) * CHOOSE( CONTROL!$C$12, $D$4, 100%, $F$4)</f>
        <v>12.4147</v>
      </c>
      <c r="H736" s="4">
        <f>CHOOSE( CONTROL!$C$29, 13.3284, 13.3217) * CHOOSE(CONTROL!$C$12, $D$4, 100%, $F$4)</f>
        <v>13.3217</v>
      </c>
      <c r="I736" s="8">
        <f>CHOOSE( CONTROL!$C$29, 12.2946, 12.288) * CHOOSE(CONTROL!$C$12, $D$4, 100%, $F$4)</f>
        <v>12.288</v>
      </c>
      <c r="J736" s="4">
        <f>CHOOSE( CONTROL!$C$29, 12.2044, 12.1978) * CHOOSE(CONTROL!$C$12, $D$4, 100%, $F$4)</f>
        <v>12.197800000000001</v>
      </c>
      <c r="K736" s="4"/>
      <c r="L736" s="9">
        <v>29.520499999999998</v>
      </c>
      <c r="M736" s="9">
        <v>12.063700000000001</v>
      </c>
      <c r="N736" s="9">
        <v>4.9444999999999997</v>
      </c>
      <c r="O736" s="9">
        <v>0.37459999999999999</v>
      </c>
      <c r="P736" s="9">
        <v>1.2192000000000001</v>
      </c>
      <c r="Q736" s="9">
        <v>19.688099999999999</v>
      </c>
      <c r="R736" s="9"/>
      <c r="S736" s="11"/>
    </row>
    <row r="737" spans="1:19" ht="15.6">
      <c r="A737" s="13">
        <v>64528</v>
      </c>
      <c r="B737" s="8">
        <f>CHOOSE( CONTROL!$C$29, 11.6241, 11.6173) * CHOOSE(CONTROL!$C$12, $D$4, 100%, $F$4)</f>
        <v>11.6173</v>
      </c>
      <c r="C737" s="8">
        <f>CHOOSE( CONTROL!$C$29, 11.6344, 11.6276) * CHOOSE(CONTROL!$C$12, $D$4, 100%, $F$4)</f>
        <v>11.627599999999999</v>
      </c>
      <c r="D737" s="8">
        <f>CHOOSE( CONTROL!$C$29, 11.6359, 11.6291) * CHOOSE( CONTROL!$C$12, $D$4, 100%, $F$4)</f>
        <v>11.629099999999999</v>
      </c>
      <c r="E737" s="12">
        <f>CHOOSE( CONTROL!$C$29, 11.6338, 11.627) * CHOOSE( CONTROL!$C$12, $D$4, 100%, $F$4)</f>
        <v>11.627000000000001</v>
      </c>
      <c r="F737" s="4">
        <f>CHOOSE( CONTROL!$C$29, 12.6305, 12.6237) * CHOOSE(CONTROL!$C$12, $D$4, 100%, $F$4)</f>
        <v>12.623699999999999</v>
      </c>
      <c r="G737" s="8">
        <f>CHOOSE( CONTROL!$C$29, 11.4537, 11.447) * CHOOSE( CONTROL!$C$12, $D$4, 100%, $F$4)</f>
        <v>11.446999999999999</v>
      </c>
      <c r="H737" s="4">
        <f>CHOOSE( CONTROL!$C$29, 12.368, 12.3613) * CHOOSE(CONTROL!$C$12, $D$4, 100%, $F$4)</f>
        <v>12.3613</v>
      </c>
      <c r="I737" s="8">
        <f>CHOOSE( CONTROL!$C$29, 11.3337, 11.3271) * CHOOSE(CONTROL!$C$12, $D$4, 100%, $F$4)</f>
        <v>11.3271</v>
      </c>
      <c r="J737" s="4">
        <f>CHOOSE( CONTROL!$C$29, 11.2628, 11.2562) * CHOOSE(CONTROL!$C$12, $D$4, 100%, $F$4)</f>
        <v>11.2562</v>
      </c>
      <c r="K737" s="4"/>
      <c r="L737" s="9">
        <v>29.520499999999998</v>
      </c>
      <c r="M737" s="9">
        <v>12.063700000000001</v>
      </c>
      <c r="N737" s="9">
        <v>4.9444999999999997</v>
      </c>
      <c r="O737" s="9">
        <v>0.37459999999999999</v>
      </c>
      <c r="P737" s="9">
        <v>1.2192000000000001</v>
      </c>
      <c r="Q737" s="9">
        <v>19.688099999999999</v>
      </c>
      <c r="R737" s="9"/>
      <c r="S737" s="11"/>
    </row>
    <row r="738" spans="1:19" ht="15.6">
      <c r="A738" s="13">
        <v>64558</v>
      </c>
      <c r="B738" s="8">
        <f>CHOOSE( CONTROL!$C$29, 11.3808, 11.3739) * CHOOSE(CONTROL!$C$12, $D$4, 100%, $F$4)</f>
        <v>11.373900000000001</v>
      </c>
      <c r="C738" s="8">
        <f>CHOOSE( CONTROL!$C$29, 11.3911, 11.3843) * CHOOSE(CONTROL!$C$12, $D$4, 100%, $F$4)</f>
        <v>11.3843</v>
      </c>
      <c r="D738" s="8">
        <f>CHOOSE( CONTROL!$C$29, 11.3958, 11.3889) * CHOOSE( CONTROL!$C$12, $D$4, 100%, $F$4)</f>
        <v>11.3889</v>
      </c>
      <c r="E738" s="12">
        <f>CHOOSE( CONTROL!$C$29, 11.3925, 11.3856) * CHOOSE( CONTROL!$C$12, $D$4, 100%, $F$4)</f>
        <v>11.3856</v>
      </c>
      <c r="F738" s="4">
        <f>CHOOSE( CONTROL!$C$29, 12.3924, 12.3855) * CHOOSE(CONTROL!$C$12, $D$4, 100%, $F$4)</f>
        <v>12.3855</v>
      </c>
      <c r="G738" s="8">
        <f>CHOOSE( CONTROL!$C$29, 11.2159, 11.2091) * CHOOSE( CONTROL!$C$12, $D$4, 100%, $F$4)</f>
        <v>11.209099999999999</v>
      </c>
      <c r="H738" s="4">
        <f>CHOOSE( CONTROL!$C$29, 12.1333, 12.1265) * CHOOSE(CONTROL!$C$12, $D$4, 100%, $F$4)</f>
        <v>12.1265</v>
      </c>
      <c r="I738" s="8">
        <f>CHOOSE( CONTROL!$C$29, 11.1056, 11.099) * CHOOSE(CONTROL!$C$12, $D$4, 100%, $F$4)</f>
        <v>11.099</v>
      </c>
      <c r="J738" s="4">
        <f>CHOOSE( CONTROL!$C$29, 11.027, 11.0204) * CHOOSE(CONTROL!$C$12, $D$4, 100%, $F$4)</f>
        <v>11.0204</v>
      </c>
      <c r="K738" s="4"/>
      <c r="L738" s="9">
        <v>28.568200000000001</v>
      </c>
      <c r="M738" s="9">
        <v>11.6745</v>
      </c>
      <c r="N738" s="9">
        <v>4.7850000000000001</v>
      </c>
      <c r="O738" s="9">
        <v>0.36249999999999999</v>
      </c>
      <c r="P738" s="9">
        <v>1.1798</v>
      </c>
      <c r="Q738" s="9">
        <v>19.053000000000001</v>
      </c>
      <c r="R738" s="9"/>
      <c r="S738" s="11"/>
    </row>
    <row r="739" spans="1:19" ht="15.6">
      <c r="A739" s="13">
        <v>64589</v>
      </c>
      <c r="B739" s="8">
        <f>11.8792 * CHOOSE(CONTROL!$C$12, $D$4, 100%, $F$4)</f>
        <v>11.879200000000001</v>
      </c>
      <c r="C739" s="8">
        <f>11.8895 * CHOOSE(CONTROL!$C$12, $D$4, 100%, $F$4)</f>
        <v>11.8895</v>
      </c>
      <c r="D739" s="8">
        <f>11.8845 * CHOOSE( CONTROL!$C$12, $D$4, 100%, $F$4)</f>
        <v>11.884499999999999</v>
      </c>
      <c r="E739" s="12">
        <f>11.8851 * CHOOSE( CONTROL!$C$12, $D$4, 100%, $F$4)</f>
        <v>11.8851</v>
      </c>
      <c r="F739" s="4">
        <f>12.8701 * CHOOSE(CONTROL!$C$12, $D$4, 100%, $F$4)</f>
        <v>12.870100000000001</v>
      </c>
      <c r="G739" s="8">
        <f>11.704 * CHOOSE( CONTROL!$C$12, $D$4, 100%, $F$4)</f>
        <v>11.704000000000001</v>
      </c>
      <c r="H739" s="4">
        <f>12.6042 * CHOOSE(CONTROL!$C$12, $D$4, 100%, $F$4)</f>
        <v>12.604200000000001</v>
      </c>
      <c r="I739" s="8">
        <f>11.5926 * CHOOSE(CONTROL!$C$12, $D$4, 100%, $F$4)</f>
        <v>11.592599999999999</v>
      </c>
      <c r="J739" s="4">
        <f>11.51 * CHOOSE(CONTROL!$C$12, $D$4, 100%, $F$4)</f>
        <v>11.51</v>
      </c>
      <c r="K739" s="4"/>
      <c r="L739" s="9">
        <v>28.921800000000001</v>
      </c>
      <c r="M739" s="9">
        <v>12.063700000000001</v>
      </c>
      <c r="N739" s="9">
        <v>4.9444999999999997</v>
      </c>
      <c r="O739" s="9">
        <v>0.37459999999999999</v>
      </c>
      <c r="P739" s="9">
        <v>1.2192000000000001</v>
      </c>
      <c r="Q739" s="9">
        <v>19.688099999999999</v>
      </c>
      <c r="R739" s="9"/>
      <c r="S739" s="11"/>
    </row>
    <row r="740" spans="1:19" ht="15.6">
      <c r="A740" s="13">
        <v>64619</v>
      </c>
      <c r="B740" s="8">
        <f>12.8117 * CHOOSE(CONTROL!$C$12, $D$4, 100%, $F$4)</f>
        <v>12.8117</v>
      </c>
      <c r="C740" s="8">
        <f>12.822 * CHOOSE(CONTROL!$C$12, $D$4, 100%, $F$4)</f>
        <v>12.821999999999999</v>
      </c>
      <c r="D740" s="8">
        <f>12.7814 * CHOOSE( CONTROL!$C$12, $D$4, 100%, $F$4)</f>
        <v>12.7814</v>
      </c>
      <c r="E740" s="12">
        <f>12.7951 * CHOOSE( CONTROL!$C$12, $D$4, 100%, $F$4)</f>
        <v>12.7951</v>
      </c>
      <c r="F740" s="4">
        <f>13.7887 * CHOOSE(CONTROL!$C$12, $D$4, 100%, $F$4)</f>
        <v>13.7887</v>
      </c>
      <c r="G740" s="8">
        <f>12.6172 * CHOOSE( CONTROL!$C$12, $D$4, 100%, $F$4)</f>
        <v>12.6172</v>
      </c>
      <c r="H740" s="4">
        <f>13.5097 * CHOOSE(CONTROL!$C$12, $D$4, 100%, $F$4)</f>
        <v>13.5097</v>
      </c>
      <c r="I740" s="8">
        <f>12.481 * CHOOSE(CONTROL!$C$12, $D$4, 100%, $F$4)</f>
        <v>12.481</v>
      </c>
      <c r="J740" s="4">
        <f>12.4136 * CHOOSE(CONTROL!$C$12, $D$4, 100%, $F$4)</f>
        <v>12.413600000000001</v>
      </c>
      <c r="K740" s="4"/>
      <c r="L740" s="9">
        <v>26.515499999999999</v>
      </c>
      <c r="M740" s="9">
        <v>11.6745</v>
      </c>
      <c r="N740" s="9">
        <v>4.7850000000000001</v>
      </c>
      <c r="O740" s="9">
        <v>0.36249999999999999</v>
      </c>
      <c r="P740" s="9">
        <v>1.2522</v>
      </c>
      <c r="Q740" s="9">
        <v>19.053000000000001</v>
      </c>
      <c r="R740" s="9"/>
      <c r="S740" s="11"/>
    </row>
    <row r="741" spans="1:19" ht="15.6">
      <c r="A741" s="13">
        <v>64650</v>
      </c>
      <c r="B741" s="8">
        <f>12.7884 * CHOOSE(CONTROL!$C$12, $D$4, 100%, $F$4)</f>
        <v>12.788399999999999</v>
      </c>
      <c r="C741" s="8">
        <f>12.7987 * CHOOSE(CONTROL!$C$12, $D$4, 100%, $F$4)</f>
        <v>12.7987</v>
      </c>
      <c r="D741" s="8">
        <f>12.7599 * CHOOSE( CONTROL!$C$12, $D$4, 100%, $F$4)</f>
        <v>12.7599</v>
      </c>
      <c r="E741" s="12">
        <f>12.773 * CHOOSE( CONTROL!$C$12, $D$4, 100%, $F$4)</f>
        <v>12.773</v>
      </c>
      <c r="F741" s="4">
        <f>13.7587 * CHOOSE(CONTROL!$C$12, $D$4, 100%, $F$4)</f>
        <v>13.758699999999999</v>
      </c>
      <c r="G741" s="8">
        <f>12.5966 * CHOOSE( CONTROL!$C$12, $D$4, 100%, $F$4)</f>
        <v>12.5966</v>
      </c>
      <c r="H741" s="4">
        <f>13.4801 * CHOOSE(CONTROL!$C$12, $D$4, 100%, $F$4)</f>
        <v>13.4801</v>
      </c>
      <c r="I741" s="8">
        <f>12.4692 * CHOOSE(CONTROL!$C$12, $D$4, 100%, $F$4)</f>
        <v>12.469200000000001</v>
      </c>
      <c r="J741" s="4">
        <f>12.391 * CHOOSE(CONTROL!$C$12, $D$4, 100%, $F$4)</f>
        <v>12.391</v>
      </c>
      <c r="K741" s="4"/>
      <c r="L741" s="9">
        <v>27.3993</v>
      </c>
      <c r="M741" s="9">
        <v>12.063700000000001</v>
      </c>
      <c r="N741" s="9">
        <v>4.9444999999999997</v>
      </c>
      <c r="O741" s="9">
        <v>0.37459999999999999</v>
      </c>
      <c r="P741" s="9">
        <v>1.2939000000000001</v>
      </c>
      <c r="Q741" s="9">
        <v>19.688099999999999</v>
      </c>
      <c r="R741" s="9"/>
      <c r="S741" s="11"/>
    </row>
    <row r="742" spans="1:19" ht="15.6">
      <c r="A742" s="13">
        <v>64681</v>
      </c>
      <c r="B742" s="8">
        <f>13.0868 * CHOOSE(CONTROL!$C$12, $D$4, 100%, $F$4)</f>
        <v>13.0868</v>
      </c>
      <c r="C742" s="8">
        <f>13.0972 * CHOOSE(CONTROL!$C$12, $D$4, 100%, $F$4)</f>
        <v>13.097200000000001</v>
      </c>
      <c r="D742" s="8">
        <f>13.097 * CHOOSE( CONTROL!$C$12, $D$4, 100%, $F$4)</f>
        <v>13.097</v>
      </c>
      <c r="E742" s="12">
        <f>13.096 * CHOOSE( CONTROL!$C$12, $D$4, 100%, $F$4)</f>
        <v>13.096</v>
      </c>
      <c r="F742" s="4">
        <f>14.1087 * CHOOSE(CONTROL!$C$12, $D$4, 100%, $F$4)</f>
        <v>14.108700000000001</v>
      </c>
      <c r="G742" s="8">
        <f>12.9317 * CHOOSE( CONTROL!$C$12, $D$4, 100%, $F$4)</f>
        <v>12.931699999999999</v>
      </c>
      <c r="H742" s="4">
        <f>13.8252 * CHOOSE(CONTROL!$C$12, $D$4, 100%, $F$4)</f>
        <v>13.825200000000001</v>
      </c>
      <c r="I742" s="8">
        <f>12.7951 * CHOOSE(CONTROL!$C$12, $D$4, 100%, $F$4)</f>
        <v>12.7951</v>
      </c>
      <c r="J742" s="4">
        <f>12.6802 * CHOOSE(CONTROL!$C$12, $D$4, 100%, $F$4)</f>
        <v>12.680199999999999</v>
      </c>
      <c r="K742" s="4"/>
      <c r="L742" s="9">
        <v>27.3993</v>
      </c>
      <c r="M742" s="9">
        <v>12.063700000000001</v>
      </c>
      <c r="N742" s="9">
        <v>4.9444999999999997</v>
      </c>
      <c r="O742" s="9">
        <v>0.37459999999999999</v>
      </c>
      <c r="P742" s="9">
        <v>1.2939000000000001</v>
      </c>
      <c r="Q742" s="9">
        <v>19.688099999999999</v>
      </c>
      <c r="R742" s="9"/>
      <c r="S742" s="11"/>
    </row>
    <row r="743" spans="1:19" ht="15.6">
      <c r="A743" s="13">
        <v>64709</v>
      </c>
      <c r="B743" s="8">
        <f>12.2409 * CHOOSE(CONTROL!$C$12, $D$4, 100%, $F$4)</f>
        <v>12.2409</v>
      </c>
      <c r="C743" s="8">
        <f>12.2512 * CHOOSE(CONTROL!$C$12, $D$4, 100%, $F$4)</f>
        <v>12.251200000000001</v>
      </c>
      <c r="D743" s="8">
        <f>12.2533 * CHOOSE( CONTROL!$C$12, $D$4, 100%, $F$4)</f>
        <v>12.253299999999999</v>
      </c>
      <c r="E743" s="12">
        <f>12.2514 * CHOOSE( CONTROL!$C$12, $D$4, 100%, $F$4)</f>
        <v>12.2514</v>
      </c>
      <c r="F743" s="4">
        <f>13.255 * CHOOSE(CONTROL!$C$12, $D$4, 100%, $F$4)</f>
        <v>13.255000000000001</v>
      </c>
      <c r="G743" s="8">
        <f>12.0976 * CHOOSE( CONTROL!$C$12, $D$4, 100%, $F$4)</f>
        <v>12.0976</v>
      </c>
      <c r="H743" s="4">
        <f>12.9836 * CHOOSE(CONTROL!$C$12, $D$4, 100%, $F$4)</f>
        <v>12.983599999999999</v>
      </c>
      <c r="I743" s="8">
        <f>11.964 * CHOOSE(CONTROL!$C$12, $D$4, 100%, $F$4)</f>
        <v>11.964</v>
      </c>
      <c r="J743" s="4">
        <f>11.8604 * CHOOSE(CONTROL!$C$12, $D$4, 100%, $F$4)</f>
        <v>11.8604</v>
      </c>
      <c r="K743" s="4"/>
      <c r="L743" s="9">
        <v>24.747800000000002</v>
      </c>
      <c r="M743" s="9">
        <v>10.8962</v>
      </c>
      <c r="N743" s="9">
        <v>4.4660000000000002</v>
      </c>
      <c r="O743" s="9">
        <v>0.33829999999999999</v>
      </c>
      <c r="P743" s="9">
        <v>1.1687000000000001</v>
      </c>
      <c r="Q743" s="9">
        <v>17.782800000000002</v>
      </c>
      <c r="R743" s="9"/>
      <c r="S743" s="11"/>
    </row>
    <row r="744" spans="1:19" ht="15.6">
      <c r="A744" s="13">
        <v>64740</v>
      </c>
      <c r="B744" s="8">
        <f>11.9803 * CHOOSE(CONTROL!$C$12, $D$4, 100%, $F$4)</f>
        <v>11.9803</v>
      </c>
      <c r="C744" s="8">
        <f>11.9906 * CHOOSE(CONTROL!$C$12, $D$4, 100%, $F$4)</f>
        <v>11.990600000000001</v>
      </c>
      <c r="D744" s="8">
        <f>11.9728 * CHOOSE( CONTROL!$C$12, $D$4, 100%, $F$4)</f>
        <v>11.972799999999999</v>
      </c>
      <c r="E744" s="12">
        <f>11.9782 * CHOOSE( CONTROL!$C$12, $D$4, 100%, $F$4)</f>
        <v>11.978199999999999</v>
      </c>
      <c r="F744" s="4">
        <f>12.9785 * CHOOSE(CONTROL!$C$12, $D$4, 100%, $F$4)</f>
        <v>12.9785</v>
      </c>
      <c r="G744" s="8">
        <f>11.8203 * CHOOSE( CONTROL!$C$12, $D$4, 100%, $F$4)</f>
        <v>11.8203</v>
      </c>
      <c r="H744" s="4">
        <f>12.711 * CHOOSE(CONTROL!$C$12, $D$4, 100%, $F$4)</f>
        <v>12.711</v>
      </c>
      <c r="I744" s="8">
        <f>11.6719 * CHOOSE(CONTROL!$C$12, $D$4, 100%, $F$4)</f>
        <v>11.671900000000001</v>
      </c>
      <c r="J744" s="4">
        <f>11.608 * CHOOSE(CONTROL!$C$12, $D$4, 100%, $F$4)</f>
        <v>11.608000000000001</v>
      </c>
      <c r="K744" s="4"/>
      <c r="L744" s="9">
        <v>27.3993</v>
      </c>
      <c r="M744" s="9">
        <v>12.063700000000001</v>
      </c>
      <c r="N744" s="9">
        <v>4.9444999999999997</v>
      </c>
      <c r="O744" s="9">
        <v>0.37459999999999999</v>
      </c>
      <c r="P744" s="9">
        <v>1.2939000000000001</v>
      </c>
      <c r="Q744" s="9">
        <v>19.688099999999999</v>
      </c>
      <c r="R744" s="9"/>
      <c r="S744" s="11"/>
    </row>
    <row r="745" spans="1:19" ht="15.6">
      <c r="A745" s="13">
        <v>64770</v>
      </c>
      <c r="B745" s="8">
        <f>12.1624 * CHOOSE(CONTROL!$C$12, $D$4, 100%, $F$4)</f>
        <v>12.1624</v>
      </c>
      <c r="C745" s="8">
        <f>12.1727 * CHOOSE(CONTROL!$C$12, $D$4, 100%, $F$4)</f>
        <v>12.172700000000001</v>
      </c>
      <c r="D745" s="8">
        <f>12.1777 * CHOOSE( CONTROL!$C$12, $D$4, 100%, $F$4)</f>
        <v>12.1777</v>
      </c>
      <c r="E745" s="12">
        <f>12.1749 * CHOOSE( CONTROL!$C$12, $D$4, 100%, $F$4)</f>
        <v>12.174899999999999</v>
      </c>
      <c r="F745" s="4">
        <f>13.1688 * CHOOSE(CONTROL!$C$12, $D$4, 100%, $F$4)</f>
        <v>13.168799999999999</v>
      </c>
      <c r="G745" s="8">
        <f>11.9877 * CHOOSE( CONTROL!$C$12, $D$4, 100%, $F$4)</f>
        <v>11.9877</v>
      </c>
      <c r="H745" s="4">
        <f>12.8986 * CHOOSE(CONTROL!$C$12, $D$4, 100%, $F$4)</f>
        <v>12.8986</v>
      </c>
      <c r="I745" s="8">
        <f>11.8385 * CHOOSE(CONTROL!$C$12, $D$4, 100%, $F$4)</f>
        <v>11.8385</v>
      </c>
      <c r="J745" s="4">
        <f>11.7844 * CHOOSE(CONTROL!$C$12, $D$4, 100%, $F$4)</f>
        <v>11.7844</v>
      </c>
      <c r="K745" s="4"/>
      <c r="L745" s="9">
        <v>27.988800000000001</v>
      </c>
      <c r="M745" s="9">
        <v>11.6745</v>
      </c>
      <c r="N745" s="9">
        <v>4.7850000000000001</v>
      </c>
      <c r="O745" s="9">
        <v>0.36249999999999999</v>
      </c>
      <c r="P745" s="9">
        <v>1.1798</v>
      </c>
      <c r="Q745" s="9">
        <v>19.053000000000001</v>
      </c>
      <c r="R745" s="9"/>
      <c r="S745" s="11"/>
    </row>
    <row r="746" spans="1:19" ht="15.6">
      <c r="A746" s="13">
        <v>64801</v>
      </c>
      <c r="B746" s="8">
        <f>CHOOSE( CONTROL!$C$29, 12.4933, 12.4864) * CHOOSE(CONTROL!$C$12, $D$4, 100%, $F$4)</f>
        <v>12.4864</v>
      </c>
      <c r="C746" s="8">
        <f>CHOOSE( CONTROL!$C$29, 12.5036, 12.4967) * CHOOSE(CONTROL!$C$12, $D$4, 100%, $F$4)</f>
        <v>12.496700000000001</v>
      </c>
      <c r="D746" s="8">
        <f>CHOOSE( CONTROL!$C$29, 12.4838, 12.477) * CHOOSE( CONTROL!$C$12, $D$4, 100%, $F$4)</f>
        <v>12.477</v>
      </c>
      <c r="E746" s="12">
        <f>CHOOSE( CONTROL!$C$29, 12.4894, 12.4826) * CHOOSE( CONTROL!$C$12, $D$4, 100%, $F$4)</f>
        <v>12.4826</v>
      </c>
      <c r="F746" s="4">
        <f>CHOOSE( CONTROL!$C$29, 13.4677, 13.4609) * CHOOSE(CONTROL!$C$12, $D$4, 100%, $F$4)</f>
        <v>13.460900000000001</v>
      </c>
      <c r="G746" s="8">
        <f>CHOOSE( CONTROL!$C$29, 12.2956, 12.2889) * CHOOSE( CONTROL!$C$12, $D$4, 100%, $F$4)</f>
        <v>12.2889</v>
      </c>
      <c r="H746" s="4">
        <f>CHOOSE( CONTROL!$C$29, 13.1933, 13.1865) * CHOOSE(CONTROL!$C$12, $D$4, 100%, $F$4)</f>
        <v>13.186500000000001</v>
      </c>
      <c r="I746" s="8">
        <f>CHOOSE( CONTROL!$C$29, 12.1378, 12.1311) * CHOOSE(CONTROL!$C$12, $D$4, 100%, $F$4)</f>
        <v>12.1311</v>
      </c>
      <c r="J746" s="4">
        <f>CHOOSE( CONTROL!$C$29, 12.105, 12.0984) * CHOOSE(CONTROL!$C$12, $D$4, 100%, $F$4)</f>
        <v>12.0984</v>
      </c>
      <c r="K746" s="4"/>
      <c r="L746" s="9">
        <v>29.520499999999998</v>
      </c>
      <c r="M746" s="9">
        <v>12.063700000000001</v>
      </c>
      <c r="N746" s="9">
        <v>4.9444999999999997</v>
      </c>
      <c r="O746" s="9">
        <v>0.37459999999999999</v>
      </c>
      <c r="P746" s="9">
        <v>1.2192000000000001</v>
      </c>
      <c r="Q746" s="9">
        <v>19.688099999999999</v>
      </c>
      <c r="R746" s="9"/>
      <c r="S746" s="11"/>
    </row>
    <row r="747" spans="1:19" ht="15.6">
      <c r="A747" s="13">
        <v>64831</v>
      </c>
      <c r="B747" s="8">
        <f>CHOOSE( CONTROL!$C$29, 12.2925, 12.2857) * CHOOSE(CONTROL!$C$12, $D$4, 100%, $F$4)</f>
        <v>12.2857</v>
      </c>
      <c r="C747" s="8">
        <f>CHOOSE( CONTROL!$C$29, 12.3028, 12.296) * CHOOSE(CONTROL!$C$12, $D$4, 100%, $F$4)</f>
        <v>12.295999999999999</v>
      </c>
      <c r="D747" s="8">
        <f>CHOOSE( CONTROL!$C$29, 12.2776, 12.2707) * CHOOSE( CONTROL!$C$12, $D$4, 100%, $F$4)</f>
        <v>12.2707</v>
      </c>
      <c r="E747" s="12">
        <f>CHOOSE( CONTROL!$C$29, 12.2852, 12.2783) * CHOOSE( CONTROL!$C$12, $D$4, 100%, $F$4)</f>
        <v>12.2783</v>
      </c>
      <c r="F747" s="4">
        <f>CHOOSE( CONTROL!$C$29, 13.2566, 13.2498) * CHOOSE(CONTROL!$C$12, $D$4, 100%, $F$4)</f>
        <v>13.2498</v>
      </c>
      <c r="G747" s="8">
        <f>CHOOSE( CONTROL!$C$29, 12.0965, 12.0897) * CHOOSE( CONTROL!$C$12, $D$4, 100%, $F$4)</f>
        <v>12.089700000000001</v>
      </c>
      <c r="H747" s="4">
        <f>CHOOSE( CONTROL!$C$29, 12.9852, 12.9785) * CHOOSE(CONTROL!$C$12, $D$4, 100%, $F$4)</f>
        <v>12.9785</v>
      </c>
      <c r="I747" s="8">
        <f>CHOOSE( CONTROL!$C$29, 11.9453, 11.9387) * CHOOSE(CONTROL!$C$12, $D$4, 100%, $F$4)</f>
        <v>11.938700000000001</v>
      </c>
      <c r="J747" s="4">
        <f>CHOOSE( CONTROL!$C$29, 11.9105, 11.9039) * CHOOSE(CONTROL!$C$12, $D$4, 100%, $F$4)</f>
        <v>11.9039</v>
      </c>
      <c r="K747" s="4"/>
      <c r="L747" s="9">
        <v>28.568200000000001</v>
      </c>
      <c r="M747" s="9">
        <v>11.6745</v>
      </c>
      <c r="N747" s="9">
        <v>4.7850000000000001</v>
      </c>
      <c r="O747" s="9">
        <v>0.36249999999999999</v>
      </c>
      <c r="P747" s="9">
        <v>1.1798</v>
      </c>
      <c r="Q747" s="9">
        <v>19.053000000000001</v>
      </c>
      <c r="R747" s="9"/>
      <c r="S747" s="11"/>
    </row>
    <row r="748" spans="1:19" ht="15.6">
      <c r="A748" s="13">
        <v>64862</v>
      </c>
      <c r="B748" s="8">
        <f>CHOOSE( CONTROL!$C$29, 12.8211, 12.8143) * CHOOSE(CONTROL!$C$12, $D$4, 100%, $F$4)</f>
        <v>12.814299999999999</v>
      </c>
      <c r="C748" s="8">
        <f>CHOOSE( CONTROL!$C$29, 12.8315, 12.8246) * CHOOSE(CONTROL!$C$12, $D$4, 100%, $F$4)</f>
        <v>12.8246</v>
      </c>
      <c r="D748" s="8">
        <f>CHOOSE( CONTROL!$C$29, 12.8396, 12.8328) * CHOOSE( CONTROL!$C$12, $D$4, 100%, $F$4)</f>
        <v>12.832800000000001</v>
      </c>
      <c r="E748" s="12">
        <f>CHOOSE( CONTROL!$C$29, 12.8351, 12.8283) * CHOOSE( CONTROL!$C$12, $D$4, 100%, $F$4)</f>
        <v>12.8283</v>
      </c>
      <c r="F748" s="4">
        <f>CHOOSE( CONTROL!$C$29, 13.8302, 13.8233) * CHOOSE(CONTROL!$C$12, $D$4, 100%, $F$4)</f>
        <v>13.8233</v>
      </c>
      <c r="G748" s="8">
        <f>CHOOSE( CONTROL!$C$29, 12.6436, 12.6369) * CHOOSE( CONTROL!$C$12, $D$4, 100%, $F$4)</f>
        <v>12.636900000000001</v>
      </c>
      <c r="H748" s="4">
        <f>CHOOSE( CONTROL!$C$29, 13.5505, 13.5438) * CHOOSE(CONTROL!$C$12, $D$4, 100%, $F$4)</f>
        <v>13.543799999999999</v>
      </c>
      <c r="I748" s="8">
        <f>CHOOSE( CONTROL!$C$29, 12.5131, 12.5065) * CHOOSE(CONTROL!$C$12, $D$4, 100%, $F$4)</f>
        <v>12.506500000000001</v>
      </c>
      <c r="J748" s="4">
        <f>CHOOSE( CONTROL!$C$29, 12.4227, 12.4161) * CHOOSE(CONTROL!$C$12, $D$4, 100%, $F$4)</f>
        <v>12.4161</v>
      </c>
      <c r="K748" s="4"/>
      <c r="L748" s="9">
        <v>29.520499999999998</v>
      </c>
      <c r="M748" s="9">
        <v>12.063700000000001</v>
      </c>
      <c r="N748" s="9">
        <v>4.9444999999999997</v>
      </c>
      <c r="O748" s="9">
        <v>0.37459999999999999</v>
      </c>
      <c r="P748" s="9">
        <v>1.2192000000000001</v>
      </c>
      <c r="Q748" s="9">
        <v>19.688099999999999</v>
      </c>
      <c r="R748" s="9"/>
      <c r="S748" s="11"/>
    </row>
    <row r="749" spans="1:19" ht="15.6">
      <c r="A749" s="13">
        <v>64893</v>
      </c>
      <c r="B749" s="8">
        <f>CHOOSE( CONTROL!$C$29, 11.832, 11.8252) * CHOOSE(CONTROL!$C$12, $D$4, 100%, $F$4)</f>
        <v>11.825200000000001</v>
      </c>
      <c r="C749" s="8">
        <f>CHOOSE( CONTROL!$C$29, 11.8424, 11.8355) * CHOOSE(CONTROL!$C$12, $D$4, 100%, $F$4)</f>
        <v>11.8355</v>
      </c>
      <c r="D749" s="8">
        <f>CHOOSE( CONTROL!$C$29, 11.8438, 11.837) * CHOOSE( CONTROL!$C$12, $D$4, 100%, $F$4)</f>
        <v>11.837</v>
      </c>
      <c r="E749" s="12">
        <f>CHOOSE( CONTROL!$C$29, 11.8417, 11.8349) * CHOOSE( CONTROL!$C$12, $D$4, 100%, $F$4)</f>
        <v>11.834899999999999</v>
      </c>
      <c r="F749" s="4">
        <f>CHOOSE( CONTROL!$C$29, 12.8385, 12.8316) * CHOOSE(CONTROL!$C$12, $D$4, 100%, $F$4)</f>
        <v>12.8316</v>
      </c>
      <c r="G749" s="8">
        <f>CHOOSE( CONTROL!$C$29, 11.6587, 11.6519) * CHOOSE( CONTROL!$C$12, $D$4, 100%, $F$4)</f>
        <v>11.651899999999999</v>
      </c>
      <c r="H749" s="4">
        <f>CHOOSE( CONTROL!$C$29, 12.573, 12.5663) * CHOOSE(CONTROL!$C$12, $D$4, 100%, $F$4)</f>
        <v>12.5663</v>
      </c>
      <c r="I749" s="8">
        <f>CHOOSE( CONTROL!$C$29, 11.5353, 11.5286) * CHOOSE(CONTROL!$C$12, $D$4, 100%, $F$4)</f>
        <v>11.528600000000001</v>
      </c>
      <c r="J749" s="4">
        <f>CHOOSE( CONTROL!$C$29, 11.4643, 11.4577) * CHOOSE(CONTROL!$C$12, $D$4, 100%, $F$4)</f>
        <v>11.457700000000001</v>
      </c>
      <c r="K749" s="4"/>
      <c r="L749" s="9">
        <v>29.520499999999998</v>
      </c>
      <c r="M749" s="9">
        <v>12.063700000000001</v>
      </c>
      <c r="N749" s="9">
        <v>4.9444999999999997</v>
      </c>
      <c r="O749" s="9">
        <v>0.37459999999999999</v>
      </c>
      <c r="P749" s="9">
        <v>1.2192000000000001</v>
      </c>
      <c r="Q749" s="9">
        <v>19.688099999999999</v>
      </c>
      <c r="R749" s="9"/>
      <c r="S749" s="11"/>
    </row>
    <row r="750" spans="1:19" ht="15.6">
      <c r="A750" s="13">
        <v>64923</v>
      </c>
      <c r="B750" s="8">
        <f>CHOOSE( CONTROL!$C$29, 11.5844, 11.5775) * CHOOSE(CONTROL!$C$12, $D$4, 100%, $F$4)</f>
        <v>11.577500000000001</v>
      </c>
      <c r="C750" s="8">
        <f>CHOOSE( CONTROL!$C$29, 11.5947, 11.5878) * CHOOSE(CONTROL!$C$12, $D$4, 100%, $F$4)</f>
        <v>11.5878</v>
      </c>
      <c r="D750" s="8">
        <f>CHOOSE( CONTROL!$C$29, 11.5994, 11.5925) * CHOOSE( CONTROL!$C$12, $D$4, 100%, $F$4)</f>
        <v>11.592499999999999</v>
      </c>
      <c r="E750" s="12">
        <f>CHOOSE( CONTROL!$C$29, 11.5961, 11.5892) * CHOOSE( CONTROL!$C$12, $D$4, 100%, $F$4)</f>
        <v>11.5892</v>
      </c>
      <c r="F750" s="4">
        <f>CHOOSE( CONTROL!$C$29, 12.596, 12.5891) * CHOOSE(CONTROL!$C$12, $D$4, 100%, $F$4)</f>
        <v>12.5891</v>
      </c>
      <c r="G750" s="8">
        <f>CHOOSE( CONTROL!$C$29, 11.4166, 11.4098) * CHOOSE( CONTROL!$C$12, $D$4, 100%, $F$4)</f>
        <v>11.409800000000001</v>
      </c>
      <c r="H750" s="4">
        <f>CHOOSE( CONTROL!$C$29, 12.3339, 12.3272) * CHOOSE(CONTROL!$C$12, $D$4, 100%, $F$4)</f>
        <v>12.327199999999999</v>
      </c>
      <c r="I750" s="8">
        <f>CHOOSE( CONTROL!$C$29, 11.3029, 11.2963) * CHOOSE(CONTROL!$C$12, $D$4, 100%, $F$4)</f>
        <v>11.2963</v>
      </c>
      <c r="J750" s="4">
        <f>CHOOSE( CONTROL!$C$29, 11.2243, 11.2177) * CHOOSE(CONTROL!$C$12, $D$4, 100%, $F$4)</f>
        <v>11.217700000000001</v>
      </c>
      <c r="K750" s="4"/>
      <c r="L750" s="9">
        <v>28.568200000000001</v>
      </c>
      <c r="M750" s="9">
        <v>11.6745</v>
      </c>
      <c r="N750" s="9">
        <v>4.7850000000000001</v>
      </c>
      <c r="O750" s="9">
        <v>0.36249999999999999</v>
      </c>
      <c r="P750" s="9">
        <v>1.1798</v>
      </c>
      <c r="Q750" s="9">
        <v>19.053000000000001</v>
      </c>
      <c r="R750" s="9"/>
      <c r="S750" s="11"/>
    </row>
    <row r="751" spans="1:19" ht="15.6">
      <c r="A751" s="13">
        <v>64954</v>
      </c>
      <c r="B751" s="8">
        <f>12.0918 * CHOOSE(CONTROL!$C$12, $D$4, 100%, $F$4)</f>
        <v>12.091799999999999</v>
      </c>
      <c r="C751" s="8">
        <f>12.1021 * CHOOSE(CONTROL!$C$12, $D$4, 100%, $F$4)</f>
        <v>12.1021</v>
      </c>
      <c r="D751" s="8">
        <f>12.0972 * CHOOSE( CONTROL!$C$12, $D$4, 100%, $F$4)</f>
        <v>12.097200000000001</v>
      </c>
      <c r="E751" s="12">
        <f>12.0977 * CHOOSE( CONTROL!$C$12, $D$4, 100%, $F$4)</f>
        <v>12.0977</v>
      </c>
      <c r="F751" s="4">
        <f>13.0827 * CHOOSE(CONTROL!$C$12, $D$4, 100%, $F$4)</f>
        <v>13.082700000000001</v>
      </c>
      <c r="G751" s="8">
        <f>11.9136 * CHOOSE( CONTROL!$C$12, $D$4, 100%, $F$4)</f>
        <v>11.913600000000001</v>
      </c>
      <c r="H751" s="4">
        <f>12.8138 * CHOOSE(CONTROL!$C$12, $D$4, 100%, $F$4)</f>
        <v>12.813800000000001</v>
      </c>
      <c r="I751" s="8">
        <f>11.7988 * CHOOSE(CONTROL!$C$12, $D$4, 100%, $F$4)</f>
        <v>11.7988</v>
      </c>
      <c r="J751" s="4">
        <f>11.716 * CHOOSE(CONTROL!$C$12, $D$4, 100%, $F$4)</f>
        <v>11.715999999999999</v>
      </c>
      <c r="K751" s="4"/>
      <c r="L751" s="9">
        <v>28.921800000000001</v>
      </c>
      <c r="M751" s="9">
        <v>12.063700000000001</v>
      </c>
      <c r="N751" s="9">
        <v>4.9444999999999997</v>
      </c>
      <c r="O751" s="9">
        <v>0.37459999999999999</v>
      </c>
      <c r="P751" s="9">
        <v>1.2192000000000001</v>
      </c>
      <c r="Q751" s="9">
        <v>19.688099999999999</v>
      </c>
      <c r="R751" s="9"/>
      <c r="S751" s="11"/>
    </row>
    <row r="752" spans="1:19" ht="15.6">
      <c r="A752" s="13">
        <v>64984</v>
      </c>
      <c r="B752" s="8">
        <f>13.041 * CHOOSE(CONTROL!$C$12, $D$4, 100%, $F$4)</f>
        <v>13.041</v>
      </c>
      <c r="C752" s="8">
        <f>13.0513 * CHOOSE(CONTROL!$C$12, $D$4, 100%, $F$4)</f>
        <v>13.051299999999999</v>
      </c>
      <c r="D752" s="8">
        <f>13.0107 * CHOOSE( CONTROL!$C$12, $D$4, 100%, $F$4)</f>
        <v>13.0107</v>
      </c>
      <c r="E752" s="12">
        <f>13.0244 * CHOOSE( CONTROL!$C$12, $D$4, 100%, $F$4)</f>
        <v>13.0244</v>
      </c>
      <c r="F752" s="4">
        <f>14.0181 * CHOOSE(CONTROL!$C$12, $D$4, 100%, $F$4)</f>
        <v>14.0181</v>
      </c>
      <c r="G752" s="8">
        <f>12.8432 * CHOOSE( CONTROL!$C$12, $D$4, 100%, $F$4)</f>
        <v>12.8432</v>
      </c>
      <c r="H752" s="4">
        <f>13.7358 * CHOOSE(CONTROL!$C$12, $D$4, 100%, $F$4)</f>
        <v>13.735799999999999</v>
      </c>
      <c r="I752" s="8">
        <f>12.7033 * CHOOSE(CONTROL!$C$12, $D$4, 100%, $F$4)</f>
        <v>12.7033</v>
      </c>
      <c r="J752" s="4">
        <f>12.6358 * CHOOSE(CONTROL!$C$12, $D$4, 100%, $F$4)</f>
        <v>12.6358</v>
      </c>
      <c r="K752" s="4"/>
      <c r="L752" s="9">
        <v>26.515499999999999</v>
      </c>
      <c r="M752" s="9">
        <v>11.6745</v>
      </c>
      <c r="N752" s="9">
        <v>4.7850000000000001</v>
      </c>
      <c r="O752" s="9">
        <v>0.36249999999999999</v>
      </c>
      <c r="P752" s="9">
        <v>1.2522</v>
      </c>
      <c r="Q752" s="9">
        <v>19.053000000000001</v>
      </c>
      <c r="R752" s="9"/>
      <c r="S752" s="11"/>
    </row>
    <row r="753" spans="1:19" ht="15.6">
      <c r="A753" s="13">
        <v>65015</v>
      </c>
      <c r="B753" s="8">
        <f>13.0173 * CHOOSE(CONTROL!$C$12, $D$4, 100%, $F$4)</f>
        <v>13.017300000000001</v>
      </c>
      <c r="C753" s="8">
        <f>13.0276 * CHOOSE(CONTROL!$C$12, $D$4, 100%, $F$4)</f>
        <v>13.0276</v>
      </c>
      <c r="D753" s="8">
        <f>12.9888 * CHOOSE( CONTROL!$C$12, $D$4, 100%, $F$4)</f>
        <v>12.988799999999999</v>
      </c>
      <c r="E753" s="12">
        <f>13.0019 * CHOOSE( CONTROL!$C$12, $D$4, 100%, $F$4)</f>
        <v>13.001899999999999</v>
      </c>
      <c r="F753" s="4">
        <f>13.9876 * CHOOSE(CONTROL!$C$12, $D$4, 100%, $F$4)</f>
        <v>13.9876</v>
      </c>
      <c r="G753" s="8">
        <f>12.8222 * CHOOSE( CONTROL!$C$12, $D$4, 100%, $F$4)</f>
        <v>12.8222</v>
      </c>
      <c r="H753" s="4">
        <f>13.7058 * CHOOSE(CONTROL!$C$12, $D$4, 100%, $F$4)</f>
        <v>13.7058</v>
      </c>
      <c r="I753" s="8">
        <f>12.6911 * CHOOSE(CONTROL!$C$12, $D$4, 100%, $F$4)</f>
        <v>12.6911</v>
      </c>
      <c r="J753" s="4">
        <f>12.6128 * CHOOSE(CONTROL!$C$12, $D$4, 100%, $F$4)</f>
        <v>12.6128</v>
      </c>
      <c r="K753" s="4"/>
      <c r="L753" s="9">
        <v>27.3993</v>
      </c>
      <c r="M753" s="9">
        <v>12.063700000000001</v>
      </c>
      <c r="N753" s="9">
        <v>4.9444999999999997</v>
      </c>
      <c r="O753" s="9">
        <v>0.37459999999999999</v>
      </c>
      <c r="P753" s="9">
        <v>1.2939000000000001</v>
      </c>
      <c r="Q753" s="9">
        <v>19.688099999999999</v>
      </c>
      <c r="R753" s="9"/>
      <c r="S753" s="11"/>
    </row>
    <row r="754" spans="1:19" ht="15.6">
      <c r="A754" s="13">
        <v>65046</v>
      </c>
      <c r="B754" s="8">
        <f>13.3211 * CHOOSE(CONTROL!$C$12, $D$4, 100%, $F$4)</f>
        <v>13.321099999999999</v>
      </c>
      <c r="C754" s="8">
        <f>13.3314 * CHOOSE(CONTROL!$C$12, $D$4, 100%, $F$4)</f>
        <v>13.3314</v>
      </c>
      <c r="D754" s="8">
        <f>13.3312 * CHOOSE( CONTROL!$C$12, $D$4, 100%, $F$4)</f>
        <v>13.331200000000001</v>
      </c>
      <c r="E754" s="12">
        <f>13.3302 * CHOOSE( CONTROL!$C$12, $D$4, 100%, $F$4)</f>
        <v>13.3302</v>
      </c>
      <c r="F754" s="4">
        <f>14.343 * CHOOSE(CONTROL!$C$12, $D$4, 100%, $F$4)</f>
        <v>14.343</v>
      </c>
      <c r="G754" s="8">
        <f>13.1626 * CHOOSE( CONTROL!$C$12, $D$4, 100%, $F$4)</f>
        <v>13.162599999999999</v>
      </c>
      <c r="H754" s="4">
        <f>14.0561 * CHOOSE(CONTROL!$C$12, $D$4, 100%, $F$4)</f>
        <v>14.056100000000001</v>
      </c>
      <c r="I754" s="8">
        <f>13.0222 * CHOOSE(CONTROL!$C$12, $D$4, 100%, $F$4)</f>
        <v>13.0222</v>
      </c>
      <c r="J754" s="4">
        <f>12.9072 * CHOOSE(CONTROL!$C$12, $D$4, 100%, $F$4)</f>
        <v>12.9072</v>
      </c>
      <c r="K754" s="4"/>
      <c r="L754" s="9">
        <v>27.3993</v>
      </c>
      <c r="M754" s="9">
        <v>12.063700000000001</v>
      </c>
      <c r="N754" s="9">
        <v>4.9444999999999997</v>
      </c>
      <c r="O754" s="9">
        <v>0.37459999999999999</v>
      </c>
      <c r="P754" s="9">
        <v>1.2939000000000001</v>
      </c>
      <c r="Q754" s="9">
        <v>19.688099999999999</v>
      </c>
      <c r="R754" s="9"/>
      <c r="S754" s="11"/>
    </row>
    <row r="755" spans="1:19" ht="15.6">
      <c r="A755" s="13">
        <v>65074</v>
      </c>
      <c r="B755" s="8">
        <f>12.4599 * CHOOSE(CONTROL!$C$12, $D$4, 100%, $F$4)</f>
        <v>12.459899999999999</v>
      </c>
      <c r="C755" s="8">
        <f>12.4703 * CHOOSE(CONTROL!$C$12, $D$4, 100%, $F$4)</f>
        <v>12.4703</v>
      </c>
      <c r="D755" s="8">
        <f>12.4723 * CHOOSE( CONTROL!$C$12, $D$4, 100%, $F$4)</f>
        <v>12.472300000000001</v>
      </c>
      <c r="E755" s="12">
        <f>12.4705 * CHOOSE( CONTROL!$C$12, $D$4, 100%, $F$4)</f>
        <v>12.470499999999999</v>
      </c>
      <c r="F755" s="4">
        <f>13.4741 * CHOOSE(CONTROL!$C$12, $D$4, 100%, $F$4)</f>
        <v>13.4741</v>
      </c>
      <c r="G755" s="8">
        <f>12.3136 * CHOOSE( CONTROL!$C$12, $D$4, 100%, $F$4)</f>
        <v>12.313599999999999</v>
      </c>
      <c r="H755" s="4">
        <f>13.1996 * CHOOSE(CONTROL!$C$12, $D$4, 100%, $F$4)</f>
        <v>13.1996</v>
      </c>
      <c r="I755" s="8">
        <f>12.1764 * CHOOSE(CONTROL!$C$12, $D$4, 100%, $F$4)</f>
        <v>12.176399999999999</v>
      </c>
      <c r="J755" s="4">
        <f>12.0727 * CHOOSE(CONTROL!$C$12, $D$4, 100%, $F$4)</f>
        <v>12.072699999999999</v>
      </c>
      <c r="K755" s="4"/>
      <c r="L755" s="9">
        <v>24.747800000000002</v>
      </c>
      <c r="M755" s="9">
        <v>10.8962</v>
      </c>
      <c r="N755" s="9">
        <v>4.4660000000000002</v>
      </c>
      <c r="O755" s="9">
        <v>0.33829999999999999</v>
      </c>
      <c r="P755" s="9">
        <v>1.1687000000000001</v>
      </c>
      <c r="Q755" s="9">
        <v>17.782800000000002</v>
      </c>
      <c r="R755" s="9"/>
      <c r="S755" s="11"/>
    </row>
    <row r="756" spans="1:19" ht="15.6">
      <c r="A756" s="13">
        <v>65105</v>
      </c>
      <c r="B756" s="8">
        <f>12.1947 * CHOOSE(CONTROL!$C$12, $D$4, 100%, $F$4)</f>
        <v>12.194699999999999</v>
      </c>
      <c r="C756" s="8">
        <f>12.205 * CHOOSE(CONTROL!$C$12, $D$4, 100%, $F$4)</f>
        <v>12.205</v>
      </c>
      <c r="D756" s="8">
        <f>12.1872 * CHOOSE( CONTROL!$C$12, $D$4, 100%, $F$4)</f>
        <v>12.187200000000001</v>
      </c>
      <c r="E756" s="12">
        <f>12.1926 * CHOOSE( CONTROL!$C$12, $D$4, 100%, $F$4)</f>
        <v>12.192600000000001</v>
      </c>
      <c r="F756" s="4">
        <f>13.1929 * CHOOSE(CONTROL!$C$12, $D$4, 100%, $F$4)</f>
        <v>13.1929</v>
      </c>
      <c r="G756" s="8">
        <f>12.0317 * CHOOSE( CONTROL!$C$12, $D$4, 100%, $F$4)</f>
        <v>12.031700000000001</v>
      </c>
      <c r="H756" s="4">
        <f>12.9224 * CHOOSE(CONTROL!$C$12, $D$4, 100%, $F$4)</f>
        <v>12.9224</v>
      </c>
      <c r="I756" s="8">
        <f>11.8798 * CHOOSE(CONTROL!$C$12, $D$4, 100%, $F$4)</f>
        <v>11.879799999999999</v>
      </c>
      <c r="J756" s="4">
        <f>11.8157 * CHOOSE(CONTROL!$C$12, $D$4, 100%, $F$4)</f>
        <v>11.8157</v>
      </c>
      <c r="K756" s="4"/>
      <c r="L756" s="9">
        <v>27.3993</v>
      </c>
      <c r="M756" s="9">
        <v>12.063700000000001</v>
      </c>
      <c r="N756" s="9">
        <v>4.9444999999999997</v>
      </c>
      <c r="O756" s="9">
        <v>0.37459999999999999</v>
      </c>
      <c r="P756" s="9">
        <v>1.2939000000000001</v>
      </c>
      <c r="Q756" s="9">
        <v>19.688099999999999</v>
      </c>
      <c r="R756" s="9"/>
      <c r="S756" s="11"/>
    </row>
    <row r="757" spans="1:19" ht="15.6">
      <c r="A757" s="13">
        <v>65135</v>
      </c>
      <c r="B757" s="8">
        <f>12.3801 * CHOOSE(CONTROL!$C$12, $D$4, 100%, $F$4)</f>
        <v>12.380100000000001</v>
      </c>
      <c r="C757" s="8">
        <f>12.3904 * CHOOSE(CONTROL!$C$12, $D$4, 100%, $F$4)</f>
        <v>12.3904</v>
      </c>
      <c r="D757" s="8">
        <f>12.3954 * CHOOSE( CONTROL!$C$12, $D$4, 100%, $F$4)</f>
        <v>12.3954</v>
      </c>
      <c r="E757" s="12">
        <f>12.3926 * CHOOSE( CONTROL!$C$12, $D$4, 100%, $F$4)</f>
        <v>12.3926</v>
      </c>
      <c r="F757" s="4">
        <f>13.3865 * CHOOSE(CONTROL!$C$12, $D$4, 100%, $F$4)</f>
        <v>13.3865</v>
      </c>
      <c r="G757" s="8">
        <f>12.2022 * CHOOSE( CONTROL!$C$12, $D$4, 100%, $F$4)</f>
        <v>12.202199999999999</v>
      </c>
      <c r="H757" s="4">
        <f>13.1132 * CHOOSE(CONTROL!$C$12, $D$4, 100%, $F$4)</f>
        <v>13.113200000000001</v>
      </c>
      <c r="I757" s="8">
        <f>12.0496 * CHOOSE(CONTROL!$C$12, $D$4, 100%, $F$4)</f>
        <v>12.0496</v>
      </c>
      <c r="J757" s="4">
        <f>11.9953 * CHOOSE(CONTROL!$C$12, $D$4, 100%, $F$4)</f>
        <v>11.9953</v>
      </c>
      <c r="K757" s="4"/>
      <c r="L757" s="9">
        <v>27.988800000000001</v>
      </c>
      <c r="M757" s="9">
        <v>11.6745</v>
      </c>
      <c r="N757" s="9">
        <v>4.7850000000000001</v>
      </c>
      <c r="O757" s="9">
        <v>0.36249999999999999</v>
      </c>
      <c r="P757" s="9">
        <v>1.1798</v>
      </c>
      <c r="Q757" s="9">
        <v>19.053000000000001</v>
      </c>
      <c r="R757" s="9"/>
      <c r="S757" s="11"/>
    </row>
    <row r="758" spans="1:19" ht="15.6">
      <c r="A758" s="13">
        <v>65166</v>
      </c>
      <c r="B758" s="8">
        <f>CHOOSE( CONTROL!$C$29, 12.7167, 12.7099) * CHOOSE(CONTROL!$C$12, $D$4, 100%, $F$4)</f>
        <v>12.709899999999999</v>
      </c>
      <c r="C758" s="8">
        <f>CHOOSE( CONTROL!$C$29, 12.7271, 12.7202) * CHOOSE(CONTROL!$C$12, $D$4, 100%, $F$4)</f>
        <v>12.7202</v>
      </c>
      <c r="D758" s="8">
        <f>CHOOSE( CONTROL!$C$29, 12.7073, 12.7005) * CHOOSE( CONTROL!$C$12, $D$4, 100%, $F$4)</f>
        <v>12.7005</v>
      </c>
      <c r="E758" s="12">
        <f>CHOOSE( CONTROL!$C$29, 12.7129, 12.7061) * CHOOSE( CONTROL!$C$12, $D$4, 100%, $F$4)</f>
        <v>12.706099999999999</v>
      </c>
      <c r="F758" s="4">
        <f>CHOOSE( CONTROL!$C$29, 13.6912, 13.6844) * CHOOSE(CONTROL!$C$12, $D$4, 100%, $F$4)</f>
        <v>13.6844</v>
      </c>
      <c r="G758" s="8">
        <f>CHOOSE( CONTROL!$C$29, 12.5159, 12.5092) * CHOOSE( CONTROL!$C$12, $D$4, 100%, $F$4)</f>
        <v>12.5092</v>
      </c>
      <c r="H758" s="4">
        <f>CHOOSE( CONTROL!$C$29, 13.4136, 13.4068) * CHOOSE(CONTROL!$C$12, $D$4, 100%, $F$4)</f>
        <v>13.4068</v>
      </c>
      <c r="I758" s="8">
        <f>CHOOSE( CONTROL!$C$29, 12.3544, 12.3478) * CHOOSE(CONTROL!$C$12, $D$4, 100%, $F$4)</f>
        <v>12.347799999999999</v>
      </c>
      <c r="J758" s="4">
        <f>CHOOSE( CONTROL!$C$29, 12.3216, 12.3149) * CHOOSE(CONTROL!$C$12, $D$4, 100%, $F$4)</f>
        <v>12.3149</v>
      </c>
      <c r="K758" s="4"/>
      <c r="L758" s="9">
        <v>29.520499999999998</v>
      </c>
      <c r="M758" s="9">
        <v>12.063700000000001</v>
      </c>
      <c r="N758" s="9">
        <v>4.9444999999999997</v>
      </c>
      <c r="O758" s="9">
        <v>0.37459999999999999</v>
      </c>
      <c r="P758" s="9">
        <v>1.2192000000000001</v>
      </c>
      <c r="Q758" s="9">
        <v>19.688099999999999</v>
      </c>
      <c r="R758" s="9"/>
      <c r="S758" s="11"/>
    </row>
    <row r="759" spans="1:19" ht="15.6">
      <c r="A759" s="13">
        <v>65196</v>
      </c>
      <c r="B759" s="8">
        <f>CHOOSE( CONTROL!$C$29, 12.5124, 12.5056) * CHOOSE(CONTROL!$C$12, $D$4, 100%, $F$4)</f>
        <v>12.505599999999999</v>
      </c>
      <c r="C759" s="8">
        <f>CHOOSE( CONTROL!$C$29, 12.5227, 12.5159) * CHOOSE(CONTROL!$C$12, $D$4, 100%, $F$4)</f>
        <v>12.5159</v>
      </c>
      <c r="D759" s="8">
        <f>CHOOSE( CONTROL!$C$29, 12.4975, 12.4906) * CHOOSE( CONTROL!$C$12, $D$4, 100%, $F$4)</f>
        <v>12.490600000000001</v>
      </c>
      <c r="E759" s="12">
        <f>CHOOSE( CONTROL!$C$29, 12.5051, 12.4982) * CHOOSE( CONTROL!$C$12, $D$4, 100%, $F$4)</f>
        <v>12.498200000000001</v>
      </c>
      <c r="F759" s="4">
        <f>CHOOSE( CONTROL!$C$29, 13.4765, 13.4697) * CHOOSE(CONTROL!$C$12, $D$4, 100%, $F$4)</f>
        <v>13.4697</v>
      </c>
      <c r="G759" s="8">
        <f>CHOOSE( CONTROL!$C$29, 12.3132, 12.3065) * CHOOSE( CONTROL!$C$12, $D$4, 100%, $F$4)</f>
        <v>12.3065</v>
      </c>
      <c r="H759" s="4">
        <f>CHOOSE( CONTROL!$C$29, 13.202, 13.1952) * CHOOSE(CONTROL!$C$12, $D$4, 100%, $F$4)</f>
        <v>13.1952</v>
      </c>
      <c r="I759" s="8">
        <f>CHOOSE( CONTROL!$C$29, 12.1585, 12.1519) * CHOOSE(CONTROL!$C$12, $D$4, 100%, $F$4)</f>
        <v>12.151899999999999</v>
      </c>
      <c r="J759" s="4">
        <f>CHOOSE( CONTROL!$C$29, 12.1236, 12.117) * CHOOSE(CONTROL!$C$12, $D$4, 100%, $F$4)</f>
        <v>12.117000000000001</v>
      </c>
      <c r="K759" s="4"/>
      <c r="L759" s="9">
        <v>28.568200000000001</v>
      </c>
      <c r="M759" s="9">
        <v>11.6745</v>
      </c>
      <c r="N759" s="9">
        <v>4.7850000000000001</v>
      </c>
      <c r="O759" s="9">
        <v>0.36249999999999999</v>
      </c>
      <c r="P759" s="9">
        <v>1.1798</v>
      </c>
      <c r="Q759" s="9">
        <v>19.053000000000001</v>
      </c>
      <c r="R759" s="9"/>
      <c r="S759" s="11"/>
    </row>
    <row r="760" spans="1:19" ht="15.6">
      <c r="A760" s="13">
        <v>65227</v>
      </c>
      <c r="B760" s="8">
        <f>CHOOSE( CONTROL!$C$29, 13.0505, 13.0437) * CHOOSE(CONTROL!$C$12, $D$4, 100%, $F$4)</f>
        <v>13.043699999999999</v>
      </c>
      <c r="C760" s="8">
        <f>CHOOSE( CONTROL!$C$29, 13.0608, 13.054) * CHOOSE(CONTROL!$C$12, $D$4, 100%, $F$4)</f>
        <v>13.054</v>
      </c>
      <c r="D760" s="8">
        <f>CHOOSE( CONTROL!$C$29, 13.069, 13.0621) * CHOOSE( CONTROL!$C$12, $D$4, 100%, $F$4)</f>
        <v>13.062099999999999</v>
      </c>
      <c r="E760" s="12">
        <f>CHOOSE( CONTROL!$C$29, 13.0645, 13.0576) * CHOOSE( CONTROL!$C$12, $D$4, 100%, $F$4)</f>
        <v>13.057600000000001</v>
      </c>
      <c r="F760" s="4">
        <f>CHOOSE( CONTROL!$C$29, 14.0595, 14.0527) * CHOOSE(CONTROL!$C$12, $D$4, 100%, $F$4)</f>
        <v>14.0527</v>
      </c>
      <c r="G760" s="8">
        <f>CHOOSE( CONTROL!$C$29, 12.8697, 12.8629) * CHOOSE( CONTROL!$C$12, $D$4, 100%, $F$4)</f>
        <v>12.8629</v>
      </c>
      <c r="H760" s="4">
        <f>CHOOSE( CONTROL!$C$29, 13.7766, 13.7699) * CHOOSE(CONTROL!$C$12, $D$4, 100%, $F$4)</f>
        <v>13.7699</v>
      </c>
      <c r="I760" s="8">
        <f>CHOOSE( CONTROL!$C$29, 12.7354, 12.7288) * CHOOSE(CONTROL!$C$12, $D$4, 100%, $F$4)</f>
        <v>12.7288</v>
      </c>
      <c r="J760" s="4">
        <f>CHOOSE( CONTROL!$C$29, 12.645, 12.6383) * CHOOSE(CONTROL!$C$12, $D$4, 100%, $F$4)</f>
        <v>12.638299999999999</v>
      </c>
      <c r="K760" s="4"/>
      <c r="L760" s="9">
        <v>29.520499999999998</v>
      </c>
      <c r="M760" s="9">
        <v>12.063700000000001</v>
      </c>
      <c r="N760" s="9">
        <v>4.9444999999999997</v>
      </c>
      <c r="O760" s="9">
        <v>0.37459999999999999</v>
      </c>
      <c r="P760" s="9">
        <v>1.2192000000000001</v>
      </c>
      <c r="Q760" s="9">
        <v>19.688099999999999</v>
      </c>
      <c r="R760" s="9"/>
      <c r="S760" s="11"/>
    </row>
    <row r="761" spans="1:19" ht="15.6">
      <c r="A761" s="13">
        <v>65258</v>
      </c>
      <c r="B761" s="8">
        <f>CHOOSE( CONTROL!$C$29, 12.0437, 12.0369) * CHOOSE(CONTROL!$C$12, $D$4, 100%, $F$4)</f>
        <v>12.036899999999999</v>
      </c>
      <c r="C761" s="8">
        <f>CHOOSE( CONTROL!$C$29, 12.054, 12.0472) * CHOOSE(CONTROL!$C$12, $D$4, 100%, $F$4)</f>
        <v>12.0472</v>
      </c>
      <c r="D761" s="8">
        <f>CHOOSE( CONTROL!$C$29, 12.0555, 12.0487) * CHOOSE( CONTROL!$C$12, $D$4, 100%, $F$4)</f>
        <v>12.0487</v>
      </c>
      <c r="E761" s="12">
        <f>CHOOSE( CONTROL!$C$29, 12.0534, 12.0466) * CHOOSE( CONTROL!$C$12, $D$4, 100%, $F$4)</f>
        <v>12.0466</v>
      </c>
      <c r="F761" s="4">
        <f>CHOOSE( CONTROL!$C$29, 13.0501, 13.0433) * CHOOSE(CONTROL!$C$12, $D$4, 100%, $F$4)</f>
        <v>13.0433</v>
      </c>
      <c r="G761" s="8">
        <f>CHOOSE( CONTROL!$C$29, 11.8673, 11.8606) * CHOOSE( CONTROL!$C$12, $D$4, 100%, $F$4)</f>
        <v>11.8606</v>
      </c>
      <c r="H761" s="4">
        <f>CHOOSE( CONTROL!$C$29, 12.7816, 12.7749) * CHOOSE(CONTROL!$C$12, $D$4, 100%, $F$4)</f>
        <v>12.774900000000001</v>
      </c>
      <c r="I761" s="8">
        <f>CHOOSE( CONTROL!$C$29, 11.7405, 11.7338) * CHOOSE(CONTROL!$C$12, $D$4, 100%, $F$4)</f>
        <v>11.7338</v>
      </c>
      <c r="J761" s="4">
        <f>CHOOSE( CONTROL!$C$29, 11.6694, 11.6628) * CHOOSE(CONTROL!$C$12, $D$4, 100%, $F$4)</f>
        <v>11.662800000000001</v>
      </c>
      <c r="K761" s="4"/>
      <c r="L761" s="9">
        <v>29.520499999999998</v>
      </c>
      <c r="M761" s="9">
        <v>12.063700000000001</v>
      </c>
      <c r="N761" s="9">
        <v>4.9444999999999997</v>
      </c>
      <c r="O761" s="9">
        <v>0.37459999999999999</v>
      </c>
      <c r="P761" s="9">
        <v>1.2192000000000001</v>
      </c>
      <c r="Q761" s="9">
        <v>19.688099999999999</v>
      </c>
      <c r="R761" s="9"/>
      <c r="S761" s="11"/>
    </row>
    <row r="762" spans="1:19" ht="15.6">
      <c r="A762" s="13">
        <v>65288</v>
      </c>
      <c r="B762" s="8">
        <f>CHOOSE( CONTROL!$C$29, 11.7916, 11.7847) * CHOOSE(CONTROL!$C$12, $D$4, 100%, $F$4)</f>
        <v>11.784700000000001</v>
      </c>
      <c r="C762" s="8">
        <f>CHOOSE( CONTROL!$C$29, 11.8019, 11.7951) * CHOOSE(CONTROL!$C$12, $D$4, 100%, $F$4)</f>
        <v>11.7951</v>
      </c>
      <c r="D762" s="8">
        <f>CHOOSE( CONTROL!$C$29, 11.8066, 11.7997) * CHOOSE( CONTROL!$C$12, $D$4, 100%, $F$4)</f>
        <v>11.7997</v>
      </c>
      <c r="E762" s="12">
        <f>CHOOSE( CONTROL!$C$29, 11.8033, 11.7964) * CHOOSE( CONTROL!$C$12, $D$4, 100%, $F$4)</f>
        <v>11.7964</v>
      </c>
      <c r="F762" s="4">
        <f>CHOOSE( CONTROL!$C$29, 12.8032, 12.7963) * CHOOSE(CONTROL!$C$12, $D$4, 100%, $F$4)</f>
        <v>12.7963</v>
      </c>
      <c r="G762" s="8">
        <f>CHOOSE( CONTROL!$C$29, 11.6208, 11.6141) * CHOOSE( CONTROL!$C$12, $D$4, 100%, $F$4)</f>
        <v>11.614100000000001</v>
      </c>
      <c r="H762" s="4">
        <f>CHOOSE( CONTROL!$C$29, 12.5382, 12.5315) * CHOOSE(CONTROL!$C$12, $D$4, 100%, $F$4)</f>
        <v>12.531499999999999</v>
      </c>
      <c r="I762" s="8">
        <f>CHOOSE( CONTROL!$C$29, 11.5038, 11.4972) * CHOOSE(CONTROL!$C$12, $D$4, 100%, $F$4)</f>
        <v>11.497199999999999</v>
      </c>
      <c r="J762" s="4">
        <f>CHOOSE( CONTROL!$C$29, 11.4251, 11.4185) * CHOOSE(CONTROL!$C$12, $D$4, 100%, $F$4)</f>
        <v>11.4185</v>
      </c>
      <c r="K762" s="4"/>
      <c r="L762" s="9">
        <v>28.568200000000001</v>
      </c>
      <c r="M762" s="9">
        <v>11.6745</v>
      </c>
      <c r="N762" s="9">
        <v>4.7850000000000001</v>
      </c>
      <c r="O762" s="9">
        <v>0.36249999999999999</v>
      </c>
      <c r="P762" s="9">
        <v>1.1798</v>
      </c>
      <c r="Q762" s="9">
        <v>19.053000000000001</v>
      </c>
      <c r="R762" s="9"/>
      <c r="S762" s="11"/>
    </row>
    <row r="763" spans="1:19" ht="15.6">
      <c r="A763" s="13">
        <v>65319</v>
      </c>
      <c r="B763" s="8">
        <f>12.3082 * CHOOSE(CONTROL!$C$12, $D$4, 100%, $F$4)</f>
        <v>12.308199999999999</v>
      </c>
      <c r="C763" s="8">
        <f>12.3185 * CHOOSE(CONTROL!$C$12, $D$4, 100%, $F$4)</f>
        <v>12.3185</v>
      </c>
      <c r="D763" s="8">
        <f>12.3136 * CHOOSE( CONTROL!$C$12, $D$4, 100%, $F$4)</f>
        <v>12.313599999999999</v>
      </c>
      <c r="E763" s="12">
        <f>12.3141 * CHOOSE( CONTROL!$C$12, $D$4, 100%, $F$4)</f>
        <v>12.3141</v>
      </c>
      <c r="F763" s="4">
        <f>13.2992 * CHOOSE(CONTROL!$C$12, $D$4, 100%, $F$4)</f>
        <v>13.299200000000001</v>
      </c>
      <c r="G763" s="8">
        <f>12.1269 * CHOOSE( CONTROL!$C$12, $D$4, 100%, $F$4)</f>
        <v>12.126899999999999</v>
      </c>
      <c r="H763" s="4">
        <f>13.0271 * CHOOSE(CONTROL!$C$12, $D$4, 100%, $F$4)</f>
        <v>13.027100000000001</v>
      </c>
      <c r="I763" s="8">
        <f>12.0086 * CHOOSE(CONTROL!$C$12, $D$4, 100%, $F$4)</f>
        <v>12.008599999999999</v>
      </c>
      <c r="J763" s="4">
        <f>11.9257 * CHOOSE(CONTROL!$C$12, $D$4, 100%, $F$4)</f>
        <v>11.925700000000001</v>
      </c>
      <c r="K763" s="4"/>
      <c r="L763" s="9">
        <v>28.921800000000001</v>
      </c>
      <c r="M763" s="9">
        <v>12.063700000000001</v>
      </c>
      <c r="N763" s="9">
        <v>4.9444999999999997</v>
      </c>
      <c r="O763" s="9">
        <v>0.37459999999999999</v>
      </c>
      <c r="P763" s="9">
        <v>1.2192000000000001</v>
      </c>
      <c r="Q763" s="9">
        <v>19.688099999999999</v>
      </c>
      <c r="R763" s="9"/>
      <c r="S763" s="11"/>
    </row>
    <row r="764" spans="1:19" ht="15.6">
      <c r="A764" s="13">
        <v>65349</v>
      </c>
      <c r="B764" s="8">
        <f>13.2744 * CHOOSE(CONTROL!$C$12, $D$4, 100%, $F$4)</f>
        <v>13.2744</v>
      </c>
      <c r="C764" s="8">
        <f>13.2848 * CHOOSE(CONTROL!$C$12, $D$4, 100%, $F$4)</f>
        <v>13.284800000000001</v>
      </c>
      <c r="D764" s="8">
        <f>13.2441 * CHOOSE( CONTROL!$C$12, $D$4, 100%, $F$4)</f>
        <v>13.2441</v>
      </c>
      <c r="E764" s="12">
        <f>13.2579 * CHOOSE( CONTROL!$C$12, $D$4, 100%, $F$4)</f>
        <v>13.257899999999999</v>
      </c>
      <c r="F764" s="4">
        <f>14.2515 * CHOOSE(CONTROL!$C$12, $D$4, 100%, $F$4)</f>
        <v>14.2515</v>
      </c>
      <c r="G764" s="8">
        <f>13.0733 * CHOOSE( CONTROL!$C$12, $D$4, 100%, $F$4)</f>
        <v>13.0733</v>
      </c>
      <c r="H764" s="4">
        <f>13.9659 * CHOOSE(CONTROL!$C$12, $D$4, 100%, $F$4)</f>
        <v>13.9659</v>
      </c>
      <c r="I764" s="8">
        <f>12.9296 * CHOOSE(CONTROL!$C$12, $D$4, 100%, $F$4)</f>
        <v>12.929600000000001</v>
      </c>
      <c r="J764" s="4">
        <f>12.862 * CHOOSE(CONTROL!$C$12, $D$4, 100%, $F$4)</f>
        <v>12.862</v>
      </c>
      <c r="K764" s="4"/>
      <c r="L764" s="9">
        <v>26.515499999999999</v>
      </c>
      <c r="M764" s="9">
        <v>11.6745</v>
      </c>
      <c r="N764" s="9">
        <v>4.7850000000000001</v>
      </c>
      <c r="O764" s="9">
        <v>0.36249999999999999</v>
      </c>
      <c r="P764" s="9">
        <v>1.2522</v>
      </c>
      <c r="Q764" s="9">
        <v>19.053000000000001</v>
      </c>
      <c r="R764" s="9"/>
      <c r="S764" s="11"/>
    </row>
    <row r="765" spans="1:19" ht="15.6">
      <c r="A765" s="13">
        <v>65380</v>
      </c>
      <c r="B765" s="8">
        <f>13.2503 * CHOOSE(CONTROL!$C$12, $D$4, 100%, $F$4)</f>
        <v>13.250299999999999</v>
      </c>
      <c r="C765" s="8">
        <f>13.2606 * CHOOSE(CONTROL!$C$12, $D$4, 100%, $F$4)</f>
        <v>13.2606</v>
      </c>
      <c r="D765" s="8">
        <f>13.2218 * CHOOSE( CONTROL!$C$12, $D$4, 100%, $F$4)</f>
        <v>13.2218</v>
      </c>
      <c r="E765" s="12">
        <f>13.2349 * CHOOSE( CONTROL!$C$12, $D$4, 100%, $F$4)</f>
        <v>13.2349</v>
      </c>
      <c r="F765" s="4">
        <f>14.2206 * CHOOSE(CONTROL!$C$12, $D$4, 100%, $F$4)</f>
        <v>14.220599999999999</v>
      </c>
      <c r="G765" s="8">
        <f>13.0519 * CHOOSE( CONTROL!$C$12, $D$4, 100%, $F$4)</f>
        <v>13.0519</v>
      </c>
      <c r="H765" s="4">
        <f>13.9355 * CHOOSE(CONTROL!$C$12, $D$4, 100%, $F$4)</f>
        <v>13.935499999999999</v>
      </c>
      <c r="I765" s="8">
        <f>12.917 * CHOOSE(CONTROL!$C$12, $D$4, 100%, $F$4)</f>
        <v>12.917</v>
      </c>
      <c r="J765" s="4">
        <f>12.8386 * CHOOSE(CONTROL!$C$12, $D$4, 100%, $F$4)</f>
        <v>12.8386</v>
      </c>
      <c r="K765" s="4"/>
      <c r="L765" s="9">
        <v>27.3993</v>
      </c>
      <c r="M765" s="9">
        <v>12.063700000000001</v>
      </c>
      <c r="N765" s="9">
        <v>4.9444999999999997</v>
      </c>
      <c r="O765" s="9">
        <v>0.37459999999999999</v>
      </c>
      <c r="P765" s="9">
        <v>1.2939000000000001</v>
      </c>
      <c r="Q765" s="9">
        <v>19.688099999999999</v>
      </c>
      <c r="R765" s="9"/>
      <c r="S765" s="11"/>
    </row>
    <row r="766" spans="1:19" ht="15.6">
      <c r="A766" s="13">
        <v>65411</v>
      </c>
      <c r="B766" s="8">
        <f>13.5595 * CHOOSE(CONTROL!$C$12, $D$4, 100%, $F$4)</f>
        <v>13.5595</v>
      </c>
      <c r="C766" s="8">
        <f>13.5698 * CHOOSE(CONTROL!$C$12, $D$4, 100%, $F$4)</f>
        <v>13.569800000000001</v>
      </c>
      <c r="D766" s="8">
        <f>13.5696 * CHOOSE( CONTROL!$C$12, $D$4, 100%, $F$4)</f>
        <v>13.569599999999999</v>
      </c>
      <c r="E766" s="12">
        <f>13.5686 * CHOOSE( CONTROL!$C$12, $D$4, 100%, $F$4)</f>
        <v>13.5686</v>
      </c>
      <c r="F766" s="4">
        <f>14.5814 * CHOOSE(CONTROL!$C$12, $D$4, 100%, $F$4)</f>
        <v>14.5814</v>
      </c>
      <c r="G766" s="8">
        <f>13.3976 * CHOOSE( CONTROL!$C$12, $D$4, 100%, $F$4)</f>
        <v>13.397600000000001</v>
      </c>
      <c r="H766" s="4">
        <f>14.2911 * CHOOSE(CONTROL!$C$12, $D$4, 100%, $F$4)</f>
        <v>14.2911</v>
      </c>
      <c r="I766" s="8">
        <f>13.2534 * CHOOSE(CONTROL!$C$12, $D$4, 100%, $F$4)</f>
        <v>13.253399999999999</v>
      </c>
      <c r="J766" s="4">
        <f>13.1382 * CHOOSE(CONTROL!$C$12, $D$4, 100%, $F$4)</f>
        <v>13.138199999999999</v>
      </c>
      <c r="K766" s="4"/>
      <c r="L766" s="9">
        <v>27.3993</v>
      </c>
      <c r="M766" s="9">
        <v>12.063700000000001</v>
      </c>
      <c r="N766" s="9">
        <v>4.9444999999999997</v>
      </c>
      <c r="O766" s="9">
        <v>0.37459999999999999</v>
      </c>
      <c r="P766" s="9">
        <v>1.2939000000000001</v>
      </c>
      <c r="Q766" s="9">
        <v>19.688099999999999</v>
      </c>
      <c r="R766" s="9"/>
      <c r="S766" s="11"/>
    </row>
    <row r="767" spans="1:19" ht="15.6">
      <c r="A767" s="13">
        <v>65439</v>
      </c>
      <c r="B767" s="8">
        <f>12.683 * CHOOSE(CONTROL!$C$12, $D$4, 100%, $F$4)</f>
        <v>12.683</v>
      </c>
      <c r="C767" s="8">
        <f>12.6933 * CHOOSE(CONTROL!$C$12, $D$4, 100%, $F$4)</f>
        <v>12.693300000000001</v>
      </c>
      <c r="D767" s="8">
        <f>12.6954 * CHOOSE( CONTROL!$C$12, $D$4, 100%, $F$4)</f>
        <v>12.695399999999999</v>
      </c>
      <c r="E767" s="12">
        <f>12.6935 * CHOOSE( CONTROL!$C$12, $D$4, 100%, $F$4)</f>
        <v>12.6935</v>
      </c>
      <c r="F767" s="4">
        <f>13.6971 * CHOOSE(CONTROL!$C$12, $D$4, 100%, $F$4)</f>
        <v>13.697100000000001</v>
      </c>
      <c r="G767" s="8">
        <f>12.5334 * CHOOSE( CONTROL!$C$12, $D$4, 100%, $F$4)</f>
        <v>12.5334</v>
      </c>
      <c r="H767" s="4">
        <f>13.4194 * CHOOSE(CONTROL!$C$12, $D$4, 100%, $F$4)</f>
        <v>13.4194</v>
      </c>
      <c r="I767" s="8">
        <f>12.3926 * CHOOSE(CONTROL!$C$12, $D$4, 100%, $F$4)</f>
        <v>12.3926</v>
      </c>
      <c r="J767" s="4">
        <f>12.2888 * CHOOSE(CONTROL!$C$12, $D$4, 100%, $F$4)</f>
        <v>12.2888</v>
      </c>
      <c r="K767" s="4"/>
      <c r="L767" s="9">
        <v>24.747800000000002</v>
      </c>
      <c r="M767" s="9">
        <v>10.8962</v>
      </c>
      <c r="N767" s="9">
        <v>4.4660000000000002</v>
      </c>
      <c r="O767" s="9">
        <v>0.33829999999999999</v>
      </c>
      <c r="P767" s="9">
        <v>1.1687000000000001</v>
      </c>
      <c r="Q767" s="9">
        <v>17.782800000000002</v>
      </c>
      <c r="R767" s="9"/>
      <c r="S767" s="11"/>
    </row>
    <row r="768" spans="1:19" ht="15.6">
      <c r="A768" s="13">
        <v>65470</v>
      </c>
      <c r="B768" s="8">
        <f>12.413 * CHOOSE(CONTROL!$C$12, $D$4, 100%, $F$4)</f>
        <v>12.413</v>
      </c>
      <c r="C768" s="8">
        <f>12.4233 * CHOOSE(CONTROL!$C$12, $D$4, 100%, $F$4)</f>
        <v>12.423299999999999</v>
      </c>
      <c r="D768" s="8">
        <f>12.4055 * CHOOSE( CONTROL!$C$12, $D$4, 100%, $F$4)</f>
        <v>12.4055</v>
      </c>
      <c r="E768" s="12">
        <f>12.4109 * CHOOSE( CONTROL!$C$12, $D$4, 100%, $F$4)</f>
        <v>12.4109</v>
      </c>
      <c r="F768" s="4">
        <f>13.4112 * CHOOSE(CONTROL!$C$12, $D$4, 100%, $F$4)</f>
        <v>13.411199999999999</v>
      </c>
      <c r="G768" s="8">
        <f>12.2468 * CHOOSE( CONTROL!$C$12, $D$4, 100%, $F$4)</f>
        <v>12.2468</v>
      </c>
      <c r="H768" s="4">
        <f>13.1375 * CHOOSE(CONTROL!$C$12, $D$4, 100%, $F$4)</f>
        <v>13.137499999999999</v>
      </c>
      <c r="I768" s="8">
        <f>12.0914 * CHOOSE(CONTROL!$C$12, $D$4, 100%, $F$4)</f>
        <v>12.0914</v>
      </c>
      <c r="J768" s="4">
        <f>12.0272 * CHOOSE(CONTROL!$C$12, $D$4, 100%, $F$4)</f>
        <v>12.027200000000001</v>
      </c>
      <c r="K768" s="4"/>
      <c r="L768" s="9">
        <v>27.3993</v>
      </c>
      <c r="M768" s="9">
        <v>12.063700000000001</v>
      </c>
      <c r="N768" s="9">
        <v>4.9444999999999997</v>
      </c>
      <c r="O768" s="9">
        <v>0.37459999999999999</v>
      </c>
      <c r="P768" s="9">
        <v>1.2939000000000001</v>
      </c>
      <c r="Q768" s="9">
        <v>19.688099999999999</v>
      </c>
      <c r="R768" s="9"/>
      <c r="S768" s="11"/>
    </row>
    <row r="769" spans="1:19" ht="15.6">
      <c r="A769" s="13">
        <v>65500</v>
      </c>
      <c r="B769" s="8">
        <f>12.6016 * CHOOSE(CONTROL!$C$12, $D$4, 100%, $F$4)</f>
        <v>12.601599999999999</v>
      </c>
      <c r="C769" s="8">
        <f>12.612 * CHOOSE(CONTROL!$C$12, $D$4, 100%, $F$4)</f>
        <v>12.612</v>
      </c>
      <c r="D769" s="8">
        <f>12.617 * CHOOSE( CONTROL!$C$12, $D$4, 100%, $F$4)</f>
        <v>12.617000000000001</v>
      </c>
      <c r="E769" s="12">
        <f>12.6142 * CHOOSE( CONTROL!$C$12, $D$4, 100%, $F$4)</f>
        <v>12.6142</v>
      </c>
      <c r="F769" s="4">
        <f>13.6081 * CHOOSE(CONTROL!$C$12, $D$4, 100%, $F$4)</f>
        <v>13.6081</v>
      </c>
      <c r="G769" s="8">
        <f>12.4207 * CHOOSE( CONTROL!$C$12, $D$4, 100%, $F$4)</f>
        <v>12.4207</v>
      </c>
      <c r="H769" s="4">
        <f>13.3316 * CHOOSE(CONTROL!$C$12, $D$4, 100%, $F$4)</f>
        <v>13.3316</v>
      </c>
      <c r="I769" s="8">
        <f>12.2644 * CHOOSE(CONTROL!$C$12, $D$4, 100%, $F$4)</f>
        <v>12.2644</v>
      </c>
      <c r="J769" s="4">
        <f>12.21 * CHOOSE(CONTROL!$C$12, $D$4, 100%, $F$4)</f>
        <v>12.21</v>
      </c>
      <c r="K769" s="4"/>
      <c r="L769" s="9">
        <v>27.988800000000001</v>
      </c>
      <c r="M769" s="9">
        <v>11.6745</v>
      </c>
      <c r="N769" s="9">
        <v>4.7850000000000001</v>
      </c>
      <c r="O769" s="9">
        <v>0.36249999999999999</v>
      </c>
      <c r="P769" s="9">
        <v>1.1798</v>
      </c>
      <c r="Q769" s="9">
        <v>19.053000000000001</v>
      </c>
      <c r="R769" s="9"/>
      <c r="S769" s="11"/>
    </row>
    <row r="770" spans="1:19" ht="15.6">
      <c r="A770" s="13">
        <v>65531</v>
      </c>
      <c r="B770" s="8">
        <f>CHOOSE( CONTROL!$C$29, 12.9442, 12.9374) * CHOOSE(CONTROL!$C$12, $D$4, 100%, $F$4)</f>
        <v>12.9374</v>
      </c>
      <c r="C770" s="8">
        <f>CHOOSE( CONTROL!$C$29, 12.9546, 12.9477) * CHOOSE(CONTROL!$C$12, $D$4, 100%, $F$4)</f>
        <v>12.947699999999999</v>
      </c>
      <c r="D770" s="8">
        <f>CHOOSE( CONTROL!$C$29, 12.9348, 12.928) * CHOOSE( CONTROL!$C$12, $D$4, 100%, $F$4)</f>
        <v>12.928000000000001</v>
      </c>
      <c r="E770" s="12">
        <f>CHOOSE( CONTROL!$C$29, 12.9404, 12.9336) * CHOOSE( CONTROL!$C$12, $D$4, 100%, $F$4)</f>
        <v>12.9336</v>
      </c>
      <c r="F770" s="4">
        <f>CHOOSE( CONTROL!$C$29, 13.9187, 13.9118) * CHOOSE(CONTROL!$C$12, $D$4, 100%, $F$4)</f>
        <v>13.911799999999999</v>
      </c>
      <c r="G770" s="8">
        <f>CHOOSE( CONTROL!$C$29, 12.7402, 12.7334) * CHOOSE( CONTROL!$C$12, $D$4, 100%, $F$4)</f>
        <v>12.7334</v>
      </c>
      <c r="H770" s="4">
        <f>CHOOSE( CONTROL!$C$29, 13.6378, 13.6311) * CHOOSE(CONTROL!$C$12, $D$4, 100%, $F$4)</f>
        <v>13.6311</v>
      </c>
      <c r="I770" s="8">
        <f>CHOOSE( CONTROL!$C$29, 12.575, 12.5684) * CHOOSE(CONTROL!$C$12, $D$4, 100%, $F$4)</f>
        <v>12.5684</v>
      </c>
      <c r="J770" s="4">
        <f>CHOOSE( CONTROL!$C$29, 12.542, 12.5354) * CHOOSE(CONTROL!$C$12, $D$4, 100%, $F$4)</f>
        <v>12.535399999999999</v>
      </c>
      <c r="K770" s="4"/>
      <c r="L770" s="9">
        <v>29.520499999999998</v>
      </c>
      <c r="M770" s="9">
        <v>12.063700000000001</v>
      </c>
      <c r="N770" s="9">
        <v>4.9444999999999997</v>
      </c>
      <c r="O770" s="9">
        <v>0.37459999999999999</v>
      </c>
      <c r="P770" s="9">
        <v>1.2192000000000001</v>
      </c>
      <c r="Q770" s="9">
        <v>19.688099999999999</v>
      </c>
      <c r="R770" s="9"/>
      <c r="S770" s="11"/>
    </row>
    <row r="771" spans="1:19" ht="15.6">
      <c r="A771" s="13">
        <v>65561</v>
      </c>
      <c r="B771" s="8">
        <f>CHOOSE( CONTROL!$C$29, 12.7362, 12.7294) * CHOOSE(CONTROL!$C$12, $D$4, 100%, $F$4)</f>
        <v>12.7294</v>
      </c>
      <c r="C771" s="8">
        <f>CHOOSE( CONTROL!$C$29, 12.7466, 12.7397) * CHOOSE(CONTROL!$C$12, $D$4, 100%, $F$4)</f>
        <v>12.739699999999999</v>
      </c>
      <c r="D771" s="8">
        <f>CHOOSE( CONTROL!$C$29, 12.7213, 12.7144) * CHOOSE( CONTROL!$C$12, $D$4, 100%, $F$4)</f>
        <v>12.714399999999999</v>
      </c>
      <c r="E771" s="12">
        <f>CHOOSE( CONTROL!$C$29, 12.7289, 12.722) * CHOOSE( CONTROL!$C$12, $D$4, 100%, $F$4)</f>
        <v>12.722</v>
      </c>
      <c r="F771" s="4">
        <f>CHOOSE( CONTROL!$C$29, 13.7004, 13.6935) * CHOOSE(CONTROL!$C$12, $D$4, 100%, $F$4)</f>
        <v>13.6935</v>
      </c>
      <c r="G771" s="8">
        <f>CHOOSE( CONTROL!$C$29, 12.5339, 12.5271) * CHOOSE( CONTROL!$C$12, $D$4, 100%, $F$4)</f>
        <v>12.527100000000001</v>
      </c>
      <c r="H771" s="4">
        <f>CHOOSE( CONTROL!$C$29, 13.4226, 13.4159) * CHOOSE(CONTROL!$C$12, $D$4, 100%, $F$4)</f>
        <v>13.415900000000001</v>
      </c>
      <c r="I771" s="8">
        <f>CHOOSE( CONTROL!$C$29, 12.3755, 12.3689) * CHOOSE(CONTROL!$C$12, $D$4, 100%, $F$4)</f>
        <v>12.3689</v>
      </c>
      <c r="J771" s="4">
        <f>CHOOSE( CONTROL!$C$29, 12.3405, 12.3338) * CHOOSE(CONTROL!$C$12, $D$4, 100%, $F$4)</f>
        <v>12.3338</v>
      </c>
      <c r="K771" s="4"/>
      <c r="L771" s="9">
        <v>28.568200000000001</v>
      </c>
      <c r="M771" s="9">
        <v>11.6745</v>
      </c>
      <c r="N771" s="9">
        <v>4.7850000000000001</v>
      </c>
      <c r="O771" s="9">
        <v>0.36249999999999999</v>
      </c>
      <c r="P771" s="9">
        <v>1.1798</v>
      </c>
      <c r="Q771" s="9">
        <v>19.053000000000001</v>
      </c>
      <c r="R771" s="9"/>
      <c r="S771" s="11"/>
    </row>
    <row r="772" spans="1:19" ht="15.6">
      <c r="A772" s="13">
        <v>65592</v>
      </c>
      <c r="B772" s="8">
        <f>CHOOSE( CONTROL!$C$29, 13.284, 13.2771) * CHOOSE(CONTROL!$C$12, $D$4, 100%, $F$4)</f>
        <v>13.277100000000001</v>
      </c>
      <c r="C772" s="8">
        <f>CHOOSE( CONTROL!$C$29, 13.2943, 13.2874) * CHOOSE(CONTROL!$C$12, $D$4, 100%, $F$4)</f>
        <v>13.2874</v>
      </c>
      <c r="D772" s="8">
        <f>CHOOSE( CONTROL!$C$29, 13.3024, 13.2956) * CHOOSE( CONTROL!$C$12, $D$4, 100%, $F$4)</f>
        <v>13.2956</v>
      </c>
      <c r="E772" s="12">
        <f>CHOOSE( CONTROL!$C$29, 13.2979, 13.2911) * CHOOSE( CONTROL!$C$12, $D$4, 100%, $F$4)</f>
        <v>13.2911</v>
      </c>
      <c r="F772" s="4">
        <f>CHOOSE( CONTROL!$C$29, 14.293, 14.2861) * CHOOSE(CONTROL!$C$12, $D$4, 100%, $F$4)</f>
        <v>14.286099999999999</v>
      </c>
      <c r="G772" s="8">
        <f>CHOOSE( CONTROL!$C$29, 13.0998, 13.0931) * CHOOSE( CONTROL!$C$12, $D$4, 100%, $F$4)</f>
        <v>13.0931</v>
      </c>
      <c r="H772" s="4">
        <f>CHOOSE( CONTROL!$C$29, 14.0068, 14) * CHOOSE(CONTROL!$C$12, $D$4, 100%, $F$4)</f>
        <v>14</v>
      </c>
      <c r="I772" s="8">
        <f>CHOOSE( CONTROL!$C$29, 12.9618, 12.9552) * CHOOSE(CONTROL!$C$12, $D$4, 100%, $F$4)</f>
        <v>12.9552</v>
      </c>
      <c r="J772" s="4">
        <f>CHOOSE( CONTROL!$C$29, 12.8712, 12.8646) * CHOOSE(CONTROL!$C$12, $D$4, 100%, $F$4)</f>
        <v>12.864599999999999</v>
      </c>
      <c r="K772" s="4"/>
      <c r="L772" s="9">
        <v>29.520499999999998</v>
      </c>
      <c r="M772" s="9">
        <v>12.063700000000001</v>
      </c>
      <c r="N772" s="9">
        <v>4.9444999999999997</v>
      </c>
      <c r="O772" s="9">
        <v>0.37459999999999999</v>
      </c>
      <c r="P772" s="9">
        <v>1.2192000000000001</v>
      </c>
      <c r="Q772" s="9">
        <v>19.688099999999999</v>
      </c>
      <c r="R772" s="9"/>
      <c r="S772" s="11"/>
    </row>
    <row r="773" spans="1:19" ht="15.6">
      <c r="A773" s="13">
        <v>65623</v>
      </c>
      <c r="B773" s="8">
        <f>CHOOSE( CONTROL!$C$29, 12.2591, 12.2523) * CHOOSE(CONTROL!$C$12, $D$4, 100%, $F$4)</f>
        <v>12.2523</v>
      </c>
      <c r="C773" s="8">
        <f>CHOOSE( CONTROL!$C$29, 12.2695, 12.2626) * CHOOSE(CONTROL!$C$12, $D$4, 100%, $F$4)</f>
        <v>12.262600000000001</v>
      </c>
      <c r="D773" s="8">
        <f>CHOOSE( CONTROL!$C$29, 12.2709, 12.2641) * CHOOSE( CONTROL!$C$12, $D$4, 100%, $F$4)</f>
        <v>12.264099999999999</v>
      </c>
      <c r="E773" s="12">
        <f>CHOOSE( CONTROL!$C$29, 12.2688, 12.262) * CHOOSE( CONTROL!$C$12, $D$4, 100%, $F$4)</f>
        <v>12.262</v>
      </c>
      <c r="F773" s="4">
        <f>CHOOSE( CONTROL!$C$29, 13.2656, 13.2587) * CHOOSE(CONTROL!$C$12, $D$4, 100%, $F$4)</f>
        <v>13.258699999999999</v>
      </c>
      <c r="G773" s="8">
        <f>CHOOSE( CONTROL!$C$29, 12.0797, 12.0729) * CHOOSE( CONTROL!$C$12, $D$4, 100%, $F$4)</f>
        <v>12.072900000000001</v>
      </c>
      <c r="H773" s="4">
        <f>CHOOSE( CONTROL!$C$29, 12.994, 12.9873) * CHOOSE(CONTROL!$C$12, $D$4, 100%, $F$4)</f>
        <v>12.987299999999999</v>
      </c>
      <c r="I773" s="8">
        <f>CHOOSE( CONTROL!$C$29, 11.9493, 11.9427) * CHOOSE(CONTROL!$C$12, $D$4, 100%, $F$4)</f>
        <v>11.9427</v>
      </c>
      <c r="J773" s="4">
        <f>CHOOSE( CONTROL!$C$29, 11.8782, 11.8715) * CHOOSE(CONTROL!$C$12, $D$4, 100%, $F$4)</f>
        <v>11.871499999999999</v>
      </c>
      <c r="K773" s="4"/>
      <c r="L773" s="9">
        <v>29.520499999999998</v>
      </c>
      <c r="M773" s="9">
        <v>12.063700000000001</v>
      </c>
      <c r="N773" s="9">
        <v>4.9444999999999997</v>
      </c>
      <c r="O773" s="9">
        <v>0.37459999999999999</v>
      </c>
      <c r="P773" s="9">
        <v>1.2192000000000001</v>
      </c>
      <c r="Q773" s="9">
        <v>19.688099999999999</v>
      </c>
      <c r="R773" s="9"/>
      <c r="S773" s="11"/>
    </row>
    <row r="774" spans="1:19" ht="15.6">
      <c r="A774" s="13">
        <v>65653</v>
      </c>
      <c r="B774" s="8">
        <f>CHOOSE( CONTROL!$C$29, 12.0025, 11.9957) * CHOOSE(CONTROL!$C$12, $D$4, 100%, $F$4)</f>
        <v>11.995699999999999</v>
      </c>
      <c r="C774" s="8">
        <f>CHOOSE( CONTROL!$C$29, 12.0128, 12.006) * CHOOSE(CONTROL!$C$12, $D$4, 100%, $F$4)</f>
        <v>12.006</v>
      </c>
      <c r="D774" s="8">
        <f>CHOOSE( CONTROL!$C$29, 12.0175, 12.0107) * CHOOSE( CONTROL!$C$12, $D$4, 100%, $F$4)</f>
        <v>12.0107</v>
      </c>
      <c r="E774" s="12">
        <f>CHOOSE( CONTROL!$C$29, 12.0142, 12.0074) * CHOOSE( CONTROL!$C$12, $D$4, 100%, $F$4)</f>
        <v>12.007400000000001</v>
      </c>
      <c r="F774" s="4">
        <f>CHOOSE( CONTROL!$C$29, 13.0141, 13.0073) * CHOOSE(CONTROL!$C$12, $D$4, 100%, $F$4)</f>
        <v>13.007300000000001</v>
      </c>
      <c r="G774" s="8">
        <f>CHOOSE( CONTROL!$C$29, 11.8288, 11.822) * CHOOSE( CONTROL!$C$12, $D$4, 100%, $F$4)</f>
        <v>11.821999999999999</v>
      </c>
      <c r="H774" s="4">
        <f>CHOOSE( CONTROL!$C$29, 12.7461, 12.7394) * CHOOSE(CONTROL!$C$12, $D$4, 100%, $F$4)</f>
        <v>12.7394</v>
      </c>
      <c r="I774" s="8">
        <f>CHOOSE( CONTROL!$C$29, 11.7083, 11.7017) * CHOOSE(CONTROL!$C$12, $D$4, 100%, $F$4)</f>
        <v>11.701700000000001</v>
      </c>
      <c r="J774" s="4">
        <f>CHOOSE( CONTROL!$C$29, 11.6295, 11.6229) * CHOOSE(CONTROL!$C$12, $D$4, 100%, $F$4)</f>
        <v>11.6229</v>
      </c>
      <c r="K774" s="4"/>
      <c r="L774" s="9">
        <v>28.568200000000001</v>
      </c>
      <c r="M774" s="9">
        <v>11.6745</v>
      </c>
      <c r="N774" s="9">
        <v>4.7850000000000001</v>
      </c>
      <c r="O774" s="9">
        <v>0.36249999999999999</v>
      </c>
      <c r="P774" s="9">
        <v>1.1798</v>
      </c>
      <c r="Q774" s="9">
        <v>19.053000000000001</v>
      </c>
      <c r="R774" s="9"/>
      <c r="S774" s="11"/>
    </row>
    <row r="775" spans="1:19" ht="15.6">
      <c r="A775" s="13">
        <v>65684</v>
      </c>
      <c r="B775" s="8">
        <f>12.5285 * CHOOSE(CONTROL!$C$12, $D$4, 100%, $F$4)</f>
        <v>12.528499999999999</v>
      </c>
      <c r="C775" s="8">
        <f>12.5388 * CHOOSE(CONTROL!$C$12, $D$4, 100%, $F$4)</f>
        <v>12.5388</v>
      </c>
      <c r="D775" s="8">
        <f>12.5339 * CHOOSE( CONTROL!$C$12, $D$4, 100%, $F$4)</f>
        <v>12.533899999999999</v>
      </c>
      <c r="E775" s="12">
        <f>12.5344 * CHOOSE( CONTROL!$C$12, $D$4, 100%, $F$4)</f>
        <v>12.5344</v>
      </c>
      <c r="F775" s="4">
        <f>13.5195 * CHOOSE(CONTROL!$C$12, $D$4, 100%, $F$4)</f>
        <v>13.519500000000001</v>
      </c>
      <c r="G775" s="8">
        <f>12.3441 * CHOOSE( CONTROL!$C$12, $D$4, 100%, $F$4)</f>
        <v>12.344099999999999</v>
      </c>
      <c r="H775" s="4">
        <f>13.2443 * CHOOSE(CONTROL!$C$12, $D$4, 100%, $F$4)</f>
        <v>13.244300000000001</v>
      </c>
      <c r="I775" s="8">
        <f>12.2222 * CHOOSE(CONTROL!$C$12, $D$4, 100%, $F$4)</f>
        <v>12.222200000000001</v>
      </c>
      <c r="J775" s="4">
        <f>12.1392 * CHOOSE(CONTROL!$C$12, $D$4, 100%, $F$4)</f>
        <v>12.139200000000001</v>
      </c>
      <c r="K775" s="4"/>
      <c r="L775" s="9">
        <v>28.921800000000001</v>
      </c>
      <c r="M775" s="9">
        <v>12.063700000000001</v>
      </c>
      <c r="N775" s="9">
        <v>4.9444999999999997</v>
      </c>
      <c r="O775" s="9">
        <v>0.37459999999999999</v>
      </c>
      <c r="P775" s="9">
        <v>1.2192000000000001</v>
      </c>
      <c r="Q775" s="9">
        <v>19.688099999999999</v>
      </c>
      <c r="R775" s="9"/>
      <c r="S775" s="11"/>
    </row>
    <row r="776" spans="1:19" ht="15.6">
      <c r="A776" s="13">
        <v>65714</v>
      </c>
      <c r="B776" s="8">
        <f>13.512 * CHOOSE(CONTROL!$C$12, $D$4, 100%, $F$4)</f>
        <v>13.512</v>
      </c>
      <c r="C776" s="8">
        <f>13.5224 * CHOOSE(CONTROL!$C$12, $D$4, 100%, $F$4)</f>
        <v>13.522399999999999</v>
      </c>
      <c r="D776" s="8">
        <f>13.4817 * CHOOSE( CONTROL!$C$12, $D$4, 100%, $F$4)</f>
        <v>13.4817</v>
      </c>
      <c r="E776" s="12">
        <f>13.4955 * CHOOSE( CONTROL!$C$12, $D$4, 100%, $F$4)</f>
        <v>13.4955</v>
      </c>
      <c r="F776" s="4">
        <f>14.4891 * CHOOSE(CONTROL!$C$12, $D$4, 100%, $F$4)</f>
        <v>14.489100000000001</v>
      </c>
      <c r="G776" s="8">
        <f>13.3075 * CHOOSE( CONTROL!$C$12, $D$4, 100%, $F$4)</f>
        <v>13.307499999999999</v>
      </c>
      <c r="H776" s="4">
        <f>14.2001 * CHOOSE(CONTROL!$C$12, $D$4, 100%, $F$4)</f>
        <v>14.200100000000001</v>
      </c>
      <c r="I776" s="8">
        <f>13.16 * CHOOSE(CONTROL!$C$12, $D$4, 100%, $F$4)</f>
        <v>13.16</v>
      </c>
      <c r="J776" s="4">
        <f>13.0922 * CHOOSE(CONTROL!$C$12, $D$4, 100%, $F$4)</f>
        <v>13.0922</v>
      </c>
      <c r="K776" s="4"/>
      <c r="L776" s="9">
        <v>26.515499999999999</v>
      </c>
      <c r="M776" s="9">
        <v>11.6745</v>
      </c>
      <c r="N776" s="9">
        <v>4.7850000000000001</v>
      </c>
      <c r="O776" s="9">
        <v>0.36249999999999999</v>
      </c>
      <c r="P776" s="9">
        <v>1.2522</v>
      </c>
      <c r="Q776" s="9">
        <v>19.053000000000001</v>
      </c>
      <c r="R776" s="9"/>
      <c r="S776" s="11"/>
    </row>
    <row r="777" spans="1:19" ht="15.6">
      <c r="A777" s="13">
        <v>65745</v>
      </c>
      <c r="B777" s="8">
        <f>13.4875 * CHOOSE(CONTROL!$C$12, $D$4, 100%, $F$4)</f>
        <v>13.487500000000001</v>
      </c>
      <c r="C777" s="8">
        <f>13.4978 * CHOOSE(CONTROL!$C$12, $D$4, 100%, $F$4)</f>
        <v>13.4978</v>
      </c>
      <c r="D777" s="8">
        <f>13.459 * CHOOSE( CONTROL!$C$12, $D$4, 100%, $F$4)</f>
        <v>13.459</v>
      </c>
      <c r="E777" s="12">
        <f>13.4721 * CHOOSE( CONTROL!$C$12, $D$4, 100%, $F$4)</f>
        <v>13.472099999999999</v>
      </c>
      <c r="F777" s="4">
        <f>14.4578 * CHOOSE(CONTROL!$C$12, $D$4, 100%, $F$4)</f>
        <v>14.457800000000001</v>
      </c>
      <c r="G777" s="8">
        <f>13.2857 * CHOOSE( CONTROL!$C$12, $D$4, 100%, $F$4)</f>
        <v>13.2857</v>
      </c>
      <c r="H777" s="4">
        <f>14.1692 * CHOOSE(CONTROL!$C$12, $D$4, 100%, $F$4)</f>
        <v>14.1692</v>
      </c>
      <c r="I777" s="8">
        <f>13.1469 * CHOOSE(CONTROL!$C$12, $D$4, 100%, $F$4)</f>
        <v>13.1469</v>
      </c>
      <c r="J777" s="4">
        <f>13.0684 * CHOOSE(CONTROL!$C$12, $D$4, 100%, $F$4)</f>
        <v>13.0684</v>
      </c>
      <c r="K777" s="4"/>
      <c r="L777" s="9">
        <v>27.3993</v>
      </c>
      <c r="M777" s="9">
        <v>12.063700000000001</v>
      </c>
      <c r="N777" s="9">
        <v>4.9444999999999997</v>
      </c>
      <c r="O777" s="9">
        <v>0.37459999999999999</v>
      </c>
      <c r="P777" s="9">
        <v>1.2939000000000001</v>
      </c>
      <c r="Q777" s="9">
        <v>19.688099999999999</v>
      </c>
      <c r="R777" s="9"/>
      <c r="S777" s="11"/>
    </row>
    <row r="778" spans="1:19" ht="15.6">
      <c r="A778" s="13">
        <v>65776</v>
      </c>
      <c r="B778" s="8">
        <f>13.8022 * CHOOSE(CONTROL!$C$12, $D$4, 100%, $F$4)</f>
        <v>13.802199999999999</v>
      </c>
      <c r="C778" s="8">
        <f>13.8125 * CHOOSE(CONTROL!$C$12, $D$4, 100%, $F$4)</f>
        <v>13.8125</v>
      </c>
      <c r="D778" s="8">
        <f>13.8123 * CHOOSE( CONTROL!$C$12, $D$4, 100%, $F$4)</f>
        <v>13.8123</v>
      </c>
      <c r="E778" s="12">
        <f>13.8113 * CHOOSE( CONTROL!$C$12, $D$4, 100%, $F$4)</f>
        <v>13.811299999999999</v>
      </c>
      <c r="F778" s="4">
        <f>14.8241 * CHOOSE(CONTROL!$C$12, $D$4, 100%, $F$4)</f>
        <v>14.8241</v>
      </c>
      <c r="G778" s="8">
        <f>13.6369 * CHOOSE( CONTROL!$C$12, $D$4, 100%, $F$4)</f>
        <v>13.636900000000001</v>
      </c>
      <c r="H778" s="4">
        <f>14.5304 * CHOOSE(CONTROL!$C$12, $D$4, 100%, $F$4)</f>
        <v>14.5304</v>
      </c>
      <c r="I778" s="8">
        <f>13.4887 * CHOOSE(CONTROL!$C$12, $D$4, 100%, $F$4)</f>
        <v>13.4887</v>
      </c>
      <c r="J778" s="4">
        <f>13.3734 * CHOOSE(CONTROL!$C$12, $D$4, 100%, $F$4)</f>
        <v>13.3734</v>
      </c>
      <c r="K778" s="4"/>
      <c r="L778" s="9">
        <v>27.3993</v>
      </c>
      <c r="M778" s="9">
        <v>12.063700000000001</v>
      </c>
      <c r="N778" s="9">
        <v>4.9444999999999997</v>
      </c>
      <c r="O778" s="9">
        <v>0.37459999999999999</v>
      </c>
      <c r="P778" s="9">
        <v>1.2939000000000001</v>
      </c>
      <c r="Q778" s="9">
        <v>19.688099999999999</v>
      </c>
      <c r="R778" s="9"/>
      <c r="S778" s="11"/>
    </row>
    <row r="779" spans="1:19" ht="15.6">
      <c r="A779" s="13">
        <v>65805</v>
      </c>
      <c r="B779" s="8">
        <f>12.91 * CHOOSE(CONTROL!$C$12, $D$4, 100%, $F$4)</f>
        <v>12.91</v>
      </c>
      <c r="C779" s="8">
        <f>12.9203 * CHOOSE(CONTROL!$C$12, $D$4, 100%, $F$4)</f>
        <v>12.920299999999999</v>
      </c>
      <c r="D779" s="8">
        <f>12.9224 * CHOOSE( CONTROL!$C$12, $D$4, 100%, $F$4)</f>
        <v>12.9224</v>
      </c>
      <c r="E779" s="12">
        <f>12.9205 * CHOOSE( CONTROL!$C$12, $D$4, 100%, $F$4)</f>
        <v>12.920500000000001</v>
      </c>
      <c r="F779" s="4">
        <f>13.9241 * CHOOSE(CONTROL!$C$12, $D$4, 100%, $F$4)</f>
        <v>13.924099999999999</v>
      </c>
      <c r="G779" s="8">
        <f>12.7572 * CHOOSE( CONTROL!$C$12, $D$4, 100%, $F$4)</f>
        <v>12.757199999999999</v>
      </c>
      <c r="H779" s="4">
        <f>13.6432 * CHOOSE(CONTROL!$C$12, $D$4, 100%, $F$4)</f>
        <v>13.6432</v>
      </c>
      <c r="I779" s="8">
        <f>12.6127 * CHOOSE(CONTROL!$C$12, $D$4, 100%, $F$4)</f>
        <v>12.6127</v>
      </c>
      <c r="J779" s="4">
        <f>12.5088 * CHOOSE(CONTROL!$C$12, $D$4, 100%, $F$4)</f>
        <v>12.508800000000001</v>
      </c>
      <c r="K779" s="4"/>
      <c r="L779" s="9">
        <v>25.631599999999999</v>
      </c>
      <c r="M779" s="9">
        <v>11.285299999999999</v>
      </c>
      <c r="N779" s="9">
        <v>4.6254999999999997</v>
      </c>
      <c r="O779" s="9">
        <v>0.35039999999999999</v>
      </c>
      <c r="P779" s="9">
        <v>1.2104999999999999</v>
      </c>
      <c r="Q779" s="9">
        <v>18.417899999999999</v>
      </c>
      <c r="R779" s="9"/>
      <c r="S779" s="11"/>
    </row>
    <row r="780" spans="1:19" ht="15.6">
      <c r="A780" s="13">
        <v>65836</v>
      </c>
      <c r="B780" s="8">
        <f>12.6352 * CHOOSE(CONTROL!$C$12, $D$4, 100%, $F$4)</f>
        <v>12.635199999999999</v>
      </c>
      <c r="C780" s="8">
        <f>12.6455 * CHOOSE(CONTROL!$C$12, $D$4, 100%, $F$4)</f>
        <v>12.6455</v>
      </c>
      <c r="D780" s="8">
        <f>12.6277 * CHOOSE( CONTROL!$C$12, $D$4, 100%, $F$4)</f>
        <v>12.627700000000001</v>
      </c>
      <c r="E780" s="12">
        <f>12.6331 * CHOOSE( CONTROL!$C$12, $D$4, 100%, $F$4)</f>
        <v>12.633100000000001</v>
      </c>
      <c r="F780" s="4">
        <f>13.6334 * CHOOSE(CONTROL!$C$12, $D$4, 100%, $F$4)</f>
        <v>13.6334</v>
      </c>
      <c r="G780" s="8">
        <f>12.4658 * CHOOSE( CONTROL!$C$12, $D$4, 100%, $F$4)</f>
        <v>12.4658</v>
      </c>
      <c r="H780" s="4">
        <f>13.3565 * CHOOSE(CONTROL!$C$12, $D$4, 100%, $F$4)</f>
        <v>13.3565</v>
      </c>
      <c r="I780" s="8">
        <f>12.3068 * CHOOSE(CONTROL!$C$12, $D$4, 100%, $F$4)</f>
        <v>12.306800000000001</v>
      </c>
      <c r="J780" s="4">
        <f>12.2425 * CHOOSE(CONTROL!$C$12, $D$4, 100%, $F$4)</f>
        <v>12.2425</v>
      </c>
      <c r="K780" s="4"/>
      <c r="L780" s="9">
        <v>27.3993</v>
      </c>
      <c r="M780" s="9">
        <v>12.063700000000001</v>
      </c>
      <c r="N780" s="9">
        <v>4.9444999999999997</v>
      </c>
      <c r="O780" s="9">
        <v>0.37459999999999999</v>
      </c>
      <c r="P780" s="9">
        <v>1.2939000000000001</v>
      </c>
      <c r="Q780" s="9">
        <v>19.688099999999999</v>
      </c>
      <c r="R780" s="9"/>
      <c r="S780" s="11"/>
    </row>
    <row r="781" spans="1:19" ht="15.6">
      <c r="A781" s="13">
        <v>65866</v>
      </c>
      <c r="B781" s="8">
        <f>12.8272 * CHOOSE(CONTROL!$C$12, $D$4, 100%, $F$4)</f>
        <v>12.827199999999999</v>
      </c>
      <c r="C781" s="8">
        <f>12.8375 * CHOOSE(CONTROL!$C$12, $D$4, 100%, $F$4)</f>
        <v>12.8375</v>
      </c>
      <c r="D781" s="8">
        <f>12.8425 * CHOOSE( CONTROL!$C$12, $D$4, 100%, $F$4)</f>
        <v>12.842499999999999</v>
      </c>
      <c r="E781" s="12">
        <f>12.8397 * CHOOSE( CONTROL!$C$12, $D$4, 100%, $F$4)</f>
        <v>12.839700000000001</v>
      </c>
      <c r="F781" s="4">
        <f>13.8336 * CHOOSE(CONTROL!$C$12, $D$4, 100%, $F$4)</f>
        <v>13.833600000000001</v>
      </c>
      <c r="G781" s="8">
        <f>12.643 * CHOOSE( CONTROL!$C$12, $D$4, 100%, $F$4)</f>
        <v>12.643000000000001</v>
      </c>
      <c r="H781" s="4">
        <f>13.554 * CHOOSE(CONTROL!$C$12, $D$4, 100%, $F$4)</f>
        <v>13.554</v>
      </c>
      <c r="I781" s="8">
        <f>12.4831 * CHOOSE(CONTROL!$C$12, $D$4, 100%, $F$4)</f>
        <v>12.4831</v>
      </c>
      <c r="J781" s="4">
        <f>12.4286 * CHOOSE(CONTROL!$C$12, $D$4, 100%, $F$4)</f>
        <v>12.428599999999999</v>
      </c>
      <c r="K781" s="4"/>
      <c r="L781" s="9">
        <v>27.988800000000001</v>
      </c>
      <c r="M781" s="9">
        <v>11.6745</v>
      </c>
      <c r="N781" s="9">
        <v>4.7850000000000001</v>
      </c>
      <c r="O781" s="9">
        <v>0.36249999999999999</v>
      </c>
      <c r="P781" s="9">
        <v>1.1798</v>
      </c>
      <c r="Q781" s="9">
        <v>19.053000000000001</v>
      </c>
      <c r="R781" s="9"/>
      <c r="S781" s="11"/>
    </row>
    <row r="782" spans="1:19" ht="15.6">
      <c r="A782" s="13">
        <v>65897</v>
      </c>
      <c r="B782" s="8">
        <f>CHOOSE( CONTROL!$C$29, 13.1758, 13.169) * CHOOSE(CONTROL!$C$12, $D$4, 100%, $F$4)</f>
        <v>13.169</v>
      </c>
      <c r="C782" s="8">
        <f>CHOOSE( CONTROL!$C$29, 13.1861, 13.1793) * CHOOSE(CONTROL!$C$12, $D$4, 100%, $F$4)</f>
        <v>13.1793</v>
      </c>
      <c r="D782" s="8">
        <f>CHOOSE( CONTROL!$C$29, 13.1664, 13.1595) * CHOOSE( CONTROL!$C$12, $D$4, 100%, $F$4)</f>
        <v>13.1595</v>
      </c>
      <c r="E782" s="12">
        <f>CHOOSE( CONTROL!$C$29, 13.172, 13.1651) * CHOOSE( CONTROL!$C$12, $D$4, 100%, $F$4)</f>
        <v>13.165100000000001</v>
      </c>
      <c r="F782" s="4">
        <f>CHOOSE( CONTROL!$C$29, 14.1502, 14.1434) * CHOOSE(CONTROL!$C$12, $D$4, 100%, $F$4)</f>
        <v>14.1434</v>
      </c>
      <c r="G782" s="8">
        <f>CHOOSE( CONTROL!$C$29, 12.9684, 12.9617) * CHOOSE( CONTROL!$C$12, $D$4, 100%, $F$4)</f>
        <v>12.9617</v>
      </c>
      <c r="H782" s="4">
        <f>CHOOSE( CONTROL!$C$29, 13.8661, 13.8593) * CHOOSE(CONTROL!$C$12, $D$4, 100%, $F$4)</f>
        <v>13.859299999999999</v>
      </c>
      <c r="I782" s="8">
        <f>CHOOSE( CONTROL!$C$29, 12.7995, 12.7928) * CHOOSE(CONTROL!$C$12, $D$4, 100%, $F$4)</f>
        <v>12.7928</v>
      </c>
      <c r="J782" s="4">
        <f>CHOOSE( CONTROL!$C$29, 12.7664, 12.7598) * CHOOSE(CONTROL!$C$12, $D$4, 100%, $F$4)</f>
        <v>12.7598</v>
      </c>
      <c r="K782" s="4"/>
      <c r="L782" s="9">
        <v>29.520499999999998</v>
      </c>
      <c r="M782" s="9">
        <v>12.063700000000001</v>
      </c>
      <c r="N782" s="9">
        <v>4.9444999999999997</v>
      </c>
      <c r="O782" s="9">
        <v>0.37459999999999999</v>
      </c>
      <c r="P782" s="9">
        <v>1.2192000000000001</v>
      </c>
      <c r="Q782" s="9">
        <v>19.688099999999999</v>
      </c>
      <c r="R782" s="9"/>
      <c r="S782" s="11"/>
    </row>
    <row r="783" spans="1:19" ht="15.6">
      <c r="A783" s="13">
        <v>65927</v>
      </c>
      <c r="B783" s="8">
        <f>CHOOSE( CONTROL!$C$29, 12.9641, 12.9572) * CHOOSE(CONTROL!$C$12, $D$4, 100%, $F$4)</f>
        <v>12.9572</v>
      </c>
      <c r="C783" s="8">
        <f>CHOOSE( CONTROL!$C$29, 12.9744, 12.9676) * CHOOSE(CONTROL!$C$12, $D$4, 100%, $F$4)</f>
        <v>12.967599999999999</v>
      </c>
      <c r="D783" s="8">
        <f>CHOOSE( CONTROL!$C$29, 12.9491, 12.9423) * CHOOSE( CONTROL!$C$12, $D$4, 100%, $F$4)</f>
        <v>12.942299999999999</v>
      </c>
      <c r="E783" s="12">
        <f>CHOOSE( CONTROL!$C$29, 12.9567, 12.9499) * CHOOSE( CONTROL!$C$12, $D$4, 100%, $F$4)</f>
        <v>12.9499</v>
      </c>
      <c r="F783" s="4">
        <f>CHOOSE( CONTROL!$C$29, 13.9282, 13.9214) * CHOOSE(CONTROL!$C$12, $D$4, 100%, $F$4)</f>
        <v>13.9214</v>
      </c>
      <c r="G783" s="8">
        <f>CHOOSE( CONTROL!$C$29, 12.7585, 12.7517) * CHOOSE( CONTROL!$C$12, $D$4, 100%, $F$4)</f>
        <v>12.7517</v>
      </c>
      <c r="H783" s="4">
        <f>CHOOSE( CONTROL!$C$29, 13.6472, 13.6405) * CHOOSE(CONTROL!$C$12, $D$4, 100%, $F$4)</f>
        <v>13.640499999999999</v>
      </c>
      <c r="I783" s="8">
        <f>CHOOSE( CONTROL!$C$29, 12.5964, 12.5898) * CHOOSE(CONTROL!$C$12, $D$4, 100%, $F$4)</f>
        <v>12.5898</v>
      </c>
      <c r="J783" s="4">
        <f>CHOOSE( CONTROL!$C$29, 12.5612, 12.5546) * CHOOSE(CONTROL!$C$12, $D$4, 100%, $F$4)</f>
        <v>12.554600000000001</v>
      </c>
      <c r="K783" s="4"/>
      <c r="L783" s="9">
        <v>28.568200000000001</v>
      </c>
      <c r="M783" s="9">
        <v>11.6745</v>
      </c>
      <c r="N783" s="9">
        <v>4.7850000000000001</v>
      </c>
      <c r="O783" s="9">
        <v>0.36249999999999999</v>
      </c>
      <c r="P783" s="9">
        <v>1.1798</v>
      </c>
      <c r="Q783" s="9">
        <v>19.053000000000001</v>
      </c>
      <c r="R783" s="9"/>
      <c r="S783" s="11"/>
    </row>
    <row r="784" spans="1:19" ht="15.6">
      <c r="A784" s="13">
        <v>65958</v>
      </c>
      <c r="B784" s="8">
        <f>CHOOSE( CONTROL!$C$29, 13.5216, 13.5148) * CHOOSE(CONTROL!$C$12, $D$4, 100%, $F$4)</f>
        <v>13.514799999999999</v>
      </c>
      <c r="C784" s="8">
        <f>CHOOSE( CONTROL!$C$29, 13.5319, 13.5251) * CHOOSE(CONTROL!$C$12, $D$4, 100%, $F$4)</f>
        <v>13.5251</v>
      </c>
      <c r="D784" s="8">
        <f>CHOOSE( CONTROL!$C$29, 13.5401, 13.5332) * CHOOSE( CONTROL!$C$12, $D$4, 100%, $F$4)</f>
        <v>13.533200000000001</v>
      </c>
      <c r="E784" s="12">
        <f>CHOOSE( CONTROL!$C$29, 13.5356, 13.5287) * CHOOSE( CONTROL!$C$12, $D$4, 100%, $F$4)</f>
        <v>13.528700000000001</v>
      </c>
      <c r="F784" s="4">
        <f>CHOOSE( CONTROL!$C$29, 14.5306, 14.5238) * CHOOSE(CONTROL!$C$12, $D$4, 100%, $F$4)</f>
        <v>14.5238</v>
      </c>
      <c r="G784" s="8">
        <f>CHOOSE( CONTROL!$C$29, 13.3341, 13.3273) * CHOOSE( CONTROL!$C$12, $D$4, 100%, $F$4)</f>
        <v>13.327299999999999</v>
      </c>
      <c r="H784" s="4">
        <f>CHOOSE( CONTROL!$C$29, 14.241, 14.2343) * CHOOSE(CONTROL!$C$12, $D$4, 100%, $F$4)</f>
        <v>14.234299999999999</v>
      </c>
      <c r="I784" s="8">
        <f>CHOOSE( CONTROL!$C$29, 13.1922, 13.1855) * CHOOSE(CONTROL!$C$12, $D$4, 100%, $F$4)</f>
        <v>13.185499999999999</v>
      </c>
      <c r="J784" s="4">
        <f>CHOOSE( CONTROL!$C$29, 13.1015, 13.0948) * CHOOSE(CONTROL!$C$12, $D$4, 100%, $F$4)</f>
        <v>13.094799999999999</v>
      </c>
      <c r="K784" s="4"/>
      <c r="L784" s="9">
        <v>29.520499999999998</v>
      </c>
      <c r="M784" s="9">
        <v>12.063700000000001</v>
      </c>
      <c r="N784" s="9">
        <v>4.9444999999999997</v>
      </c>
      <c r="O784" s="9">
        <v>0.37459999999999999</v>
      </c>
      <c r="P784" s="9">
        <v>1.2192000000000001</v>
      </c>
      <c r="Q784" s="9">
        <v>19.688099999999999</v>
      </c>
      <c r="R784" s="9"/>
      <c r="S784" s="11"/>
    </row>
    <row r="785" spans="1:19" ht="15.6">
      <c r="A785" s="13">
        <v>65989</v>
      </c>
      <c r="B785" s="8">
        <f>CHOOSE( CONTROL!$C$29, 12.4784, 12.4716) * CHOOSE(CONTROL!$C$12, $D$4, 100%, $F$4)</f>
        <v>12.4716</v>
      </c>
      <c r="C785" s="8">
        <f>CHOOSE( CONTROL!$C$29, 12.4888, 12.4819) * CHOOSE(CONTROL!$C$12, $D$4, 100%, $F$4)</f>
        <v>12.4819</v>
      </c>
      <c r="D785" s="8">
        <f>CHOOSE( CONTROL!$C$29, 12.4902, 12.4834) * CHOOSE( CONTROL!$C$12, $D$4, 100%, $F$4)</f>
        <v>12.4834</v>
      </c>
      <c r="E785" s="12">
        <f>CHOOSE( CONTROL!$C$29, 12.4881, 12.4813) * CHOOSE( CONTROL!$C$12, $D$4, 100%, $F$4)</f>
        <v>12.481299999999999</v>
      </c>
      <c r="F785" s="4">
        <f>CHOOSE( CONTROL!$C$29, 13.4849, 13.478) * CHOOSE(CONTROL!$C$12, $D$4, 100%, $F$4)</f>
        <v>13.478</v>
      </c>
      <c r="G785" s="8">
        <f>CHOOSE( CONTROL!$C$29, 12.2959, 12.2891) * CHOOSE( CONTROL!$C$12, $D$4, 100%, $F$4)</f>
        <v>12.289099999999999</v>
      </c>
      <c r="H785" s="4">
        <f>CHOOSE( CONTROL!$C$29, 13.2102, 13.2034) * CHOOSE(CONTROL!$C$12, $D$4, 100%, $F$4)</f>
        <v>13.2034</v>
      </c>
      <c r="I785" s="8">
        <f>CHOOSE( CONTROL!$C$29, 12.162, 12.1553) * CHOOSE(CONTROL!$C$12, $D$4, 100%, $F$4)</f>
        <v>12.1553</v>
      </c>
      <c r="J785" s="4">
        <f>CHOOSE( CONTROL!$C$29, 12.0907, 12.084) * CHOOSE(CONTROL!$C$12, $D$4, 100%, $F$4)</f>
        <v>12.084</v>
      </c>
      <c r="K785" s="4"/>
      <c r="L785" s="9">
        <v>29.520499999999998</v>
      </c>
      <c r="M785" s="9">
        <v>12.063700000000001</v>
      </c>
      <c r="N785" s="9">
        <v>4.9444999999999997</v>
      </c>
      <c r="O785" s="9">
        <v>0.37459999999999999</v>
      </c>
      <c r="P785" s="9">
        <v>1.2192000000000001</v>
      </c>
      <c r="Q785" s="9">
        <v>19.688099999999999</v>
      </c>
      <c r="R785" s="9"/>
      <c r="S785" s="11"/>
    </row>
    <row r="786" spans="1:19" ht="15.6">
      <c r="A786" s="13">
        <v>66019</v>
      </c>
      <c r="B786" s="8">
        <f>CHOOSE( CONTROL!$C$29, 12.2172, 12.2104) * CHOOSE(CONTROL!$C$12, $D$4, 100%, $F$4)</f>
        <v>12.2104</v>
      </c>
      <c r="C786" s="8">
        <f>CHOOSE( CONTROL!$C$29, 12.2275, 12.2207) * CHOOSE(CONTROL!$C$12, $D$4, 100%, $F$4)</f>
        <v>12.220700000000001</v>
      </c>
      <c r="D786" s="8">
        <f>CHOOSE( CONTROL!$C$29, 12.2322, 12.2254) * CHOOSE( CONTROL!$C$12, $D$4, 100%, $F$4)</f>
        <v>12.2254</v>
      </c>
      <c r="E786" s="12">
        <f>CHOOSE( CONTROL!$C$29, 12.2289, 12.2221) * CHOOSE( CONTROL!$C$12, $D$4, 100%, $F$4)</f>
        <v>12.222099999999999</v>
      </c>
      <c r="F786" s="4">
        <f>CHOOSE( CONTROL!$C$29, 13.2288, 13.222) * CHOOSE(CONTROL!$C$12, $D$4, 100%, $F$4)</f>
        <v>13.222</v>
      </c>
      <c r="G786" s="8">
        <f>CHOOSE( CONTROL!$C$29, 12.0404, 12.0337) * CHOOSE( CONTROL!$C$12, $D$4, 100%, $F$4)</f>
        <v>12.0337</v>
      </c>
      <c r="H786" s="4">
        <f>CHOOSE( CONTROL!$C$29, 12.9578, 12.951) * CHOOSE(CONTROL!$C$12, $D$4, 100%, $F$4)</f>
        <v>12.951000000000001</v>
      </c>
      <c r="I786" s="8">
        <f>CHOOSE( CONTROL!$C$29, 11.9165, 11.9099) * CHOOSE(CONTROL!$C$12, $D$4, 100%, $F$4)</f>
        <v>11.9099</v>
      </c>
      <c r="J786" s="4">
        <f>CHOOSE( CONTROL!$C$29, 11.8375, 11.8309) * CHOOSE(CONTROL!$C$12, $D$4, 100%, $F$4)</f>
        <v>11.8309</v>
      </c>
      <c r="K786" s="4"/>
      <c r="L786" s="9">
        <v>28.568200000000001</v>
      </c>
      <c r="M786" s="9">
        <v>11.6745</v>
      </c>
      <c r="N786" s="9">
        <v>4.7850000000000001</v>
      </c>
      <c r="O786" s="9">
        <v>0.36249999999999999</v>
      </c>
      <c r="P786" s="9">
        <v>1.1798</v>
      </c>
      <c r="Q786" s="9">
        <v>19.053000000000001</v>
      </c>
      <c r="R786" s="9"/>
      <c r="S786" s="11"/>
    </row>
    <row r="787" spans="1:19" ht="15.6">
      <c r="A787" s="13">
        <v>66050</v>
      </c>
      <c r="B787" s="8">
        <f>12.7528 * CHOOSE(CONTROL!$C$12, $D$4, 100%, $F$4)</f>
        <v>12.752800000000001</v>
      </c>
      <c r="C787" s="8">
        <f>12.7631 * CHOOSE(CONTROL!$C$12, $D$4, 100%, $F$4)</f>
        <v>12.7631</v>
      </c>
      <c r="D787" s="8">
        <f>12.7581 * CHOOSE( CONTROL!$C$12, $D$4, 100%, $F$4)</f>
        <v>12.758100000000001</v>
      </c>
      <c r="E787" s="12">
        <f>12.7587 * CHOOSE( CONTROL!$C$12, $D$4, 100%, $F$4)</f>
        <v>12.758699999999999</v>
      </c>
      <c r="F787" s="4">
        <f>13.7437 * CHOOSE(CONTROL!$C$12, $D$4, 100%, $F$4)</f>
        <v>13.7437</v>
      </c>
      <c r="G787" s="8">
        <f>12.5651 * CHOOSE( CONTROL!$C$12, $D$4, 100%, $F$4)</f>
        <v>12.565099999999999</v>
      </c>
      <c r="H787" s="4">
        <f>13.4653 * CHOOSE(CONTROL!$C$12, $D$4, 100%, $F$4)</f>
        <v>13.465299999999999</v>
      </c>
      <c r="I787" s="8">
        <f>12.4396 * CHOOSE(CONTROL!$C$12, $D$4, 100%, $F$4)</f>
        <v>12.4396</v>
      </c>
      <c r="J787" s="4">
        <f>12.3565 * CHOOSE(CONTROL!$C$12, $D$4, 100%, $F$4)</f>
        <v>12.3565</v>
      </c>
      <c r="K787" s="4"/>
      <c r="L787" s="9">
        <v>28.921800000000001</v>
      </c>
      <c r="M787" s="9">
        <v>12.063700000000001</v>
      </c>
      <c r="N787" s="9">
        <v>4.9444999999999997</v>
      </c>
      <c r="O787" s="9">
        <v>0.37459999999999999</v>
      </c>
      <c r="P787" s="9">
        <v>1.2192000000000001</v>
      </c>
      <c r="Q787" s="9">
        <v>19.688099999999999</v>
      </c>
      <c r="R787" s="9"/>
      <c r="S787" s="11"/>
    </row>
    <row r="788" spans="1:19" ht="15.6">
      <c r="A788" s="13">
        <v>66080</v>
      </c>
      <c r="B788" s="8">
        <f>13.7539 * CHOOSE(CONTROL!$C$12, $D$4, 100%, $F$4)</f>
        <v>13.7539</v>
      </c>
      <c r="C788" s="8">
        <f>13.7642 * CHOOSE(CONTROL!$C$12, $D$4, 100%, $F$4)</f>
        <v>13.764200000000001</v>
      </c>
      <c r="D788" s="8">
        <f>13.7235 * CHOOSE( CONTROL!$C$12, $D$4, 100%, $F$4)</f>
        <v>13.7235</v>
      </c>
      <c r="E788" s="12">
        <f>13.7373 * CHOOSE( CONTROL!$C$12, $D$4, 100%, $F$4)</f>
        <v>13.737299999999999</v>
      </c>
      <c r="F788" s="4">
        <f>14.7309 * CHOOSE(CONTROL!$C$12, $D$4, 100%, $F$4)</f>
        <v>14.7309</v>
      </c>
      <c r="G788" s="8">
        <f>13.5459 * CHOOSE( CONTROL!$C$12, $D$4, 100%, $F$4)</f>
        <v>13.5459</v>
      </c>
      <c r="H788" s="4">
        <f>14.4385 * CHOOSE(CONTROL!$C$12, $D$4, 100%, $F$4)</f>
        <v>14.438499999999999</v>
      </c>
      <c r="I788" s="8">
        <f>13.3944 * CHOOSE(CONTROL!$C$12, $D$4, 100%, $F$4)</f>
        <v>13.394399999999999</v>
      </c>
      <c r="J788" s="4">
        <f>13.3266 * CHOOSE(CONTROL!$C$12, $D$4, 100%, $F$4)</f>
        <v>13.326599999999999</v>
      </c>
      <c r="K788" s="4"/>
      <c r="L788" s="9">
        <v>26.515499999999999</v>
      </c>
      <c r="M788" s="9">
        <v>11.6745</v>
      </c>
      <c r="N788" s="9">
        <v>4.7850000000000001</v>
      </c>
      <c r="O788" s="9">
        <v>0.36249999999999999</v>
      </c>
      <c r="P788" s="9">
        <v>1.2522</v>
      </c>
      <c r="Q788" s="9">
        <v>19.053000000000001</v>
      </c>
      <c r="R788" s="9"/>
      <c r="S788" s="11"/>
    </row>
    <row r="789" spans="1:19" ht="15.6">
      <c r="A789" s="13">
        <v>66111</v>
      </c>
      <c r="B789" s="8">
        <f>13.7289 * CHOOSE(CONTROL!$C$12, $D$4, 100%, $F$4)</f>
        <v>13.728899999999999</v>
      </c>
      <c r="C789" s="8">
        <f>13.7392 * CHOOSE(CONTROL!$C$12, $D$4, 100%, $F$4)</f>
        <v>13.7392</v>
      </c>
      <c r="D789" s="8">
        <f>13.7004 * CHOOSE( CONTROL!$C$12, $D$4, 100%, $F$4)</f>
        <v>13.7004</v>
      </c>
      <c r="E789" s="12">
        <f>13.7135 * CHOOSE( CONTROL!$C$12, $D$4, 100%, $F$4)</f>
        <v>13.7135</v>
      </c>
      <c r="F789" s="4">
        <f>14.6992 * CHOOSE(CONTROL!$C$12, $D$4, 100%, $F$4)</f>
        <v>14.699199999999999</v>
      </c>
      <c r="G789" s="8">
        <f>13.5236 * CHOOSE( CONTROL!$C$12, $D$4, 100%, $F$4)</f>
        <v>13.5236</v>
      </c>
      <c r="H789" s="4">
        <f>14.4072 * CHOOSE(CONTROL!$C$12, $D$4, 100%, $F$4)</f>
        <v>14.4072</v>
      </c>
      <c r="I789" s="8">
        <f>13.381 * CHOOSE(CONTROL!$C$12, $D$4, 100%, $F$4)</f>
        <v>13.381</v>
      </c>
      <c r="J789" s="4">
        <f>13.3023 * CHOOSE(CONTROL!$C$12, $D$4, 100%, $F$4)</f>
        <v>13.302300000000001</v>
      </c>
      <c r="K789" s="4"/>
      <c r="L789" s="9">
        <v>27.3993</v>
      </c>
      <c r="M789" s="9">
        <v>12.063700000000001</v>
      </c>
      <c r="N789" s="9">
        <v>4.9444999999999997</v>
      </c>
      <c r="O789" s="9">
        <v>0.37459999999999999</v>
      </c>
      <c r="P789" s="9">
        <v>1.2939000000000001</v>
      </c>
      <c r="Q789" s="9">
        <v>19.688099999999999</v>
      </c>
      <c r="R789" s="9"/>
      <c r="S789" s="11"/>
    </row>
    <row r="790" spans="1:19" ht="15.6">
      <c r="A790" s="13">
        <v>66142</v>
      </c>
      <c r="B790" s="8">
        <f>14.0492 * CHOOSE(CONTROL!$C$12, $D$4, 100%, $F$4)</f>
        <v>14.049200000000001</v>
      </c>
      <c r="C790" s="8">
        <f>14.0596 * CHOOSE(CONTROL!$C$12, $D$4, 100%, $F$4)</f>
        <v>14.0596</v>
      </c>
      <c r="D790" s="8">
        <f>14.0594 * CHOOSE( CONTROL!$C$12, $D$4, 100%, $F$4)</f>
        <v>14.0594</v>
      </c>
      <c r="E790" s="12">
        <f>14.0584 * CHOOSE( CONTROL!$C$12, $D$4, 100%, $F$4)</f>
        <v>14.058400000000001</v>
      </c>
      <c r="F790" s="4">
        <f>15.0712 * CHOOSE(CONTROL!$C$12, $D$4, 100%, $F$4)</f>
        <v>15.071199999999999</v>
      </c>
      <c r="G790" s="8">
        <f>13.8804 * CHOOSE( CONTROL!$C$12, $D$4, 100%, $F$4)</f>
        <v>13.8804</v>
      </c>
      <c r="H790" s="4">
        <f>14.7739 * CHOOSE(CONTROL!$C$12, $D$4, 100%, $F$4)</f>
        <v>14.773899999999999</v>
      </c>
      <c r="I790" s="8">
        <f>13.7282 * CHOOSE(CONTROL!$C$12, $D$4, 100%, $F$4)</f>
        <v>13.728199999999999</v>
      </c>
      <c r="J790" s="4">
        <f>13.6128 * CHOOSE(CONTROL!$C$12, $D$4, 100%, $F$4)</f>
        <v>13.6128</v>
      </c>
      <c r="K790" s="4"/>
      <c r="L790" s="9">
        <v>27.3993</v>
      </c>
      <c r="M790" s="9">
        <v>12.063700000000001</v>
      </c>
      <c r="N790" s="9">
        <v>4.9444999999999997</v>
      </c>
      <c r="O790" s="9">
        <v>0.37459999999999999</v>
      </c>
      <c r="P790" s="9">
        <v>1.2939000000000001</v>
      </c>
      <c r="Q790" s="9">
        <v>19.688099999999999</v>
      </c>
      <c r="R790" s="9"/>
      <c r="S790" s="11"/>
    </row>
    <row r="791" spans="1:19" ht="15.6">
      <c r="A791" s="13">
        <v>66170</v>
      </c>
      <c r="B791" s="8">
        <f>13.141 * CHOOSE(CONTROL!$C$12, $D$4, 100%, $F$4)</f>
        <v>13.141</v>
      </c>
      <c r="C791" s="8">
        <f>13.1514 * CHOOSE(CONTROL!$C$12, $D$4, 100%, $F$4)</f>
        <v>13.151400000000001</v>
      </c>
      <c r="D791" s="8">
        <f>13.1534 * CHOOSE( CONTROL!$C$12, $D$4, 100%, $F$4)</f>
        <v>13.1534</v>
      </c>
      <c r="E791" s="12">
        <f>13.1516 * CHOOSE( CONTROL!$C$12, $D$4, 100%, $F$4)</f>
        <v>13.1516</v>
      </c>
      <c r="F791" s="4">
        <f>14.1552 * CHOOSE(CONTROL!$C$12, $D$4, 100%, $F$4)</f>
        <v>14.155200000000001</v>
      </c>
      <c r="G791" s="8">
        <f>12.985 * CHOOSE( CONTROL!$C$12, $D$4, 100%, $F$4)</f>
        <v>12.984999999999999</v>
      </c>
      <c r="H791" s="4">
        <f>13.871 * CHOOSE(CONTROL!$C$12, $D$4, 100%, $F$4)</f>
        <v>13.871</v>
      </c>
      <c r="I791" s="8">
        <f>12.8367 * CHOOSE(CONTROL!$C$12, $D$4, 100%, $F$4)</f>
        <v>12.8367</v>
      </c>
      <c r="J791" s="4">
        <f>12.7327 * CHOOSE(CONTROL!$C$12, $D$4, 100%, $F$4)</f>
        <v>12.732699999999999</v>
      </c>
      <c r="K791" s="4"/>
      <c r="L791" s="9">
        <v>24.747800000000002</v>
      </c>
      <c r="M791" s="9">
        <v>10.8962</v>
      </c>
      <c r="N791" s="9">
        <v>4.4660000000000002</v>
      </c>
      <c r="O791" s="9">
        <v>0.33829999999999999</v>
      </c>
      <c r="P791" s="9">
        <v>1.1687000000000001</v>
      </c>
      <c r="Q791" s="9">
        <v>17.782800000000002</v>
      </c>
      <c r="R791" s="9"/>
      <c r="S791" s="11"/>
    </row>
    <row r="792" spans="1:19" ht="15.6">
      <c r="A792" s="13">
        <v>66201</v>
      </c>
      <c r="B792" s="8">
        <f>12.8613 * CHOOSE(CONTROL!$C$12, $D$4, 100%, $F$4)</f>
        <v>12.8613</v>
      </c>
      <c r="C792" s="8">
        <f>12.8716 * CHOOSE(CONTROL!$C$12, $D$4, 100%, $F$4)</f>
        <v>12.871600000000001</v>
      </c>
      <c r="D792" s="8">
        <f>12.8538 * CHOOSE( CONTROL!$C$12, $D$4, 100%, $F$4)</f>
        <v>12.8538</v>
      </c>
      <c r="E792" s="12">
        <f>12.8592 * CHOOSE( CONTROL!$C$12, $D$4, 100%, $F$4)</f>
        <v>12.8592</v>
      </c>
      <c r="F792" s="4">
        <f>13.8595 * CHOOSE(CONTROL!$C$12, $D$4, 100%, $F$4)</f>
        <v>13.859500000000001</v>
      </c>
      <c r="G792" s="8">
        <f>12.6888 * CHOOSE( CONTROL!$C$12, $D$4, 100%, $F$4)</f>
        <v>12.688800000000001</v>
      </c>
      <c r="H792" s="4">
        <f>13.5795 * CHOOSE(CONTROL!$C$12, $D$4, 100%, $F$4)</f>
        <v>13.579499999999999</v>
      </c>
      <c r="I792" s="8">
        <f>12.526 * CHOOSE(CONTROL!$C$12, $D$4, 100%, $F$4)</f>
        <v>12.526</v>
      </c>
      <c r="J792" s="4">
        <f>12.4617 * CHOOSE(CONTROL!$C$12, $D$4, 100%, $F$4)</f>
        <v>12.4617</v>
      </c>
      <c r="K792" s="4"/>
      <c r="L792" s="9">
        <v>27.3993</v>
      </c>
      <c r="M792" s="9">
        <v>12.063700000000001</v>
      </c>
      <c r="N792" s="9">
        <v>4.9444999999999997</v>
      </c>
      <c r="O792" s="9">
        <v>0.37459999999999999</v>
      </c>
      <c r="P792" s="9">
        <v>1.2939000000000001</v>
      </c>
      <c r="Q792" s="9">
        <v>19.688099999999999</v>
      </c>
      <c r="R792" s="9"/>
      <c r="S792" s="11"/>
    </row>
    <row r="793" spans="1:19" ht="15.6">
      <c r="A793" s="13">
        <v>66231</v>
      </c>
      <c r="B793" s="8">
        <f>13.0568 * CHOOSE(CONTROL!$C$12, $D$4, 100%, $F$4)</f>
        <v>13.056800000000001</v>
      </c>
      <c r="C793" s="8">
        <f>13.0671 * CHOOSE(CONTROL!$C$12, $D$4, 100%, $F$4)</f>
        <v>13.0671</v>
      </c>
      <c r="D793" s="8">
        <f>13.0721 * CHOOSE( CONTROL!$C$12, $D$4, 100%, $F$4)</f>
        <v>13.072100000000001</v>
      </c>
      <c r="E793" s="12">
        <f>13.0693 * CHOOSE( CONTROL!$C$12, $D$4, 100%, $F$4)</f>
        <v>13.0693</v>
      </c>
      <c r="F793" s="4">
        <f>14.0632 * CHOOSE(CONTROL!$C$12, $D$4, 100%, $F$4)</f>
        <v>14.0632</v>
      </c>
      <c r="G793" s="8">
        <f>12.8693 * CHOOSE( CONTROL!$C$12, $D$4, 100%, $F$4)</f>
        <v>12.869300000000001</v>
      </c>
      <c r="H793" s="4">
        <f>13.7803 * CHOOSE(CONTROL!$C$12, $D$4, 100%, $F$4)</f>
        <v>13.7803</v>
      </c>
      <c r="I793" s="8">
        <f>12.7056 * CHOOSE(CONTROL!$C$12, $D$4, 100%, $F$4)</f>
        <v>12.7056</v>
      </c>
      <c r="J793" s="4">
        <f>12.6511 * CHOOSE(CONTROL!$C$12, $D$4, 100%, $F$4)</f>
        <v>12.6511</v>
      </c>
      <c r="K793" s="4"/>
      <c r="L793" s="9">
        <v>27.988800000000001</v>
      </c>
      <c r="M793" s="9">
        <v>11.6745</v>
      </c>
      <c r="N793" s="9">
        <v>4.7850000000000001</v>
      </c>
      <c r="O793" s="9">
        <v>0.36249999999999999</v>
      </c>
      <c r="P793" s="9">
        <v>1.1798</v>
      </c>
      <c r="Q793" s="9">
        <v>19.053000000000001</v>
      </c>
      <c r="R793" s="9"/>
      <c r="S793" s="11"/>
    </row>
    <row r="794" spans="1:19" ht="15.6">
      <c r="A794" s="13">
        <v>66262</v>
      </c>
      <c r="B794" s="8">
        <f>CHOOSE( CONTROL!$C$29, 13.4115, 13.4047) * CHOOSE(CONTROL!$C$12, $D$4, 100%, $F$4)</f>
        <v>13.4047</v>
      </c>
      <c r="C794" s="8">
        <f>CHOOSE( CONTROL!$C$29, 13.4218, 13.415) * CHOOSE(CONTROL!$C$12, $D$4, 100%, $F$4)</f>
        <v>13.414999999999999</v>
      </c>
      <c r="D794" s="8">
        <f>CHOOSE( CONTROL!$C$29, 13.4021, 13.3952) * CHOOSE( CONTROL!$C$12, $D$4, 100%, $F$4)</f>
        <v>13.395200000000001</v>
      </c>
      <c r="E794" s="12">
        <f>CHOOSE( CONTROL!$C$29, 13.4077, 13.4008) * CHOOSE( CONTROL!$C$12, $D$4, 100%, $F$4)</f>
        <v>13.4008</v>
      </c>
      <c r="F794" s="4">
        <f>CHOOSE( CONTROL!$C$29, 14.3859, 14.3791) * CHOOSE(CONTROL!$C$12, $D$4, 100%, $F$4)</f>
        <v>14.379099999999999</v>
      </c>
      <c r="G794" s="8">
        <f>CHOOSE( CONTROL!$C$29, 13.2008, 13.194) * CHOOSE( CONTROL!$C$12, $D$4, 100%, $F$4)</f>
        <v>13.194000000000001</v>
      </c>
      <c r="H794" s="4">
        <f>CHOOSE( CONTROL!$C$29, 14.0984, 14.0917) * CHOOSE(CONTROL!$C$12, $D$4, 100%, $F$4)</f>
        <v>14.091699999999999</v>
      </c>
      <c r="I794" s="8">
        <f>CHOOSE( CONTROL!$C$29, 13.028, 13.0214) * CHOOSE(CONTROL!$C$12, $D$4, 100%, $F$4)</f>
        <v>13.0214</v>
      </c>
      <c r="J794" s="4">
        <f>CHOOSE( CONTROL!$C$29, 12.9948, 12.9882) * CHOOSE(CONTROL!$C$12, $D$4, 100%, $F$4)</f>
        <v>12.988200000000001</v>
      </c>
      <c r="K794" s="4"/>
      <c r="L794" s="9">
        <v>29.520499999999998</v>
      </c>
      <c r="M794" s="9">
        <v>12.063700000000001</v>
      </c>
      <c r="N794" s="9">
        <v>4.9444999999999997</v>
      </c>
      <c r="O794" s="9">
        <v>0.37459999999999999</v>
      </c>
      <c r="P794" s="9">
        <v>1.2192000000000001</v>
      </c>
      <c r="Q794" s="9">
        <v>19.688099999999999</v>
      </c>
      <c r="R794" s="9"/>
      <c r="S794" s="11"/>
    </row>
    <row r="795" spans="1:19" ht="15.6">
      <c r="A795" s="13">
        <v>66292</v>
      </c>
      <c r="B795" s="8">
        <f>CHOOSE( CONTROL!$C$29, 13.196, 13.1892) * CHOOSE(CONTROL!$C$12, $D$4, 100%, $F$4)</f>
        <v>13.1892</v>
      </c>
      <c r="C795" s="8">
        <f>CHOOSE( CONTROL!$C$29, 13.2063, 13.1995) * CHOOSE(CONTROL!$C$12, $D$4, 100%, $F$4)</f>
        <v>13.1995</v>
      </c>
      <c r="D795" s="8">
        <f>CHOOSE( CONTROL!$C$29, 13.181, 13.1742) * CHOOSE( CONTROL!$C$12, $D$4, 100%, $F$4)</f>
        <v>13.174200000000001</v>
      </c>
      <c r="E795" s="12">
        <f>CHOOSE( CONTROL!$C$29, 13.1886, 13.1818) * CHOOSE( CONTROL!$C$12, $D$4, 100%, $F$4)</f>
        <v>13.181800000000001</v>
      </c>
      <c r="F795" s="4">
        <f>CHOOSE( CONTROL!$C$29, 14.1601, 14.1533) * CHOOSE(CONTROL!$C$12, $D$4, 100%, $F$4)</f>
        <v>14.1533</v>
      </c>
      <c r="G795" s="8">
        <f>CHOOSE( CONTROL!$C$29, 12.9871, 12.9803) * CHOOSE( CONTROL!$C$12, $D$4, 100%, $F$4)</f>
        <v>12.9803</v>
      </c>
      <c r="H795" s="4">
        <f>CHOOSE( CONTROL!$C$29, 13.8758, 13.8691) * CHOOSE(CONTROL!$C$12, $D$4, 100%, $F$4)</f>
        <v>13.8691</v>
      </c>
      <c r="I795" s="8">
        <f>CHOOSE( CONTROL!$C$29, 12.8212, 12.8146) * CHOOSE(CONTROL!$C$12, $D$4, 100%, $F$4)</f>
        <v>12.8146</v>
      </c>
      <c r="J795" s="4">
        <f>CHOOSE( CONTROL!$C$29, 12.786, 12.7793) * CHOOSE(CONTROL!$C$12, $D$4, 100%, $F$4)</f>
        <v>12.779299999999999</v>
      </c>
      <c r="K795" s="4"/>
      <c r="L795" s="9">
        <v>28.568200000000001</v>
      </c>
      <c r="M795" s="9">
        <v>11.6745</v>
      </c>
      <c r="N795" s="9">
        <v>4.7850000000000001</v>
      </c>
      <c r="O795" s="9">
        <v>0.36249999999999999</v>
      </c>
      <c r="P795" s="9">
        <v>1.1798</v>
      </c>
      <c r="Q795" s="9">
        <v>19.053000000000001</v>
      </c>
      <c r="R795" s="9"/>
      <c r="S795" s="11"/>
    </row>
    <row r="796" spans="1:19" ht="15.6">
      <c r="A796" s="13">
        <v>66323</v>
      </c>
      <c r="B796" s="8">
        <f>CHOOSE( CONTROL!$C$29, 13.7635, 13.7567) * CHOOSE(CONTROL!$C$12, $D$4, 100%, $F$4)</f>
        <v>13.7567</v>
      </c>
      <c r="C796" s="8">
        <f>CHOOSE( CONTROL!$C$29, 13.7738, 13.767) * CHOOSE(CONTROL!$C$12, $D$4, 100%, $F$4)</f>
        <v>13.766999999999999</v>
      </c>
      <c r="D796" s="8">
        <f>CHOOSE( CONTROL!$C$29, 13.782, 13.7751) * CHOOSE( CONTROL!$C$12, $D$4, 100%, $F$4)</f>
        <v>13.7751</v>
      </c>
      <c r="E796" s="12">
        <f>CHOOSE( CONTROL!$C$29, 13.7775, 13.7706) * CHOOSE( CONTROL!$C$12, $D$4, 100%, $F$4)</f>
        <v>13.7706</v>
      </c>
      <c r="F796" s="4">
        <f>CHOOSE( CONTROL!$C$29, 14.7725, 14.7657) * CHOOSE(CONTROL!$C$12, $D$4, 100%, $F$4)</f>
        <v>14.765700000000001</v>
      </c>
      <c r="G796" s="8">
        <f>CHOOSE( CONTROL!$C$29, 13.5725, 13.5658) * CHOOSE( CONTROL!$C$12, $D$4, 100%, $F$4)</f>
        <v>13.565799999999999</v>
      </c>
      <c r="H796" s="4">
        <f>CHOOSE( CONTROL!$C$29, 14.4795, 14.4727) * CHOOSE(CONTROL!$C$12, $D$4, 100%, $F$4)</f>
        <v>14.4727</v>
      </c>
      <c r="I796" s="8">
        <f>CHOOSE( CONTROL!$C$29, 13.4267, 13.4201) * CHOOSE(CONTROL!$C$12, $D$4, 100%, $F$4)</f>
        <v>13.4201</v>
      </c>
      <c r="J796" s="4">
        <f>CHOOSE( CONTROL!$C$29, 13.3359, 13.3292) * CHOOSE(CONTROL!$C$12, $D$4, 100%, $F$4)</f>
        <v>13.3292</v>
      </c>
      <c r="K796" s="4"/>
      <c r="L796" s="9">
        <v>29.520499999999998</v>
      </c>
      <c r="M796" s="9">
        <v>12.063700000000001</v>
      </c>
      <c r="N796" s="9">
        <v>4.9444999999999997</v>
      </c>
      <c r="O796" s="9">
        <v>0.37459999999999999</v>
      </c>
      <c r="P796" s="9">
        <v>1.2192000000000001</v>
      </c>
      <c r="Q796" s="9">
        <v>19.688099999999999</v>
      </c>
      <c r="R796" s="9"/>
      <c r="S796" s="11"/>
    </row>
    <row r="797" spans="1:19" ht="15.6">
      <c r="A797" s="13">
        <v>66354</v>
      </c>
      <c r="B797" s="8">
        <f>CHOOSE( CONTROL!$C$29, 12.7017, 12.6948) * CHOOSE(CONTROL!$C$12, $D$4, 100%, $F$4)</f>
        <v>12.694800000000001</v>
      </c>
      <c r="C797" s="8">
        <f>CHOOSE( CONTROL!$C$29, 12.712, 12.7051) * CHOOSE(CONTROL!$C$12, $D$4, 100%, $F$4)</f>
        <v>12.7051</v>
      </c>
      <c r="D797" s="8">
        <f>CHOOSE( CONTROL!$C$29, 12.7135, 12.7066) * CHOOSE( CONTROL!$C$12, $D$4, 100%, $F$4)</f>
        <v>12.7066</v>
      </c>
      <c r="E797" s="12">
        <f>CHOOSE( CONTROL!$C$29, 12.7114, 12.7045) * CHOOSE( CONTROL!$C$12, $D$4, 100%, $F$4)</f>
        <v>12.704499999999999</v>
      </c>
      <c r="F797" s="4">
        <f>CHOOSE( CONTROL!$C$29, 13.7081, 13.7013) * CHOOSE(CONTROL!$C$12, $D$4, 100%, $F$4)</f>
        <v>13.7013</v>
      </c>
      <c r="G797" s="8">
        <f>CHOOSE( CONTROL!$C$29, 12.5159, 12.5092) * CHOOSE( CONTROL!$C$12, $D$4, 100%, $F$4)</f>
        <v>12.5092</v>
      </c>
      <c r="H797" s="4">
        <f>CHOOSE( CONTROL!$C$29, 13.4302, 13.4235) * CHOOSE(CONTROL!$C$12, $D$4, 100%, $F$4)</f>
        <v>13.423500000000001</v>
      </c>
      <c r="I797" s="8">
        <f>CHOOSE( CONTROL!$C$29, 12.3784, 12.3717) * CHOOSE(CONTROL!$C$12, $D$4, 100%, $F$4)</f>
        <v>12.371700000000001</v>
      </c>
      <c r="J797" s="4">
        <f>CHOOSE( CONTROL!$C$29, 12.307, 12.3003) * CHOOSE(CONTROL!$C$12, $D$4, 100%, $F$4)</f>
        <v>12.3003</v>
      </c>
      <c r="K797" s="4"/>
      <c r="L797" s="9">
        <v>29.520499999999998</v>
      </c>
      <c r="M797" s="9">
        <v>12.063700000000001</v>
      </c>
      <c r="N797" s="9">
        <v>4.9444999999999997</v>
      </c>
      <c r="O797" s="9">
        <v>0.37459999999999999</v>
      </c>
      <c r="P797" s="9">
        <v>1.2192000000000001</v>
      </c>
      <c r="Q797" s="9">
        <v>19.688099999999999</v>
      </c>
      <c r="R797" s="9"/>
      <c r="S797" s="11"/>
    </row>
    <row r="798" spans="1:19" ht="15.6">
      <c r="A798" s="13">
        <v>66384</v>
      </c>
      <c r="B798" s="8">
        <f>CHOOSE( CONTROL!$C$29, 12.4358, 12.4289) * CHOOSE(CONTROL!$C$12, $D$4, 100%, $F$4)</f>
        <v>12.428900000000001</v>
      </c>
      <c r="C798" s="8">
        <f>CHOOSE( CONTROL!$C$29, 12.4461, 12.4392) * CHOOSE(CONTROL!$C$12, $D$4, 100%, $F$4)</f>
        <v>12.4392</v>
      </c>
      <c r="D798" s="8">
        <f>CHOOSE( CONTROL!$C$29, 12.4508, 12.4439) * CHOOSE( CONTROL!$C$12, $D$4, 100%, $F$4)</f>
        <v>12.443899999999999</v>
      </c>
      <c r="E798" s="12">
        <f>CHOOSE( CONTROL!$C$29, 12.4475, 12.4406) * CHOOSE( CONTROL!$C$12, $D$4, 100%, $F$4)</f>
        <v>12.4406</v>
      </c>
      <c r="F798" s="4">
        <f>CHOOSE( CONTROL!$C$29, 13.4474, 13.4405) * CHOOSE(CONTROL!$C$12, $D$4, 100%, $F$4)</f>
        <v>13.4405</v>
      </c>
      <c r="G798" s="8">
        <f>CHOOSE( CONTROL!$C$29, 12.2558, 12.2491) * CHOOSE( CONTROL!$C$12, $D$4, 100%, $F$4)</f>
        <v>12.2491</v>
      </c>
      <c r="H798" s="4">
        <f>CHOOSE( CONTROL!$C$29, 13.1732, 13.1665) * CHOOSE(CONTROL!$C$12, $D$4, 100%, $F$4)</f>
        <v>13.166499999999999</v>
      </c>
      <c r="I798" s="8">
        <f>CHOOSE( CONTROL!$C$29, 12.1284, 12.1217) * CHOOSE(CONTROL!$C$12, $D$4, 100%, $F$4)</f>
        <v>12.121700000000001</v>
      </c>
      <c r="J798" s="4">
        <f>CHOOSE( CONTROL!$C$29, 12.0493, 12.0427) * CHOOSE(CONTROL!$C$12, $D$4, 100%, $F$4)</f>
        <v>12.0427</v>
      </c>
      <c r="K798" s="4"/>
      <c r="L798" s="9">
        <v>28.568200000000001</v>
      </c>
      <c r="M798" s="9">
        <v>11.6745</v>
      </c>
      <c r="N798" s="9">
        <v>4.7850000000000001</v>
      </c>
      <c r="O798" s="9">
        <v>0.36249999999999999</v>
      </c>
      <c r="P798" s="9">
        <v>1.1798</v>
      </c>
      <c r="Q798" s="9">
        <v>19.053000000000001</v>
      </c>
      <c r="R798" s="9"/>
      <c r="S798" s="11"/>
    </row>
    <row r="799" spans="1:19" ht="15.6">
      <c r="A799" s="13">
        <v>66415</v>
      </c>
      <c r="B799" s="8">
        <f>12.981 * CHOOSE(CONTROL!$C$12, $D$4, 100%, $F$4)</f>
        <v>12.981</v>
      </c>
      <c r="C799" s="8">
        <f>12.9913 * CHOOSE(CONTROL!$C$12, $D$4, 100%, $F$4)</f>
        <v>12.991300000000001</v>
      </c>
      <c r="D799" s="8">
        <f>12.9864 * CHOOSE( CONTROL!$C$12, $D$4, 100%, $F$4)</f>
        <v>12.9864</v>
      </c>
      <c r="E799" s="12">
        <f>12.9869 * CHOOSE( CONTROL!$C$12, $D$4, 100%, $F$4)</f>
        <v>12.9869</v>
      </c>
      <c r="F799" s="4">
        <f>13.972 * CHOOSE(CONTROL!$C$12, $D$4, 100%, $F$4)</f>
        <v>13.972</v>
      </c>
      <c r="G799" s="8">
        <f>12.7901 * CHOOSE( CONTROL!$C$12, $D$4, 100%, $F$4)</f>
        <v>12.790100000000001</v>
      </c>
      <c r="H799" s="4">
        <f>13.6903 * CHOOSE(CONTROL!$C$12, $D$4, 100%, $F$4)</f>
        <v>13.690300000000001</v>
      </c>
      <c r="I799" s="8">
        <f>12.6609 * CHOOSE(CONTROL!$C$12, $D$4, 100%, $F$4)</f>
        <v>12.6609</v>
      </c>
      <c r="J799" s="4">
        <f>12.5777 * CHOOSE(CONTROL!$C$12, $D$4, 100%, $F$4)</f>
        <v>12.5777</v>
      </c>
      <c r="K799" s="4"/>
      <c r="L799" s="9">
        <v>28.921800000000001</v>
      </c>
      <c r="M799" s="9">
        <v>12.063700000000001</v>
      </c>
      <c r="N799" s="9">
        <v>4.9444999999999997</v>
      </c>
      <c r="O799" s="9">
        <v>0.37459999999999999</v>
      </c>
      <c r="P799" s="9">
        <v>1.2192000000000001</v>
      </c>
      <c r="Q799" s="9">
        <v>19.688099999999999</v>
      </c>
      <c r="R799" s="9"/>
      <c r="S799" s="11"/>
    </row>
    <row r="800" spans="1:19" ht="15.6">
      <c r="A800" s="13">
        <v>66445</v>
      </c>
      <c r="B800" s="8">
        <f>14.0001 * CHOOSE(CONTROL!$C$12, $D$4, 100%, $F$4)</f>
        <v>14.0001</v>
      </c>
      <c r="C800" s="8">
        <f>14.0104 * CHOOSE(CONTROL!$C$12, $D$4, 100%, $F$4)</f>
        <v>14.010400000000001</v>
      </c>
      <c r="D800" s="8">
        <f>13.9697 * CHOOSE( CONTROL!$C$12, $D$4, 100%, $F$4)</f>
        <v>13.9697</v>
      </c>
      <c r="E800" s="12">
        <f>13.9835 * CHOOSE( CONTROL!$C$12, $D$4, 100%, $F$4)</f>
        <v>13.983499999999999</v>
      </c>
      <c r="F800" s="4">
        <f>14.9771 * CHOOSE(CONTROL!$C$12, $D$4, 100%, $F$4)</f>
        <v>14.9771</v>
      </c>
      <c r="G800" s="8">
        <f>13.7886 * CHOOSE( CONTROL!$C$12, $D$4, 100%, $F$4)</f>
        <v>13.788600000000001</v>
      </c>
      <c r="H800" s="4">
        <f>14.6812 * CHOOSE(CONTROL!$C$12, $D$4, 100%, $F$4)</f>
        <v>14.6812</v>
      </c>
      <c r="I800" s="8">
        <f>13.6331 * CHOOSE(CONTROL!$C$12, $D$4, 100%, $F$4)</f>
        <v>13.633100000000001</v>
      </c>
      <c r="J800" s="4">
        <f>13.5651 * CHOOSE(CONTROL!$C$12, $D$4, 100%, $F$4)</f>
        <v>13.565099999999999</v>
      </c>
      <c r="K800" s="4"/>
      <c r="L800" s="9">
        <v>26.515499999999999</v>
      </c>
      <c r="M800" s="9">
        <v>11.6745</v>
      </c>
      <c r="N800" s="9">
        <v>4.7850000000000001</v>
      </c>
      <c r="O800" s="9">
        <v>0.36249999999999999</v>
      </c>
      <c r="P800" s="9">
        <v>1.2522</v>
      </c>
      <c r="Q800" s="9">
        <v>19.053000000000001</v>
      </c>
      <c r="R800" s="9"/>
      <c r="S800" s="11"/>
    </row>
    <row r="801" spans="1:19" ht="15.6">
      <c r="A801" s="13">
        <v>66476</v>
      </c>
      <c r="B801" s="8">
        <f>13.9746 * CHOOSE(CONTROL!$C$12, $D$4, 100%, $F$4)</f>
        <v>13.974600000000001</v>
      </c>
      <c r="C801" s="8">
        <f>13.9849 * CHOOSE(CONTROL!$C$12, $D$4, 100%, $F$4)</f>
        <v>13.9849</v>
      </c>
      <c r="D801" s="8">
        <f>13.9461 * CHOOSE( CONTROL!$C$12, $D$4, 100%, $F$4)</f>
        <v>13.946099999999999</v>
      </c>
      <c r="E801" s="12">
        <f>13.9592 * CHOOSE( CONTROL!$C$12, $D$4, 100%, $F$4)</f>
        <v>13.959199999999999</v>
      </c>
      <c r="F801" s="4">
        <f>14.9449 * CHOOSE(CONTROL!$C$12, $D$4, 100%, $F$4)</f>
        <v>14.944900000000001</v>
      </c>
      <c r="G801" s="8">
        <f>13.7659 * CHOOSE( CONTROL!$C$12, $D$4, 100%, $F$4)</f>
        <v>13.7659</v>
      </c>
      <c r="H801" s="4">
        <f>14.6494 * CHOOSE(CONTROL!$C$12, $D$4, 100%, $F$4)</f>
        <v>14.6494</v>
      </c>
      <c r="I801" s="8">
        <f>13.6192 * CHOOSE(CONTROL!$C$12, $D$4, 100%, $F$4)</f>
        <v>13.619199999999999</v>
      </c>
      <c r="J801" s="4">
        <f>13.5404 * CHOOSE(CONTROL!$C$12, $D$4, 100%, $F$4)</f>
        <v>13.5404</v>
      </c>
      <c r="K801" s="4"/>
      <c r="L801" s="9">
        <v>27.3993</v>
      </c>
      <c r="M801" s="9">
        <v>12.063700000000001</v>
      </c>
      <c r="N801" s="9">
        <v>4.9444999999999997</v>
      </c>
      <c r="O801" s="9">
        <v>0.37459999999999999</v>
      </c>
      <c r="P801" s="9">
        <v>1.2939000000000001</v>
      </c>
      <c r="Q801" s="9">
        <v>19.688099999999999</v>
      </c>
      <c r="R801" s="9"/>
      <c r="S801" s="11"/>
    </row>
    <row r="802" spans="1:19" ht="15.6">
      <c r="A802" s="13">
        <v>66507</v>
      </c>
      <c r="B802" s="8">
        <f>14.3007 * CHOOSE(CONTROL!$C$12, $D$4, 100%, $F$4)</f>
        <v>14.300700000000001</v>
      </c>
      <c r="C802" s="8">
        <f>14.311 * CHOOSE(CONTROL!$C$12, $D$4, 100%, $F$4)</f>
        <v>14.311</v>
      </c>
      <c r="D802" s="8">
        <f>14.3108 * CHOOSE( CONTROL!$C$12, $D$4, 100%, $F$4)</f>
        <v>14.3108</v>
      </c>
      <c r="E802" s="12">
        <f>14.3098 * CHOOSE( CONTROL!$C$12, $D$4, 100%, $F$4)</f>
        <v>14.309799999999999</v>
      </c>
      <c r="F802" s="4">
        <f>15.3226 * CHOOSE(CONTROL!$C$12, $D$4, 100%, $F$4)</f>
        <v>15.3226</v>
      </c>
      <c r="G802" s="8">
        <f>14.1283 * CHOOSE( CONTROL!$C$12, $D$4, 100%, $F$4)</f>
        <v>14.128299999999999</v>
      </c>
      <c r="H802" s="4">
        <f>15.0218 * CHOOSE(CONTROL!$C$12, $D$4, 100%, $F$4)</f>
        <v>15.021800000000001</v>
      </c>
      <c r="I802" s="8">
        <f>13.9719 * CHOOSE(CONTROL!$C$12, $D$4, 100%, $F$4)</f>
        <v>13.9719</v>
      </c>
      <c r="J802" s="4">
        <f>13.8564 * CHOOSE(CONTROL!$C$12, $D$4, 100%, $F$4)</f>
        <v>13.856400000000001</v>
      </c>
      <c r="K802" s="4"/>
      <c r="L802" s="9">
        <v>27.3993</v>
      </c>
      <c r="M802" s="9">
        <v>12.063700000000001</v>
      </c>
      <c r="N802" s="9">
        <v>4.9444999999999997</v>
      </c>
      <c r="O802" s="9">
        <v>0.37459999999999999</v>
      </c>
      <c r="P802" s="9">
        <v>1.2939000000000001</v>
      </c>
      <c r="Q802" s="9">
        <v>19.688099999999999</v>
      </c>
      <c r="R802" s="9"/>
      <c r="S802" s="11"/>
    </row>
    <row r="803" spans="1:19" ht="15.6">
      <c r="A803" s="13">
        <v>66535</v>
      </c>
      <c r="B803" s="8">
        <f>13.3762 * CHOOSE(CONTROL!$C$12, $D$4, 100%, $F$4)</f>
        <v>13.376200000000001</v>
      </c>
      <c r="C803" s="8">
        <f>13.3866 * CHOOSE(CONTROL!$C$12, $D$4, 100%, $F$4)</f>
        <v>13.3866</v>
      </c>
      <c r="D803" s="8">
        <f>13.3887 * CHOOSE( CONTROL!$C$12, $D$4, 100%, $F$4)</f>
        <v>13.3887</v>
      </c>
      <c r="E803" s="12">
        <f>13.3868 * CHOOSE( CONTROL!$C$12, $D$4, 100%, $F$4)</f>
        <v>13.386799999999999</v>
      </c>
      <c r="F803" s="4">
        <f>14.3904 * CHOOSE(CONTROL!$C$12, $D$4, 100%, $F$4)</f>
        <v>14.3904</v>
      </c>
      <c r="G803" s="8">
        <f>13.2169 * CHOOSE( CONTROL!$C$12, $D$4, 100%, $F$4)</f>
        <v>13.216900000000001</v>
      </c>
      <c r="H803" s="4">
        <f>14.1028 * CHOOSE(CONTROL!$C$12, $D$4, 100%, $F$4)</f>
        <v>14.1028</v>
      </c>
      <c r="I803" s="8">
        <f>13.0648 * CHOOSE(CONTROL!$C$12, $D$4, 100%, $F$4)</f>
        <v>13.0648</v>
      </c>
      <c r="J803" s="4">
        <f>12.9606 * CHOOSE(CONTROL!$C$12, $D$4, 100%, $F$4)</f>
        <v>12.960599999999999</v>
      </c>
      <c r="K803" s="4"/>
      <c r="L803" s="9">
        <v>24.747800000000002</v>
      </c>
      <c r="M803" s="9">
        <v>10.8962</v>
      </c>
      <c r="N803" s="9">
        <v>4.4660000000000002</v>
      </c>
      <c r="O803" s="9">
        <v>0.33829999999999999</v>
      </c>
      <c r="P803" s="9">
        <v>1.1687000000000001</v>
      </c>
      <c r="Q803" s="9">
        <v>17.782800000000002</v>
      </c>
      <c r="R803" s="9"/>
      <c r="S803" s="11"/>
    </row>
    <row r="804" spans="1:19" ht="15.6">
      <c r="A804" s="13">
        <v>66566</v>
      </c>
      <c r="B804" s="8">
        <f>13.0915 * CHOOSE(CONTROL!$C$12, $D$4, 100%, $F$4)</f>
        <v>13.0915</v>
      </c>
      <c r="C804" s="8">
        <f>13.1018 * CHOOSE(CONTROL!$C$12, $D$4, 100%, $F$4)</f>
        <v>13.101800000000001</v>
      </c>
      <c r="D804" s="8">
        <f>13.084 * CHOOSE( CONTROL!$C$12, $D$4, 100%, $F$4)</f>
        <v>13.084</v>
      </c>
      <c r="E804" s="12">
        <f>13.0894 * CHOOSE( CONTROL!$C$12, $D$4, 100%, $F$4)</f>
        <v>13.089399999999999</v>
      </c>
      <c r="F804" s="4">
        <f>14.0897 * CHOOSE(CONTROL!$C$12, $D$4, 100%, $F$4)</f>
        <v>14.089700000000001</v>
      </c>
      <c r="G804" s="8">
        <f>12.9157 * CHOOSE( CONTROL!$C$12, $D$4, 100%, $F$4)</f>
        <v>12.915699999999999</v>
      </c>
      <c r="H804" s="4">
        <f>13.8064 * CHOOSE(CONTROL!$C$12, $D$4, 100%, $F$4)</f>
        <v>13.8064</v>
      </c>
      <c r="I804" s="8">
        <f>12.7492 * CHOOSE(CONTROL!$C$12, $D$4, 100%, $F$4)</f>
        <v>12.7492</v>
      </c>
      <c r="J804" s="4">
        <f>12.6847 * CHOOSE(CONTROL!$C$12, $D$4, 100%, $F$4)</f>
        <v>12.684699999999999</v>
      </c>
      <c r="K804" s="4"/>
      <c r="L804" s="9">
        <v>27.3993</v>
      </c>
      <c r="M804" s="9">
        <v>12.063700000000001</v>
      </c>
      <c r="N804" s="9">
        <v>4.9444999999999997</v>
      </c>
      <c r="O804" s="9">
        <v>0.37459999999999999</v>
      </c>
      <c r="P804" s="9">
        <v>1.2939000000000001</v>
      </c>
      <c r="Q804" s="9">
        <v>19.688099999999999</v>
      </c>
      <c r="R804" s="9"/>
      <c r="S804" s="11"/>
    </row>
    <row r="805" spans="1:19" ht="15.6">
      <c r="A805" s="13">
        <v>66596</v>
      </c>
      <c r="B805" s="8">
        <f>13.2905 * CHOOSE(CONTROL!$C$12, $D$4, 100%, $F$4)</f>
        <v>13.2905</v>
      </c>
      <c r="C805" s="8">
        <f>13.3008 * CHOOSE(CONTROL!$C$12, $D$4, 100%, $F$4)</f>
        <v>13.300800000000001</v>
      </c>
      <c r="D805" s="8">
        <f>13.3058 * CHOOSE( CONTROL!$C$12, $D$4, 100%, $F$4)</f>
        <v>13.3058</v>
      </c>
      <c r="E805" s="12">
        <f>13.303 * CHOOSE( CONTROL!$C$12, $D$4, 100%, $F$4)</f>
        <v>13.303000000000001</v>
      </c>
      <c r="F805" s="4">
        <f>14.2969 * CHOOSE(CONTROL!$C$12, $D$4, 100%, $F$4)</f>
        <v>14.296900000000001</v>
      </c>
      <c r="G805" s="8">
        <f>13.0997 * CHOOSE( CONTROL!$C$12, $D$4, 100%, $F$4)</f>
        <v>13.0997</v>
      </c>
      <c r="H805" s="4">
        <f>14.0107 * CHOOSE(CONTROL!$C$12, $D$4, 100%, $F$4)</f>
        <v>14.0107</v>
      </c>
      <c r="I805" s="8">
        <f>12.9322 * CHOOSE(CONTROL!$C$12, $D$4, 100%, $F$4)</f>
        <v>12.9322</v>
      </c>
      <c r="J805" s="4">
        <f>12.8775 * CHOOSE(CONTROL!$C$12, $D$4, 100%, $F$4)</f>
        <v>12.8775</v>
      </c>
      <c r="K805" s="4"/>
      <c r="L805" s="9">
        <v>27.988800000000001</v>
      </c>
      <c r="M805" s="9">
        <v>11.6745</v>
      </c>
      <c r="N805" s="9">
        <v>4.7850000000000001</v>
      </c>
      <c r="O805" s="9">
        <v>0.36249999999999999</v>
      </c>
      <c r="P805" s="9">
        <v>1.1798</v>
      </c>
      <c r="Q805" s="9">
        <v>19.053000000000001</v>
      </c>
      <c r="R805" s="9"/>
      <c r="S805" s="11"/>
    </row>
    <row r="806" spans="1:19" ht="15.6">
      <c r="A806" s="13">
        <v>66627</v>
      </c>
      <c r="B806" s="8">
        <f>CHOOSE( CONTROL!$C$29, 13.6514, 13.6446) * CHOOSE(CONTROL!$C$12, $D$4, 100%, $F$4)</f>
        <v>13.644600000000001</v>
      </c>
      <c r="C806" s="8">
        <f>CHOOSE( CONTROL!$C$29, 13.6617, 13.6549) * CHOOSE(CONTROL!$C$12, $D$4, 100%, $F$4)</f>
        <v>13.6549</v>
      </c>
      <c r="D806" s="8">
        <f>CHOOSE( CONTROL!$C$29, 13.642, 13.6352) * CHOOSE( CONTROL!$C$12, $D$4, 100%, $F$4)</f>
        <v>13.635199999999999</v>
      </c>
      <c r="E806" s="12">
        <f>CHOOSE( CONTROL!$C$29, 13.6476, 13.6408) * CHOOSE( CONTROL!$C$12, $D$4, 100%, $F$4)</f>
        <v>13.6408</v>
      </c>
      <c r="F806" s="4">
        <f>CHOOSE( CONTROL!$C$29, 14.6259, 14.619) * CHOOSE(CONTROL!$C$12, $D$4, 100%, $F$4)</f>
        <v>14.619</v>
      </c>
      <c r="G806" s="8">
        <f>CHOOSE( CONTROL!$C$29, 13.4373, 13.4305) * CHOOSE( CONTROL!$C$12, $D$4, 100%, $F$4)</f>
        <v>13.4305</v>
      </c>
      <c r="H806" s="4">
        <f>CHOOSE( CONTROL!$C$29, 14.3349, 14.3282) * CHOOSE(CONTROL!$C$12, $D$4, 100%, $F$4)</f>
        <v>14.328200000000001</v>
      </c>
      <c r="I806" s="8">
        <f>CHOOSE( CONTROL!$C$29, 13.2606, 13.254) * CHOOSE(CONTROL!$C$12, $D$4, 100%, $F$4)</f>
        <v>13.254</v>
      </c>
      <c r="J806" s="4">
        <f>CHOOSE( CONTROL!$C$29, 13.2273, 13.2207) * CHOOSE(CONTROL!$C$12, $D$4, 100%, $F$4)</f>
        <v>13.220700000000001</v>
      </c>
      <c r="K806" s="4"/>
      <c r="L806" s="9">
        <v>29.520499999999998</v>
      </c>
      <c r="M806" s="9">
        <v>12.063700000000001</v>
      </c>
      <c r="N806" s="9">
        <v>4.9444999999999997</v>
      </c>
      <c r="O806" s="9">
        <v>0.37459999999999999</v>
      </c>
      <c r="P806" s="9">
        <v>1.2192000000000001</v>
      </c>
      <c r="Q806" s="9">
        <v>19.688099999999999</v>
      </c>
      <c r="R806" s="9"/>
      <c r="S806" s="11"/>
    </row>
    <row r="807" spans="1:19" ht="15.6">
      <c r="A807" s="13">
        <v>66657</v>
      </c>
      <c r="B807" s="8">
        <f>CHOOSE( CONTROL!$C$29, 13.4321, 13.4252) * CHOOSE(CONTROL!$C$12, $D$4, 100%, $F$4)</f>
        <v>13.4252</v>
      </c>
      <c r="C807" s="8">
        <f>CHOOSE( CONTROL!$C$29, 13.4424, 13.4356) * CHOOSE(CONTROL!$C$12, $D$4, 100%, $F$4)</f>
        <v>13.435600000000001</v>
      </c>
      <c r="D807" s="8">
        <f>CHOOSE( CONTROL!$C$29, 13.4171, 13.4103) * CHOOSE( CONTROL!$C$12, $D$4, 100%, $F$4)</f>
        <v>13.410299999999999</v>
      </c>
      <c r="E807" s="12">
        <f>CHOOSE( CONTROL!$C$29, 13.4247, 13.4179) * CHOOSE( CONTROL!$C$12, $D$4, 100%, $F$4)</f>
        <v>13.417899999999999</v>
      </c>
      <c r="F807" s="4">
        <f>CHOOSE( CONTROL!$C$29, 14.3962, 14.3894) * CHOOSE(CONTROL!$C$12, $D$4, 100%, $F$4)</f>
        <v>14.3894</v>
      </c>
      <c r="G807" s="8">
        <f>CHOOSE( CONTROL!$C$29, 13.2198, 13.213) * CHOOSE( CONTROL!$C$12, $D$4, 100%, $F$4)</f>
        <v>13.212999999999999</v>
      </c>
      <c r="H807" s="4">
        <f>CHOOSE( CONTROL!$C$29, 14.1085, 14.1018) * CHOOSE(CONTROL!$C$12, $D$4, 100%, $F$4)</f>
        <v>14.101800000000001</v>
      </c>
      <c r="I807" s="8">
        <f>CHOOSE( CONTROL!$C$29, 13.0501, 13.0435) * CHOOSE(CONTROL!$C$12, $D$4, 100%, $F$4)</f>
        <v>13.0435</v>
      </c>
      <c r="J807" s="4">
        <f>CHOOSE( CONTROL!$C$29, 13.0147, 13.0081) * CHOOSE(CONTROL!$C$12, $D$4, 100%, $F$4)</f>
        <v>13.008100000000001</v>
      </c>
      <c r="K807" s="4"/>
      <c r="L807" s="9">
        <v>28.568200000000001</v>
      </c>
      <c r="M807" s="9">
        <v>11.6745</v>
      </c>
      <c r="N807" s="9">
        <v>4.7850000000000001</v>
      </c>
      <c r="O807" s="9">
        <v>0.36249999999999999</v>
      </c>
      <c r="P807" s="9">
        <v>1.1798</v>
      </c>
      <c r="Q807" s="9">
        <v>19.053000000000001</v>
      </c>
      <c r="R807" s="9"/>
      <c r="S807" s="11"/>
    </row>
    <row r="808" spans="1:19" ht="15.6">
      <c r="A808" s="13">
        <v>66688</v>
      </c>
      <c r="B808" s="8">
        <f>CHOOSE( CONTROL!$C$29, 14.0097, 14.0029) * CHOOSE(CONTROL!$C$12, $D$4, 100%, $F$4)</f>
        <v>14.0029</v>
      </c>
      <c r="C808" s="8">
        <f>CHOOSE( CONTROL!$C$29, 14.02, 14.0132) * CHOOSE(CONTROL!$C$12, $D$4, 100%, $F$4)</f>
        <v>14.013199999999999</v>
      </c>
      <c r="D808" s="8">
        <f>CHOOSE( CONTROL!$C$29, 14.0282, 14.0213) * CHOOSE( CONTROL!$C$12, $D$4, 100%, $F$4)</f>
        <v>14.0213</v>
      </c>
      <c r="E808" s="12">
        <f>CHOOSE( CONTROL!$C$29, 14.0237, 14.0168) * CHOOSE( CONTROL!$C$12, $D$4, 100%, $F$4)</f>
        <v>14.0168</v>
      </c>
      <c r="F808" s="4">
        <f>CHOOSE( CONTROL!$C$29, 15.0187, 15.0119) * CHOOSE(CONTROL!$C$12, $D$4, 100%, $F$4)</f>
        <v>15.011900000000001</v>
      </c>
      <c r="G808" s="8">
        <f>CHOOSE( CONTROL!$C$29, 13.8153, 13.8085) * CHOOSE( CONTROL!$C$12, $D$4, 100%, $F$4)</f>
        <v>13.8085</v>
      </c>
      <c r="H808" s="4">
        <f>CHOOSE( CONTROL!$C$29, 14.7222, 14.7155) * CHOOSE(CONTROL!$C$12, $D$4, 100%, $F$4)</f>
        <v>14.7155</v>
      </c>
      <c r="I808" s="8">
        <f>CHOOSE( CONTROL!$C$29, 13.6654, 13.6588) * CHOOSE(CONTROL!$C$12, $D$4, 100%, $F$4)</f>
        <v>13.658799999999999</v>
      </c>
      <c r="J808" s="4">
        <f>CHOOSE( CONTROL!$C$29, 13.5745, 13.5678) * CHOOSE(CONTROL!$C$12, $D$4, 100%, $F$4)</f>
        <v>13.5678</v>
      </c>
      <c r="K808" s="4"/>
      <c r="L808" s="9">
        <v>29.520499999999998</v>
      </c>
      <c r="M808" s="9">
        <v>12.063700000000001</v>
      </c>
      <c r="N808" s="9">
        <v>4.9444999999999997</v>
      </c>
      <c r="O808" s="9">
        <v>0.37459999999999999</v>
      </c>
      <c r="P808" s="9">
        <v>1.2192000000000001</v>
      </c>
      <c r="Q808" s="9">
        <v>19.688099999999999</v>
      </c>
      <c r="R808" s="9"/>
      <c r="S808" s="11"/>
    </row>
    <row r="809" spans="1:19" ht="15.6">
      <c r="A809" s="13">
        <v>66719</v>
      </c>
      <c r="B809" s="8">
        <f>CHOOSE( CONTROL!$C$29, 12.9289, 12.922) * CHOOSE(CONTROL!$C$12, $D$4, 100%, $F$4)</f>
        <v>12.922000000000001</v>
      </c>
      <c r="C809" s="8">
        <f>CHOOSE( CONTROL!$C$29, 12.9392, 12.9324) * CHOOSE(CONTROL!$C$12, $D$4, 100%, $F$4)</f>
        <v>12.932399999999999</v>
      </c>
      <c r="D809" s="8">
        <f>CHOOSE( CONTROL!$C$29, 12.9407, 12.9338) * CHOOSE( CONTROL!$C$12, $D$4, 100%, $F$4)</f>
        <v>12.9338</v>
      </c>
      <c r="E809" s="12">
        <f>CHOOSE( CONTROL!$C$29, 12.9386, 12.9317) * CHOOSE( CONTROL!$C$12, $D$4, 100%, $F$4)</f>
        <v>12.931699999999999</v>
      </c>
      <c r="F809" s="4">
        <f>CHOOSE( CONTROL!$C$29, 13.9353, 13.9285) * CHOOSE(CONTROL!$C$12, $D$4, 100%, $F$4)</f>
        <v>13.9285</v>
      </c>
      <c r="G809" s="8">
        <f>CHOOSE( CONTROL!$C$29, 12.7399, 12.7331) * CHOOSE( CONTROL!$C$12, $D$4, 100%, $F$4)</f>
        <v>12.7331</v>
      </c>
      <c r="H809" s="4">
        <f>CHOOSE( CONTROL!$C$29, 13.6542, 13.6475) * CHOOSE(CONTROL!$C$12, $D$4, 100%, $F$4)</f>
        <v>13.647500000000001</v>
      </c>
      <c r="I809" s="8">
        <f>CHOOSE( CONTROL!$C$29, 12.5986, 12.592) * CHOOSE(CONTROL!$C$12, $D$4, 100%, $F$4)</f>
        <v>12.592000000000001</v>
      </c>
      <c r="J809" s="4">
        <f>CHOOSE( CONTROL!$C$29, 12.5271, 12.5205) * CHOOSE(CONTROL!$C$12, $D$4, 100%, $F$4)</f>
        <v>12.5205</v>
      </c>
      <c r="K809" s="4"/>
      <c r="L809" s="9">
        <v>29.520499999999998</v>
      </c>
      <c r="M809" s="9">
        <v>12.063700000000001</v>
      </c>
      <c r="N809" s="9">
        <v>4.9444999999999997</v>
      </c>
      <c r="O809" s="9">
        <v>0.37459999999999999</v>
      </c>
      <c r="P809" s="9">
        <v>1.2192000000000001</v>
      </c>
      <c r="Q809" s="9">
        <v>19.688099999999999</v>
      </c>
      <c r="R809" s="9"/>
      <c r="S809" s="11"/>
    </row>
    <row r="810" spans="1:19" ht="15.6">
      <c r="A810" s="13">
        <v>66749</v>
      </c>
      <c r="B810" s="8">
        <f>CHOOSE( CONTROL!$C$29, 12.6582, 12.6514) * CHOOSE(CONTROL!$C$12, $D$4, 100%, $F$4)</f>
        <v>12.651400000000001</v>
      </c>
      <c r="C810" s="8">
        <f>CHOOSE( CONTROL!$C$29, 12.6685, 12.6617) * CHOOSE(CONTROL!$C$12, $D$4, 100%, $F$4)</f>
        <v>12.6617</v>
      </c>
      <c r="D810" s="8">
        <f>CHOOSE( CONTROL!$C$29, 12.6732, 12.6664) * CHOOSE( CONTROL!$C$12, $D$4, 100%, $F$4)</f>
        <v>12.666399999999999</v>
      </c>
      <c r="E810" s="12">
        <f>CHOOSE( CONTROL!$C$29, 12.6699, 12.6631) * CHOOSE( CONTROL!$C$12, $D$4, 100%, $F$4)</f>
        <v>12.6631</v>
      </c>
      <c r="F810" s="4">
        <f>CHOOSE( CONTROL!$C$29, 13.6698, 13.663) * CHOOSE(CONTROL!$C$12, $D$4, 100%, $F$4)</f>
        <v>13.663</v>
      </c>
      <c r="G810" s="8">
        <f>CHOOSE( CONTROL!$C$29, 12.4751, 12.4684) * CHOOSE( CONTROL!$C$12, $D$4, 100%, $F$4)</f>
        <v>12.468400000000001</v>
      </c>
      <c r="H810" s="4">
        <f>CHOOSE( CONTROL!$C$29, 13.3925, 13.3858) * CHOOSE(CONTROL!$C$12, $D$4, 100%, $F$4)</f>
        <v>13.3858</v>
      </c>
      <c r="I810" s="8">
        <f>CHOOSE( CONTROL!$C$29, 12.344, 12.3374) * CHOOSE(CONTROL!$C$12, $D$4, 100%, $F$4)</f>
        <v>12.337400000000001</v>
      </c>
      <c r="J810" s="4">
        <f>CHOOSE( CONTROL!$C$29, 12.2649, 12.2582) * CHOOSE(CONTROL!$C$12, $D$4, 100%, $F$4)</f>
        <v>12.2582</v>
      </c>
      <c r="K810" s="4"/>
      <c r="L810" s="9">
        <v>28.568200000000001</v>
      </c>
      <c r="M810" s="9">
        <v>11.6745</v>
      </c>
      <c r="N810" s="9">
        <v>4.7850000000000001</v>
      </c>
      <c r="O810" s="9">
        <v>0.36249999999999999</v>
      </c>
      <c r="P810" s="9">
        <v>1.1798</v>
      </c>
      <c r="Q810" s="9">
        <v>19.053000000000001</v>
      </c>
      <c r="R810" s="9"/>
      <c r="S810" s="11"/>
    </row>
    <row r="811" spans="1:19" ht="15.6">
      <c r="A811" s="13">
        <v>66780</v>
      </c>
      <c r="B811" s="8">
        <f>13.2134 * CHOOSE(CONTROL!$C$12, $D$4, 100%, $F$4)</f>
        <v>13.2134</v>
      </c>
      <c r="C811" s="8">
        <f>13.2237 * CHOOSE(CONTROL!$C$12, $D$4, 100%, $F$4)</f>
        <v>13.223699999999999</v>
      </c>
      <c r="D811" s="8">
        <f>13.2187 * CHOOSE( CONTROL!$C$12, $D$4, 100%, $F$4)</f>
        <v>13.2187</v>
      </c>
      <c r="E811" s="12">
        <f>13.2193 * CHOOSE( CONTROL!$C$12, $D$4, 100%, $F$4)</f>
        <v>13.2193</v>
      </c>
      <c r="F811" s="4">
        <f>14.2043 * CHOOSE(CONTROL!$C$12, $D$4, 100%, $F$4)</f>
        <v>14.2043</v>
      </c>
      <c r="G811" s="8">
        <f>13.0192 * CHOOSE( CONTROL!$C$12, $D$4, 100%, $F$4)</f>
        <v>13.0192</v>
      </c>
      <c r="H811" s="4">
        <f>13.9194 * CHOOSE(CONTROL!$C$12, $D$4, 100%, $F$4)</f>
        <v>13.9194</v>
      </c>
      <c r="I811" s="8">
        <f>12.8861 * CHOOSE(CONTROL!$C$12, $D$4, 100%, $F$4)</f>
        <v>12.886100000000001</v>
      </c>
      <c r="J811" s="4">
        <f>12.8028 * CHOOSE(CONTROL!$C$12, $D$4, 100%, $F$4)</f>
        <v>12.8028</v>
      </c>
      <c r="K811" s="4"/>
      <c r="L811" s="9">
        <v>28.921800000000001</v>
      </c>
      <c r="M811" s="9">
        <v>12.063700000000001</v>
      </c>
      <c r="N811" s="9">
        <v>4.9444999999999997</v>
      </c>
      <c r="O811" s="9">
        <v>0.37459999999999999</v>
      </c>
      <c r="P811" s="9">
        <v>1.2192000000000001</v>
      </c>
      <c r="Q811" s="9">
        <v>19.688099999999999</v>
      </c>
      <c r="R811" s="9"/>
      <c r="S811" s="11"/>
    </row>
    <row r="812" spans="1:19" ht="15.6">
      <c r="A812" s="13">
        <v>66810</v>
      </c>
      <c r="B812" s="8">
        <f>14.2506 * CHOOSE(CONTROL!$C$12, $D$4, 100%, $F$4)</f>
        <v>14.2506</v>
      </c>
      <c r="C812" s="8">
        <f>14.261 * CHOOSE(CONTROL!$C$12, $D$4, 100%, $F$4)</f>
        <v>14.260999999999999</v>
      </c>
      <c r="D812" s="8">
        <f>14.2203 * CHOOSE( CONTROL!$C$12, $D$4, 100%, $F$4)</f>
        <v>14.2203</v>
      </c>
      <c r="E812" s="12">
        <f>14.2341 * CHOOSE( CONTROL!$C$12, $D$4, 100%, $F$4)</f>
        <v>14.2341</v>
      </c>
      <c r="F812" s="4">
        <f>15.2277 * CHOOSE(CONTROL!$C$12, $D$4, 100%, $F$4)</f>
        <v>15.2277</v>
      </c>
      <c r="G812" s="8">
        <f>14.0356 * CHOOSE( CONTROL!$C$12, $D$4, 100%, $F$4)</f>
        <v>14.035600000000001</v>
      </c>
      <c r="H812" s="4">
        <f>14.9282 * CHOOSE(CONTROL!$C$12, $D$4, 100%, $F$4)</f>
        <v>14.9282</v>
      </c>
      <c r="I812" s="8">
        <f>13.876 * CHOOSE(CONTROL!$C$12, $D$4, 100%, $F$4)</f>
        <v>13.875999999999999</v>
      </c>
      <c r="J812" s="4">
        <f>13.8079 * CHOOSE(CONTROL!$C$12, $D$4, 100%, $F$4)</f>
        <v>13.8079</v>
      </c>
      <c r="K812" s="4"/>
      <c r="L812" s="9">
        <v>26.515499999999999</v>
      </c>
      <c r="M812" s="9">
        <v>11.6745</v>
      </c>
      <c r="N812" s="9">
        <v>4.7850000000000001</v>
      </c>
      <c r="O812" s="9">
        <v>0.36249999999999999</v>
      </c>
      <c r="P812" s="9">
        <v>1.2522</v>
      </c>
      <c r="Q812" s="9">
        <v>19.053000000000001</v>
      </c>
      <c r="R812" s="9"/>
      <c r="S812" s="11"/>
    </row>
    <row r="813" spans="1:19" ht="15.6">
      <c r="A813" s="13">
        <v>66841</v>
      </c>
      <c r="B813" s="8">
        <f>14.2247 * CHOOSE(CONTROL!$C$12, $D$4, 100%, $F$4)</f>
        <v>14.2247</v>
      </c>
      <c r="C813" s="8">
        <f>14.2351 * CHOOSE(CONTROL!$C$12, $D$4, 100%, $F$4)</f>
        <v>14.235099999999999</v>
      </c>
      <c r="D813" s="8">
        <f>14.1963 * CHOOSE( CONTROL!$C$12, $D$4, 100%, $F$4)</f>
        <v>14.196300000000001</v>
      </c>
      <c r="E813" s="12">
        <f>14.2094 * CHOOSE( CONTROL!$C$12, $D$4, 100%, $F$4)</f>
        <v>14.2094</v>
      </c>
      <c r="F813" s="4">
        <f>15.1951 * CHOOSE(CONTROL!$C$12, $D$4, 100%, $F$4)</f>
        <v>15.1951</v>
      </c>
      <c r="G813" s="8">
        <f>14.0124 * CHOOSE( CONTROL!$C$12, $D$4, 100%, $F$4)</f>
        <v>14.0124</v>
      </c>
      <c r="H813" s="4">
        <f>14.896 * CHOOSE(CONTROL!$C$12, $D$4, 100%, $F$4)</f>
        <v>14.896000000000001</v>
      </c>
      <c r="I813" s="8">
        <f>13.8617 * CHOOSE(CONTROL!$C$12, $D$4, 100%, $F$4)</f>
        <v>13.861700000000001</v>
      </c>
      <c r="J813" s="4">
        <f>13.7828 * CHOOSE(CONTROL!$C$12, $D$4, 100%, $F$4)</f>
        <v>13.7828</v>
      </c>
      <c r="K813" s="4"/>
      <c r="L813" s="9">
        <v>27.3993</v>
      </c>
      <c r="M813" s="9">
        <v>12.063700000000001</v>
      </c>
      <c r="N813" s="9">
        <v>4.9444999999999997</v>
      </c>
      <c r="O813" s="9">
        <v>0.37459999999999999</v>
      </c>
      <c r="P813" s="9">
        <v>1.2939000000000001</v>
      </c>
      <c r="Q813" s="9">
        <v>19.688099999999999</v>
      </c>
      <c r="R813" s="9"/>
      <c r="S813" s="11"/>
    </row>
    <row r="814" spans="1:19" ht="15.6">
      <c r="A814" s="13">
        <v>66872</v>
      </c>
      <c r="B814" s="8">
        <f>14.5567 * CHOOSE(CONTROL!$C$12, $D$4, 100%, $F$4)</f>
        <v>14.556699999999999</v>
      </c>
      <c r="C814" s="8">
        <f>14.567 * CHOOSE(CONTROL!$C$12, $D$4, 100%, $F$4)</f>
        <v>14.567</v>
      </c>
      <c r="D814" s="8">
        <f>14.5668 * CHOOSE( CONTROL!$C$12, $D$4, 100%, $F$4)</f>
        <v>14.566800000000001</v>
      </c>
      <c r="E814" s="12">
        <f>14.5658 * CHOOSE( CONTROL!$C$12, $D$4, 100%, $F$4)</f>
        <v>14.565799999999999</v>
      </c>
      <c r="F814" s="4">
        <f>15.5786 * CHOOSE(CONTROL!$C$12, $D$4, 100%, $F$4)</f>
        <v>15.5786</v>
      </c>
      <c r="G814" s="8">
        <f>14.3806 * CHOOSE( CONTROL!$C$12, $D$4, 100%, $F$4)</f>
        <v>14.380599999999999</v>
      </c>
      <c r="H814" s="4">
        <f>15.2741 * CHOOSE(CONTROL!$C$12, $D$4, 100%, $F$4)</f>
        <v>15.274100000000001</v>
      </c>
      <c r="I814" s="8">
        <f>14.2201 * CHOOSE(CONTROL!$C$12, $D$4, 100%, $F$4)</f>
        <v>14.2201</v>
      </c>
      <c r="J814" s="4">
        <f>14.1045 * CHOOSE(CONTROL!$C$12, $D$4, 100%, $F$4)</f>
        <v>14.1045</v>
      </c>
      <c r="K814" s="4"/>
      <c r="L814" s="9">
        <v>27.3993</v>
      </c>
      <c r="M814" s="9">
        <v>12.063700000000001</v>
      </c>
      <c r="N814" s="9">
        <v>4.9444999999999997</v>
      </c>
      <c r="O814" s="9">
        <v>0.37459999999999999</v>
      </c>
      <c r="P814" s="9">
        <v>1.2939000000000001</v>
      </c>
      <c r="Q814" s="9">
        <v>19.688099999999999</v>
      </c>
      <c r="R814" s="9"/>
      <c r="S814" s="11"/>
    </row>
    <row r="815" spans="1:19" ht="15.6">
      <c r="A815" s="13">
        <v>66900</v>
      </c>
      <c r="B815" s="8">
        <f>13.6157 * CHOOSE(CONTROL!$C$12, $D$4, 100%, $F$4)</f>
        <v>13.6157</v>
      </c>
      <c r="C815" s="8">
        <f>13.626 * CHOOSE(CONTROL!$C$12, $D$4, 100%, $F$4)</f>
        <v>13.625999999999999</v>
      </c>
      <c r="D815" s="8">
        <f>13.6281 * CHOOSE( CONTROL!$C$12, $D$4, 100%, $F$4)</f>
        <v>13.6281</v>
      </c>
      <c r="E815" s="12">
        <f>13.6262 * CHOOSE( CONTROL!$C$12, $D$4, 100%, $F$4)</f>
        <v>13.626200000000001</v>
      </c>
      <c r="F815" s="4">
        <f>14.6298 * CHOOSE(CONTROL!$C$12, $D$4, 100%, $F$4)</f>
        <v>14.629799999999999</v>
      </c>
      <c r="G815" s="8">
        <f>13.4529 * CHOOSE( CONTROL!$C$12, $D$4, 100%, $F$4)</f>
        <v>13.4529</v>
      </c>
      <c r="H815" s="4">
        <f>14.3388 * CHOOSE(CONTROL!$C$12, $D$4, 100%, $F$4)</f>
        <v>14.338800000000001</v>
      </c>
      <c r="I815" s="8">
        <f>13.2969 * CHOOSE(CONTROL!$C$12, $D$4, 100%, $F$4)</f>
        <v>13.296900000000001</v>
      </c>
      <c r="J815" s="4">
        <f>13.1926 * CHOOSE(CONTROL!$C$12, $D$4, 100%, $F$4)</f>
        <v>13.192600000000001</v>
      </c>
      <c r="K815" s="4"/>
      <c r="L815" s="9">
        <v>24.747800000000002</v>
      </c>
      <c r="M815" s="9">
        <v>10.8962</v>
      </c>
      <c r="N815" s="9">
        <v>4.4660000000000002</v>
      </c>
      <c r="O815" s="9">
        <v>0.33829999999999999</v>
      </c>
      <c r="P815" s="9">
        <v>1.1687000000000001</v>
      </c>
      <c r="Q815" s="9">
        <v>17.782800000000002</v>
      </c>
      <c r="R815" s="9"/>
      <c r="S815" s="11"/>
    </row>
    <row r="816" spans="1:19" ht="15.6">
      <c r="A816" s="13">
        <v>66931</v>
      </c>
      <c r="B816" s="8">
        <f>13.3258 * CHOOSE(CONTROL!$C$12, $D$4, 100%, $F$4)</f>
        <v>13.325799999999999</v>
      </c>
      <c r="C816" s="8">
        <f>13.3362 * CHOOSE(CONTROL!$C$12, $D$4, 100%, $F$4)</f>
        <v>13.3362</v>
      </c>
      <c r="D816" s="8">
        <f>13.3183 * CHOOSE( CONTROL!$C$12, $D$4, 100%, $F$4)</f>
        <v>13.318300000000001</v>
      </c>
      <c r="E816" s="12">
        <f>13.3237 * CHOOSE( CONTROL!$C$12, $D$4, 100%, $F$4)</f>
        <v>13.323700000000001</v>
      </c>
      <c r="F816" s="4">
        <f>14.324 * CHOOSE(CONTROL!$C$12, $D$4, 100%, $F$4)</f>
        <v>14.324</v>
      </c>
      <c r="G816" s="8">
        <f>13.1467 * CHOOSE( CONTROL!$C$12, $D$4, 100%, $F$4)</f>
        <v>13.146699999999999</v>
      </c>
      <c r="H816" s="4">
        <f>14.0374 * CHOOSE(CONTROL!$C$12, $D$4, 100%, $F$4)</f>
        <v>14.0374</v>
      </c>
      <c r="I816" s="8">
        <f>12.9764 * CHOOSE(CONTROL!$C$12, $D$4, 100%, $F$4)</f>
        <v>12.9764</v>
      </c>
      <c r="J816" s="4">
        <f>12.9118 * CHOOSE(CONTROL!$C$12, $D$4, 100%, $F$4)</f>
        <v>12.911799999999999</v>
      </c>
      <c r="K816" s="4"/>
      <c r="L816" s="9">
        <v>27.3993</v>
      </c>
      <c r="M816" s="9">
        <v>12.063700000000001</v>
      </c>
      <c r="N816" s="9">
        <v>4.9444999999999997</v>
      </c>
      <c r="O816" s="9">
        <v>0.37459999999999999</v>
      </c>
      <c r="P816" s="9">
        <v>1.2939000000000001</v>
      </c>
      <c r="Q816" s="9">
        <v>19.688099999999999</v>
      </c>
      <c r="R816" s="9"/>
      <c r="S816" s="11"/>
    </row>
    <row r="817" spans="1:19" ht="15.6">
      <c r="A817" s="13">
        <v>66961</v>
      </c>
      <c r="B817" s="8">
        <f>13.5284 * CHOOSE(CONTROL!$C$12, $D$4, 100%, $F$4)</f>
        <v>13.5284</v>
      </c>
      <c r="C817" s="8">
        <f>13.5387 * CHOOSE(CONTROL!$C$12, $D$4, 100%, $F$4)</f>
        <v>13.5387</v>
      </c>
      <c r="D817" s="8">
        <f>13.5437 * CHOOSE( CONTROL!$C$12, $D$4, 100%, $F$4)</f>
        <v>13.543699999999999</v>
      </c>
      <c r="E817" s="12">
        <f>13.5409 * CHOOSE( CONTROL!$C$12, $D$4, 100%, $F$4)</f>
        <v>13.540900000000001</v>
      </c>
      <c r="F817" s="4">
        <f>14.5348 * CHOOSE(CONTROL!$C$12, $D$4, 100%, $F$4)</f>
        <v>14.534800000000001</v>
      </c>
      <c r="G817" s="8">
        <f>13.3342 * CHOOSE( CONTROL!$C$12, $D$4, 100%, $F$4)</f>
        <v>13.334199999999999</v>
      </c>
      <c r="H817" s="4">
        <f>14.2452 * CHOOSE(CONTROL!$C$12, $D$4, 100%, $F$4)</f>
        <v>14.245200000000001</v>
      </c>
      <c r="I817" s="8">
        <f>13.1628 * CHOOSE(CONTROL!$C$12, $D$4, 100%, $F$4)</f>
        <v>13.162800000000001</v>
      </c>
      <c r="J817" s="4">
        <f>13.108 * CHOOSE(CONTROL!$C$12, $D$4, 100%, $F$4)</f>
        <v>13.108000000000001</v>
      </c>
      <c r="K817" s="4"/>
      <c r="L817" s="9">
        <v>27.988800000000001</v>
      </c>
      <c r="M817" s="9">
        <v>11.6745</v>
      </c>
      <c r="N817" s="9">
        <v>4.7850000000000001</v>
      </c>
      <c r="O817" s="9">
        <v>0.36249999999999999</v>
      </c>
      <c r="P817" s="9">
        <v>1.1798</v>
      </c>
      <c r="Q817" s="9">
        <v>19.053000000000001</v>
      </c>
      <c r="R817" s="9"/>
      <c r="S817" s="11"/>
    </row>
    <row r="818" spans="1:19" ht="15.6">
      <c r="A818" s="13">
        <v>66992</v>
      </c>
      <c r="B818" s="8">
        <f>CHOOSE( CONTROL!$C$29, 13.8956, 13.8888) * CHOOSE(CONTROL!$C$12, $D$4, 100%, $F$4)</f>
        <v>13.8888</v>
      </c>
      <c r="C818" s="8">
        <f>CHOOSE( CONTROL!$C$29, 13.906, 13.8991) * CHOOSE(CONTROL!$C$12, $D$4, 100%, $F$4)</f>
        <v>13.899100000000001</v>
      </c>
      <c r="D818" s="8">
        <f>CHOOSE( CONTROL!$C$29, 13.8862, 13.8794) * CHOOSE( CONTROL!$C$12, $D$4, 100%, $F$4)</f>
        <v>13.8794</v>
      </c>
      <c r="E818" s="12">
        <f>CHOOSE( CONTROL!$C$29, 13.8918, 13.885) * CHOOSE( CONTROL!$C$12, $D$4, 100%, $F$4)</f>
        <v>13.885</v>
      </c>
      <c r="F818" s="4">
        <f>CHOOSE( CONTROL!$C$29, 14.8701, 14.8633) * CHOOSE(CONTROL!$C$12, $D$4, 100%, $F$4)</f>
        <v>14.863300000000001</v>
      </c>
      <c r="G818" s="8">
        <f>CHOOSE( CONTROL!$C$29, 13.678, 13.6713) * CHOOSE( CONTROL!$C$12, $D$4, 100%, $F$4)</f>
        <v>13.6713</v>
      </c>
      <c r="H818" s="4">
        <f>CHOOSE( CONTROL!$C$29, 14.5757, 14.5689) * CHOOSE(CONTROL!$C$12, $D$4, 100%, $F$4)</f>
        <v>14.568899999999999</v>
      </c>
      <c r="I818" s="8">
        <f>CHOOSE( CONTROL!$C$29, 13.4974, 13.4907) * CHOOSE(CONTROL!$C$12, $D$4, 100%, $F$4)</f>
        <v>13.4907</v>
      </c>
      <c r="J818" s="4">
        <f>CHOOSE( CONTROL!$C$29, 13.4639, 13.4573) * CHOOSE(CONTROL!$C$12, $D$4, 100%, $F$4)</f>
        <v>13.4573</v>
      </c>
      <c r="K818" s="4"/>
      <c r="L818" s="9">
        <v>29.520499999999998</v>
      </c>
      <c r="M818" s="9">
        <v>12.063700000000001</v>
      </c>
      <c r="N818" s="9">
        <v>4.9444999999999997</v>
      </c>
      <c r="O818" s="9">
        <v>0.37459999999999999</v>
      </c>
      <c r="P818" s="9">
        <v>1.2192000000000001</v>
      </c>
      <c r="Q818" s="9">
        <v>19.688099999999999</v>
      </c>
      <c r="R818" s="9"/>
      <c r="S818" s="11"/>
    </row>
    <row r="819" spans="1:19" ht="15.6">
      <c r="A819" s="13">
        <v>67022</v>
      </c>
      <c r="B819" s="8">
        <f>CHOOSE( CONTROL!$C$29, 13.6724, 13.6655) * CHOOSE(CONTROL!$C$12, $D$4, 100%, $F$4)</f>
        <v>13.6655</v>
      </c>
      <c r="C819" s="8">
        <f>CHOOSE( CONTROL!$C$29, 13.6827, 13.6758) * CHOOSE(CONTROL!$C$12, $D$4, 100%, $F$4)</f>
        <v>13.675800000000001</v>
      </c>
      <c r="D819" s="8">
        <f>CHOOSE( CONTROL!$C$29, 13.6574, 13.6506) * CHOOSE( CONTROL!$C$12, $D$4, 100%, $F$4)</f>
        <v>13.650600000000001</v>
      </c>
      <c r="E819" s="12">
        <f>CHOOSE( CONTROL!$C$29, 13.665, 13.6582) * CHOOSE( CONTROL!$C$12, $D$4, 100%, $F$4)</f>
        <v>13.658200000000001</v>
      </c>
      <c r="F819" s="4">
        <f>CHOOSE( CONTROL!$C$29, 14.6365, 14.6297) * CHOOSE(CONTROL!$C$12, $D$4, 100%, $F$4)</f>
        <v>14.6297</v>
      </c>
      <c r="G819" s="8">
        <f>CHOOSE( CONTROL!$C$29, 13.4567, 13.4499) * CHOOSE( CONTROL!$C$12, $D$4, 100%, $F$4)</f>
        <v>13.4499</v>
      </c>
      <c r="H819" s="4">
        <f>CHOOSE( CONTROL!$C$29, 14.3454, 14.3387) * CHOOSE(CONTROL!$C$12, $D$4, 100%, $F$4)</f>
        <v>14.338699999999999</v>
      </c>
      <c r="I819" s="8">
        <f>CHOOSE( CONTROL!$C$29, 13.2831, 13.2764) * CHOOSE(CONTROL!$C$12, $D$4, 100%, $F$4)</f>
        <v>13.276400000000001</v>
      </c>
      <c r="J819" s="4">
        <f>CHOOSE( CONTROL!$C$29, 13.2476, 13.2409) * CHOOSE(CONTROL!$C$12, $D$4, 100%, $F$4)</f>
        <v>13.2409</v>
      </c>
      <c r="K819" s="4"/>
      <c r="L819" s="9">
        <v>28.568200000000001</v>
      </c>
      <c r="M819" s="9">
        <v>11.6745</v>
      </c>
      <c r="N819" s="9">
        <v>4.7850000000000001</v>
      </c>
      <c r="O819" s="9">
        <v>0.36249999999999999</v>
      </c>
      <c r="P819" s="9">
        <v>1.1798</v>
      </c>
      <c r="Q819" s="9">
        <v>19.053000000000001</v>
      </c>
      <c r="R819" s="9"/>
      <c r="S819" s="11"/>
    </row>
    <row r="820" spans="1:19" ht="15.6">
      <c r="A820" s="13">
        <v>67053</v>
      </c>
      <c r="B820" s="8">
        <f>CHOOSE( CONTROL!$C$29, 14.2604, 14.2535) * CHOOSE(CONTROL!$C$12, $D$4, 100%, $F$4)</f>
        <v>14.253500000000001</v>
      </c>
      <c r="C820" s="8">
        <f>CHOOSE( CONTROL!$C$29, 14.2707, 14.2638) * CHOOSE(CONTROL!$C$12, $D$4, 100%, $F$4)</f>
        <v>14.2638</v>
      </c>
      <c r="D820" s="8">
        <f>CHOOSE( CONTROL!$C$29, 14.2788, 14.272) * CHOOSE( CONTROL!$C$12, $D$4, 100%, $F$4)</f>
        <v>14.272</v>
      </c>
      <c r="E820" s="12">
        <f>CHOOSE( CONTROL!$C$29, 14.2743, 14.2675) * CHOOSE( CONTROL!$C$12, $D$4, 100%, $F$4)</f>
        <v>14.2675</v>
      </c>
      <c r="F820" s="4">
        <f>CHOOSE( CONTROL!$C$29, 15.2694, 15.2625) * CHOOSE(CONTROL!$C$12, $D$4, 100%, $F$4)</f>
        <v>15.262499999999999</v>
      </c>
      <c r="G820" s="8">
        <f>CHOOSE( CONTROL!$C$29, 14.0623, 14.0556) * CHOOSE( CONTROL!$C$12, $D$4, 100%, $F$4)</f>
        <v>14.0556</v>
      </c>
      <c r="H820" s="4">
        <f>CHOOSE( CONTROL!$C$29, 14.9693, 14.9625) * CHOOSE(CONTROL!$C$12, $D$4, 100%, $F$4)</f>
        <v>14.9625</v>
      </c>
      <c r="I820" s="8">
        <f>CHOOSE( CONTROL!$C$29, 13.9084, 13.9018) * CHOOSE(CONTROL!$C$12, $D$4, 100%, $F$4)</f>
        <v>13.9018</v>
      </c>
      <c r="J820" s="4">
        <f>CHOOSE( CONTROL!$C$29, 13.8173, 13.8107) * CHOOSE(CONTROL!$C$12, $D$4, 100%, $F$4)</f>
        <v>13.810700000000001</v>
      </c>
      <c r="K820" s="4"/>
      <c r="L820" s="9">
        <v>29.520499999999998</v>
      </c>
      <c r="M820" s="9">
        <v>12.063700000000001</v>
      </c>
      <c r="N820" s="9">
        <v>4.9444999999999997</v>
      </c>
      <c r="O820" s="9">
        <v>0.37459999999999999</v>
      </c>
      <c r="P820" s="9">
        <v>1.2192000000000001</v>
      </c>
      <c r="Q820" s="9">
        <v>19.688099999999999</v>
      </c>
      <c r="R820" s="9"/>
      <c r="S820" s="11"/>
    </row>
    <row r="821" spans="1:19" ht="15.6">
      <c r="A821" s="13">
        <v>67084</v>
      </c>
      <c r="B821" s="8">
        <f>CHOOSE( CONTROL!$C$29, 13.1602, 13.1533) * CHOOSE(CONTROL!$C$12, $D$4, 100%, $F$4)</f>
        <v>13.1533</v>
      </c>
      <c r="C821" s="8">
        <f>CHOOSE( CONTROL!$C$29, 13.1705, 13.1636) * CHOOSE(CONTROL!$C$12, $D$4, 100%, $F$4)</f>
        <v>13.163600000000001</v>
      </c>
      <c r="D821" s="8">
        <f>CHOOSE( CONTROL!$C$29, 13.172, 13.1651) * CHOOSE( CONTROL!$C$12, $D$4, 100%, $F$4)</f>
        <v>13.165100000000001</v>
      </c>
      <c r="E821" s="12">
        <f>CHOOSE( CONTROL!$C$29, 13.1699, 13.163) * CHOOSE( CONTROL!$C$12, $D$4, 100%, $F$4)</f>
        <v>13.163</v>
      </c>
      <c r="F821" s="4">
        <f>CHOOSE( CONTROL!$C$29, 14.1666, 14.1598) * CHOOSE(CONTROL!$C$12, $D$4, 100%, $F$4)</f>
        <v>14.159800000000001</v>
      </c>
      <c r="G821" s="8">
        <f>CHOOSE( CONTROL!$C$29, 12.9679, 12.9611) * CHOOSE( CONTROL!$C$12, $D$4, 100%, $F$4)</f>
        <v>12.9611</v>
      </c>
      <c r="H821" s="4">
        <f>CHOOSE( CONTROL!$C$29, 13.8822, 13.8755) * CHOOSE(CONTROL!$C$12, $D$4, 100%, $F$4)</f>
        <v>13.875500000000001</v>
      </c>
      <c r="I821" s="8">
        <f>CHOOSE( CONTROL!$C$29, 12.8229, 12.8162) * CHOOSE(CONTROL!$C$12, $D$4, 100%, $F$4)</f>
        <v>12.8162</v>
      </c>
      <c r="J821" s="4">
        <f>CHOOSE( CONTROL!$C$29, 12.7512, 12.7446) * CHOOSE(CONTROL!$C$12, $D$4, 100%, $F$4)</f>
        <v>12.7446</v>
      </c>
      <c r="K821" s="4"/>
      <c r="L821" s="9">
        <v>29.520499999999998</v>
      </c>
      <c r="M821" s="9">
        <v>12.063700000000001</v>
      </c>
      <c r="N821" s="9">
        <v>4.9444999999999997</v>
      </c>
      <c r="O821" s="9">
        <v>0.37459999999999999</v>
      </c>
      <c r="P821" s="9">
        <v>1.2192000000000001</v>
      </c>
      <c r="Q821" s="9">
        <v>19.688099999999999</v>
      </c>
      <c r="R821" s="9"/>
      <c r="S821" s="11"/>
    </row>
    <row r="822" spans="1:19" ht="15.6">
      <c r="A822" s="13">
        <v>67114</v>
      </c>
      <c r="B822" s="8">
        <f>CHOOSE( CONTROL!$C$29, 12.8847, 12.8778) * CHOOSE(CONTROL!$C$12, $D$4, 100%, $F$4)</f>
        <v>12.877800000000001</v>
      </c>
      <c r="C822" s="8">
        <f>CHOOSE( CONTROL!$C$29, 12.895, 12.8881) * CHOOSE(CONTROL!$C$12, $D$4, 100%, $F$4)</f>
        <v>12.8881</v>
      </c>
      <c r="D822" s="8">
        <f>CHOOSE( CONTROL!$C$29, 12.8997, 12.8928) * CHOOSE( CONTROL!$C$12, $D$4, 100%, $F$4)</f>
        <v>12.892799999999999</v>
      </c>
      <c r="E822" s="12">
        <f>CHOOSE( CONTROL!$C$29, 12.8964, 12.8895) * CHOOSE( CONTROL!$C$12, $D$4, 100%, $F$4)</f>
        <v>12.8895</v>
      </c>
      <c r="F822" s="4">
        <f>CHOOSE( CONTROL!$C$29, 13.8963, 13.8894) * CHOOSE(CONTROL!$C$12, $D$4, 100%, $F$4)</f>
        <v>13.8894</v>
      </c>
      <c r="G822" s="8">
        <f>CHOOSE( CONTROL!$C$29, 12.6983, 12.6916) * CHOOSE( CONTROL!$C$12, $D$4, 100%, $F$4)</f>
        <v>12.691599999999999</v>
      </c>
      <c r="H822" s="4">
        <f>CHOOSE( CONTROL!$C$29, 13.6157, 13.609) * CHOOSE(CONTROL!$C$12, $D$4, 100%, $F$4)</f>
        <v>13.609</v>
      </c>
      <c r="I822" s="8">
        <f>CHOOSE( CONTROL!$C$29, 12.5636, 12.5569) * CHOOSE(CONTROL!$C$12, $D$4, 100%, $F$4)</f>
        <v>12.556900000000001</v>
      </c>
      <c r="J822" s="4">
        <f>CHOOSE( CONTROL!$C$29, 12.4843, 12.4777) * CHOOSE(CONTROL!$C$12, $D$4, 100%, $F$4)</f>
        <v>12.4777</v>
      </c>
      <c r="K822" s="4"/>
      <c r="L822" s="9">
        <v>28.568200000000001</v>
      </c>
      <c r="M822" s="9">
        <v>11.6745</v>
      </c>
      <c r="N822" s="9">
        <v>4.7850000000000001</v>
      </c>
      <c r="O822" s="9">
        <v>0.36249999999999999</v>
      </c>
      <c r="P822" s="9">
        <v>1.1798</v>
      </c>
      <c r="Q822" s="9">
        <v>19.053000000000001</v>
      </c>
      <c r="R822" s="9"/>
      <c r="S822" s="11"/>
    </row>
    <row r="823" spans="1:19" ht="15.6">
      <c r="A823" s="13">
        <v>67145</v>
      </c>
      <c r="B823" s="8">
        <f>13.4499 * CHOOSE(CONTROL!$C$12, $D$4, 100%, $F$4)</f>
        <v>13.4499</v>
      </c>
      <c r="C823" s="8">
        <f>13.4602 * CHOOSE(CONTROL!$C$12, $D$4, 100%, $F$4)</f>
        <v>13.4602</v>
      </c>
      <c r="D823" s="8">
        <f>13.4552 * CHOOSE( CONTROL!$C$12, $D$4, 100%, $F$4)</f>
        <v>13.4552</v>
      </c>
      <c r="E823" s="12">
        <f>13.4558 * CHOOSE( CONTROL!$C$12, $D$4, 100%, $F$4)</f>
        <v>13.4558</v>
      </c>
      <c r="F823" s="4">
        <f>14.4408 * CHOOSE(CONTROL!$C$12, $D$4, 100%, $F$4)</f>
        <v>14.440799999999999</v>
      </c>
      <c r="G823" s="8">
        <f>13.2523 * CHOOSE( CONTROL!$C$12, $D$4, 100%, $F$4)</f>
        <v>13.2523</v>
      </c>
      <c r="H823" s="4">
        <f>14.1525 * CHOOSE(CONTROL!$C$12, $D$4, 100%, $F$4)</f>
        <v>14.1525</v>
      </c>
      <c r="I823" s="8">
        <f>13.1154 * CHOOSE(CONTROL!$C$12, $D$4, 100%, $F$4)</f>
        <v>13.115399999999999</v>
      </c>
      <c r="J823" s="4">
        <f>13.032 * CHOOSE(CONTROL!$C$12, $D$4, 100%, $F$4)</f>
        <v>13.032</v>
      </c>
      <c r="K823" s="4"/>
      <c r="L823" s="9">
        <v>28.921800000000001</v>
      </c>
      <c r="M823" s="9">
        <v>12.063700000000001</v>
      </c>
      <c r="N823" s="9">
        <v>4.9444999999999997</v>
      </c>
      <c r="O823" s="9">
        <v>0.37459999999999999</v>
      </c>
      <c r="P823" s="9">
        <v>1.2192000000000001</v>
      </c>
      <c r="Q823" s="9">
        <v>19.688099999999999</v>
      </c>
      <c r="R823" s="9"/>
      <c r="S823" s="11"/>
    </row>
    <row r="824" spans="1:19" ht="15.6">
      <c r="A824" s="13">
        <v>67175</v>
      </c>
      <c r="B824" s="8">
        <f>14.5057 * CHOOSE(CONTROL!$C$12, $D$4, 100%, $F$4)</f>
        <v>14.505699999999999</v>
      </c>
      <c r="C824" s="8">
        <f>14.516 * CHOOSE(CONTROL!$C$12, $D$4, 100%, $F$4)</f>
        <v>14.516</v>
      </c>
      <c r="D824" s="8">
        <f>14.4754 * CHOOSE( CONTROL!$C$12, $D$4, 100%, $F$4)</f>
        <v>14.4754</v>
      </c>
      <c r="E824" s="12">
        <f>14.4891 * CHOOSE( CONTROL!$C$12, $D$4, 100%, $F$4)</f>
        <v>14.489100000000001</v>
      </c>
      <c r="F824" s="4">
        <f>15.4827 * CHOOSE(CONTROL!$C$12, $D$4, 100%, $F$4)</f>
        <v>15.482699999999999</v>
      </c>
      <c r="G824" s="8">
        <f>14.287 * CHOOSE( CONTROL!$C$12, $D$4, 100%, $F$4)</f>
        <v>14.287000000000001</v>
      </c>
      <c r="H824" s="4">
        <f>15.1796 * CHOOSE(CONTROL!$C$12, $D$4, 100%, $F$4)</f>
        <v>15.179600000000001</v>
      </c>
      <c r="I824" s="8">
        <f>14.1233 * CHOOSE(CONTROL!$C$12, $D$4, 100%, $F$4)</f>
        <v>14.1233</v>
      </c>
      <c r="J824" s="4">
        <f>14.0551 * CHOOSE(CONTROL!$C$12, $D$4, 100%, $F$4)</f>
        <v>14.055099999999999</v>
      </c>
      <c r="K824" s="4"/>
      <c r="L824" s="9">
        <v>26.515499999999999</v>
      </c>
      <c r="M824" s="9">
        <v>11.6745</v>
      </c>
      <c r="N824" s="9">
        <v>4.7850000000000001</v>
      </c>
      <c r="O824" s="9">
        <v>0.36249999999999999</v>
      </c>
      <c r="P824" s="9">
        <v>1.2522</v>
      </c>
      <c r="Q824" s="9">
        <v>19.053000000000001</v>
      </c>
      <c r="R824" s="9"/>
      <c r="S824" s="11"/>
    </row>
    <row r="825" spans="1:19" ht="15.6">
      <c r="A825" s="13">
        <v>67206</v>
      </c>
      <c r="B825" s="8">
        <f>14.4793 * CHOOSE(CONTROL!$C$12, $D$4, 100%, $F$4)</f>
        <v>14.4793</v>
      </c>
      <c r="C825" s="8">
        <f>14.4897 * CHOOSE(CONTROL!$C$12, $D$4, 100%, $F$4)</f>
        <v>14.489699999999999</v>
      </c>
      <c r="D825" s="8">
        <f>14.4509 * CHOOSE( CONTROL!$C$12, $D$4, 100%, $F$4)</f>
        <v>14.450900000000001</v>
      </c>
      <c r="E825" s="12">
        <f>14.464 * CHOOSE( CONTROL!$C$12, $D$4, 100%, $F$4)</f>
        <v>14.464</v>
      </c>
      <c r="F825" s="4">
        <f>15.4497 * CHOOSE(CONTROL!$C$12, $D$4, 100%, $F$4)</f>
        <v>15.4497</v>
      </c>
      <c r="G825" s="8">
        <f>14.2634 * CHOOSE( CONTROL!$C$12, $D$4, 100%, $F$4)</f>
        <v>14.263400000000001</v>
      </c>
      <c r="H825" s="4">
        <f>15.147 * CHOOSE(CONTROL!$C$12, $D$4, 100%, $F$4)</f>
        <v>15.147</v>
      </c>
      <c r="I825" s="8">
        <f>14.1085 * CHOOSE(CONTROL!$C$12, $D$4, 100%, $F$4)</f>
        <v>14.108499999999999</v>
      </c>
      <c r="J825" s="4">
        <f>14.0295 * CHOOSE(CONTROL!$C$12, $D$4, 100%, $F$4)</f>
        <v>14.029500000000001</v>
      </c>
      <c r="K825" s="4"/>
      <c r="L825" s="9">
        <v>27.3993</v>
      </c>
      <c r="M825" s="9">
        <v>12.063700000000001</v>
      </c>
      <c r="N825" s="9">
        <v>4.9444999999999997</v>
      </c>
      <c r="O825" s="9">
        <v>0.37459999999999999</v>
      </c>
      <c r="P825" s="9">
        <v>1.2939000000000001</v>
      </c>
      <c r="Q825" s="9">
        <v>19.688099999999999</v>
      </c>
      <c r="R825" s="9"/>
      <c r="S825" s="11"/>
    </row>
    <row r="826" spans="1:19" ht="15.6">
      <c r="A826" s="13">
        <v>67237</v>
      </c>
      <c r="B826" s="8">
        <f>14.8172 * CHOOSE(CONTROL!$C$12, $D$4, 100%, $F$4)</f>
        <v>14.8172</v>
      </c>
      <c r="C826" s="8">
        <f>14.8275 * CHOOSE(CONTROL!$C$12, $D$4, 100%, $F$4)</f>
        <v>14.827500000000001</v>
      </c>
      <c r="D826" s="8">
        <f>14.8273 * CHOOSE( CONTROL!$C$12, $D$4, 100%, $F$4)</f>
        <v>14.827299999999999</v>
      </c>
      <c r="E826" s="12">
        <f>14.8263 * CHOOSE( CONTROL!$C$12, $D$4, 100%, $F$4)</f>
        <v>14.8263</v>
      </c>
      <c r="F826" s="4">
        <f>15.8391 * CHOOSE(CONTROL!$C$12, $D$4, 100%, $F$4)</f>
        <v>15.8391</v>
      </c>
      <c r="G826" s="8">
        <f>14.6374 * CHOOSE( CONTROL!$C$12, $D$4, 100%, $F$4)</f>
        <v>14.6374</v>
      </c>
      <c r="H826" s="4">
        <f>15.5309 * CHOOSE(CONTROL!$C$12, $D$4, 100%, $F$4)</f>
        <v>15.530900000000001</v>
      </c>
      <c r="I826" s="8">
        <f>14.4727 * CHOOSE(CONTROL!$C$12, $D$4, 100%, $F$4)</f>
        <v>14.4727</v>
      </c>
      <c r="J826" s="4">
        <f>14.3569 * CHOOSE(CONTROL!$C$12, $D$4, 100%, $F$4)</f>
        <v>14.3569</v>
      </c>
      <c r="K826" s="4"/>
      <c r="L826" s="9">
        <v>27.3993</v>
      </c>
      <c r="M826" s="9">
        <v>12.063700000000001</v>
      </c>
      <c r="N826" s="9">
        <v>4.9444999999999997</v>
      </c>
      <c r="O826" s="9">
        <v>0.37459999999999999</v>
      </c>
      <c r="P826" s="9">
        <v>1.2939000000000001</v>
      </c>
      <c r="Q826" s="9">
        <v>19.688099999999999</v>
      </c>
      <c r="R826" s="9"/>
      <c r="S826" s="11"/>
    </row>
    <row r="827" spans="1:19" ht="15.6">
      <c r="A827" s="13">
        <v>67266</v>
      </c>
      <c r="B827" s="8">
        <f>13.8594 * CHOOSE(CONTROL!$C$12, $D$4, 100%, $F$4)</f>
        <v>13.859400000000001</v>
      </c>
      <c r="C827" s="8">
        <f>13.8697 * CHOOSE(CONTROL!$C$12, $D$4, 100%, $F$4)</f>
        <v>13.8697</v>
      </c>
      <c r="D827" s="8">
        <f>13.8718 * CHOOSE( CONTROL!$C$12, $D$4, 100%, $F$4)</f>
        <v>13.8718</v>
      </c>
      <c r="E827" s="12">
        <f>13.8699 * CHOOSE( CONTROL!$C$12, $D$4, 100%, $F$4)</f>
        <v>13.869899999999999</v>
      </c>
      <c r="F827" s="4">
        <f>14.8735 * CHOOSE(CONTROL!$C$12, $D$4, 100%, $F$4)</f>
        <v>14.8735</v>
      </c>
      <c r="G827" s="8">
        <f>13.6931 * CHOOSE( CONTROL!$C$12, $D$4, 100%, $F$4)</f>
        <v>13.693099999999999</v>
      </c>
      <c r="H827" s="4">
        <f>14.5791 * CHOOSE(CONTROL!$C$12, $D$4, 100%, $F$4)</f>
        <v>14.5791</v>
      </c>
      <c r="I827" s="8">
        <f>13.5331 * CHOOSE(CONTROL!$C$12, $D$4, 100%, $F$4)</f>
        <v>13.533099999999999</v>
      </c>
      <c r="J827" s="4">
        <f>13.4288 * CHOOSE(CONTROL!$C$12, $D$4, 100%, $F$4)</f>
        <v>13.428800000000001</v>
      </c>
      <c r="K827" s="4"/>
      <c r="L827" s="9">
        <v>25.631599999999999</v>
      </c>
      <c r="M827" s="9">
        <v>11.285299999999999</v>
      </c>
      <c r="N827" s="9">
        <v>4.6254999999999997</v>
      </c>
      <c r="O827" s="9">
        <v>0.35039999999999999</v>
      </c>
      <c r="P827" s="9">
        <v>1.2104999999999999</v>
      </c>
      <c r="Q827" s="9">
        <v>18.417899999999999</v>
      </c>
      <c r="R827" s="9"/>
      <c r="S827" s="11"/>
    </row>
    <row r="828" spans="1:19" ht="15.6">
      <c r="A828" s="13">
        <v>67297</v>
      </c>
      <c r="B828" s="8">
        <f>13.5644 * CHOOSE(CONTROL!$C$12, $D$4, 100%, $F$4)</f>
        <v>13.564399999999999</v>
      </c>
      <c r="C828" s="8">
        <f>13.5747 * CHOOSE(CONTROL!$C$12, $D$4, 100%, $F$4)</f>
        <v>13.5747</v>
      </c>
      <c r="D828" s="8">
        <f>13.5569 * CHOOSE( CONTROL!$C$12, $D$4, 100%, $F$4)</f>
        <v>13.556900000000001</v>
      </c>
      <c r="E828" s="12">
        <f>13.5623 * CHOOSE( CONTROL!$C$12, $D$4, 100%, $F$4)</f>
        <v>13.5623</v>
      </c>
      <c r="F828" s="4">
        <f>14.5625 * CHOOSE(CONTROL!$C$12, $D$4, 100%, $F$4)</f>
        <v>14.5625</v>
      </c>
      <c r="G828" s="8">
        <f>13.3818 * CHOOSE( CONTROL!$C$12, $D$4, 100%, $F$4)</f>
        <v>13.3818</v>
      </c>
      <c r="H828" s="4">
        <f>14.2725 * CHOOSE(CONTROL!$C$12, $D$4, 100%, $F$4)</f>
        <v>14.272500000000001</v>
      </c>
      <c r="I828" s="8">
        <f>13.2076 * CHOOSE(CONTROL!$C$12, $D$4, 100%, $F$4)</f>
        <v>13.207599999999999</v>
      </c>
      <c r="J828" s="4">
        <f>13.1429 * CHOOSE(CONTROL!$C$12, $D$4, 100%, $F$4)</f>
        <v>13.142899999999999</v>
      </c>
      <c r="K828" s="4"/>
      <c r="L828" s="9">
        <v>27.3993</v>
      </c>
      <c r="M828" s="9">
        <v>12.063700000000001</v>
      </c>
      <c r="N828" s="9">
        <v>4.9444999999999997</v>
      </c>
      <c r="O828" s="9">
        <v>0.37459999999999999</v>
      </c>
      <c r="P828" s="9">
        <v>1.2939000000000001</v>
      </c>
      <c r="Q828" s="9">
        <v>19.688099999999999</v>
      </c>
      <c r="R828" s="9"/>
      <c r="S828" s="11"/>
    </row>
    <row r="829" spans="1:19" ht="15.6">
      <c r="A829" s="13">
        <v>67327</v>
      </c>
      <c r="B829" s="8">
        <f>13.7705 * CHOOSE(CONTROL!$C$12, $D$4, 100%, $F$4)</f>
        <v>13.7705</v>
      </c>
      <c r="C829" s="8">
        <f>13.7808 * CHOOSE(CONTROL!$C$12, $D$4, 100%, $F$4)</f>
        <v>13.780799999999999</v>
      </c>
      <c r="D829" s="8">
        <f>13.7859 * CHOOSE( CONTROL!$C$12, $D$4, 100%, $F$4)</f>
        <v>13.7859</v>
      </c>
      <c r="E829" s="12">
        <f>13.783 * CHOOSE( CONTROL!$C$12, $D$4, 100%, $F$4)</f>
        <v>13.782999999999999</v>
      </c>
      <c r="F829" s="4">
        <f>14.7769 * CHOOSE(CONTROL!$C$12, $D$4, 100%, $F$4)</f>
        <v>14.776899999999999</v>
      </c>
      <c r="G829" s="8">
        <f>13.5729 * CHOOSE( CONTROL!$C$12, $D$4, 100%, $F$4)</f>
        <v>13.572900000000001</v>
      </c>
      <c r="H829" s="4">
        <f>14.4839 * CHOOSE(CONTROL!$C$12, $D$4, 100%, $F$4)</f>
        <v>14.4839</v>
      </c>
      <c r="I829" s="8">
        <f>13.3976 * CHOOSE(CONTROL!$C$12, $D$4, 100%, $F$4)</f>
        <v>13.397600000000001</v>
      </c>
      <c r="J829" s="4">
        <f>13.3427 * CHOOSE(CONTROL!$C$12, $D$4, 100%, $F$4)</f>
        <v>13.342700000000001</v>
      </c>
      <c r="K829" s="4"/>
      <c r="L829" s="9">
        <v>27.988800000000001</v>
      </c>
      <c r="M829" s="9">
        <v>11.6745</v>
      </c>
      <c r="N829" s="9">
        <v>4.7850000000000001</v>
      </c>
      <c r="O829" s="9">
        <v>0.36249999999999999</v>
      </c>
      <c r="P829" s="9">
        <v>1.1798</v>
      </c>
      <c r="Q829" s="9">
        <v>19.053000000000001</v>
      </c>
      <c r="R829" s="9"/>
      <c r="S829" s="11"/>
    </row>
    <row r="830" spans="1:19" ht="15.6">
      <c r="A830" s="13">
        <v>67358</v>
      </c>
      <c r="B830" s="8">
        <f>CHOOSE( CONTROL!$C$29, 14.1442, 14.1374) * CHOOSE(CONTROL!$C$12, $D$4, 100%, $F$4)</f>
        <v>14.1374</v>
      </c>
      <c r="C830" s="8">
        <f>CHOOSE( CONTROL!$C$29, 14.1546, 14.1477) * CHOOSE(CONTROL!$C$12, $D$4, 100%, $F$4)</f>
        <v>14.1477</v>
      </c>
      <c r="D830" s="8">
        <f>CHOOSE( CONTROL!$C$29, 14.1348, 14.128) * CHOOSE( CONTROL!$C$12, $D$4, 100%, $F$4)</f>
        <v>14.128</v>
      </c>
      <c r="E830" s="12">
        <f>CHOOSE( CONTROL!$C$29, 14.1404, 14.1336) * CHOOSE( CONTROL!$C$12, $D$4, 100%, $F$4)</f>
        <v>14.133599999999999</v>
      </c>
      <c r="F830" s="4">
        <f>CHOOSE( CONTROL!$C$29, 15.1187, 15.1118) * CHOOSE(CONTROL!$C$12, $D$4, 100%, $F$4)</f>
        <v>15.111800000000001</v>
      </c>
      <c r="G830" s="8">
        <f>CHOOSE( CONTROL!$C$29, 13.9231, 13.9163) * CHOOSE( CONTROL!$C$12, $D$4, 100%, $F$4)</f>
        <v>13.9163</v>
      </c>
      <c r="H830" s="4">
        <f>CHOOSE( CONTROL!$C$29, 14.8207, 14.814) * CHOOSE(CONTROL!$C$12, $D$4, 100%, $F$4)</f>
        <v>14.814</v>
      </c>
      <c r="I830" s="8">
        <f>CHOOSE( CONTROL!$C$29, 13.7384, 13.7317) * CHOOSE(CONTROL!$C$12, $D$4, 100%, $F$4)</f>
        <v>13.7317</v>
      </c>
      <c r="J830" s="4">
        <f>CHOOSE( CONTROL!$C$29, 13.7048, 13.6982) * CHOOSE(CONTROL!$C$12, $D$4, 100%, $F$4)</f>
        <v>13.6982</v>
      </c>
      <c r="K830" s="4"/>
      <c r="L830" s="9">
        <v>29.520499999999998</v>
      </c>
      <c r="M830" s="9">
        <v>12.063700000000001</v>
      </c>
      <c r="N830" s="9">
        <v>4.9444999999999997</v>
      </c>
      <c r="O830" s="9">
        <v>0.37459999999999999</v>
      </c>
      <c r="P830" s="9">
        <v>1.2192000000000001</v>
      </c>
      <c r="Q830" s="9">
        <v>19.688099999999999</v>
      </c>
      <c r="R830" s="9"/>
      <c r="S830" s="11"/>
    </row>
    <row r="831" spans="1:19" ht="15.6">
      <c r="A831" s="13">
        <v>67388</v>
      </c>
      <c r="B831" s="8">
        <f>CHOOSE( CONTROL!$C$29, 13.917, 13.9101) * CHOOSE(CONTROL!$C$12, $D$4, 100%, $F$4)</f>
        <v>13.9101</v>
      </c>
      <c r="C831" s="8">
        <f>CHOOSE( CONTROL!$C$29, 13.9273, 13.9204) * CHOOSE(CONTROL!$C$12, $D$4, 100%, $F$4)</f>
        <v>13.920400000000001</v>
      </c>
      <c r="D831" s="8">
        <f>CHOOSE( CONTROL!$C$29, 13.902, 13.8952) * CHOOSE( CONTROL!$C$12, $D$4, 100%, $F$4)</f>
        <v>13.895200000000001</v>
      </c>
      <c r="E831" s="12">
        <f>CHOOSE( CONTROL!$C$29, 13.9096, 13.9028) * CHOOSE( CONTROL!$C$12, $D$4, 100%, $F$4)</f>
        <v>13.902799999999999</v>
      </c>
      <c r="F831" s="4">
        <f>CHOOSE( CONTROL!$C$29, 14.8811, 14.8742) * CHOOSE(CONTROL!$C$12, $D$4, 100%, $F$4)</f>
        <v>14.8742</v>
      </c>
      <c r="G831" s="8">
        <f>CHOOSE( CONTROL!$C$29, 13.6978, 13.691) * CHOOSE( CONTROL!$C$12, $D$4, 100%, $F$4)</f>
        <v>13.691000000000001</v>
      </c>
      <c r="H831" s="4">
        <f>CHOOSE( CONTROL!$C$29, 14.5865, 14.5798) * CHOOSE(CONTROL!$C$12, $D$4, 100%, $F$4)</f>
        <v>14.579800000000001</v>
      </c>
      <c r="I831" s="8">
        <f>CHOOSE( CONTROL!$C$29, 13.5202, 13.5136) * CHOOSE(CONTROL!$C$12, $D$4, 100%, $F$4)</f>
        <v>13.5136</v>
      </c>
      <c r="J831" s="4">
        <f>CHOOSE( CONTROL!$C$29, 13.4846, 13.478) * CHOOSE(CONTROL!$C$12, $D$4, 100%, $F$4)</f>
        <v>13.478</v>
      </c>
      <c r="K831" s="4"/>
      <c r="L831" s="9">
        <v>28.568200000000001</v>
      </c>
      <c r="M831" s="9">
        <v>11.6745</v>
      </c>
      <c r="N831" s="9">
        <v>4.7850000000000001</v>
      </c>
      <c r="O831" s="9">
        <v>0.36249999999999999</v>
      </c>
      <c r="P831" s="9">
        <v>1.1798</v>
      </c>
      <c r="Q831" s="9">
        <v>19.053000000000001</v>
      </c>
      <c r="R831" s="9"/>
      <c r="S831" s="11"/>
    </row>
    <row r="832" spans="1:19" ht="15.6">
      <c r="A832" s="13">
        <v>67419</v>
      </c>
      <c r="B832" s="8">
        <f>CHOOSE( CONTROL!$C$29, 14.5155, 14.5086) * CHOOSE(CONTROL!$C$12, $D$4, 100%, $F$4)</f>
        <v>14.508599999999999</v>
      </c>
      <c r="C832" s="8">
        <f>CHOOSE( CONTROL!$C$29, 14.5258, 14.519) * CHOOSE(CONTROL!$C$12, $D$4, 100%, $F$4)</f>
        <v>14.519</v>
      </c>
      <c r="D832" s="8">
        <f>CHOOSE( CONTROL!$C$29, 14.5339, 14.5271) * CHOOSE( CONTROL!$C$12, $D$4, 100%, $F$4)</f>
        <v>14.527100000000001</v>
      </c>
      <c r="E832" s="12">
        <f>CHOOSE( CONTROL!$C$29, 14.5294, 14.5226) * CHOOSE( CONTROL!$C$12, $D$4, 100%, $F$4)</f>
        <v>14.522600000000001</v>
      </c>
      <c r="F832" s="4">
        <f>CHOOSE( CONTROL!$C$29, 15.5245, 15.5177) * CHOOSE(CONTROL!$C$12, $D$4, 100%, $F$4)</f>
        <v>15.5177</v>
      </c>
      <c r="G832" s="8">
        <f>CHOOSE( CONTROL!$C$29, 14.3138, 14.3071) * CHOOSE( CONTROL!$C$12, $D$4, 100%, $F$4)</f>
        <v>14.3071</v>
      </c>
      <c r="H832" s="4">
        <f>CHOOSE( CONTROL!$C$29, 15.2208, 15.214) * CHOOSE(CONTROL!$C$12, $D$4, 100%, $F$4)</f>
        <v>15.214</v>
      </c>
      <c r="I832" s="8">
        <f>CHOOSE( CONTROL!$C$29, 14.1557, 14.1491) * CHOOSE(CONTROL!$C$12, $D$4, 100%, $F$4)</f>
        <v>14.149100000000001</v>
      </c>
      <c r="J832" s="4">
        <f>CHOOSE( CONTROL!$C$29, 14.0645, 14.0579) * CHOOSE(CONTROL!$C$12, $D$4, 100%, $F$4)</f>
        <v>14.0579</v>
      </c>
      <c r="K832" s="4"/>
      <c r="L832" s="9">
        <v>29.520499999999998</v>
      </c>
      <c r="M832" s="9">
        <v>12.063700000000001</v>
      </c>
      <c r="N832" s="9">
        <v>4.9444999999999997</v>
      </c>
      <c r="O832" s="9">
        <v>0.37459999999999999</v>
      </c>
      <c r="P832" s="9">
        <v>1.2192000000000001</v>
      </c>
      <c r="Q832" s="9">
        <v>19.688099999999999</v>
      </c>
      <c r="R832" s="9"/>
      <c r="S832" s="11"/>
    </row>
    <row r="833" spans="1:19" ht="15.6">
      <c r="A833" s="13">
        <v>67450</v>
      </c>
      <c r="B833" s="8">
        <f>CHOOSE( CONTROL!$C$29, 13.3956, 13.3887) * CHOOSE(CONTROL!$C$12, $D$4, 100%, $F$4)</f>
        <v>13.3887</v>
      </c>
      <c r="C833" s="8">
        <f>CHOOSE( CONTROL!$C$29, 13.4059, 13.3991) * CHOOSE(CONTROL!$C$12, $D$4, 100%, $F$4)</f>
        <v>13.399100000000001</v>
      </c>
      <c r="D833" s="8">
        <f>CHOOSE( CONTROL!$C$29, 13.4074, 13.4005) * CHOOSE( CONTROL!$C$12, $D$4, 100%, $F$4)</f>
        <v>13.400499999999999</v>
      </c>
      <c r="E833" s="12">
        <f>CHOOSE( CONTROL!$C$29, 13.4053, 13.3984) * CHOOSE( CONTROL!$C$12, $D$4, 100%, $F$4)</f>
        <v>13.398400000000001</v>
      </c>
      <c r="F833" s="4">
        <f>CHOOSE( CONTROL!$C$29, 14.402, 14.3952) * CHOOSE(CONTROL!$C$12, $D$4, 100%, $F$4)</f>
        <v>14.395200000000001</v>
      </c>
      <c r="G833" s="8">
        <f>CHOOSE( CONTROL!$C$29, 13.2, 13.1932) * CHOOSE( CONTROL!$C$12, $D$4, 100%, $F$4)</f>
        <v>13.193199999999999</v>
      </c>
      <c r="H833" s="4">
        <f>CHOOSE( CONTROL!$C$29, 14.1143, 14.1075) * CHOOSE(CONTROL!$C$12, $D$4, 100%, $F$4)</f>
        <v>14.1075</v>
      </c>
      <c r="I833" s="8">
        <f>CHOOSE( CONTROL!$C$29, 13.0511, 13.0445) * CHOOSE(CONTROL!$C$12, $D$4, 100%, $F$4)</f>
        <v>13.044499999999999</v>
      </c>
      <c r="J833" s="4">
        <f>CHOOSE( CONTROL!$C$29, 12.9794, 12.9727) * CHOOSE(CONTROL!$C$12, $D$4, 100%, $F$4)</f>
        <v>12.9727</v>
      </c>
      <c r="K833" s="4"/>
      <c r="L833" s="9">
        <v>29.520499999999998</v>
      </c>
      <c r="M833" s="9">
        <v>12.063700000000001</v>
      </c>
      <c r="N833" s="9">
        <v>4.9444999999999997</v>
      </c>
      <c r="O833" s="9">
        <v>0.37459999999999999</v>
      </c>
      <c r="P833" s="9">
        <v>1.2192000000000001</v>
      </c>
      <c r="Q833" s="9">
        <v>19.688099999999999</v>
      </c>
      <c r="R833" s="9"/>
      <c r="S833" s="11"/>
    </row>
    <row r="834" spans="1:19" ht="15.6">
      <c r="A834" s="13">
        <v>67480</v>
      </c>
      <c r="B834" s="8">
        <f>CHOOSE( CONTROL!$C$29, 13.1152, 13.1083) * CHOOSE(CONTROL!$C$12, $D$4, 100%, $F$4)</f>
        <v>13.1083</v>
      </c>
      <c r="C834" s="8">
        <f>CHOOSE( CONTROL!$C$29, 13.1255, 13.1186) * CHOOSE(CONTROL!$C$12, $D$4, 100%, $F$4)</f>
        <v>13.118600000000001</v>
      </c>
      <c r="D834" s="8">
        <f>CHOOSE( CONTROL!$C$29, 13.1302, 13.1233) * CHOOSE( CONTROL!$C$12, $D$4, 100%, $F$4)</f>
        <v>13.1233</v>
      </c>
      <c r="E834" s="12">
        <f>CHOOSE( CONTROL!$C$29, 13.1269, 13.12) * CHOOSE( CONTROL!$C$12, $D$4, 100%, $F$4)</f>
        <v>13.12</v>
      </c>
      <c r="F834" s="4">
        <f>CHOOSE( CONTROL!$C$29, 14.1268, 14.1199) * CHOOSE(CONTROL!$C$12, $D$4, 100%, $F$4)</f>
        <v>14.119899999999999</v>
      </c>
      <c r="G834" s="8">
        <f>CHOOSE( CONTROL!$C$29, 12.9256, 12.9188) * CHOOSE( CONTROL!$C$12, $D$4, 100%, $F$4)</f>
        <v>12.918799999999999</v>
      </c>
      <c r="H834" s="4">
        <f>CHOOSE( CONTROL!$C$29, 13.8429, 13.8362) * CHOOSE(CONTROL!$C$12, $D$4, 100%, $F$4)</f>
        <v>13.8362</v>
      </c>
      <c r="I834" s="8">
        <f>CHOOSE( CONTROL!$C$29, 12.787, 12.7804) * CHOOSE(CONTROL!$C$12, $D$4, 100%, $F$4)</f>
        <v>12.7804</v>
      </c>
      <c r="J834" s="4">
        <f>CHOOSE( CONTROL!$C$29, 12.7076, 12.701) * CHOOSE(CONTROL!$C$12, $D$4, 100%, $F$4)</f>
        <v>12.701000000000001</v>
      </c>
      <c r="K834" s="4"/>
      <c r="L834" s="9">
        <v>28.568200000000001</v>
      </c>
      <c r="M834" s="9">
        <v>11.6745</v>
      </c>
      <c r="N834" s="9">
        <v>4.7850000000000001</v>
      </c>
      <c r="O834" s="9">
        <v>0.36249999999999999</v>
      </c>
      <c r="P834" s="9">
        <v>1.1798</v>
      </c>
      <c r="Q834" s="9">
        <v>19.053000000000001</v>
      </c>
      <c r="R834" s="9"/>
      <c r="S834" s="11"/>
    </row>
    <row r="835" spans="1:19" ht="15.6">
      <c r="A835" s="13">
        <v>67511</v>
      </c>
      <c r="B835" s="8">
        <f>13.6906 * CHOOSE(CONTROL!$C$12, $D$4, 100%, $F$4)</f>
        <v>13.6906</v>
      </c>
      <c r="C835" s="8">
        <f>13.7009 * CHOOSE(CONTROL!$C$12, $D$4, 100%, $F$4)</f>
        <v>13.700900000000001</v>
      </c>
      <c r="D835" s="8">
        <f>13.696 * CHOOSE( CONTROL!$C$12, $D$4, 100%, $F$4)</f>
        <v>13.696</v>
      </c>
      <c r="E835" s="12">
        <f>13.6965 * CHOOSE( CONTROL!$C$12, $D$4, 100%, $F$4)</f>
        <v>13.6965</v>
      </c>
      <c r="F835" s="4">
        <f>14.6816 * CHOOSE(CONTROL!$C$12, $D$4, 100%, $F$4)</f>
        <v>14.6816</v>
      </c>
      <c r="G835" s="8">
        <f>13.4896 * CHOOSE( CONTROL!$C$12, $D$4, 100%, $F$4)</f>
        <v>13.489599999999999</v>
      </c>
      <c r="H835" s="4">
        <f>14.3898 * CHOOSE(CONTROL!$C$12, $D$4, 100%, $F$4)</f>
        <v>14.389799999999999</v>
      </c>
      <c r="I835" s="8">
        <f>13.3488 * CHOOSE(CONTROL!$C$12, $D$4, 100%, $F$4)</f>
        <v>13.348800000000001</v>
      </c>
      <c r="J835" s="4">
        <f>13.2652 * CHOOSE(CONTROL!$C$12, $D$4, 100%, $F$4)</f>
        <v>13.2652</v>
      </c>
      <c r="K835" s="4"/>
      <c r="L835" s="9">
        <v>28.921800000000001</v>
      </c>
      <c r="M835" s="9">
        <v>12.063700000000001</v>
      </c>
      <c r="N835" s="9">
        <v>4.9444999999999997</v>
      </c>
      <c r="O835" s="9">
        <v>0.37459999999999999</v>
      </c>
      <c r="P835" s="9">
        <v>1.2192000000000001</v>
      </c>
      <c r="Q835" s="9">
        <v>19.688099999999999</v>
      </c>
      <c r="R835" s="9"/>
      <c r="S835" s="11"/>
    </row>
    <row r="836" spans="1:19" ht="15.6">
      <c r="A836" s="13">
        <v>67541</v>
      </c>
      <c r="B836" s="8">
        <f>14.7654 * CHOOSE(CONTROL!$C$12, $D$4, 100%, $F$4)</f>
        <v>14.7654</v>
      </c>
      <c r="C836" s="8">
        <f>14.7757 * CHOOSE(CONTROL!$C$12, $D$4, 100%, $F$4)</f>
        <v>14.775700000000001</v>
      </c>
      <c r="D836" s="8">
        <f>14.735 * CHOOSE( CONTROL!$C$12, $D$4, 100%, $F$4)</f>
        <v>14.734999999999999</v>
      </c>
      <c r="E836" s="12">
        <f>14.7488 * CHOOSE( CONTROL!$C$12, $D$4, 100%, $F$4)</f>
        <v>14.748799999999999</v>
      </c>
      <c r="F836" s="4">
        <f>15.7424 * CHOOSE(CONTROL!$C$12, $D$4, 100%, $F$4)</f>
        <v>15.7424</v>
      </c>
      <c r="G836" s="8">
        <f>14.543 * CHOOSE( CONTROL!$C$12, $D$4, 100%, $F$4)</f>
        <v>14.542999999999999</v>
      </c>
      <c r="H836" s="4">
        <f>15.4355 * CHOOSE(CONTROL!$C$12, $D$4, 100%, $F$4)</f>
        <v>15.435499999999999</v>
      </c>
      <c r="I836" s="8">
        <f>14.375 * CHOOSE(CONTROL!$C$12, $D$4, 100%, $F$4)</f>
        <v>14.375</v>
      </c>
      <c r="J836" s="4">
        <f>14.3067 * CHOOSE(CONTROL!$C$12, $D$4, 100%, $F$4)</f>
        <v>14.306699999999999</v>
      </c>
      <c r="K836" s="4"/>
      <c r="L836" s="9">
        <v>26.515499999999999</v>
      </c>
      <c r="M836" s="9">
        <v>11.6745</v>
      </c>
      <c r="N836" s="9">
        <v>4.7850000000000001</v>
      </c>
      <c r="O836" s="9">
        <v>0.36249999999999999</v>
      </c>
      <c r="P836" s="9">
        <v>1.2522</v>
      </c>
      <c r="Q836" s="9">
        <v>19.053000000000001</v>
      </c>
      <c r="R836" s="9"/>
      <c r="S836" s="11"/>
    </row>
    <row r="837" spans="1:19" ht="15.6">
      <c r="A837" s="13">
        <v>67572</v>
      </c>
      <c r="B837" s="8">
        <f>14.7385 * CHOOSE(CONTROL!$C$12, $D$4, 100%, $F$4)</f>
        <v>14.7385</v>
      </c>
      <c r="C837" s="8">
        <f>14.7488 * CHOOSE(CONTROL!$C$12, $D$4, 100%, $F$4)</f>
        <v>14.748799999999999</v>
      </c>
      <c r="D837" s="8">
        <f>14.71 * CHOOSE( CONTROL!$C$12, $D$4, 100%, $F$4)</f>
        <v>14.71</v>
      </c>
      <c r="E837" s="12">
        <f>14.7231 * CHOOSE( CONTROL!$C$12, $D$4, 100%, $F$4)</f>
        <v>14.723100000000001</v>
      </c>
      <c r="F837" s="4">
        <f>15.7088 * CHOOSE(CONTROL!$C$12, $D$4, 100%, $F$4)</f>
        <v>15.7088</v>
      </c>
      <c r="G837" s="8">
        <f>14.5189 * CHOOSE( CONTROL!$C$12, $D$4, 100%, $F$4)</f>
        <v>14.5189</v>
      </c>
      <c r="H837" s="4">
        <f>15.4025 * CHOOSE(CONTROL!$C$12, $D$4, 100%, $F$4)</f>
        <v>15.4025</v>
      </c>
      <c r="I837" s="8">
        <f>14.3598 * CHOOSE(CONTROL!$C$12, $D$4, 100%, $F$4)</f>
        <v>14.3598</v>
      </c>
      <c r="J837" s="4">
        <f>14.2807 * CHOOSE(CONTROL!$C$12, $D$4, 100%, $F$4)</f>
        <v>14.2807</v>
      </c>
      <c r="K837" s="4"/>
      <c r="L837" s="9">
        <v>27.3993</v>
      </c>
      <c r="M837" s="9">
        <v>12.063700000000001</v>
      </c>
      <c r="N837" s="9">
        <v>4.9444999999999997</v>
      </c>
      <c r="O837" s="9">
        <v>0.37459999999999999</v>
      </c>
      <c r="P837" s="9">
        <v>1.2939000000000001</v>
      </c>
      <c r="Q837" s="9">
        <v>19.688099999999999</v>
      </c>
      <c r="R837" s="9"/>
      <c r="S837" s="11"/>
    </row>
    <row r="838" spans="1:19" ht="15.6">
      <c r="A838" s="13">
        <v>67603</v>
      </c>
      <c r="B838" s="8">
        <f>15.0824 * CHOOSE(CONTROL!$C$12, $D$4, 100%, $F$4)</f>
        <v>15.0824</v>
      </c>
      <c r="C838" s="8">
        <f>15.0927 * CHOOSE(CONTROL!$C$12, $D$4, 100%, $F$4)</f>
        <v>15.092700000000001</v>
      </c>
      <c r="D838" s="8">
        <f>15.0925 * CHOOSE( CONTROL!$C$12, $D$4, 100%, $F$4)</f>
        <v>15.092499999999999</v>
      </c>
      <c r="E838" s="12">
        <f>15.0915 * CHOOSE( CONTROL!$C$12, $D$4, 100%, $F$4)</f>
        <v>15.0915</v>
      </c>
      <c r="F838" s="4">
        <f>16.1043 * CHOOSE(CONTROL!$C$12, $D$4, 100%, $F$4)</f>
        <v>16.104299999999999</v>
      </c>
      <c r="G838" s="8">
        <f>14.8989 * CHOOSE( CONTROL!$C$12, $D$4, 100%, $F$4)</f>
        <v>14.898899999999999</v>
      </c>
      <c r="H838" s="4">
        <f>15.7923 * CHOOSE(CONTROL!$C$12, $D$4, 100%, $F$4)</f>
        <v>15.792299999999999</v>
      </c>
      <c r="I838" s="8">
        <f>14.7298 * CHOOSE(CONTROL!$C$12, $D$4, 100%, $F$4)</f>
        <v>14.729799999999999</v>
      </c>
      <c r="J838" s="4">
        <f>14.6139 * CHOOSE(CONTROL!$C$12, $D$4, 100%, $F$4)</f>
        <v>14.613899999999999</v>
      </c>
      <c r="K838" s="4"/>
      <c r="L838" s="9">
        <v>27.3993</v>
      </c>
      <c r="M838" s="9">
        <v>12.063700000000001</v>
      </c>
      <c r="N838" s="9">
        <v>4.9444999999999997</v>
      </c>
      <c r="O838" s="9">
        <v>0.37459999999999999</v>
      </c>
      <c r="P838" s="9">
        <v>1.2939000000000001</v>
      </c>
      <c r="Q838" s="9">
        <v>19.688099999999999</v>
      </c>
      <c r="R838" s="9"/>
      <c r="S838" s="11"/>
    </row>
    <row r="839" spans="1:19" ht="15.6">
      <c r="A839" s="13">
        <v>67631</v>
      </c>
      <c r="B839" s="8">
        <f>14.1074 * CHOOSE(CONTROL!$C$12, $D$4, 100%, $F$4)</f>
        <v>14.1074</v>
      </c>
      <c r="C839" s="8">
        <f>14.1178 * CHOOSE(CONTROL!$C$12, $D$4, 100%, $F$4)</f>
        <v>14.117800000000001</v>
      </c>
      <c r="D839" s="8">
        <f>14.1198 * CHOOSE( CONTROL!$C$12, $D$4, 100%, $F$4)</f>
        <v>14.1198</v>
      </c>
      <c r="E839" s="12">
        <f>14.118 * CHOOSE( CONTROL!$C$12, $D$4, 100%, $F$4)</f>
        <v>14.118</v>
      </c>
      <c r="F839" s="4">
        <f>15.1216 * CHOOSE(CONTROL!$C$12, $D$4, 100%, $F$4)</f>
        <v>15.121600000000001</v>
      </c>
      <c r="G839" s="8">
        <f>13.9376 * CHOOSE( CONTROL!$C$12, $D$4, 100%, $F$4)</f>
        <v>13.9376</v>
      </c>
      <c r="H839" s="4">
        <f>14.8236 * CHOOSE(CONTROL!$C$12, $D$4, 100%, $F$4)</f>
        <v>14.823600000000001</v>
      </c>
      <c r="I839" s="8">
        <f>13.7736 * CHOOSE(CONTROL!$C$12, $D$4, 100%, $F$4)</f>
        <v>13.7736</v>
      </c>
      <c r="J839" s="4">
        <f>13.6692 * CHOOSE(CONTROL!$C$12, $D$4, 100%, $F$4)</f>
        <v>13.6692</v>
      </c>
      <c r="K839" s="4"/>
      <c r="L839" s="9">
        <v>24.747800000000002</v>
      </c>
      <c r="M839" s="9">
        <v>10.8962</v>
      </c>
      <c r="N839" s="9">
        <v>4.4660000000000002</v>
      </c>
      <c r="O839" s="9">
        <v>0.33829999999999999</v>
      </c>
      <c r="P839" s="9">
        <v>1.1687000000000001</v>
      </c>
      <c r="Q839" s="9">
        <v>17.782800000000002</v>
      </c>
      <c r="R839" s="9"/>
      <c r="S839" s="11"/>
    </row>
    <row r="840" spans="1:19" ht="15.6">
      <c r="A840" s="13">
        <v>67662</v>
      </c>
      <c r="B840" s="8">
        <f>13.8071 * CHOOSE(CONTROL!$C$12, $D$4, 100%, $F$4)</f>
        <v>13.8071</v>
      </c>
      <c r="C840" s="8">
        <f>13.8175 * CHOOSE(CONTROL!$C$12, $D$4, 100%, $F$4)</f>
        <v>13.817500000000001</v>
      </c>
      <c r="D840" s="8">
        <f>13.7996 * CHOOSE( CONTROL!$C$12, $D$4, 100%, $F$4)</f>
        <v>13.7996</v>
      </c>
      <c r="E840" s="12">
        <f>13.805 * CHOOSE( CONTROL!$C$12, $D$4, 100%, $F$4)</f>
        <v>13.805</v>
      </c>
      <c r="F840" s="4">
        <f>14.8053 * CHOOSE(CONTROL!$C$12, $D$4, 100%, $F$4)</f>
        <v>14.805300000000001</v>
      </c>
      <c r="G840" s="8">
        <f>13.6211 * CHOOSE( CONTROL!$C$12, $D$4, 100%, $F$4)</f>
        <v>13.6211</v>
      </c>
      <c r="H840" s="4">
        <f>14.5118 * CHOOSE(CONTROL!$C$12, $D$4, 100%, $F$4)</f>
        <v>14.511799999999999</v>
      </c>
      <c r="I840" s="8">
        <f>13.443 * CHOOSE(CONTROL!$C$12, $D$4, 100%, $F$4)</f>
        <v>13.443</v>
      </c>
      <c r="J840" s="4">
        <f>13.3782 * CHOOSE(CONTROL!$C$12, $D$4, 100%, $F$4)</f>
        <v>13.3782</v>
      </c>
      <c r="K840" s="4"/>
      <c r="L840" s="9">
        <v>27.3993</v>
      </c>
      <c r="M840" s="9">
        <v>12.063700000000001</v>
      </c>
      <c r="N840" s="9">
        <v>4.9444999999999997</v>
      </c>
      <c r="O840" s="9">
        <v>0.37459999999999999</v>
      </c>
      <c r="P840" s="9">
        <v>1.2939000000000001</v>
      </c>
      <c r="Q840" s="9">
        <v>19.688099999999999</v>
      </c>
      <c r="R840" s="9"/>
      <c r="S840" s="11"/>
    </row>
    <row r="841" spans="1:19" ht="15.6">
      <c r="A841" s="13">
        <v>67692</v>
      </c>
      <c r="B841" s="8">
        <f>14.017 * CHOOSE(CONTROL!$C$12, $D$4, 100%, $F$4)</f>
        <v>14.016999999999999</v>
      </c>
      <c r="C841" s="8">
        <f>14.0273 * CHOOSE(CONTROL!$C$12, $D$4, 100%, $F$4)</f>
        <v>14.0273</v>
      </c>
      <c r="D841" s="8">
        <f>14.0323 * CHOOSE( CONTROL!$C$12, $D$4, 100%, $F$4)</f>
        <v>14.032299999999999</v>
      </c>
      <c r="E841" s="12">
        <f>14.0295 * CHOOSE( CONTROL!$C$12, $D$4, 100%, $F$4)</f>
        <v>14.029500000000001</v>
      </c>
      <c r="F841" s="4">
        <f>15.0234 * CHOOSE(CONTROL!$C$12, $D$4, 100%, $F$4)</f>
        <v>15.023400000000001</v>
      </c>
      <c r="G841" s="8">
        <f>13.8159 * CHOOSE( CONTROL!$C$12, $D$4, 100%, $F$4)</f>
        <v>13.815899999999999</v>
      </c>
      <c r="H841" s="4">
        <f>14.7268 * CHOOSE(CONTROL!$C$12, $D$4, 100%, $F$4)</f>
        <v>14.726800000000001</v>
      </c>
      <c r="I841" s="8">
        <f>13.6365 * CHOOSE(CONTROL!$C$12, $D$4, 100%, $F$4)</f>
        <v>13.6365</v>
      </c>
      <c r="J841" s="4">
        <f>13.5815 * CHOOSE(CONTROL!$C$12, $D$4, 100%, $F$4)</f>
        <v>13.5815</v>
      </c>
      <c r="K841" s="4"/>
      <c r="L841" s="9">
        <v>27.988800000000001</v>
      </c>
      <c r="M841" s="9">
        <v>11.6745</v>
      </c>
      <c r="N841" s="9">
        <v>4.7850000000000001</v>
      </c>
      <c r="O841" s="9">
        <v>0.36249999999999999</v>
      </c>
      <c r="P841" s="9">
        <v>1.1798</v>
      </c>
      <c r="Q841" s="9">
        <v>19.053000000000001</v>
      </c>
      <c r="R841" s="9"/>
      <c r="S841" s="11"/>
    </row>
    <row r="842" spans="1:19" ht="15.6">
      <c r="A842" s="13">
        <v>67723</v>
      </c>
      <c r="B842" s="8">
        <f>CHOOSE( CONTROL!$C$29, 14.3973, 14.3904) * CHOOSE(CONTROL!$C$12, $D$4, 100%, $F$4)</f>
        <v>14.3904</v>
      </c>
      <c r="C842" s="8">
        <f>CHOOSE( CONTROL!$C$29, 14.4076, 14.4008) * CHOOSE(CONTROL!$C$12, $D$4, 100%, $F$4)</f>
        <v>14.4008</v>
      </c>
      <c r="D842" s="8">
        <f>CHOOSE( CONTROL!$C$29, 14.3879, 14.381) * CHOOSE( CONTROL!$C$12, $D$4, 100%, $F$4)</f>
        <v>14.381</v>
      </c>
      <c r="E842" s="12">
        <f>CHOOSE( CONTROL!$C$29, 14.3935, 14.3866) * CHOOSE( CONTROL!$C$12, $D$4, 100%, $F$4)</f>
        <v>14.3866</v>
      </c>
      <c r="F842" s="4">
        <f>CHOOSE( CONTROL!$C$29, 15.3717, 15.3649) * CHOOSE(CONTROL!$C$12, $D$4, 100%, $F$4)</f>
        <v>15.3649</v>
      </c>
      <c r="G842" s="8">
        <f>CHOOSE( CONTROL!$C$29, 14.1725, 14.1658) * CHOOSE( CONTROL!$C$12, $D$4, 100%, $F$4)</f>
        <v>14.165800000000001</v>
      </c>
      <c r="H842" s="4">
        <f>CHOOSE( CONTROL!$C$29, 15.0702, 15.0634) * CHOOSE(CONTROL!$C$12, $D$4, 100%, $F$4)</f>
        <v>15.0634</v>
      </c>
      <c r="I842" s="8">
        <f>CHOOSE( CONTROL!$C$29, 13.9837, 13.9771) * CHOOSE(CONTROL!$C$12, $D$4, 100%, $F$4)</f>
        <v>13.9771</v>
      </c>
      <c r="J842" s="4">
        <f>CHOOSE( CONTROL!$C$29, 13.95, 13.9434) * CHOOSE(CONTROL!$C$12, $D$4, 100%, $F$4)</f>
        <v>13.9434</v>
      </c>
      <c r="K842" s="4"/>
      <c r="L842" s="9">
        <v>29.520499999999998</v>
      </c>
      <c r="M842" s="9">
        <v>12.063700000000001</v>
      </c>
      <c r="N842" s="9">
        <v>4.9444999999999997</v>
      </c>
      <c r="O842" s="9">
        <v>0.37459999999999999</v>
      </c>
      <c r="P842" s="9">
        <v>1.2192000000000001</v>
      </c>
      <c r="Q842" s="9">
        <v>19.688099999999999</v>
      </c>
      <c r="R842" s="9"/>
      <c r="S842" s="11"/>
    </row>
    <row r="843" spans="1:19" ht="15.6">
      <c r="A843" s="13">
        <v>67753</v>
      </c>
      <c r="B843" s="8">
        <f>CHOOSE( CONTROL!$C$29, 14.1659, 14.1591) * CHOOSE(CONTROL!$C$12, $D$4, 100%, $F$4)</f>
        <v>14.1591</v>
      </c>
      <c r="C843" s="8">
        <f>CHOOSE( CONTROL!$C$29, 14.1763, 14.1694) * CHOOSE(CONTROL!$C$12, $D$4, 100%, $F$4)</f>
        <v>14.1694</v>
      </c>
      <c r="D843" s="8">
        <f>CHOOSE( CONTROL!$C$29, 14.151, 14.1441) * CHOOSE( CONTROL!$C$12, $D$4, 100%, $F$4)</f>
        <v>14.1441</v>
      </c>
      <c r="E843" s="12">
        <f>CHOOSE( CONTROL!$C$29, 14.1586, 14.1517) * CHOOSE( CONTROL!$C$12, $D$4, 100%, $F$4)</f>
        <v>14.1517</v>
      </c>
      <c r="F843" s="4">
        <f>CHOOSE( CONTROL!$C$29, 15.1301, 15.1232) * CHOOSE(CONTROL!$C$12, $D$4, 100%, $F$4)</f>
        <v>15.123200000000001</v>
      </c>
      <c r="G843" s="8">
        <f>CHOOSE( CONTROL!$C$29, 13.9432, 13.9365) * CHOOSE( CONTROL!$C$12, $D$4, 100%, $F$4)</f>
        <v>13.936500000000001</v>
      </c>
      <c r="H843" s="4">
        <f>CHOOSE( CONTROL!$C$29, 14.8319, 14.8252) * CHOOSE(CONTROL!$C$12, $D$4, 100%, $F$4)</f>
        <v>14.825200000000001</v>
      </c>
      <c r="I843" s="8">
        <f>CHOOSE( CONTROL!$C$29, 13.7616, 13.7549) * CHOOSE(CONTROL!$C$12, $D$4, 100%, $F$4)</f>
        <v>13.754899999999999</v>
      </c>
      <c r="J843" s="4">
        <f>CHOOSE( CONTROL!$C$29, 13.7258, 13.7192) * CHOOSE(CONTROL!$C$12, $D$4, 100%, $F$4)</f>
        <v>13.719200000000001</v>
      </c>
      <c r="K843" s="4"/>
      <c r="L843" s="9">
        <v>28.568200000000001</v>
      </c>
      <c r="M843" s="9">
        <v>11.6745</v>
      </c>
      <c r="N843" s="9">
        <v>4.7850000000000001</v>
      </c>
      <c r="O843" s="9">
        <v>0.36249999999999999</v>
      </c>
      <c r="P843" s="9">
        <v>1.1798</v>
      </c>
      <c r="Q843" s="9">
        <v>19.053000000000001</v>
      </c>
      <c r="R843" s="9"/>
      <c r="S843" s="11"/>
    </row>
    <row r="844" spans="1:19" ht="15.6">
      <c r="A844" s="13">
        <v>67784</v>
      </c>
      <c r="B844" s="8">
        <f>CHOOSE( CONTROL!$C$29, 14.7752, 14.7683) * CHOOSE(CONTROL!$C$12, $D$4, 100%, $F$4)</f>
        <v>14.7683</v>
      </c>
      <c r="C844" s="8">
        <f>CHOOSE( CONTROL!$C$29, 14.7855, 14.7786) * CHOOSE(CONTROL!$C$12, $D$4, 100%, $F$4)</f>
        <v>14.778600000000001</v>
      </c>
      <c r="D844" s="8">
        <f>CHOOSE( CONTROL!$C$29, 14.7936, 14.7868) * CHOOSE( CONTROL!$C$12, $D$4, 100%, $F$4)</f>
        <v>14.786799999999999</v>
      </c>
      <c r="E844" s="12">
        <f>CHOOSE( CONTROL!$C$29, 14.7891, 14.7823) * CHOOSE( CONTROL!$C$12, $D$4, 100%, $F$4)</f>
        <v>14.782299999999999</v>
      </c>
      <c r="F844" s="4">
        <f>CHOOSE( CONTROL!$C$29, 15.7842, 15.7773) * CHOOSE(CONTROL!$C$12, $D$4, 100%, $F$4)</f>
        <v>15.7773</v>
      </c>
      <c r="G844" s="8">
        <f>CHOOSE( CONTROL!$C$29, 14.5698, 14.5631) * CHOOSE( CONTROL!$C$12, $D$4, 100%, $F$4)</f>
        <v>14.5631</v>
      </c>
      <c r="H844" s="4">
        <f>CHOOSE( CONTROL!$C$29, 15.4767, 15.47) * CHOOSE(CONTROL!$C$12, $D$4, 100%, $F$4)</f>
        <v>15.47</v>
      </c>
      <c r="I844" s="8">
        <f>CHOOSE( CONTROL!$C$29, 14.4075, 14.4009) * CHOOSE(CONTROL!$C$12, $D$4, 100%, $F$4)</f>
        <v>14.4009</v>
      </c>
      <c r="J844" s="4">
        <f>CHOOSE( CONTROL!$C$29, 14.3162, 14.3096) * CHOOSE(CONTROL!$C$12, $D$4, 100%, $F$4)</f>
        <v>14.3096</v>
      </c>
      <c r="K844" s="4"/>
      <c r="L844" s="9">
        <v>29.520499999999998</v>
      </c>
      <c r="M844" s="9">
        <v>12.063700000000001</v>
      </c>
      <c r="N844" s="9">
        <v>4.9444999999999997</v>
      </c>
      <c r="O844" s="9">
        <v>0.37459999999999999</v>
      </c>
      <c r="P844" s="9">
        <v>1.2192000000000001</v>
      </c>
      <c r="Q844" s="9">
        <v>19.688099999999999</v>
      </c>
      <c r="R844" s="9"/>
      <c r="S844" s="11"/>
    </row>
    <row r="845" spans="1:19" ht="15.6">
      <c r="A845" s="13">
        <v>67815</v>
      </c>
      <c r="B845" s="8">
        <f>CHOOSE( CONTROL!$C$29, 13.6352, 13.6284) * CHOOSE(CONTROL!$C$12, $D$4, 100%, $F$4)</f>
        <v>13.628399999999999</v>
      </c>
      <c r="C845" s="8">
        <f>CHOOSE( CONTROL!$C$29, 13.6456, 13.6387) * CHOOSE(CONTROL!$C$12, $D$4, 100%, $F$4)</f>
        <v>13.6387</v>
      </c>
      <c r="D845" s="8">
        <f>CHOOSE( CONTROL!$C$29, 13.647, 13.6402) * CHOOSE( CONTROL!$C$12, $D$4, 100%, $F$4)</f>
        <v>13.6402</v>
      </c>
      <c r="E845" s="12">
        <f>CHOOSE( CONTROL!$C$29, 13.6449, 13.6381) * CHOOSE( CONTROL!$C$12, $D$4, 100%, $F$4)</f>
        <v>13.6381</v>
      </c>
      <c r="F845" s="4">
        <f>CHOOSE( CONTROL!$C$29, 14.6417, 14.6348) * CHOOSE(CONTROL!$C$12, $D$4, 100%, $F$4)</f>
        <v>14.6348</v>
      </c>
      <c r="G845" s="8">
        <f>CHOOSE( CONTROL!$C$29, 13.4362, 13.4294) * CHOOSE( CONTROL!$C$12, $D$4, 100%, $F$4)</f>
        <v>13.429399999999999</v>
      </c>
      <c r="H845" s="4">
        <f>CHOOSE( CONTROL!$C$29, 14.3505, 14.3438) * CHOOSE(CONTROL!$C$12, $D$4, 100%, $F$4)</f>
        <v>14.3438</v>
      </c>
      <c r="I845" s="8">
        <f>CHOOSE( CONTROL!$C$29, 13.2834, 13.2768) * CHOOSE(CONTROL!$C$12, $D$4, 100%, $F$4)</f>
        <v>13.2768</v>
      </c>
      <c r="J845" s="4">
        <f>CHOOSE( CONTROL!$C$29, 13.2116, 13.205) * CHOOSE(CONTROL!$C$12, $D$4, 100%, $F$4)</f>
        <v>13.205</v>
      </c>
      <c r="K845" s="4"/>
      <c r="L845" s="9">
        <v>29.520499999999998</v>
      </c>
      <c r="M845" s="9">
        <v>12.063700000000001</v>
      </c>
      <c r="N845" s="9">
        <v>4.9444999999999997</v>
      </c>
      <c r="O845" s="9">
        <v>0.37459999999999999</v>
      </c>
      <c r="P845" s="9">
        <v>1.2192000000000001</v>
      </c>
      <c r="Q845" s="9">
        <v>19.688099999999999</v>
      </c>
      <c r="R845" s="9"/>
      <c r="S845" s="11"/>
    </row>
    <row r="846" spans="1:19" ht="15.6">
      <c r="A846" s="13">
        <v>67845</v>
      </c>
      <c r="B846" s="8">
        <f>CHOOSE( CONTROL!$C$29, 13.3498, 13.3429) * CHOOSE(CONTROL!$C$12, $D$4, 100%, $F$4)</f>
        <v>13.3429</v>
      </c>
      <c r="C846" s="8">
        <f>CHOOSE( CONTROL!$C$29, 13.3601, 13.3533) * CHOOSE(CONTROL!$C$12, $D$4, 100%, $F$4)</f>
        <v>13.353300000000001</v>
      </c>
      <c r="D846" s="8">
        <f>CHOOSE( CONTROL!$C$29, 13.3648, 13.3579) * CHOOSE( CONTROL!$C$12, $D$4, 100%, $F$4)</f>
        <v>13.357900000000001</v>
      </c>
      <c r="E846" s="12">
        <f>CHOOSE( CONTROL!$C$29, 13.3615, 13.3546) * CHOOSE( CONTROL!$C$12, $D$4, 100%, $F$4)</f>
        <v>13.3546</v>
      </c>
      <c r="F846" s="4">
        <f>CHOOSE( CONTROL!$C$29, 14.3614, 14.3545) * CHOOSE(CONTROL!$C$12, $D$4, 100%, $F$4)</f>
        <v>14.3545</v>
      </c>
      <c r="G846" s="8">
        <f>CHOOSE( CONTROL!$C$29, 13.1568, 13.1501) * CHOOSE( CONTROL!$C$12, $D$4, 100%, $F$4)</f>
        <v>13.1501</v>
      </c>
      <c r="H846" s="4">
        <f>CHOOSE( CONTROL!$C$29, 14.0742, 14.0675) * CHOOSE(CONTROL!$C$12, $D$4, 100%, $F$4)</f>
        <v>14.067500000000001</v>
      </c>
      <c r="I846" s="8">
        <f>CHOOSE( CONTROL!$C$29, 13.0145, 13.0079) * CHOOSE(CONTROL!$C$12, $D$4, 100%, $F$4)</f>
        <v>13.007899999999999</v>
      </c>
      <c r="J846" s="4">
        <f>CHOOSE( CONTROL!$C$29, 12.935, 12.9284) * CHOOSE(CONTROL!$C$12, $D$4, 100%, $F$4)</f>
        <v>12.9284</v>
      </c>
      <c r="K846" s="4"/>
      <c r="L846" s="9">
        <v>28.568200000000001</v>
      </c>
      <c r="M846" s="9">
        <v>11.6745</v>
      </c>
      <c r="N846" s="9">
        <v>4.7850000000000001</v>
      </c>
      <c r="O846" s="9">
        <v>0.36249999999999999</v>
      </c>
      <c r="P846" s="9">
        <v>1.1798</v>
      </c>
      <c r="Q846" s="9">
        <v>19.053000000000001</v>
      </c>
      <c r="R846" s="9"/>
      <c r="S846" s="11"/>
    </row>
    <row r="847" spans="1:19" ht="15.6">
      <c r="A847" s="13">
        <v>67876</v>
      </c>
      <c r="B847" s="8">
        <f>13.9356 * CHOOSE(CONTROL!$C$12, $D$4, 100%, $F$4)</f>
        <v>13.935600000000001</v>
      </c>
      <c r="C847" s="8">
        <f>13.946 * CHOOSE(CONTROL!$C$12, $D$4, 100%, $F$4)</f>
        <v>13.946</v>
      </c>
      <c r="D847" s="8">
        <f>13.941 * CHOOSE( CONTROL!$C$12, $D$4, 100%, $F$4)</f>
        <v>13.941000000000001</v>
      </c>
      <c r="E847" s="12">
        <f>13.9415 * CHOOSE( CONTROL!$C$12, $D$4, 100%, $F$4)</f>
        <v>13.9415</v>
      </c>
      <c r="F847" s="4">
        <f>14.9266 * CHOOSE(CONTROL!$C$12, $D$4, 100%, $F$4)</f>
        <v>14.926600000000001</v>
      </c>
      <c r="G847" s="8">
        <f>13.7311 * CHOOSE( CONTROL!$C$12, $D$4, 100%, $F$4)</f>
        <v>13.7311</v>
      </c>
      <c r="H847" s="4">
        <f>14.6314 * CHOOSE(CONTROL!$C$12, $D$4, 100%, $F$4)</f>
        <v>14.631399999999999</v>
      </c>
      <c r="I847" s="8">
        <f>13.5864 * CHOOSE(CONTROL!$C$12, $D$4, 100%, $F$4)</f>
        <v>13.586399999999999</v>
      </c>
      <c r="J847" s="4">
        <f>13.5027 * CHOOSE(CONTROL!$C$12, $D$4, 100%, $F$4)</f>
        <v>13.502700000000001</v>
      </c>
      <c r="K847" s="4"/>
      <c r="L847" s="9">
        <v>28.921800000000001</v>
      </c>
      <c r="M847" s="9">
        <v>12.063700000000001</v>
      </c>
      <c r="N847" s="9">
        <v>4.9444999999999997</v>
      </c>
      <c r="O847" s="9">
        <v>0.37459999999999999</v>
      </c>
      <c r="P847" s="9">
        <v>1.2192000000000001</v>
      </c>
      <c r="Q847" s="9">
        <v>19.688099999999999</v>
      </c>
      <c r="R847" s="9"/>
      <c r="S847" s="11"/>
    </row>
    <row r="848" spans="1:19" ht="15.6">
      <c r="A848" s="13">
        <v>67906</v>
      </c>
      <c r="B848" s="8">
        <f>15.0296 * CHOOSE(CONTROL!$C$12, $D$4, 100%, $F$4)</f>
        <v>15.0296</v>
      </c>
      <c r="C848" s="8">
        <f>15.04 * CHOOSE(CONTROL!$C$12, $D$4, 100%, $F$4)</f>
        <v>15.04</v>
      </c>
      <c r="D848" s="8">
        <f>14.9993 * CHOOSE( CONTROL!$C$12, $D$4, 100%, $F$4)</f>
        <v>14.9993</v>
      </c>
      <c r="E848" s="12">
        <f>15.0131 * CHOOSE( CONTROL!$C$12, $D$4, 100%, $F$4)</f>
        <v>15.0131</v>
      </c>
      <c r="F848" s="4">
        <f>16.0067 * CHOOSE(CONTROL!$C$12, $D$4, 100%, $F$4)</f>
        <v>16.006699999999999</v>
      </c>
      <c r="G848" s="8">
        <f>14.8035 * CHOOSE( CONTROL!$C$12, $D$4, 100%, $F$4)</f>
        <v>14.8035</v>
      </c>
      <c r="H848" s="4">
        <f>15.6961 * CHOOSE(CONTROL!$C$12, $D$4, 100%, $F$4)</f>
        <v>15.696099999999999</v>
      </c>
      <c r="I848" s="8">
        <f>14.6313 * CHOOSE(CONTROL!$C$12, $D$4, 100%, $F$4)</f>
        <v>14.6313</v>
      </c>
      <c r="J848" s="4">
        <f>14.5628 * CHOOSE(CONTROL!$C$12, $D$4, 100%, $F$4)</f>
        <v>14.562799999999999</v>
      </c>
      <c r="K848" s="4"/>
      <c r="L848" s="9">
        <v>26.515499999999999</v>
      </c>
      <c r="M848" s="9">
        <v>11.6745</v>
      </c>
      <c r="N848" s="9">
        <v>4.7850000000000001</v>
      </c>
      <c r="O848" s="9">
        <v>0.36249999999999999</v>
      </c>
      <c r="P848" s="9">
        <v>1.2522</v>
      </c>
      <c r="Q848" s="9">
        <v>19.053000000000001</v>
      </c>
      <c r="R848" s="9"/>
      <c r="S848" s="11"/>
    </row>
    <row r="849" spans="1:19" ht="15.6">
      <c r="A849" s="13">
        <v>67937</v>
      </c>
      <c r="B849" s="8">
        <f>15.0023 * CHOOSE(CONTROL!$C$12, $D$4, 100%, $F$4)</f>
        <v>15.0023</v>
      </c>
      <c r="C849" s="8">
        <f>15.0126 * CHOOSE(CONTROL!$C$12, $D$4, 100%, $F$4)</f>
        <v>15.012600000000001</v>
      </c>
      <c r="D849" s="8">
        <f>14.9738 * CHOOSE( CONTROL!$C$12, $D$4, 100%, $F$4)</f>
        <v>14.973800000000001</v>
      </c>
      <c r="E849" s="12">
        <f>14.9869 * CHOOSE( CONTROL!$C$12, $D$4, 100%, $F$4)</f>
        <v>14.9869</v>
      </c>
      <c r="F849" s="4">
        <f>15.9726 * CHOOSE(CONTROL!$C$12, $D$4, 100%, $F$4)</f>
        <v>15.9726</v>
      </c>
      <c r="G849" s="8">
        <f>14.7789 * CHOOSE( CONTROL!$C$12, $D$4, 100%, $F$4)</f>
        <v>14.7789</v>
      </c>
      <c r="H849" s="4">
        <f>15.6625 * CHOOSE(CONTROL!$C$12, $D$4, 100%, $F$4)</f>
        <v>15.6625</v>
      </c>
      <c r="I849" s="8">
        <f>14.6155 * CHOOSE(CONTROL!$C$12, $D$4, 100%, $F$4)</f>
        <v>14.615500000000001</v>
      </c>
      <c r="J849" s="4">
        <f>14.5363 * CHOOSE(CONTROL!$C$12, $D$4, 100%, $F$4)</f>
        <v>14.536300000000001</v>
      </c>
      <c r="K849" s="4"/>
      <c r="L849" s="9">
        <v>27.3993</v>
      </c>
      <c r="M849" s="9">
        <v>12.063700000000001</v>
      </c>
      <c r="N849" s="9">
        <v>4.9444999999999997</v>
      </c>
      <c r="O849" s="9">
        <v>0.37459999999999999</v>
      </c>
      <c r="P849" s="9">
        <v>1.2939000000000001</v>
      </c>
      <c r="Q849" s="9">
        <v>19.688099999999999</v>
      </c>
      <c r="R849" s="9"/>
      <c r="S849" s="11"/>
    </row>
    <row r="850" spans="1:19" ht="15.6">
      <c r="A850" s="13">
        <v>67968</v>
      </c>
      <c r="B850" s="8">
        <f>15.3524 * CHOOSE(CONTROL!$C$12, $D$4, 100%, $F$4)</f>
        <v>15.352399999999999</v>
      </c>
      <c r="C850" s="8">
        <f>15.3627 * CHOOSE(CONTROL!$C$12, $D$4, 100%, $F$4)</f>
        <v>15.3627</v>
      </c>
      <c r="D850" s="8">
        <f>15.3625 * CHOOSE( CONTROL!$C$12, $D$4, 100%, $F$4)</f>
        <v>15.362500000000001</v>
      </c>
      <c r="E850" s="12">
        <f>15.3615 * CHOOSE( CONTROL!$C$12, $D$4, 100%, $F$4)</f>
        <v>15.361499999999999</v>
      </c>
      <c r="F850" s="4">
        <f>16.3743 * CHOOSE(CONTROL!$C$12, $D$4, 100%, $F$4)</f>
        <v>16.374300000000002</v>
      </c>
      <c r="G850" s="8">
        <f>15.165 * CHOOSE( CONTROL!$C$12, $D$4, 100%, $F$4)</f>
        <v>15.164999999999999</v>
      </c>
      <c r="H850" s="4">
        <f>16.0585 * CHOOSE(CONTROL!$C$12, $D$4, 100%, $F$4)</f>
        <v>16.058499999999999</v>
      </c>
      <c r="I850" s="8">
        <f>14.9915 * CHOOSE(CONTROL!$C$12, $D$4, 100%, $F$4)</f>
        <v>14.9915</v>
      </c>
      <c r="J850" s="4">
        <f>14.8755 * CHOOSE(CONTROL!$C$12, $D$4, 100%, $F$4)</f>
        <v>14.875500000000001</v>
      </c>
      <c r="K850" s="4"/>
      <c r="L850" s="9">
        <v>27.3993</v>
      </c>
      <c r="M850" s="9">
        <v>12.063700000000001</v>
      </c>
      <c r="N850" s="9">
        <v>4.9444999999999997</v>
      </c>
      <c r="O850" s="9">
        <v>0.37459999999999999</v>
      </c>
      <c r="P850" s="9">
        <v>1.2939000000000001</v>
      </c>
      <c r="Q850" s="9">
        <v>19.688099999999999</v>
      </c>
      <c r="R850" s="9"/>
      <c r="S850" s="11"/>
    </row>
    <row r="851" spans="1:19" ht="15.6">
      <c r="A851" s="13">
        <v>67996</v>
      </c>
      <c r="B851" s="8">
        <f>14.3599 * CHOOSE(CONTROL!$C$12, $D$4, 100%, $F$4)</f>
        <v>14.3599</v>
      </c>
      <c r="C851" s="8">
        <f>14.3703 * CHOOSE(CONTROL!$C$12, $D$4, 100%, $F$4)</f>
        <v>14.3703</v>
      </c>
      <c r="D851" s="8">
        <f>14.3723 * CHOOSE( CONTROL!$C$12, $D$4, 100%, $F$4)</f>
        <v>14.372299999999999</v>
      </c>
      <c r="E851" s="12">
        <f>14.3705 * CHOOSE( CONTROL!$C$12, $D$4, 100%, $F$4)</f>
        <v>14.3705</v>
      </c>
      <c r="F851" s="4">
        <f>15.3741 * CHOOSE(CONTROL!$C$12, $D$4, 100%, $F$4)</f>
        <v>15.3741</v>
      </c>
      <c r="G851" s="8">
        <f>14.1865 * CHOOSE( CONTROL!$C$12, $D$4, 100%, $F$4)</f>
        <v>14.186500000000001</v>
      </c>
      <c r="H851" s="4">
        <f>15.0725 * CHOOSE(CONTROL!$C$12, $D$4, 100%, $F$4)</f>
        <v>15.0725</v>
      </c>
      <c r="I851" s="8">
        <f>14.0184 * CHOOSE(CONTROL!$C$12, $D$4, 100%, $F$4)</f>
        <v>14.0184</v>
      </c>
      <c r="J851" s="4">
        <f>13.9138 * CHOOSE(CONTROL!$C$12, $D$4, 100%, $F$4)</f>
        <v>13.9138</v>
      </c>
      <c r="K851" s="4"/>
      <c r="L851" s="9">
        <v>24.747800000000002</v>
      </c>
      <c r="M851" s="9">
        <v>10.8962</v>
      </c>
      <c r="N851" s="9">
        <v>4.4660000000000002</v>
      </c>
      <c r="O851" s="9">
        <v>0.33829999999999999</v>
      </c>
      <c r="P851" s="9">
        <v>1.1687000000000001</v>
      </c>
      <c r="Q851" s="9">
        <v>17.782800000000002</v>
      </c>
      <c r="R851" s="9"/>
      <c r="S851" s="11"/>
    </row>
    <row r="852" spans="1:19" ht="15.6">
      <c r="A852" s="13">
        <v>68027</v>
      </c>
      <c r="B852" s="8">
        <f>14.0543 * CHOOSE(CONTROL!$C$12, $D$4, 100%, $F$4)</f>
        <v>14.0543</v>
      </c>
      <c r="C852" s="8">
        <f>14.0646 * CHOOSE(CONTROL!$C$12, $D$4, 100%, $F$4)</f>
        <v>14.0646</v>
      </c>
      <c r="D852" s="8">
        <f>14.0468 * CHOOSE( CONTROL!$C$12, $D$4, 100%, $F$4)</f>
        <v>14.046799999999999</v>
      </c>
      <c r="E852" s="12">
        <f>14.0522 * CHOOSE( CONTROL!$C$12, $D$4, 100%, $F$4)</f>
        <v>14.052199999999999</v>
      </c>
      <c r="F852" s="4">
        <f>15.0525 * CHOOSE(CONTROL!$C$12, $D$4, 100%, $F$4)</f>
        <v>15.0525</v>
      </c>
      <c r="G852" s="8">
        <f>13.8647 * CHOOSE( CONTROL!$C$12, $D$4, 100%, $F$4)</f>
        <v>13.864699999999999</v>
      </c>
      <c r="H852" s="4">
        <f>14.7554 * CHOOSE(CONTROL!$C$12, $D$4, 100%, $F$4)</f>
        <v>14.7554</v>
      </c>
      <c r="I852" s="8">
        <f>13.6826 * CHOOSE(CONTROL!$C$12, $D$4, 100%, $F$4)</f>
        <v>13.682600000000001</v>
      </c>
      <c r="J852" s="4">
        <f>13.6176 * CHOOSE(CONTROL!$C$12, $D$4, 100%, $F$4)</f>
        <v>13.617599999999999</v>
      </c>
      <c r="K852" s="4"/>
      <c r="L852" s="9">
        <v>27.3993</v>
      </c>
      <c r="M852" s="9">
        <v>12.063700000000001</v>
      </c>
      <c r="N852" s="9">
        <v>4.9444999999999997</v>
      </c>
      <c r="O852" s="9">
        <v>0.37459999999999999</v>
      </c>
      <c r="P852" s="9">
        <v>1.2939000000000001</v>
      </c>
      <c r="Q852" s="9">
        <v>19.688099999999999</v>
      </c>
      <c r="R852" s="9"/>
      <c r="S852" s="11"/>
    </row>
    <row r="853" spans="1:19" ht="15.6">
      <c r="A853" s="13">
        <v>68057</v>
      </c>
      <c r="B853" s="8">
        <f>14.2679 * CHOOSE(CONTROL!$C$12, $D$4, 100%, $F$4)</f>
        <v>14.267899999999999</v>
      </c>
      <c r="C853" s="8">
        <f>14.2782 * CHOOSE(CONTROL!$C$12, $D$4, 100%, $F$4)</f>
        <v>14.2782</v>
      </c>
      <c r="D853" s="8">
        <f>14.2832 * CHOOSE( CONTROL!$C$12, $D$4, 100%, $F$4)</f>
        <v>14.283200000000001</v>
      </c>
      <c r="E853" s="12">
        <f>14.2804 * CHOOSE( CONTROL!$C$12, $D$4, 100%, $F$4)</f>
        <v>14.2804</v>
      </c>
      <c r="F853" s="4">
        <f>15.2743 * CHOOSE(CONTROL!$C$12, $D$4, 100%, $F$4)</f>
        <v>15.2743</v>
      </c>
      <c r="G853" s="8">
        <f>14.0632 * CHOOSE( CONTROL!$C$12, $D$4, 100%, $F$4)</f>
        <v>14.0632</v>
      </c>
      <c r="H853" s="4">
        <f>14.9741 * CHOOSE(CONTROL!$C$12, $D$4, 100%, $F$4)</f>
        <v>14.9741</v>
      </c>
      <c r="I853" s="8">
        <f>13.8798 * CHOOSE(CONTROL!$C$12, $D$4, 100%, $F$4)</f>
        <v>13.879799999999999</v>
      </c>
      <c r="J853" s="4">
        <f>13.8246 * CHOOSE(CONTROL!$C$12, $D$4, 100%, $F$4)</f>
        <v>13.8246</v>
      </c>
      <c r="K853" s="4"/>
      <c r="L853" s="9">
        <v>27.988800000000001</v>
      </c>
      <c r="M853" s="9">
        <v>11.6745</v>
      </c>
      <c r="N853" s="9">
        <v>4.7850000000000001</v>
      </c>
      <c r="O853" s="9">
        <v>0.36249999999999999</v>
      </c>
      <c r="P853" s="9">
        <v>1.1798</v>
      </c>
      <c r="Q853" s="9">
        <v>19.053000000000001</v>
      </c>
      <c r="R853" s="9"/>
      <c r="S853" s="11"/>
    </row>
    <row r="854" spans="1:19" ht="15.6">
      <c r="A854" s="13">
        <v>68088</v>
      </c>
      <c r="B854" s="8">
        <f>CHOOSE( CONTROL!$C$29, 14.6549, 14.648) * CHOOSE(CONTROL!$C$12, $D$4, 100%, $F$4)</f>
        <v>14.648</v>
      </c>
      <c r="C854" s="8">
        <f>CHOOSE( CONTROL!$C$29, 14.6652, 14.6583) * CHOOSE(CONTROL!$C$12, $D$4, 100%, $F$4)</f>
        <v>14.658300000000001</v>
      </c>
      <c r="D854" s="8">
        <f>CHOOSE( CONTROL!$C$29, 14.6454, 14.6386) * CHOOSE( CONTROL!$C$12, $D$4, 100%, $F$4)</f>
        <v>14.6386</v>
      </c>
      <c r="E854" s="12">
        <f>CHOOSE( CONTROL!$C$29, 14.651, 14.6442) * CHOOSE( CONTROL!$C$12, $D$4, 100%, $F$4)</f>
        <v>14.6442</v>
      </c>
      <c r="F854" s="4">
        <f>CHOOSE( CONTROL!$C$29, 15.6293, 15.6225) * CHOOSE(CONTROL!$C$12, $D$4, 100%, $F$4)</f>
        <v>15.6225</v>
      </c>
      <c r="G854" s="8">
        <f>CHOOSE( CONTROL!$C$29, 14.4264, 14.4197) * CHOOSE( CONTROL!$C$12, $D$4, 100%, $F$4)</f>
        <v>14.419700000000001</v>
      </c>
      <c r="H854" s="4">
        <f>CHOOSE( CONTROL!$C$29, 15.3241, 15.3173) * CHOOSE(CONTROL!$C$12, $D$4, 100%, $F$4)</f>
        <v>15.317299999999999</v>
      </c>
      <c r="I854" s="8">
        <f>CHOOSE( CONTROL!$C$29, 14.2334, 14.2268) * CHOOSE(CONTROL!$C$12, $D$4, 100%, $F$4)</f>
        <v>14.226800000000001</v>
      </c>
      <c r="J854" s="4">
        <f>CHOOSE( CONTROL!$C$29, 14.1996, 14.193) * CHOOSE(CONTROL!$C$12, $D$4, 100%, $F$4)</f>
        <v>14.193</v>
      </c>
      <c r="K854" s="4"/>
      <c r="L854" s="9">
        <v>29.520499999999998</v>
      </c>
      <c r="M854" s="9">
        <v>12.063700000000001</v>
      </c>
      <c r="N854" s="9">
        <v>4.9444999999999997</v>
      </c>
      <c r="O854" s="9">
        <v>0.37459999999999999</v>
      </c>
      <c r="P854" s="9">
        <v>1.2192000000000001</v>
      </c>
      <c r="Q854" s="9">
        <v>19.688099999999999</v>
      </c>
      <c r="R854" s="9"/>
      <c r="S854" s="11"/>
    </row>
    <row r="855" spans="1:19" ht="15.6">
      <c r="A855" s="13">
        <v>68118</v>
      </c>
      <c r="B855" s="8">
        <f>CHOOSE( CONTROL!$C$29, 14.4194, 14.4125) * CHOOSE(CONTROL!$C$12, $D$4, 100%, $F$4)</f>
        <v>14.4125</v>
      </c>
      <c r="C855" s="8">
        <f>CHOOSE( CONTROL!$C$29, 14.4297, 14.4228) * CHOOSE(CONTROL!$C$12, $D$4, 100%, $F$4)</f>
        <v>14.422800000000001</v>
      </c>
      <c r="D855" s="8">
        <f>CHOOSE( CONTROL!$C$29, 14.4044, 14.3976) * CHOOSE( CONTROL!$C$12, $D$4, 100%, $F$4)</f>
        <v>14.397600000000001</v>
      </c>
      <c r="E855" s="12">
        <f>CHOOSE( CONTROL!$C$29, 14.412, 14.4052) * CHOOSE( CONTROL!$C$12, $D$4, 100%, $F$4)</f>
        <v>14.405200000000001</v>
      </c>
      <c r="F855" s="4">
        <f>CHOOSE( CONTROL!$C$29, 15.3835, 15.3767) * CHOOSE(CONTROL!$C$12, $D$4, 100%, $F$4)</f>
        <v>15.3767</v>
      </c>
      <c r="G855" s="8">
        <f>CHOOSE( CONTROL!$C$29, 14.193, 14.1863) * CHOOSE( CONTROL!$C$12, $D$4, 100%, $F$4)</f>
        <v>14.186299999999999</v>
      </c>
      <c r="H855" s="4">
        <f>CHOOSE( CONTROL!$C$29, 15.0818, 15.075) * CHOOSE(CONTROL!$C$12, $D$4, 100%, $F$4)</f>
        <v>15.074999999999999</v>
      </c>
      <c r="I855" s="8">
        <f>CHOOSE( CONTROL!$C$29, 14.0073, 14.0006) * CHOOSE(CONTROL!$C$12, $D$4, 100%, $F$4)</f>
        <v>14.0006</v>
      </c>
      <c r="J855" s="4">
        <f>CHOOSE( CONTROL!$C$29, 13.9714, 13.9648) * CHOOSE(CONTROL!$C$12, $D$4, 100%, $F$4)</f>
        <v>13.9648</v>
      </c>
      <c r="K855" s="4"/>
      <c r="L855" s="9">
        <v>28.568200000000001</v>
      </c>
      <c r="M855" s="9">
        <v>11.6745</v>
      </c>
      <c r="N855" s="9">
        <v>4.7850000000000001</v>
      </c>
      <c r="O855" s="9">
        <v>0.36249999999999999</v>
      </c>
      <c r="P855" s="9">
        <v>1.1798</v>
      </c>
      <c r="Q855" s="9">
        <v>19.053000000000001</v>
      </c>
      <c r="R855" s="9"/>
      <c r="S855" s="11"/>
    </row>
    <row r="856" spans="1:19" ht="15.6">
      <c r="A856" s="13">
        <v>68149</v>
      </c>
      <c r="B856" s="8">
        <f>CHOOSE( CONTROL!$C$29, 15.0395, 15.0327) * CHOOSE(CONTROL!$C$12, $D$4, 100%, $F$4)</f>
        <v>15.0327</v>
      </c>
      <c r="C856" s="8">
        <f>CHOOSE( CONTROL!$C$29, 15.0498, 15.043) * CHOOSE(CONTROL!$C$12, $D$4, 100%, $F$4)</f>
        <v>15.042999999999999</v>
      </c>
      <c r="D856" s="8">
        <f>CHOOSE( CONTROL!$C$29, 15.058, 15.0511) * CHOOSE( CONTROL!$C$12, $D$4, 100%, $F$4)</f>
        <v>15.0511</v>
      </c>
      <c r="E856" s="12">
        <f>CHOOSE( CONTROL!$C$29, 15.0535, 15.0466) * CHOOSE( CONTROL!$C$12, $D$4, 100%, $F$4)</f>
        <v>15.0466</v>
      </c>
      <c r="F856" s="4">
        <f>CHOOSE( CONTROL!$C$29, 16.0485, 16.0417) * CHOOSE(CONTROL!$C$12, $D$4, 100%, $F$4)</f>
        <v>16.041699999999999</v>
      </c>
      <c r="G856" s="8">
        <f>CHOOSE( CONTROL!$C$29, 14.8304, 14.8236) * CHOOSE( CONTROL!$C$12, $D$4, 100%, $F$4)</f>
        <v>14.823600000000001</v>
      </c>
      <c r="H856" s="4">
        <f>CHOOSE( CONTROL!$C$29, 15.7373, 15.7306) * CHOOSE(CONTROL!$C$12, $D$4, 100%, $F$4)</f>
        <v>15.730600000000001</v>
      </c>
      <c r="I856" s="8">
        <f>CHOOSE( CONTROL!$C$29, 14.6638, 14.6571) * CHOOSE(CONTROL!$C$12, $D$4, 100%, $F$4)</f>
        <v>14.6571</v>
      </c>
      <c r="J856" s="4">
        <f>CHOOSE( CONTROL!$C$29, 14.5723, 14.5657) * CHOOSE(CONTROL!$C$12, $D$4, 100%, $F$4)</f>
        <v>14.5657</v>
      </c>
      <c r="K856" s="4"/>
      <c r="L856" s="9">
        <v>29.520499999999998</v>
      </c>
      <c r="M856" s="9">
        <v>12.063700000000001</v>
      </c>
      <c r="N856" s="9">
        <v>4.9444999999999997</v>
      </c>
      <c r="O856" s="9">
        <v>0.37459999999999999</v>
      </c>
      <c r="P856" s="9">
        <v>1.2192000000000001</v>
      </c>
      <c r="Q856" s="9">
        <v>19.688099999999999</v>
      </c>
      <c r="R856" s="9"/>
      <c r="S856" s="11"/>
    </row>
    <row r="857" spans="1:19" ht="15.6">
      <c r="A857" s="13">
        <v>68180</v>
      </c>
      <c r="B857" s="8">
        <f>CHOOSE( CONTROL!$C$29, 13.8792, 13.8723) * CHOOSE(CONTROL!$C$12, $D$4, 100%, $F$4)</f>
        <v>13.872299999999999</v>
      </c>
      <c r="C857" s="8">
        <f>CHOOSE( CONTROL!$C$29, 13.8895, 13.8826) * CHOOSE(CONTROL!$C$12, $D$4, 100%, $F$4)</f>
        <v>13.8826</v>
      </c>
      <c r="D857" s="8">
        <f>CHOOSE( CONTROL!$C$29, 13.891, 13.8841) * CHOOSE( CONTROL!$C$12, $D$4, 100%, $F$4)</f>
        <v>13.8841</v>
      </c>
      <c r="E857" s="12">
        <f>CHOOSE( CONTROL!$C$29, 13.8889, 13.882) * CHOOSE( CONTROL!$C$12, $D$4, 100%, $F$4)</f>
        <v>13.882</v>
      </c>
      <c r="F857" s="4">
        <f>CHOOSE( CONTROL!$C$29, 14.8856, 14.8788) * CHOOSE(CONTROL!$C$12, $D$4, 100%, $F$4)</f>
        <v>14.8788</v>
      </c>
      <c r="G857" s="8">
        <f>CHOOSE( CONTROL!$C$29, 13.6766, 13.6699) * CHOOSE( CONTROL!$C$12, $D$4, 100%, $F$4)</f>
        <v>13.6699</v>
      </c>
      <c r="H857" s="4">
        <f>CHOOSE( CONTROL!$C$29, 14.591, 14.5842) * CHOOSE(CONTROL!$C$12, $D$4, 100%, $F$4)</f>
        <v>14.584199999999999</v>
      </c>
      <c r="I857" s="8">
        <f>CHOOSE( CONTROL!$C$29, 13.5199, 13.5133) * CHOOSE(CONTROL!$C$12, $D$4, 100%, $F$4)</f>
        <v>13.513299999999999</v>
      </c>
      <c r="J857" s="4">
        <f>CHOOSE( CONTROL!$C$29, 13.448, 13.4413) * CHOOSE(CONTROL!$C$12, $D$4, 100%, $F$4)</f>
        <v>13.4413</v>
      </c>
      <c r="K857" s="4"/>
      <c r="L857" s="9">
        <v>29.520499999999998</v>
      </c>
      <c r="M857" s="9">
        <v>12.063700000000001</v>
      </c>
      <c r="N857" s="9">
        <v>4.9444999999999997</v>
      </c>
      <c r="O857" s="9">
        <v>0.37459999999999999</v>
      </c>
      <c r="P857" s="9">
        <v>1.2192000000000001</v>
      </c>
      <c r="Q857" s="9">
        <v>19.688099999999999</v>
      </c>
      <c r="R857" s="9"/>
      <c r="S857" s="11"/>
    </row>
    <row r="858" spans="1:19" ht="15.6">
      <c r="A858" s="13">
        <v>68210</v>
      </c>
      <c r="B858" s="8">
        <f>CHOOSE( CONTROL!$C$29, 13.5886, 13.5818) * CHOOSE(CONTROL!$C$12, $D$4, 100%, $F$4)</f>
        <v>13.581799999999999</v>
      </c>
      <c r="C858" s="8">
        <f>CHOOSE( CONTROL!$C$29, 13.5989, 13.5921) * CHOOSE(CONTROL!$C$12, $D$4, 100%, $F$4)</f>
        <v>13.5921</v>
      </c>
      <c r="D858" s="8">
        <f>CHOOSE( CONTROL!$C$29, 13.6036, 13.5968) * CHOOSE( CONTROL!$C$12, $D$4, 100%, $F$4)</f>
        <v>13.5968</v>
      </c>
      <c r="E858" s="12">
        <f>CHOOSE( CONTROL!$C$29, 13.6003, 13.5935) * CHOOSE( CONTROL!$C$12, $D$4, 100%, $F$4)</f>
        <v>13.593500000000001</v>
      </c>
      <c r="F858" s="4">
        <f>CHOOSE( CONTROL!$C$29, 14.6002, 14.5934) * CHOOSE(CONTROL!$C$12, $D$4, 100%, $F$4)</f>
        <v>14.593400000000001</v>
      </c>
      <c r="G858" s="8">
        <f>CHOOSE( CONTROL!$C$29, 13.3923, 13.3855) * CHOOSE( CONTROL!$C$12, $D$4, 100%, $F$4)</f>
        <v>13.3855</v>
      </c>
      <c r="H858" s="4">
        <f>CHOOSE( CONTROL!$C$29, 14.3096, 14.3029) * CHOOSE(CONTROL!$C$12, $D$4, 100%, $F$4)</f>
        <v>14.302899999999999</v>
      </c>
      <c r="I858" s="8">
        <f>CHOOSE( CONTROL!$C$29, 13.246, 13.2394) * CHOOSE(CONTROL!$C$12, $D$4, 100%, $F$4)</f>
        <v>13.2394</v>
      </c>
      <c r="J858" s="4">
        <f>CHOOSE( CONTROL!$C$29, 13.1664, 13.1598) * CHOOSE(CONTROL!$C$12, $D$4, 100%, $F$4)</f>
        <v>13.159800000000001</v>
      </c>
      <c r="K858" s="4"/>
      <c r="L858" s="9">
        <v>28.568200000000001</v>
      </c>
      <c r="M858" s="9">
        <v>11.6745</v>
      </c>
      <c r="N858" s="9">
        <v>4.7850000000000001</v>
      </c>
      <c r="O858" s="9">
        <v>0.36249999999999999</v>
      </c>
      <c r="P858" s="9">
        <v>1.1798</v>
      </c>
      <c r="Q858" s="9">
        <v>19.053000000000001</v>
      </c>
      <c r="R858" s="9"/>
      <c r="S858" s="11"/>
    </row>
    <row r="859" spans="1:19" ht="15.6">
      <c r="A859" s="13">
        <v>68241</v>
      </c>
      <c r="B859" s="8">
        <f>14.1851 * CHOOSE(CONTROL!$C$12, $D$4, 100%, $F$4)</f>
        <v>14.1851</v>
      </c>
      <c r="C859" s="8">
        <f>14.1954 * CHOOSE(CONTROL!$C$12, $D$4, 100%, $F$4)</f>
        <v>14.195399999999999</v>
      </c>
      <c r="D859" s="8">
        <f>14.1904 * CHOOSE( CONTROL!$C$12, $D$4, 100%, $F$4)</f>
        <v>14.1904</v>
      </c>
      <c r="E859" s="12">
        <f>14.191 * CHOOSE( CONTROL!$C$12, $D$4, 100%, $F$4)</f>
        <v>14.191000000000001</v>
      </c>
      <c r="F859" s="4">
        <f>15.176 * CHOOSE(CONTROL!$C$12, $D$4, 100%, $F$4)</f>
        <v>15.176</v>
      </c>
      <c r="G859" s="8">
        <f>13.977 * CHOOSE( CONTROL!$C$12, $D$4, 100%, $F$4)</f>
        <v>13.977</v>
      </c>
      <c r="H859" s="4">
        <f>14.8773 * CHOOSE(CONTROL!$C$12, $D$4, 100%, $F$4)</f>
        <v>14.8773</v>
      </c>
      <c r="I859" s="8">
        <f>13.8282 * CHOOSE(CONTROL!$C$12, $D$4, 100%, $F$4)</f>
        <v>13.828200000000001</v>
      </c>
      <c r="J859" s="4">
        <f>13.7444 * CHOOSE(CONTROL!$C$12, $D$4, 100%, $F$4)</f>
        <v>13.744400000000001</v>
      </c>
      <c r="K859" s="4"/>
      <c r="L859" s="9">
        <v>28.921800000000001</v>
      </c>
      <c r="M859" s="9">
        <v>12.063700000000001</v>
      </c>
      <c r="N859" s="9">
        <v>4.9444999999999997</v>
      </c>
      <c r="O859" s="9">
        <v>0.37459999999999999</v>
      </c>
      <c r="P859" s="9">
        <v>1.2192000000000001</v>
      </c>
      <c r="Q859" s="9">
        <v>19.688099999999999</v>
      </c>
      <c r="R859" s="9"/>
      <c r="S859" s="11"/>
    </row>
    <row r="860" spans="1:19" ht="15.6">
      <c r="A860" s="13">
        <v>68271</v>
      </c>
      <c r="B860" s="8">
        <f>15.2986 * CHOOSE(CONTROL!$C$12, $D$4, 100%, $F$4)</f>
        <v>15.2986</v>
      </c>
      <c r="C860" s="8">
        <f>15.309 * CHOOSE(CONTROL!$C$12, $D$4, 100%, $F$4)</f>
        <v>15.308999999999999</v>
      </c>
      <c r="D860" s="8">
        <f>15.2683 * CHOOSE( CONTROL!$C$12, $D$4, 100%, $F$4)</f>
        <v>15.2683</v>
      </c>
      <c r="E860" s="12">
        <f>15.2821 * CHOOSE( CONTROL!$C$12, $D$4, 100%, $F$4)</f>
        <v>15.2821</v>
      </c>
      <c r="F860" s="4">
        <f>16.2757 * CHOOSE(CONTROL!$C$12, $D$4, 100%, $F$4)</f>
        <v>16.275700000000001</v>
      </c>
      <c r="G860" s="8">
        <f>15.0687 * CHOOSE( CONTROL!$C$12, $D$4, 100%, $F$4)</f>
        <v>15.0687</v>
      </c>
      <c r="H860" s="4">
        <f>15.9612 * CHOOSE(CONTROL!$C$12, $D$4, 100%, $F$4)</f>
        <v>15.9612</v>
      </c>
      <c r="I860" s="8">
        <f>14.8921 * CHOOSE(CONTROL!$C$12, $D$4, 100%, $F$4)</f>
        <v>14.892099999999999</v>
      </c>
      <c r="J860" s="4">
        <f>14.8234 * CHOOSE(CONTROL!$C$12, $D$4, 100%, $F$4)</f>
        <v>14.823399999999999</v>
      </c>
      <c r="K860" s="4"/>
      <c r="L860" s="9">
        <v>26.515499999999999</v>
      </c>
      <c r="M860" s="9">
        <v>11.6745</v>
      </c>
      <c r="N860" s="9">
        <v>4.7850000000000001</v>
      </c>
      <c r="O860" s="9">
        <v>0.36249999999999999</v>
      </c>
      <c r="P860" s="9">
        <v>1.2522</v>
      </c>
      <c r="Q860" s="9">
        <v>19.053000000000001</v>
      </c>
      <c r="R860" s="9"/>
      <c r="S860" s="11"/>
    </row>
    <row r="861" spans="1:19" ht="15.6">
      <c r="A861" s="13">
        <v>68302</v>
      </c>
      <c r="B861" s="8">
        <f>15.2708 * CHOOSE(CONTROL!$C$12, $D$4, 100%, $F$4)</f>
        <v>15.270799999999999</v>
      </c>
      <c r="C861" s="8">
        <f>15.2811 * CHOOSE(CONTROL!$C$12, $D$4, 100%, $F$4)</f>
        <v>15.2811</v>
      </c>
      <c r="D861" s="8">
        <f>15.2423 * CHOOSE( CONTROL!$C$12, $D$4, 100%, $F$4)</f>
        <v>15.2423</v>
      </c>
      <c r="E861" s="12">
        <f>15.2554 * CHOOSE( CONTROL!$C$12, $D$4, 100%, $F$4)</f>
        <v>15.2554</v>
      </c>
      <c r="F861" s="4">
        <f>16.2411 * CHOOSE(CONTROL!$C$12, $D$4, 100%, $F$4)</f>
        <v>16.241099999999999</v>
      </c>
      <c r="G861" s="8">
        <f>15.0436 * CHOOSE( CONTROL!$C$12, $D$4, 100%, $F$4)</f>
        <v>15.0436</v>
      </c>
      <c r="H861" s="4">
        <f>15.9272 * CHOOSE(CONTROL!$C$12, $D$4, 100%, $F$4)</f>
        <v>15.927199999999999</v>
      </c>
      <c r="I861" s="8">
        <f>14.8759 * CHOOSE(CONTROL!$C$12, $D$4, 100%, $F$4)</f>
        <v>14.8759</v>
      </c>
      <c r="J861" s="4">
        <f>14.7965 * CHOOSE(CONTROL!$C$12, $D$4, 100%, $F$4)</f>
        <v>14.7965</v>
      </c>
      <c r="K861" s="4"/>
      <c r="L861" s="9">
        <v>27.3993</v>
      </c>
      <c r="M861" s="9">
        <v>12.063700000000001</v>
      </c>
      <c r="N861" s="9">
        <v>4.9444999999999997</v>
      </c>
      <c r="O861" s="9">
        <v>0.37459999999999999</v>
      </c>
      <c r="P861" s="9">
        <v>1.2939000000000001</v>
      </c>
      <c r="Q861" s="9">
        <v>19.688099999999999</v>
      </c>
      <c r="R861" s="9"/>
      <c r="S861" s="11"/>
    </row>
    <row r="862" spans="1:19" ht="15.6">
      <c r="A862" s="13">
        <v>68333</v>
      </c>
      <c r="B862" s="8">
        <f>15.6272 * CHOOSE(CONTROL!$C$12, $D$4, 100%, $F$4)</f>
        <v>15.6272</v>
      </c>
      <c r="C862" s="8">
        <f>15.6375 * CHOOSE(CONTROL!$C$12, $D$4, 100%, $F$4)</f>
        <v>15.637499999999999</v>
      </c>
      <c r="D862" s="8">
        <f>15.6373 * CHOOSE( CONTROL!$C$12, $D$4, 100%, $F$4)</f>
        <v>15.6373</v>
      </c>
      <c r="E862" s="12">
        <f>15.6363 * CHOOSE( CONTROL!$C$12, $D$4, 100%, $F$4)</f>
        <v>15.6363</v>
      </c>
      <c r="F862" s="4">
        <f>16.6491 * CHOOSE(CONTROL!$C$12, $D$4, 100%, $F$4)</f>
        <v>16.649100000000001</v>
      </c>
      <c r="G862" s="8">
        <f>15.4359 * CHOOSE( CONTROL!$C$12, $D$4, 100%, $F$4)</f>
        <v>15.4359</v>
      </c>
      <c r="H862" s="4">
        <f>16.3293 * CHOOSE(CONTROL!$C$12, $D$4, 100%, $F$4)</f>
        <v>16.3293</v>
      </c>
      <c r="I862" s="8">
        <f>15.2579 * CHOOSE(CONTROL!$C$12, $D$4, 100%, $F$4)</f>
        <v>15.257899999999999</v>
      </c>
      <c r="J862" s="4">
        <f>15.1418 * CHOOSE(CONTROL!$C$12, $D$4, 100%, $F$4)</f>
        <v>15.1418</v>
      </c>
      <c r="K862" s="4"/>
      <c r="L862" s="9">
        <v>27.3993</v>
      </c>
      <c r="M862" s="9">
        <v>12.063700000000001</v>
      </c>
      <c r="N862" s="9">
        <v>4.9444999999999997</v>
      </c>
      <c r="O862" s="9">
        <v>0.37459999999999999</v>
      </c>
      <c r="P862" s="9">
        <v>1.2939000000000001</v>
      </c>
      <c r="Q862" s="9">
        <v>19.688099999999999</v>
      </c>
      <c r="R862" s="9"/>
      <c r="S862" s="11"/>
    </row>
    <row r="863" spans="1:19" ht="15.6">
      <c r="A863" s="13">
        <v>68361</v>
      </c>
      <c r="B863" s="8">
        <f>14.617 * CHOOSE(CONTROL!$C$12, $D$4, 100%, $F$4)</f>
        <v>14.617000000000001</v>
      </c>
      <c r="C863" s="8">
        <f>14.6273 * CHOOSE(CONTROL!$C$12, $D$4, 100%, $F$4)</f>
        <v>14.6273</v>
      </c>
      <c r="D863" s="8">
        <f>14.6294 * CHOOSE( CONTROL!$C$12, $D$4, 100%, $F$4)</f>
        <v>14.6294</v>
      </c>
      <c r="E863" s="12">
        <f>14.6275 * CHOOSE( CONTROL!$C$12, $D$4, 100%, $F$4)</f>
        <v>14.6275</v>
      </c>
      <c r="F863" s="4">
        <f>15.6311 * CHOOSE(CONTROL!$C$12, $D$4, 100%, $F$4)</f>
        <v>15.6311</v>
      </c>
      <c r="G863" s="8">
        <f>14.4399 * CHOOSE( CONTROL!$C$12, $D$4, 100%, $F$4)</f>
        <v>14.4399</v>
      </c>
      <c r="H863" s="4">
        <f>15.3259 * CHOOSE(CONTROL!$C$12, $D$4, 100%, $F$4)</f>
        <v>15.325900000000001</v>
      </c>
      <c r="I863" s="8">
        <f>14.2676 * CHOOSE(CONTROL!$C$12, $D$4, 100%, $F$4)</f>
        <v>14.2676</v>
      </c>
      <c r="J863" s="4">
        <f>14.1629 * CHOOSE(CONTROL!$C$12, $D$4, 100%, $F$4)</f>
        <v>14.1629</v>
      </c>
      <c r="K863" s="4"/>
      <c r="L863" s="9">
        <v>24.747800000000002</v>
      </c>
      <c r="M863" s="9">
        <v>10.8962</v>
      </c>
      <c r="N863" s="9">
        <v>4.4660000000000002</v>
      </c>
      <c r="O863" s="9">
        <v>0.33829999999999999</v>
      </c>
      <c r="P863" s="9">
        <v>1.1687000000000001</v>
      </c>
      <c r="Q863" s="9">
        <v>17.782800000000002</v>
      </c>
      <c r="R863" s="9"/>
      <c r="S863" s="11"/>
    </row>
    <row r="864" spans="1:19" ht="15.6">
      <c r="A864" s="13">
        <v>68392</v>
      </c>
      <c r="B864" s="8">
        <f>14.3058 * CHOOSE(CONTROL!$C$12, $D$4, 100%, $F$4)</f>
        <v>14.3058</v>
      </c>
      <c r="C864" s="8">
        <f>14.3161 * CHOOSE(CONTROL!$C$12, $D$4, 100%, $F$4)</f>
        <v>14.3161</v>
      </c>
      <c r="D864" s="8">
        <f>14.2983 * CHOOSE( CONTROL!$C$12, $D$4, 100%, $F$4)</f>
        <v>14.298299999999999</v>
      </c>
      <c r="E864" s="12">
        <f>14.3037 * CHOOSE( CONTROL!$C$12, $D$4, 100%, $F$4)</f>
        <v>14.303699999999999</v>
      </c>
      <c r="F864" s="4">
        <f>15.304 * CHOOSE(CONTROL!$C$12, $D$4, 100%, $F$4)</f>
        <v>15.304</v>
      </c>
      <c r="G864" s="8">
        <f>14.1127 * CHOOSE( CONTROL!$C$12, $D$4, 100%, $F$4)</f>
        <v>14.1127</v>
      </c>
      <c r="H864" s="4">
        <f>15.0034 * CHOOSE(CONTROL!$C$12, $D$4, 100%, $F$4)</f>
        <v>15.003399999999999</v>
      </c>
      <c r="I864" s="8">
        <f>13.9265 * CHOOSE(CONTROL!$C$12, $D$4, 100%, $F$4)</f>
        <v>13.926500000000001</v>
      </c>
      <c r="J864" s="4">
        <f>13.8614 * CHOOSE(CONTROL!$C$12, $D$4, 100%, $F$4)</f>
        <v>13.8614</v>
      </c>
      <c r="K864" s="4"/>
      <c r="L864" s="9">
        <v>27.3993</v>
      </c>
      <c r="M864" s="9">
        <v>12.063700000000001</v>
      </c>
      <c r="N864" s="9">
        <v>4.9444999999999997</v>
      </c>
      <c r="O864" s="9">
        <v>0.37459999999999999</v>
      </c>
      <c r="P864" s="9">
        <v>1.2939000000000001</v>
      </c>
      <c r="Q864" s="9">
        <v>19.688099999999999</v>
      </c>
      <c r="R864" s="9"/>
      <c r="S864" s="11"/>
    </row>
    <row r="865" spans="1:19" ht="15.6">
      <c r="A865" s="13">
        <v>68422</v>
      </c>
      <c r="B865" s="8">
        <f>14.5232 * CHOOSE(CONTROL!$C$12, $D$4, 100%, $F$4)</f>
        <v>14.523199999999999</v>
      </c>
      <c r="C865" s="8">
        <f>14.5336 * CHOOSE(CONTROL!$C$12, $D$4, 100%, $F$4)</f>
        <v>14.5336</v>
      </c>
      <c r="D865" s="8">
        <f>14.5386 * CHOOSE( CONTROL!$C$12, $D$4, 100%, $F$4)</f>
        <v>14.538600000000001</v>
      </c>
      <c r="E865" s="12">
        <f>14.5358 * CHOOSE( CONTROL!$C$12, $D$4, 100%, $F$4)</f>
        <v>14.5358</v>
      </c>
      <c r="F865" s="4">
        <f>15.5297 * CHOOSE(CONTROL!$C$12, $D$4, 100%, $F$4)</f>
        <v>15.5297</v>
      </c>
      <c r="G865" s="8">
        <f>14.3149 * CHOOSE( CONTROL!$C$12, $D$4, 100%, $F$4)</f>
        <v>14.3149</v>
      </c>
      <c r="H865" s="4">
        <f>15.2259 * CHOOSE(CONTROL!$C$12, $D$4, 100%, $F$4)</f>
        <v>15.225899999999999</v>
      </c>
      <c r="I865" s="8">
        <f>14.1273 * CHOOSE(CONTROL!$C$12, $D$4, 100%, $F$4)</f>
        <v>14.1273</v>
      </c>
      <c r="J865" s="4">
        <f>14.0721 * CHOOSE(CONTROL!$C$12, $D$4, 100%, $F$4)</f>
        <v>14.072100000000001</v>
      </c>
      <c r="K865" s="4"/>
      <c r="L865" s="9">
        <v>27.988800000000001</v>
      </c>
      <c r="M865" s="9">
        <v>11.6745</v>
      </c>
      <c r="N865" s="9">
        <v>4.7850000000000001</v>
      </c>
      <c r="O865" s="9">
        <v>0.36249999999999999</v>
      </c>
      <c r="P865" s="9">
        <v>1.1798</v>
      </c>
      <c r="Q865" s="9">
        <v>19.053000000000001</v>
      </c>
      <c r="R865" s="9"/>
      <c r="S865" s="11"/>
    </row>
    <row r="866" spans="1:19" ht="15.6">
      <c r="A866" s="13">
        <v>68453</v>
      </c>
      <c r="B866" s="8">
        <f>CHOOSE( CONTROL!$C$29, 14.917, 14.9102) * CHOOSE(CONTROL!$C$12, $D$4, 100%, $F$4)</f>
        <v>14.9102</v>
      </c>
      <c r="C866" s="8">
        <f>CHOOSE( CONTROL!$C$29, 14.9274, 14.9205) * CHOOSE(CONTROL!$C$12, $D$4, 100%, $F$4)</f>
        <v>14.920500000000001</v>
      </c>
      <c r="D866" s="8">
        <f>CHOOSE( CONTROL!$C$29, 14.9076, 14.9008) * CHOOSE( CONTROL!$C$12, $D$4, 100%, $F$4)</f>
        <v>14.9008</v>
      </c>
      <c r="E866" s="12">
        <f>CHOOSE( CONTROL!$C$29, 14.9132, 14.9064) * CHOOSE( CONTROL!$C$12, $D$4, 100%, $F$4)</f>
        <v>14.9064</v>
      </c>
      <c r="F866" s="4">
        <f>CHOOSE( CONTROL!$C$29, 15.8915, 15.8846) * CHOOSE(CONTROL!$C$12, $D$4, 100%, $F$4)</f>
        <v>15.884600000000001</v>
      </c>
      <c r="G866" s="8">
        <f>CHOOSE( CONTROL!$C$29, 14.6849, 14.6781) * CHOOSE( CONTROL!$C$12, $D$4, 100%, $F$4)</f>
        <v>14.678100000000001</v>
      </c>
      <c r="H866" s="4">
        <f>CHOOSE( CONTROL!$C$29, 15.5825, 15.5758) * CHOOSE(CONTROL!$C$12, $D$4, 100%, $F$4)</f>
        <v>15.575799999999999</v>
      </c>
      <c r="I866" s="8">
        <f>CHOOSE( CONTROL!$C$29, 14.4876, 14.481) * CHOOSE(CONTROL!$C$12, $D$4, 100%, $F$4)</f>
        <v>14.481</v>
      </c>
      <c r="J866" s="4">
        <f>CHOOSE( CONTROL!$C$29, 14.4537, 14.447) * CHOOSE(CONTROL!$C$12, $D$4, 100%, $F$4)</f>
        <v>14.446999999999999</v>
      </c>
      <c r="K866" s="4"/>
      <c r="L866" s="9">
        <v>29.520499999999998</v>
      </c>
      <c r="M866" s="9">
        <v>12.063700000000001</v>
      </c>
      <c r="N866" s="9">
        <v>4.9444999999999997</v>
      </c>
      <c r="O866" s="9">
        <v>0.37459999999999999</v>
      </c>
      <c r="P866" s="9">
        <v>1.2192000000000001</v>
      </c>
      <c r="Q866" s="9">
        <v>19.688099999999999</v>
      </c>
      <c r="R866" s="9"/>
      <c r="S866" s="11"/>
    </row>
    <row r="867" spans="1:19" ht="15.6">
      <c r="A867" s="13">
        <v>68483</v>
      </c>
      <c r="B867" s="8">
        <f>CHOOSE( CONTROL!$C$29, 14.6773, 14.6705) * CHOOSE(CONTROL!$C$12, $D$4, 100%, $F$4)</f>
        <v>14.670500000000001</v>
      </c>
      <c r="C867" s="8">
        <f>CHOOSE( CONTROL!$C$29, 14.6877, 14.6808) * CHOOSE(CONTROL!$C$12, $D$4, 100%, $F$4)</f>
        <v>14.6808</v>
      </c>
      <c r="D867" s="8">
        <f>CHOOSE( CONTROL!$C$29, 14.6624, 14.6555) * CHOOSE( CONTROL!$C$12, $D$4, 100%, $F$4)</f>
        <v>14.6555</v>
      </c>
      <c r="E867" s="12">
        <f>CHOOSE( CONTROL!$C$29, 14.67, 14.6631) * CHOOSE( CONTROL!$C$12, $D$4, 100%, $F$4)</f>
        <v>14.6631</v>
      </c>
      <c r="F867" s="4">
        <f>CHOOSE( CONTROL!$C$29, 15.6415, 15.6346) * CHOOSE(CONTROL!$C$12, $D$4, 100%, $F$4)</f>
        <v>15.634600000000001</v>
      </c>
      <c r="G867" s="8">
        <f>CHOOSE( CONTROL!$C$29, 14.4473, 14.4406) * CHOOSE( CONTROL!$C$12, $D$4, 100%, $F$4)</f>
        <v>14.4406</v>
      </c>
      <c r="H867" s="4">
        <f>CHOOSE( CONTROL!$C$29, 15.3361, 15.3293) * CHOOSE(CONTROL!$C$12, $D$4, 100%, $F$4)</f>
        <v>15.3293</v>
      </c>
      <c r="I867" s="8">
        <f>CHOOSE( CONTROL!$C$29, 14.2574, 14.2507) * CHOOSE(CONTROL!$C$12, $D$4, 100%, $F$4)</f>
        <v>14.2507</v>
      </c>
      <c r="J867" s="4">
        <f>CHOOSE( CONTROL!$C$29, 14.2214, 14.2148) * CHOOSE(CONTROL!$C$12, $D$4, 100%, $F$4)</f>
        <v>14.2148</v>
      </c>
      <c r="K867" s="4"/>
      <c r="L867" s="9">
        <v>28.568200000000001</v>
      </c>
      <c r="M867" s="9">
        <v>11.6745</v>
      </c>
      <c r="N867" s="9">
        <v>4.7850000000000001</v>
      </c>
      <c r="O867" s="9">
        <v>0.36249999999999999</v>
      </c>
      <c r="P867" s="9">
        <v>1.1798</v>
      </c>
      <c r="Q867" s="9">
        <v>19.053000000000001</v>
      </c>
      <c r="R867" s="9"/>
      <c r="S867" s="11"/>
    </row>
    <row r="868" spans="1:19" ht="15.6">
      <c r="A868" s="13">
        <v>68514</v>
      </c>
      <c r="B868" s="8">
        <f>CHOOSE( CONTROL!$C$29, 15.3086, 15.3017) * CHOOSE(CONTROL!$C$12, $D$4, 100%, $F$4)</f>
        <v>15.3017</v>
      </c>
      <c r="C868" s="8">
        <f>CHOOSE( CONTROL!$C$29, 15.3189, 15.312) * CHOOSE(CONTROL!$C$12, $D$4, 100%, $F$4)</f>
        <v>15.311999999999999</v>
      </c>
      <c r="D868" s="8">
        <f>CHOOSE( CONTROL!$C$29, 15.327, 15.3202) * CHOOSE( CONTROL!$C$12, $D$4, 100%, $F$4)</f>
        <v>15.3202</v>
      </c>
      <c r="E868" s="12">
        <f>CHOOSE( CONTROL!$C$29, 15.3225, 15.3157) * CHOOSE( CONTROL!$C$12, $D$4, 100%, $F$4)</f>
        <v>15.3157</v>
      </c>
      <c r="F868" s="4">
        <f>CHOOSE( CONTROL!$C$29, 16.3176, 16.3107) * CHOOSE(CONTROL!$C$12, $D$4, 100%, $F$4)</f>
        <v>16.310700000000001</v>
      </c>
      <c r="G868" s="8">
        <f>CHOOSE( CONTROL!$C$29, 15.0956, 15.0889) * CHOOSE( CONTROL!$C$12, $D$4, 100%, $F$4)</f>
        <v>15.088900000000001</v>
      </c>
      <c r="H868" s="4">
        <f>CHOOSE( CONTROL!$C$29, 16.0026, 15.9958) * CHOOSE(CONTROL!$C$12, $D$4, 100%, $F$4)</f>
        <v>15.995799999999999</v>
      </c>
      <c r="I868" s="8">
        <f>CHOOSE( CONTROL!$C$29, 14.9246, 14.918) * CHOOSE(CONTROL!$C$12, $D$4, 100%, $F$4)</f>
        <v>14.917999999999999</v>
      </c>
      <c r="J868" s="4">
        <f>CHOOSE( CONTROL!$C$29, 14.833, 14.8264) * CHOOSE(CONTROL!$C$12, $D$4, 100%, $F$4)</f>
        <v>14.8264</v>
      </c>
      <c r="K868" s="4"/>
      <c r="L868" s="9">
        <v>29.520499999999998</v>
      </c>
      <c r="M868" s="9">
        <v>12.063700000000001</v>
      </c>
      <c r="N868" s="9">
        <v>4.9444999999999997</v>
      </c>
      <c r="O868" s="9">
        <v>0.37459999999999999</v>
      </c>
      <c r="P868" s="9">
        <v>1.2192000000000001</v>
      </c>
      <c r="Q868" s="9">
        <v>19.688099999999999</v>
      </c>
      <c r="R868" s="9"/>
      <c r="S868" s="11"/>
    </row>
    <row r="869" spans="1:19" ht="15.6">
      <c r="A869" s="13">
        <v>68545</v>
      </c>
      <c r="B869" s="8">
        <f>CHOOSE( CONTROL!$C$29, 14.1275, 14.1206) * CHOOSE(CONTROL!$C$12, $D$4, 100%, $F$4)</f>
        <v>14.1206</v>
      </c>
      <c r="C869" s="8">
        <f>CHOOSE( CONTROL!$C$29, 14.1378, 14.1309) * CHOOSE(CONTROL!$C$12, $D$4, 100%, $F$4)</f>
        <v>14.1309</v>
      </c>
      <c r="D869" s="8">
        <f>CHOOSE( CONTROL!$C$29, 14.1393, 14.1324) * CHOOSE( CONTROL!$C$12, $D$4, 100%, $F$4)</f>
        <v>14.132400000000001</v>
      </c>
      <c r="E869" s="12">
        <f>CHOOSE( CONTROL!$C$29, 14.1372, 14.1303) * CHOOSE( CONTROL!$C$12, $D$4, 100%, $F$4)</f>
        <v>14.1303</v>
      </c>
      <c r="F869" s="4">
        <f>CHOOSE( CONTROL!$C$29, 15.1339, 15.1271) * CHOOSE(CONTROL!$C$12, $D$4, 100%, $F$4)</f>
        <v>15.1271</v>
      </c>
      <c r="G869" s="8">
        <f>CHOOSE( CONTROL!$C$29, 13.9214, 13.9147) * CHOOSE( CONTROL!$C$12, $D$4, 100%, $F$4)</f>
        <v>13.9147</v>
      </c>
      <c r="H869" s="4">
        <f>CHOOSE( CONTROL!$C$29, 14.8357, 14.829) * CHOOSE(CONTROL!$C$12, $D$4, 100%, $F$4)</f>
        <v>14.829000000000001</v>
      </c>
      <c r="I869" s="8">
        <f>CHOOSE( CONTROL!$C$29, 13.7607, 13.754) * CHOOSE(CONTROL!$C$12, $D$4, 100%, $F$4)</f>
        <v>13.754</v>
      </c>
      <c r="J869" s="4">
        <f>CHOOSE( CONTROL!$C$29, 13.6886, 13.6819) * CHOOSE(CONTROL!$C$12, $D$4, 100%, $F$4)</f>
        <v>13.681900000000001</v>
      </c>
      <c r="K869" s="4"/>
      <c r="L869" s="9">
        <v>29.520499999999998</v>
      </c>
      <c r="M869" s="9">
        <v>12.063700000000001</v>
      </c>
      <c r="N869" s="9">
        <v>4.9444999999999997</v>
      </c>
      <c r="O869" s="9">
        <v>0.37459999999999999</v>
      </c>
      <c r="P869" s="9">
        <v>1.2192000000000001</v>
      </c>
      <c r="Q869" s="9">
        <v>19.688099999999999</v>
      </c>
      <c r="R869" s="9"/>
      <c r="S869" s="11"/>
    </row>
    <row r="870" spans="1:19" ht="15.6">
      <c r="A870" s="13">
        <v>68575</v>
      </c>
      <c r="B870" s="8">
        <f>CHOOSE( CONTROL!$C$29, 13.8317, 13.8249) * CHOOSE(CONTROL!$C$12, $D$4, 100%, $F$4)</f>
        <v>13.8249</v>
      </c>
      <c r="C870" s="8">
        <f>CHOOSE( CONTROL!$C$29, 13.842, 13.8352) * CHOOSE(CONTROL!$C$12, $D$4, 100%, $F$4)</f>
        <v>13.8352</v>
      </c>
      <c r="D870" s="8">
        <f>CHOOSE( CONTROL!$C$29, 13.8467, 13.8399) * CHOOSE( CONTROL!$C$12, $D$4, 100%, $F$4)</f>
        <v>13.8399</v>
      </c>
      <c r="E870" s="12">
        <f>CHOOSE( CONTROL!$C$29, 13.8434, 13.8366) * CHOOSE( CONTROL!$C$12, $D$4, 100%, $F$4)</f>
        <v>13.836600000000001</v>
      </c>
      <c r="F870" s="4">
        <f>CHOOSE( CONTROL!$C$29, 14.8433, 14.8365) * CHOOSE(CONTROL!$C$12, $D$4, 100%, $F$4)</f>
        <v>14.836499999999999</v>
      </c>
      <c r="G870" s="8">
        <f>CHOOSE( CONTROL!$C$29, 13.6319, 13.6252) * CHOOSE( CONTROL!$C$12, $D$4, 100%, $F$4)</f>
        <v>13.6252</v>
      </c>
      <c r="H870" s="4">
        <f>CHOOSE( CONTROL!$C$29, 14.5493, 14.5425) * CHOOSE(CONTROL!$C$12, $D$4, 100%, $F$4)</f>
        <v>14.5425</v>
      </c>
      <c r="I870" s="8">
        <f>CHOOSE( CONTROL!$C$29, 13.4817, 13.4751) * CHOOSE(CONTROL!$C$12, $D$4, 100%, $F$4)</f>
        <v>13.475099999999999</v>
      </c>
      <c r="J870" s="4">
        <f>CHOOSE( CONTROL!$C$29, 13.402, 13.3953) * CHOOSE(CONTROL!$C$12, $D$4, 100%, $F$4)</f>
        <v>13.395300000000001</v>
      </c>
      <c r="K870" s="4"/>
      <c r="L870" s="9">
        <v>28.568200000000001</v>
      </c>
      <c r="M870" s="9">
        <v>11.6745</v>
      </c>
      <c r="N870" s="9">
        <v>4.7850000000000001</v>
      </c>
      <c r="O870" s="9">
        <v>0.36249999999999999</v>
      </c>
      <c r="P870" s="9">
        <v>1.1798</v>
      </c>
      <c r="Q870" s="9">
        <v>19.053000000000001</v>
      </c>
      <c r="R870" s="9"/>
      <c r="S870" s="11"/>
    </row>
    <row r="871" spans="1:19" ht="15.6">
      <c r="A871" s="13">
        <v>68606</v>
      </c>
      <c r="B871" s="8">
        <f>14.439 * CHOOSE(CONTROL!$C$12, $D$4, 100%, $F$4)</f>
        <v>14.439</v>
      </c>
      <c r="C871" s="8">
        <f>14.4493 * CHOOSE(CONTROL!$C$12, $D$4, 100%, $F$4)</f>
        <v>14.449299999999999</v>
      </c>
      <c r="D871" s="8">
        <f>14.4443 * CHOOSE( CONTROL!$C$12, $D$4, 100%, $F$4)</f>
        <v>14.4443</v>
      </c>
      <c r="E871" s="12">
        <f>14.4449 * CHOOSE( CONTROL!$C$12, $D$4, 100%, $F$4)</f>
        <v>14.444900000000001</v>
      </c>
      <c r="F871" s="4">
        <f>15.4299 * CHOOSE(CONTROL!$C$12, $D$4, 100%, $F$4)</f>
        <v>15.4299</v>
      </c>
      <c r="G871" s="8">
        <f>14.2273 * CHOOSE( CONTROL!$C$12, $D$4, 100%, $F$4)</f>
        <v>14.2273</v>
      </c>
      <c r="H871" s="4">
        <f>15.1275 * CHOOSE(CONTROL!$C$12, $D$4, 100%, $F$4)</f>
        <v>15.1275</v>
      </c>
      <c r="I871" s="8">
        <f>14.0743 * CHOOSE(CONTROL!$C$12, $D$4, 100%, $F$4)</f>
        <v>14.074299999999999</v>
      </c>
      <c r="J871" s="4">
        <f>13.9904 * CHOOSE(CONTROL!$C$12, $D$4, 100%, $F$4)</f>
        <v>13.990399999999999</v>
      </c>
      <c r="K871" s="4"/>
      <c r="L871" s="9">
        <v>28.921800000000001</v>
      </c>
      <c r="M871" s="9">
        <v>12.063700000000001</v>
      </c>
      <c r="N871" s="9">
        <v>4.9444999999999997</v>
      </c>
      <c r="O871" s="9">
        <v>0.37459999999999999</v>
      </c>
      <c r="P871" s="9">
        <v>1.2192000000000001</v>
      </c>
      <c r="Q871" s="9">
        <v>19.688099999999999</v>
      </c>
      <c r="R871" s="9"/>
      <c r="S871" s="11"/>
    </row>
    <row r="872" spans="1:19" ht="15.6">
      <c r="A872" s="13">
        <v>68636</v>
      </c>
      <c r="B872" s="8">
        <f>15.5725 * CHOOSE(CONTROL!$C$12, $D$4, 100%, $F$4)</f>
        <v>15.5725</v>
      </c>
      <c r="C872" s="8">
        <f>15.5828 * CHOOSE(CONTROL!$C$12, $D$4, 100%, $F$4)</f>
        <v>15.582800000000001</v>
      </c>
      <c r="D872" s="8">
        <f>15.5421 * CHOOSE( CONTROL!$C$12, $D$4, 100%, $F$4)</f>
        <v>15.5421</v>
      </c>
      <c r="E872" s="12">
        <f>15.5559 * CHOOSE( CONTROL!$C$12, $D$4, 100%, $F$4)</f>
        <v>15.555899999999999</v>
      </c>
      <c r="F872" s="4">
        <f>16.5495 * CHOOSE(CONTROL!$C$12, $D$4, 100%, $F$4)</f>
        <v>16.549499999999998</v>
      </c>
      <c r="G872" s="8">
        <f>15.3386 * CHOOSE( CONTROL!$C$12, $D$4, 100%, $F$4)</f>
        <v>15.3386</v>
      </c>
      <c r="H872" s="4">
        <f>16.2312 * CHOOSE(CONTROL!$C$12, $D$4, 100%, $F$4)</f>
        <v>16.231200000000001</v>
      </c>
      <c r="I872" s="8">
        <f>15.1575 * CHOOSE(CONTROL!$C$12, $D$4, 100%, $F$4)</f>
        <v>15.157500000000001</v>
      </c>
      <c r="J872" s="4">
        <f>15.0888 * CHOOSE(CONTROL!$C$12, $D$4, 100%, $F$4)</f>
        <v>15.088800000000001</v>
      </c>
      <c r="K872" s="4"/>
      <c r="L872" s="9">
        <v>26.515499999999999</v>
      </c>
      <c r="M872" s="9">
        <v>11.6745</v>
      </c>
      <c r="N872" s="9">
        <v>4.7850000000000001</v>
      </c>
      <c r="O872" s="9">
        <v>0.36249999999999999</v>
      </c>
      <c r="P872" s="9">
        <v>1.2522</v>
      </c>
      <c r="Q872" s="9">
        <v>19.053000000000001</v>
      </c>
      <c r="R872" s="9"/>
      <c r="S872" s="11"/>
    </row>
    <row r="873" spans="1:19" ht="15.6">
      <c r="A873" s="13">
        <v>68667</v>
      </c>
      <c r="B873" s="8">
        <f>15.5442 * CHOOSE(CONTROL!$C$12, $D$4, 100%, $F$4)</f>
        <v>15.5442</v>
      </c>
      <c r="C873" s="8">
        <f>15.5545 * CHOOSE(CONTROL!$C$12, $D$4, 100%, $F$4)</f>
        <v>15.554500000000001</v>
      </c>
      <c r="D873" s="8">
        <f>15.5157 * CHOOSE( CONTROL!$C$12, $D$4, 100%, $F$4)</f>
        <v>15.515700000000001</v>
      </c>
      <c r="E873" s="12">
        <f>15.5288 * CHOOSE( CONTROL!$C$12, $D$4, 100%, $F$4)</f>
        <v>15.5288</v>
      </c>
      <c r="F873" s="4">
        <f>16.5145 * CHOOSE(CONTROL!$C$12, $D$4, 100%, $F$4)</f>
        <v>16.514500000000002</v>
      </c>
      <c r="G873" s="8">
        <f>15.3131 * CHOOSE( CONTROL!$C$12, $D$4, 100%, $F$4)</f>
        <v>15.3131</v>
      </c>
      <c r="H873" s="4">
        <f>16.1966 * CHOOSE(CONTROL!$C$12, $D$4, 100%, $F$4)</f>
        <v>16.1966</v>
      </c>
      <c r="I873" s="8">
        <f>15.1408 * CHOOSE(CONTROL!$C$12, $D$4, 100%, $F$4)</f>
        <v>15.1408</v>
      </c>
      <c r="J873" s="4">
        <f>15.0613 * CHOOSE(CONTROL!$C$12, $D$4, 100%, $F$4)</f>
        <v>15.061299999999999</v>
      </c>
      <c r="K873" s="4"/>
      <c r="L873" s="9">
        <v>27.3993</v>
      </c>
      <c r="M873" s="9">
        <v>12.063700000000001</v>
      </c>
      <c r="N873" s="9">
        <v>4.9444999999999997</v>
      </c>
      <c r="O873" s="9">
        <v>0.37459999999999999</v>
      </c>
      <c r="P873" s="9">
        <v>1.2939000000000001</v>
      </c>
      <c r="Q873" s="9">
        <v>19.688099999999999</v>
      </c>
      <c r="R873" s="9"/>
      <c r="S873" s="11"/>
    </row>
    <row r="874" spans="1:19" ht="15.6">
      <c r="A874" s="13">
        <v>68698</v>
      </c>
      <c r="B874" s="8">
        <f>15.9069 * CHOOSE(CONTROL!$C$12, $D$4, 100%, $F$4)</f>
        <v>15.9069</v>
      </c>
      <c r="C874" s="8">
        <f>15.9172 * CHOOSE(CONTROL!$C$12, $D$4, 100%, $F$4)</f>
        <v>15.917199999999999</v>
      </c>
      <c r="D874" s="8">
        <f>15.917 * CHOOSE( CONTROL!$C$12, $D$4, 100%, $F$4)</f>
        <v>15.917</v>
      </c>
      <c r="E874" s="12">
        <f>15.916 * CHOOSE( CONTROL!$C$12, $D$4, 100%, $F$4)</f>
        <v>15.916</v>
      </c>
      <c r="F874" s="4">
        <f>16.9288 * CHOOSE(CONTROL!$C$12, $D$4, 100%, $F$4)</f>
        <v>16.928799999999999</v>
      </c>
      <c r="G874" s="8">
        <f>15.7116 * CHOOSE( CONTROL!$C$12, $D$4, 100%, $F$4)</f>
        <v>15.711600000000001</v>
      </c>
      <c r="H874" s="4">
        <f>16.6051 * CHOOSE(CONTROL!$C$12, $D$4, 100%, $F$4)</f>
        <v>16.6051</v>
      </c>
      <c r="I874" s="8">
        <f>15.5291 * CHOOSE(CONTROL!$C$12, $D$4, 100%, $F$4)</f>
        <v>15.5291</v>
      </c>
      <c r="J874" s="4">
        <f>15.4128 * CHOOSE(CONTROL!$C$12, $D$4, 100%, $F$4)</f>
        <v>15.412800000000001</v>
      </c>
      <c r="K874" s="4"/>
      <c r="L874" s="9">
        <v>27.3993</v>
      </c>
      <c r="M874" s="9">
        <v>12.063700000000001</v>
      </c>
      <c r="N874" s="9">
        <v>4.9444999999999997</v>
      </c>
      <c r="O874" s="9">
        <v>0.37459999999999999</v>
      </c>
      <c r="P874" s="9">
        <v>1.2939000000000001</v>
      </c>
      <c r="Q874" s="9">
        <v>19.688099999999999</v>
      </c>
      <c r="R874" s="9"/>
      <c r="S874" s="11"/>
    </row>
    <row r="875" spans="1:19" ht="15.6">
      <c r="A875" s="13">
        <v>68727</v>
      </c>
      <c r="B875" s="8">
        <f>14.8786 * CHOOSE(CONTROL!$C$12, $D$4, 100%, $F$4)</f>
        <v>14.8786</v>
      </c>
      <c r="C875" s="8">
        <f>14.8889 * CHOOSE(CONTROL!$C$12, $D$4, 100%, $F$4)</f>
        <v>14.8889</v>
      </c>
      <c r="D875" s="8">
        <f>14.891 * CHOOSE( CONTROL!$C$12, $D$4, 100%, $F$4)</f>
        <v>14.891</v>
      </c>
      <c r="E875" s="12">
        <f>14.8891 * CHOOSE( CONTROL!$C$12, $D$4, 100%, $F$4)</f>
        <v>14.889099999999999</v>
      </c>
      <c r="F875" s="4">
        <f>15.8928 * CHOOSE(CONTROL!$C$12, $D$4, 100%, $F$4)</f>
        <v>15.892799999999999</v>
      </c>
      <c r="G875" s="8">
        <f>14.6978 * CHOOSE( CONTROL!$C$12, $D$4, 100%, $F$4)</f>
        <v>14.697800000000001</v>
      </c>
      <c r="H875" s="4">
        <f>15.5838 * CHOOSE(CONTROL!$C$12, $D$4, 100%, $F$4)</f>
        <v>15.5838</v>
      </c>
      <c r="I875" s="8">
        <f>14.5213 * CHOOSE(CONTROL!$C$12, $D$4, 100%, $F$4)</f>
        <v>14.5213</v>
      </c>
      <c r="J875" s="4">
        <f>14.4164 * CHOOSE(CONTROL!$C$12, $D$4, 100%, $F$4)</f>
        <v>14.416399999999999</v>
      </c>
      <c r="K875" s="4"/>
      <c r="L875" s="9">
        <v>25.631599999999999</v>
      </c>
      <c r="M875" s="9">
        <v>11.285299999999999</v>
      </c>
      <c r="N875" s="9">
        <v>4.6254999999999997</v>
      </c>
      <c r="O875" s="9">
        <v>0.35039999999999999</v>
      </c>
      <c r="P875" s="9">
        <v>1.2104999999999999</v>
      </c>
      <c r="Q875" s="9">
        <v>18.417899999999999</v>
      </c>
      <c r="R875" s="9"/>
      <c r="S875" s="11"/>
    </row>
    <row r="876" spans="1:19" ht="15.6">
      <c r="A876" s="13">
        <v>68758</v>
      </c>
      <c r="B876" s="8">
        <f>14.5619 * CHOOSE(CONTROL!$C$12, $D$4, 100%, $F$4)</f>
        <v>14.5619</v>
      </c>
      <c r="C876" s="8">
        <f>14.5722 * CHOOSE(CONTROL!$C$12, $D$4, 100%, $F$4)</f>
        <v>14.5722</v>
      </c>
      <c r="D876" s="8">
        <f>14.5544 * CHOOSE( CONTROL!$C$12, $D$4, 100%, $F$4)</f>
        <v>14.554399999999999</v>
      </c>
      <c r="E876" s="12">
        <f>14.5598 * CHOOSE( CONTROL!$C$12, $D$4, 100%, $F$4)</f>
        <v>14.559799999999999</v>
      </c>
      <c r="F876" s="4">
        <f>15.5601 * CHOOSE(CONTROL!$C$12, $D$4, 100%, $F$4)</f>
        <v>15.5601</v>
      </c>
      <c r="G876" s="8">
        <f>14.3651 * CHOOSE( CONTROL!$C$12, $D$4, 100%, $F$4)</f>
        <v>14.3651</v>
      </c>
      <c r="H876" s="4">
        <f>15.2558 * CHOOSE(CONTROL!$C$12, $D$4, 100%, $F$4)</f>
        <v>15.255800000000001</v>
      </c>
      <c r="I876" s="8">
        <f>14.1747 * CHOOSE(CONTROL!$C$12, $D$4, 100%, $F$4)</f>
        <v>14.1747</v>
      </c>
      <c r="J876" s="4">
        <f>14.1095 * CHOOSE(CONTROL!$C$12, $D$4, 100%, $F$4)</f>
        <v>14.109500000000001</v>
      </c>
      <c r="K876" s="4"/>
      <c r="L876" s="9">
        <v>27.3993</v>
      </c>
      <c r="M876" s="9">
        <v>12.063700000000001</v>
      </c>
      <c r="N876" s="9">
        <v>4.9444999999999997</v>
      </c>
      <c r="O876" s="9">
        <v>0.37459999999999999</v>
      </c>
      <c r="P876" s="9">
        <v>1.2939000000000001</v>
      </c>
      <c r="Q876" s="9">
        <v>19.688099999999999</v>
      </c>
      <c r="R876" s="9"/>
      <c r="S876" s="11"/>
    </row>
    <row r="877" spans="1:19" ht="15.6">
      <c r="A877" s="13">
        <v>68788</v>
      </c>
      <c r="B877" s="8">
        <f>14.7832 * CHOOSE(CONTROL!$C$12, $D$4, 100%, $F$4)</f>
        <v>14.783200000000001</v>
      </c>
      <c r="C877" s="8">
        <f>14.7935 * CHOOSE(CONTROL!$C$12, $D$4, 100%, $F$4)</f>
        <v>14.7935</v>
      </c>
      <c r="D877" s="8">
        <f>14.7985 * CHOOSE( CONTROL!$C$12, $D$4, 100%, $F$4)</f>
        <v>14.798500000000001</v>
      </c>
      <c r="E877" s="12">
        <f>14.7957 * CHOOSE( CONTROL!$C$12, $D$4, 100%, $F$4)</f>
        <v>14.7957</v>
      </c>
      <c r="F877" s="4">
        <f>15.7896 * CHOOSE(CONTROL!$C$12, $D$4, 100%, $F$4)</f>
        <v>15.7896</v>
      </c>
      <c r="G877" s="8">
        <f>14.5712 * CHOOSE( CONTROL!$C$12, $D$4, 100%, $F$4)</f>
        <v>14.571199999999999</v>
      </c>
      <c r="H877" s="4">
        <f>15.4821 * CHOOSE(CONTROL!$C$12, $D$4, 100%, $F$4)</f>
        <v>15.482100000000001</v>
      </c>
      <c r="I877" s="8">
        <f>14.3794 * CHOOSE(CONTROL!$C$12, $D$4, 100%, $F$4)</f>
        <v>14.3794</v>
      </c>
      <c r="J877" s="4">
        <f>14.324 * CHOOSE(CONTROL!$C$12, $D$4, 100%, $F$4)</f>
        <v>14.324</v>
      </c>
      <c r="K877" s="4"/>
      <c r="L877" s="9">
        <v>27.988800000000001</v>
      </c>
      <c r="M877" s="9">
        <v>11.6745</v>
      </c>
      <c r="N877" s="9">
        <v>4.7850000000000001</v>
      </c>
      <c r="O877" s="9">
        <v>0.36249999999999999</v>
      </c>
      <c r="P877" s="9">
        <v>1.1798</v>
      </c>
      <c r="Q877" s="9">
        <v>19.053000000000001</v>
      </c>
      <c r="R877" s="9"/>
      <c r="S877" s="11"/>
    </row>
    <row r="878" spans="1:19" ht="15.6">
      <c r="A878" s="13">
        <v>68819</v>
      </c>
      <c r="B878" s="8">
        <f>CHOOSE( CONTROL!$C$29, 15.1839, 15.1771) * CHOOSE(CONTROL!$C$12, $D$4, 100%, $F$4)</f>
        <v>15.177099999999999</v>
      </c>
      <c r="C878" s="8">
        <f>CHOOSE( CONTROL!$C$29, 15.1942, 15.1874) * CHOOSE(CONTROL!$C$12, $D$4, 100%, $F$4)</f>
        <v>15.1874</v>
      </c>
      <c r="D878" s="8">
        <f>CHOOSE( CONTROL!$C$29, 15.1745, 15.1676) * CHOOSE( CONTROL!$C$12, $D$4, 100%, $F$4)</f>
        <v>15.1676</v>
      </c>
      <c r="E878" s="12">
        <f>CHOOSE( CONTROL!$C$29, 15.1801, 15.1732) * CHOOSE( CONTROL!$C$12, $D$4, 100%, $F$4)</f>
        <v>15.1732</v>
      </c>
      <c r="F878" s="4">
        <f>CHOOSE( CONTROL!$C$29, 16.1584, 16.1515) * CHOOSE(CONTROL!$C$12, $D$4, 100%, $F$4)</f>
        <v>16.151499999999999</v>
      </c>
      <c r="G878" s="8">
        <f>CHOOSE( CONTROL!$C$29, 14.9479, 14.9412) * CHOOSE( CONTROL!$C$12, $D$4, 100%, $F$4)</f>
        <v>14.9412</v>
      </c>
      <c r="H878" s="4">
        <f>CHOOSE( CONTROL!$C$29, 15.8456, 15.8389) * CHOOSE(CONTROL!$C$12, $D$4, 100%, $F$4)</f>
        <v>15.838900000000001</v>
      </c>
      <c r="I878" s="8">
        <f>CHOOSE( CONTROL!$C$29, 14.7463, 14.7397) * CHOOSE(CONTROL!$C$12, $D$4, 100%, $F$4)</f>
        <v>14.739699999999999</v>
      </c>
      <c r="J878" s="4">
        <f>CHOOSE( CONTROL!$C$29, 14.7123, 14.7056) * CHOOSE(CONTROL!$C$12, $D$4, 100%, $F$4)</f>
        <v>14.7056</v>
      </c>
      <c r="K878" s="4"/>
      <c r="L878" s="9">
        <v>29.520499999999998</v>
      </c>
      <c r="M878" s="9">
        <v>12.063700000000001</v>
      </c>
      <c r="N878" s="9">
        <v>4.9444999999999997</v>
      </c>
      <c r="O878" s="9">
        <v>0.37459999999999999</v>
      </c>
      <c r="P878" s="9">
        <v>1.2192000000000001</v>
      </c>
      <c r="Q878" s="9">
        <v>19.688099999999999</v>
      </c>
      <c r="R878" s="9"/>
      <c r="S878" s="11"/>
    </row>
    <row r="879" spans="1:19" ht="15.6">
      <c r="A879" s="13">
        <v>68849</v>
      </c>
      <c r="B879" s="8">
        <f>CHOOSE( CONTROL!$C$29, 14.9399, 14.9331) * CHOOSE(CONTROL!$C$12, $D$4, 100%, $F$4)</f>
        <v>14.9331</v>
      </c>
      <c r="C879" s="8">
        <f>CHOOSE( CONTROL!$C$29, 14.9502, 14.9434) * CHOOSE(CONTROL!$C$12, $D$4, 100%, $F$4)</f>
        <v>14.9434</v>
      </c>
      <c r="D879" s="8">
        <f>CHOOSE( CONTROL!$C$29, 14.925, 14.9181) * CHOOSE( CONTROL!$C$12, $D$4, 100%, $F$4)</f>
        <v>14.918100000000001</v>
      </c>
      <c r="E879" s="12">
        <f>CHOOSE( CONTROL!$C$29, 14.9326, 14.9257) * CHOOSE( CONTROL!$C$12, $D$4, 100%, $F$4)</f>
        <v>14.925700000000001</v>
      </c>
      <c r="F879" s="4">
        <f>CHOOSE( CONTROL!$C$29, 15.904, 15.8972) * CHOOSE(CONTROL!$C$12, $D$4, 100%, $F$4)</f>
        <v>15.8972</v>
      </c>
      <c r="G879" s="8">
        <f>CHOOSE( CONTROL!$C$29, 14.7062, 14.6994) * CHOOSE( CONTROL!$C$12, $D$4, 100%, $F$4)</f>
        <v>14.699400000000001</v>
      </c>
      <c r="H879" s="4">
        <f>CHOOSE( CONTROL!$C$29, 15.5949, 15.5882) * CHOOSE(CONTROL!$C$12, $D$4, 100%, $F$4)</f>
        <v>15.588200000000001</v>
      </c>
      <c r="I879" s="8">
        <f>CHOOSE( CONTROL!$C$29, 14.5119, 14.5053) * CHOOSE(CONTROL!$C$12, $D$4, 100%, $F$4)</f>
        <v>14.5053</v>
      </c>
      <c r="J879" s="4">
        <f>CHOOSE( CONTROL!$C$29, 14.4758, 14.4692) * CHOOSE(CONTROL!$C$12, $D$4, 100%, $F$4)</f>
        <v>14.469200000000001</v>
      </c>
      <c r="K879" s="4"/>
      <c r="L879" s="9">
        <v>28.568200000000001</v>
      </c>
      <c r="M879" s="9">
        <v>11.6745</v>
      </c>
      <c r="N879" s="9">
        <v>4.7850000000000001</v>
      </c>
      <c r="O879" s="9">
        <v>0.36249999999999999</v>
      </c>
      <c r="P879" s="9">
        <v>1.1798</v>
      </c>
      <c r="Q879" s="9">
        <v>19.053000000000001</v>
      </c>
      <c r="R879" s="9"/>
      <c r="S879" s="11"/>
    </row>
    <row r="880" spans="1:19" ht="15.6">
      <c r="A880" s="13">
        <v>68880</v>
      </c>
      <c r="B880" s="8">
        <f>CHOOSE( CONTROL!$C$29, 15.5824, 15.5756) * CHOOSE(CONTROL!$C$12, $D$4, 100%, $F$4)</f>
        <v>15.5756</v>
      </c>
      <c r="C880" s="8">
        <f>CHOOSE( CONTROL!$C$29, 15.5928, 15.5859) * CHOOSE(CONTROL!$C$12, $D$4, 100%, $F$4)</f>
        <v>15.585900000000001</v>
      </c>
      <c r="D880" s="8">
        <f>CHOOSE( CONTROL!$C$29, 15.6009, 15.5941) * CHOOSE( CONTROL!$C$12, $D$4, 100%, $F$4)</f>
        <v>15.594099999999999</v>
      </c>
      <c r="E880" s="12">
        <f>CHOOSE( CONTROL!$C$29, 15.5964, 15.5896) * CHOOSE( CONTROL!$C$12, $D$4, 100%, $F$4)</f>
        <v>15.589600000000001</v>
      </c>
      <c r="F880" s="4">
        <f>CHOOSE( CONTROL!$C$29, 16.5915, 16.5846) * CHOOSE(CONTROL!$C$12, $D$4, 100%, $F$4)</f>
        <v>16.584599999999998</v>
      </c>
      <c r="G880" s="8">
        <f>CHOOSE( CONTROL!$C$29, 15.3656, 15.3588) * CHOOSE( CONTROL!$C$12, $D$4, 100%, $F$4)</f>
        <v>15.3588</v>
      </c>
      <c r="H880" s="4">
        <f>CHOOSE( CONTROL!$C$29, 16.2725, 16.2658) * CHOOSE(CONTROL!$C$12, $D$4, 100%, $F$4)</f>
        <v>16.265799999999999</v>
      </c>
      <c r="I880" s="8">
        <f>CHOOSE( CONTROL!$C$29, 15.1901, 15.1835) * CHOOSE(CONTROL!$C$12, $D$4, 100%, $F$4)</f>
        <v>15.1835</v>
      </c>
      <c r="J880" s="4">
        <f>CHOOSE( CONTROL!$C$29, 15.0984, 15.0918) * CHOOSE(CONTROL!$C$12, $D$4, 100%, $F$4)</f>
        <v>15.091799999999999</v>
      </c>
      <c r="K880" s="4"/>
      <c r="L880" s="9">
        <v>29.520499999999998</v>
      </c>
      <c r="M880" s="9">
        <v>12.063700000000001</v>
      </c>
      <c r="N880" s="9">
        <v>4.9444999999999997</v>
      </c>
      <c r="O880" s="9">
        <v>0.37459999999999999</v>
      </c>
      <c r="P880" s="9">
        <v>1.2192000000000001</v>
      </c>
      <c r="Q880" s="9">
        <v>19.688099999999999</v>
      </c>
      <c r="R880" s="9"/>
      <c r="S880" s="11"/>
    </row>
    <row r="881" spans="1:19" ht="15.6">
      <c r="A881" s="13">
        <v>68911</v>
      </c>
      <c r="B881" s="8">
        <f>CHOOSE( CONTROL!$C$29, 14.3802, 14.3734) * CHOOSE(CONTROL!$C$12, $D$4, 100%, $F$4)</f>
        <v>14.3734</v>
      </c>
      <c r="C881" s="8">
        <f>CHOOSE( CONTROL!$C$29, 14.3905, 14.3837) * CHOOSE(CONTROL!$C$12, $D$4, 100%, $F$4)</f>
        <v>14.383699999999999</v>
      </c>
      <c r="D881" s="8">
        <f>CHOOSE( CONTROL!$C$29, 14.392, 14.3852) * CHOOSE( CONTROL!$C$12, $D$4, 100%, $F$4)</f>
        <v>14.385199999999999</v>
      </c>
      <c r="E881" s="12">
        <f>CHOOSE( CONTROL!$C$29, 14.3899, 14.3831) * CHOOSE( CONTROL!$C$12, $D$4, 100%, $F$4)</f>
        <v>14.383100000000001</v>
      </c>
      <c r="F881" s="4">
        <f>CHOOSE( CONTROL!$C$29, 15.3866, 15.3798) * CHOOSE(CONTROL!$C$12, $D$4, 100%, $F$4)</f>
        <v>15.379799999999999</v>
      </c>
      <c r="G881" s="8">
        <f>CHOOSE( CONTROL!$C$29, 14.1705, 14.1638) * CHOOSE( CONTROL!$C$12, $D$4, 100%, $F$4)</f>
        <v>14.1638</v>
      </c>
      <c r="H881" s="4">
        <f>CHOOSE( CONTROL!$C$29, 15.0849, 15.0781) * CHOOSE(CONTROL!$C$12, $D$4, 100%, $F$4)</f>
        <v>15.078099999999999</v>
      </c>
      <c r="I881" s="8">
        <f>CHOOSE( CONTROL!$C$29, 14.0057, 13.9991) * CHOOSE(CONTROL!$C$12, $D$4, 100%, $F$4)</f>
        <v>13.9991</v>
      </c>
      <c r="J881" s="4">
        <f>CHOOSE( CONTROL!$C$29, 13.9335, 13.9268) * CHOOSE(CONTROL!$C$12, $D$4, 100%, $F$4)</f>
        <v>13.9268</v>
      </c>
      <c r="K881" s="4"/>
      <c r="L881" s="9">
        <v>29.520499999999998</v>
      </c>
      <c r="M881" s="9">
        <v>12.063700000000001</v>
      </c>
      <c r="N881" s="9">
        <v>4.9444999999999997</v>
      </c>
      <c r="O881" s="9">
        <v>0.37459999999999999</v>
      </c>
      <c r="P881" s="9">
        <v>1.2192000000000001</v>
      </c>
      <c r="Q881" s="9">
        <v>19.688099999999999</v>
      </c>
      <c r="R881" s="9"/>
      <c r="S881" s="11"/>
    </row>
    <row r="882" spans="1:19" ht="15.6">
      <c r="A882" s="13">
        <v>68941</v>
      </c>
      <c r="B882" s="8">
        <f>CHOOSE( CONTROL!$C$29, 14.0791, 14.0723) * CHOOSE(CONTROL!$C$12, $D$4, 100%, $F$4)</f>
        <v>14.0723</v>
      </c>
      <c r="C882" s="8">
        <f>CHOOSE( CONTROL!$C$29, 14.0895, 14.0826) * CHOOSE(CONTROL!$C$12, $D$4, 100%, $F$4)</f>
        <v>14.082599999999999</v>
      </c>
      <c r="D882" s="8">
        <f>CHOOSE( CONTROL!$C$29, 14.0941, 14.0873) * CHOOSE( CONTROL!$C$12, $D$4, 100%, $F$4)</f>
        <v>14.087300000000001</v>
      </c>
      <c r="E882" s="12">
        <f>CHOOSE( CONTROL!$C$29, 14.0908, 14.084) * CHOOSE( CONTROL!$C$12, $D$4, 100%, $F$4)</f>
        <v>14.084</v>
      </c>
      <c r="F882" s="4">
        <f>CHOOSE( CONTROL!$C$29, 15.0907, 15.0839) * CHOOSE(CONTROL!$C$12, $D$4, 100%, $F$4)</f>
        <v>15.0839</v>
      </c>
      <c r="G882" s="8">
        <f>CHOOSE( CONTROL!$C$29, 13.8758, 13.8691) * CHOOSE( CONTROL!$C$12, $D$4, 100%, $F$4)</f>
        <v>13.8691</v>
      </c>
      <c r="H882" s="4">
        <f>CHOOSE( CONTROL!$C$29, 14.7932, 14.7864) * CHOOSE(CONTROL!$C$12, $D$4, 100%, $F$4)</f>
        <v>14.7864</v>
      </c>
      <c r="I882" s="8">
        <f>CHOOSE( CONTROL!$C$29, 13.7216, 13.715) * CHOOSE(CONTROL!$C$12, $D$4, 100%, $F$4)</f>
        <v>13.715</v>
      </c>
      <c r="J882" s="4">
        <f>CHOOSE( CONTROL!$C$29, 13.6417, 13.6351) * CHOOSE(CONTROL!$C$12, $D$4, 100%, $F$4)</f>
        <v>13.6351</v>
      </c>
      <c r="K882" s="4"/>
      <c r="L882" s="9">
        <v>28.568200000000001</v>
      </c>
      <c r="M882" s="9">
        <v>11.6745</v>
      </c>
      <c r="N882" s="9">
        <v>4.7850000000000001</v>
      </c>
      <c r="O882" s="9">
        <v>0.36249999999999999</v>
      </c>
      <c r="P882" s="9">
        <v>1.1798</v>
      </c>
      <c r="Q882" s="9">
        <v>19.053000000000001</v>
      </c>
      <c r="R882" s="9"/>
      <c r="S882" s="11"/>
    </row>
    <row r="883" spans="1:19" ht="15.6">
      <c r="A883" s="13">
        <v>68972</v>
      </c>
      <c r="B883" s="8">
        <f>14.6974 * CHOOSE(CONTROL!$C$12, $D$4, 100%, $F$4)</f>
        <v>14.6974</v>
      </c>
      <c r="C883" s="8">
        <f>14.7077 * CHOOSE(CONTROL!$C$12, $D$4, 100%, $F$4)</f>
        <v>14.707700000000001</v>
      </c>
      <c r="D883" s="8">
        <f>14.7028 * CHOOSE( CONTROL!$C$12, $D$4, 100%, $F$4)</f>
        <v>14.7028</v>
      </c>
      <c r="E883" s="12">
        <f>14.7033 * CHOOSE( CONTROL!$C$12, $D$4, 100%, $F$4)</f>
        <v>14.7033</v>
      </c>
      <c r="F883" s="4">
        <f>15.6884 * CHOOSE(CONTROL!$C$12, $D$4, 100%, $F$4)</f>
        <v>15.6884</v>
      </c>
      <c r="G883" s="8">
        <f>14.4821 * CHOOSE( CONTROL!$C$12, $D$4, 100%, $F$4)</f>
        <v>14.482100000000001</v>
      </c>
      <c r="H883" s="4">
        <f>15.3823 * CHOOSE(CONTROL!$C$12, $D$4, 100%, $F$4)</f>
        <v>15.382300000000001</v>
      </c>
      <c r="I883" s="8">
        <f>14.3249 * CHOOSE(CONTROL!$C$12, $D$4, 100%, $F$4)</f>
        <v>14.3249</v>
      </c>
      <c r="J883" s="4">
        <f>14.2408 * CHOOSE(CONTROL!$C$12, $D$4, 100%, $F$4)</f>
        <v>14.2408</v>
      </c>
      <c r="K883" s="4"/>
      <c r="L883" s="9">
        <v>28.921800000000001</v>
      </c>
      <c r="M883" s="9">
        <v>12.063700000000001</v>
      </c>
      <c r="N883" s="9">
        <v>4.9444999999999997</v>
      </c>
      <c r="O883" s="9">
        <v>0.37459999999999999</v>
      </c>
      <c r="P883" s="9">
        <v>1.2192000000000001</v>
      </c>
      <c r="Q883" s="9">
        <v>19.688099999999999</v>
      </c>
      <c r="R883" s="9"/>
      <c r="S883" s="11"/>
    </row>
    <row r="884" spans="1:19" ht="15.6">
      <c r="A884" s="13">
        <v>69002</v>
      </c>
      <c r="B884" s="8">
        <f>15.8512 * CHOOSE(CONTROL!$C$12, $D$4, 100%, $F$4)</f>
        <v>15.8512</v>
      </c>
      <c r="C884" s="8">
        <f>15.8615 * CHOOSE(CONTROL!$C$12, $D$4, 100%, $F$4)</f>
        <v>15.861499999999999</v>
      </c>
      <c r="D884" s="8">
        <f>15.8208 * CHOOSE( CONTROL!$C$12, $D$4, 100%, $F$4)</f>
        <v>15.8208</v>
      </c>
      <c r="E884" s="12">
        <f>15.8346 * CHOOSE( CONTROL!$C$12, $D$4, 100%, $F$4)</f>
        <v>15.8346</v>
      </c>
      <c r="F884" s="4">
        <f>16.8282 * CHOOSE(CONTROL!$C$12, $D$4, 100%, $F$4)</f>
        <v>16.828199999999999</v>
      </c>
      <c r="G884" s="8">
        <f>15.6134 * CHOOSE( CONTROL!$C$12, $D$4, 100%, $F$4)</f>
        <v>15.6134</v>
      </c>
      <c r="H884" s="4">
        <f>16.5059 * CHOOSE(CONTROL!$C$12, $D$4, 100%, $F$4)</f>
        <v>16.5059</v>
      </c>
      <c r="I884" s="8">
        <f>15.4278 * CHOOSE(CONTROL!$C$12, $D$4, 100%, $F$4)</f>
        <v>15.4278</v>
      </c>
      <c r="J884" s="4">
        <f>15.3589 * CHOOSE(CONTROL!$C$12, $D$4, 100%, $F$4)</f>
        <v>15.3589</v>
      </c>
      <c r="K884" s="4"/>
      <c r="L884" s="9">
        <v>26.515499999999999</v>
      </c>
      <c r="M884" s="9">
        <v>11.6745</v>
      </c>
      <c r="N884" s="9">
        <v>4.7850000000000001</v>
      </c>
      <c r="O884" s="9">
        <v>0.36249999999999999</v>
      </c>
      <c r="P884" s="9">
        <v>1.2522</v>
      </c>
      <c r="Q884" s="9">
        <v>19.053000000000001</v>
      </c>
      <c r="R884" s="9"/>
      <c r="S884" s="11"/>
    </row>
    <row r="885" spans="1:19" ht="15.6">
      <c r="A885" s="13">
        <v>69033</v>
      </c>
      <c r="B885" s="8">
        <f>15.8224 * CHOOSE(CONTROL!$C$12, $D$4, 100%, $F$4)</f>
        <v>15.8224</v>
      </c>
      <c r="C885" s="8">
        <f>15.8327 * CHOOSE(CONTROL!$C$12, $D$4, 100%, $F$4)</f>
        <v>15.832700000000001</v>
      </c>
      <c r="D885" s="8">
        <f>15.7939 * CHOOSE( CONTROL!$C$12, $D$4, 100%, $F$4)</f>
        <v>15.793900000000001</v>
      </c>
      <c r="E885" s="12">
        <f>15.807 * CHOOSE( CONTROL!$C$12, $D$4, 100%, $F$4)</f>
        <v>15.807</v>
      </c>
      <c r="F885" s="4">
        <f>16.7927 * CHOOSE(CONTROL!$C$12, $D$4, 100%, $F$4)</f>
        <v>16.7927</v>
      </c>
      <c r="G885" s="8">
        <f>15.5873 * CHOOSE( CONTROL!$C$12, $D$4, 100%, $F$4)</f>
        <v>15.587300000000001</v>
      </c>
      <c r="H885" s="4">
        <f>16.4709 * CHOOSE(CONTROL!$C$12, $D$4, 100%, $F$4)</f>
        <v>16.4709</v>
      </c>
      <c r="I885" s="8">
        <f>15.4106 * CHOOSE(CONTROL!$C$12, $D$4, 100%, $F$4)</f>
        <v>15.410600000000001</v>
      </c>
      <c r="J885" s="4">
        <f>15.3309 * CHOOSE(CONTROL!$C$12, $D$4, 100%, $F$4)</f>
        <v>15.3309</v>
      </c>
      <c r="K885" s="4"/>
      <c r="L885" s="9">
        <v>27.3993</v>
      </c>
      <c r="M885" s="9">
        <v>12.063700000000001</v>
      </c>
      <c r="N885" s="9">
        <v>4.9444999999999997</v>
      </c>
      <c r="O885" s="9">
        <v>0.37459999999999999</v>
      </c>
      <c r="P885" s="9">
        <v>1.2939000000000001</v>
      </c>
      <c r="Q885" s="9">
        <v>19.688099999999999</v>
      </c>
      <c r="R885" s="9"/>
      <c r="S885" s="11"/>
    </row>
    <row r="886" spans="1:19" ht="15.6">
      <c r="A886" s="13">
        <v>69064</v>
      </c>
      <c r="B886" s="8">
        <f>16.1916 * CHOOSE(CONTROL!$C$12, $D$4, 100%, $F$4)</f>
        <v>16.191600000000001</v>
      </c>
      <c r="C886" s="8">
        <f>16.2019 * CHOOSE(CONTROL!$C$12, $D$4, 100%, $F$4)</f>
        <v>16.201899999999998</v>
      </c>
      <c r="D886" s="8">
        <f>16.2017 * CHOOSE( CONTROL!$C$12, $D$4, 100%, $F$4)</f>
        <v>16.201699999999999</v>
      </c>
      <c r="E886" s="12">
        <f>16.2007 * CHOOSE( CONTROL!$C$12, $D$4, 100%, $F$4)</f>
        <v>16.200700000000001</v>
      </c>
      <c r="F886" s="4">
        <f>17.2135 * CHOOSE(CONTROL!$C$12, $D$4, 100%, $F$4)</f>
        <v>17.2135</v>
      </c>
      <c r="G886" s="8">
        <f>15.9923 * CHOOSE( CONTROL!$C$12, $D$4, 100%, $F$4)</f>
        <v>15.9923</v>
      </c>
      <c r="H886" s="4">
        <f>16.8857 * CHOOSE(CONTROL!$C$12, $D$4, 100%, $F$4)</f>
        <v>16.8857</v>
      </c>
      <c r="I886" s="8">
        <f>15.8051 * CHOOSE(CONTROL!$C$12, $D$4, 100%, $F$4)</f>
        <v>15.805099999999999</v>
      </c>
      <c r="J886" s="4">
        <f>15.6887 * CHOOSE(CONTROL!$C$12, $D$4, 100%, $F$4)</f>
        <v>15.688700000000001</v>
      </c>
      <c r="K886" s="4"/>
      <c r="L886" s="9">
        <v>27.3993</v>
      </c>
      <c r="M886" s="9">
        <v>12.063700000000001</v>
      </c>
      <c r="N886" s="9">
        <v>4.9444999999999997</v>
      </c>
      <c r="O886" s="9">
        <v>0.37459999999999999</v>
      </c>
      <c r="P886" s="9">
        <v>1.2939000000000001</v>
      </c>
      <c r="Q886" s="9">
        <v>19.688099999999999</v>
      </c>
      <c r="R886" s="9"/>
      <c r="S886" s="11"/>
    </row>
    <row r="887" spans="1:19" ht="15.6">
      <c r="A887" s="13">
        <v>69092</v>
      </c>
      <c r="B887" s="8">
        <f>15.1449 * CHOOSE(CONTROL!$C$12, $D$4, 100%, $F$4)</f>
        <v>15.1449</v>
      </c>
      <c r="C887" s="8">
        <f>15.1552 * CHOOSE(CONTROL!$C$12, $D$4, 100%, $F$4)</f>
        <v>15.155200000000001</v>
      </c>
      <c r="D887" s="8">
        <f>15.1573 * CHOOSE( CONTROL!$C$12, $D$4, 100%, $F$4)</f>
        <v>15.157299999999999</v>
      </c>
      <c r="E887" s="12">
        <f>15.1554 * CHOOSE( CONTROL!$C$12, $D$4, 100%, $F$4)</f>
        <v>15.1554</v>
      </c>
      <c r="F887" s="4">
        <f>16.1591 * CHOOSE(CONTROL!$C$12, $D$4, 100%, $F$4)</f>
        <v>16.159099999999999</v>
      </c>
      <c r="G887" s="8">
        <f>14.9603 * CHOOSE( CONTROL!$C$12, $D$4, 100%, $F$4)</f>
        <v>14.9603</v>
      </c>
      <c r="H887" s="4">
        <f>15.8463 * CHOOSE(CONTROL!$C$12, $D$4, 100%, $F$4)</f>
        <v>15.846299999999999</v>
      </c>
      <c r="I887" s="8">
        <f>14.7794 * CHOOSE(CONTROL!$C$12, $D$4, 100%, $F$4)</f>
        <v>14.779400000000001</v>
      </c>
      <c r="J887" s="4">
        <f>14.6745 * CHOOSE(CONTROL!$C$12, $D$4, 100%, $F$4)</f>
        <v>14.6745</v>
      </c>
      <c r="K887" s="4"/>
      <c r="L887" s="9">
        <v>24.747800000000002</v>
      </c>
      <c r="M887" s="9">
        <v>10.8962</v>
      </c>
      <c r="N887" s="9">
        <v>4.4660000000000002</v>
      </c>
      <c r="O887" s="9">
        <v>0.33829999999999999</v>
      </c>
      <c r="P887" s="9">
        <v>1.1687000000000001</v>
      </c>
      <c r="Q887" s="9">
        <v>17.782800000000002</v>
      </c>
      <c r="R887" s="9"/>
      <c r="S887" s="11"/>
    </row>
    <row r="888" spans="1:19" ht="15.6">
      <c r="A888" s="13">
        <v>69123</v>
      </c>
      <c r="B888" s="8">
        <f>14.8225 * CHOOSE(CONTROL!$C$12, $D$4, 100%, $F$4)</f>
        <v>14.8225</v>
      </c>
      <c r="C888" s="8">
        <f>14.8328 * CHOOSE(CONTROL!$C$12, $D$4, 100%, $F$4)</f>
        <v>14.832800000000001</v>
      </c>
      <c r="D888" s="8">
        <f>14.815 * CHOOSE( CONTROL!$C$12, $D$4, 100%, $F$4)</f>
        <v>14.815</v>
      </c>
      <c r="E888" s="12">
        <f>14.8204 * CHOOSE( CONTROL!$C$12, $D$4, 100%, $F$4)</f>
        <v>14.820399999999999</v>
      </c>
      <c r="F888" s="4">
        <f>15.8207 * CHOOSE(CONTROL!$C$12, $D$4, 100%, $F$4)</f>
        <v>15.8207</v>
      </c>
      <c r="G888" s="8">
        <f>14.622 * CHOOSE( CONTROL!$C$12, $D$4, 100%, $F$4)</f>
        <v>14.622</v>
      </c>
      <c r="H888" s="4">
        <f>15.5127 * CHOOSE(CONTROL!$C$12, $D$4, 100%, $F$4)</f>
        <v>15.512700000000001</v>
      </c>
      <c r="I888" s="8">
        <f>14.4274 * CHOOSE(CONTROL!$C$12, $D$4, 100%, $F$4)</f>
        <v>14.4274</v>
      </c>
      <c r="J888" s="4">
        <f>14.3621 * CHOOSE(CONTROL!$C$12, $D$4, 100%, $F$4)</f>
        <v>14.3621</v>
      </c>
      <c r="K888" s="4"/>
      <c r="L888" s="9">
        <v>27.3993</v>
      </c>
      <c r="M888" s="9">
        <v>12.063700000000001</v>
      </c>
      <c r="N888" s="9">
        <v>4.9444999999999997</v>
      </c>
      <c r="O888" s="9">
        <v>0.37459999999999999</v>
      </c>
      <c r="P888" s="9">
        <v>1.2939000000000001</v>
      </c>
      <c r="Q888" s="9">
        <v>19.688099999999999</v>
      </c>
      <c r="R888" s="9"/>
      <c r="S888" s="11"/>
    </row>
    <row r="889" spans="1:19" ht="15.6">
      <c r="A889" s="13">
        <v>69153</v>
      </c>
      <c r="B889" s="8">
        <f>15.0478 * CHOOSE(CONTROL!$C$12, $D$4, 100%, $F$4)</f>
        <v>15.047800000000001</v>
      </c>
      <c r="C889" s="8">
        <f>15.0581 * CHOOSE(CONTROL!$C$12, $D$4, 100%, $F$4)</f>
        <v>15.0581</v>
      </c>
      <c r="D889" s="8">
        <f>15.0631 * CHOOSE( CONTROL!$C$12, $D$4, 100%, $F$4)</f>
        <v>15.0631</v>
      </c>
      <c r="E889" s="12">
        <f>15.0603 * CHOOSE( CONTROL!$C$12, $D$4, 100%, $F$4)</f>
        <v>15.0603</v>
      </c>
      <c r="F889" s="4">
        <f>16.0542 * CHOOSE(CONTROL!$C$12, $D$4, 100%, $F$4)</f>
        <v>16.054200000000002</v>
      </c>
      <c r="G889" s="8">
        <f>14.832 * CHOOSE( CONTROL!$C$12, $D$4, 100%, $F$4)</f>
        <v>14.832000000000001</v>
      </c>
      <c r="H889" s="4">
        <f>15.743 * CHOOSE(CONTROL!$C$12, $D$4, 100%, $F$4)</f>
        <v>15.743</v>
      </c>
      <c r="I889" s="8">
        <f>14.6359 * CHOOSE(CONTROL!$C$12, $D$4, 100%, $F$4)</f>
        <v>14.635899999999999</v>
      </c>
      <c r="J889" s="4">
        <f>14.5804 * CHOOSE(CONTROL!$C$12, $D$4, 100%, $F$4)</f>
        <v>14.580399999999999</v>
      </c>
      <c r="K889" s="4"/>
      <c r="L889" s="9">
        <v>27.988800000000001</v>
      </c>
      <c r="M889" s="9">
        <v>11.6745</v>
      </c>
      <c r="N889" s="9">
        <v>4.7850000000000001</v>
      </c>
      <c r="O889" s="9">
        <v>0.36249999999999999</v>
      </c>
      <c r="P889" s="9">
        <v>1.1798</v>
      </c>
      <c r="Q889" s="9">
        <v>19.053000000000001</v>
      </c>
      <c r="R889" s="9"/>
      <c r="S889" s="11"/>
    </row>
    <row r="890" spans="1:19" ht="15.6">
      <c r="A890" s="13">
        <v>69184</v>
      </c>
      <c r="B890" s="8">
        <f>CHOOSE( CONTROL!$C$29, 15.4556, 15.4487) * CHOOSE(CONTROL!$C$12, $D$4, 100%, $F$4)</f>
        <v>15.448700000000001</v>
      </c>
      <c r="C890" s="8">
        <f>CHOOSE( CONTROL!$C$29, 15.4659, 15.459) * CHOOSE(CONTROL!$C$12, $D$4, 100%, $F$4)</f>
        <v>15.459</v>
      </c>
      <c r="D890" s="8">
        <f>CHOOSE( CONTROL!$C$29, 15.4461, 15.4393) * CHOOSE( CONTROL!$C$12, $D$4, 100%, $F$4)</f>
        <v>15.439299999999999</v>
      </c>
      <c r="E890" s="12">
        <f>CHOOSE( CONTROL!$C$29, 15.4517, 15.4449) * CHOOSE( CONTROL!$C$12, $D$4, 100%, $F$4)</f>
        <v>15.444900000000001</v>
      </c>
      <c r="F890" s="4">
        <f>CHOOSE( CONTROL!$C$29, 16.43, 16.4232) * CHOOSE(CONTROL!$C$12, $D$4, 100%, $F$4)</f>
        <v>16.423200000000001</v>
      </c>
      <c r="G890" s="8">
        <f>CHOOSE( CONTROL!$C$29, 15.2157, 15.209) * CHOOSE( CONTROL!$C$12, $D$4, 100%, $F$4)</f>
        <v>15.209</v>
      </c>
      <c r="H890" s="4">
        <f>CHOOSE( CONTROL!$C$29, 16.1134, 16.1066) * CHOOSE(CONTROL!$C$12, $D$4, 100%, $F$4)</f>
        <v>16.1066</v>
      </c>
      <c r="I890" s="8">
        <f>CHOOSE( CONTROL!$C$29, 15.0097, 15.003) * CHOOSE(CONTROL!$C$12, $D$4, 100%, $F$4)</f>
        <v>15.003</v>
      </c>
      <c r="J890" s="4">
        <f>CHOOSE( CONTROL!$C$29, 14.9755, 14.9689) * CHOOSE(CONTROL!$C$12, $D$4, 100%, $F$4)</f>
        <v>14.9689</v>
      </c>
      <c r="K890" s="4"/>
      <c r="L890" s="9">
        <v>29.520499999999998</v>
      </c>
      <c r="M890" s="9">
        <v>12.063700000000001</v>
      </c>
      <c r="N890" s="9">
        <v>4.9444999999999997</v>
      </c>
      <c r="O890" s="9">
        <v>0.37459999999999999</v>
      </c>
      <c r="P890" s="9">
        <v>1.2192000000000001</v>
      </c>
      <c r="Q890" s="9">
        <v>19.688099999999999</v>
      </c>
      <c r="R890" s="9"/>
      <c r="S890" s="11"/>
    </row>
    <row r="891" spans="1:19" ht="15.6">
      <c r="A891" s="13">
        <v>69214</v>
      </c>
      <c r="B891" s="8">
        <f>CHOOSE( CONTROL!$C$29, 15.2072, 15.2004) * CHOOSE(CONTROL!$C$12, $D$4, 100%, $F$4)</f>
        <v>15.2004</v>
      </c>
      <c r="C891" s="8">
        <f>CHOOSE( CONTROL!$C$29, 15.2175, 15.2107) * CHOOSE(CONTROL!$C$12, $D$4, 100%, $F$4)</f>
        <v>15.210699999999999</v>
      </c>
      <c r="D891" s="8">
        <f>CHOOSE( CONTROL!$C$29, 15.1922, 15.1854) * CHOOSE( CONTROL!$C$12, $D$4, 100%, $F$4)</f>
        <v>15.1854</v>
      </c>
      <c r="E891" s="12">
        <f>CHOOSE( CONTROL!$C$29, 15.1998, 15.193) * CHOOSE( CONTROL!$C$12, $D$4, 100%, $F$4)</f>
        <v>15.193</v>
      </c>
      <c r="F891" s="4">
        <f>CHOOSE( CONTROL!$C$29, 16.1713, 16.1645) * CHOOSE(CONTROL!$C$12, $D$4, 100%, $F$4)</f>
        <v>16.1645</v>
      </c>
      <c r="G891" s="8">
        <f>CHOOSE( CONTROL!$C$29, 14.9696, 14.9629) * CHOOSE( CONTROL!$C$12, $D$4, 100%, $F$4)</f>
        <v>14.962899999999999</v>
      </c>
      <c r="H891" s="4">
        <f>CHOOSE( CONTROL!$C$29, 15.8584, 15.8516) * CHOOSE(CONTROL!$C$12, $D$4, 100%, $F$4)</f>
        <v>15.851599999999999</v>
      </c>
      <c r="I891" s="8">
        <f>CHOOSE( CONTROL!$C$29, 14.7711, 14.7644) * CHOOSE(CONTROL!$C$12, $D$4, 100%, $F$4)</f>
        <v>14.7644</v>
      </c>
      <c r="J891" s="4">
        <f>CHOOSE( CONTROL!$C$29, 14.7348, 14.7282) * CHOOSE(CONTROL!$C$12, $D$4, 100%, $F$4)</f>
        <v>14.728199999999999</v>
      </c>
      <c r="K891" s="4"/>
      <c r="L891" s="9">
        <v>28.568200000000001</v>
      </c>
      <c r="M891" s="9">
        <v>11.6745</v>
      </c>
      <c r="N891" s="9">
        <v>4.7850000000000001</v>
      </c>
      <c r="O891" s="9">
        <v>0.36249999999999999</v>
      </c>
      <c r="P891" s="9">
        <v>1.1798</v>
      </c>
      <c r="Q891" s="9">
        <v>19.053000000000001</v>
      </c>
      <c r="R891" s="9"/>
      <c r="S891" s="11"/>
    </row>
    <row r="892" spans="1:19" ht="15.6">
      <c r="A892" s="13">
        <v>69245</v>
      </c>
      <c r="B892" s="8">
        <f>CHOOSE( CONTROL!$C$29, 15.8612, 15.8544) * CHOOSE(CONTROL!$C$12, $D$4, 100%, $F$4)</f>
        <v>15.8544</v>
      </c>
      <c r="C892" s="8">
        <f>CHOOSE( CONTROL!$C$29, 15.8716, 15.8647) * CHOOSE(CONTROL!$C$12, $D$4, 100%, $F$4)</f>
        <v>15.864699999999999</v>
      </c>
      <c r="D892" s="8">
        <f>CHOOSE( CONTROL!$C$29, 15.8797, 15.8729) * CHOOSE( CONTROL!$C$12, $D$4, 100%, $F$4)</f>
        <v>15.8729</v>
      </c>
      <c r="E892" s="12">
        <f>CHOOSE( CONTROL!$C$29, 15.8752, 15.8684) * CHOOSE( CONTROL!$C$12, $D$4, 100%, $F$4)</f>
        <v>15.868399999999999</v>
      </c>
      <c r="F892" s="4">
        <f>CHOOSE( CONTROL!$C$29, 16.8703, 16.8634) * CHOOSE(CONTROL!$C$12, $D$4, 100%, $F$4)</f>
        <v>16.863399999999999</v>
      </c>
      <c r="G892" s="8">
        <f>CHOOSE( CONTROL!$C$29, 15.6404, 15.6337) * CHOOSE( CONTROL!$C$12, $D$4, 100%, $F$4)</f>
        <v>15.633699999999999</v>
      </c>
      <c r="H892" s="4">
        <f>CHOOSE( CONTROL!$C$29, 16.5473, 16.5406) * CHOOSE(CONTROL!$C$12, $D$4, 100%, $F$4)</f>
        <v>16.540600000000001</v>
      </c>
      <c r="I892" s="8">
        <f>CHOOSE( CONTROL!$C$29, 15.4604, 15.4538) * CHOOSE(CONTROL!$C$12, $D$4, 100%, $F$4)</f>
        <v>15.453799999999999</v>
      </c>
      <c r="J892" s="4">
        <f>CHOOSE( CONTROL!$C$29, 15.3686, 15.362) * CHOOSE(CONTROL!$C$12, $D$4, 100%, $F$4)</f>
        <v>15.362</v>
      </c>
      <c r="K892" s="4"/>
      <c r="L892" s="9">
        <v>29.520499999999998</v>
      </c>
      <c r="M892" s="9">
        <v>12.063700000000001</v>
      </c>
      <c r="N892" s="9">
        <v>4.9444999999999997</v>
      </c>
      <c r="O892" s="9">
        <v>0.37459999999999999</v>
      </c>
      <c r="P892" s="9">
        <v>1.2192000000000001</v>
      </c>
      <c r="Q892" s="9">
        <v>19.688099999999999</v>
      </c>
      <c r="R892" s="9"/>
      <c r="S892" s="11"/>
    </row>
    <row r="893" spans="1:19" ht="15.6">
      <c r="A893" s="13">
        <v>69276</v>
      </c>
      <c r="B893" s="8">
        <f>CHOOSE( CONTROL!$C$29, 14.6375, 14.6306) * CHOOSE(CONTROL!$C$12, $D$4, 100%, $F$4)</f>
        <v>14.630599999999999</v>
      </c>
      <c r="C893" s="8">
        <f>CHOOSE( CONTROL!$C$29, 14.6478, 14.6409) * CHOOSE(CONTROL!$C$12, $D$4, 100%, $F$4)</f>
        <v>14.6409</v>
      </c>
      <c r="D893" s="8">
        <f>CHOOSE( CONTROL!$C$29, 14.6493, 14.6424) * CHOOSE( CONTROL!$C$12, $D$4, 100%, $F$4)</f>
        <v>14.6424</v>
      </c>
      <c r="E893" s="12">
        <f>CHOOSE( CONTROL!$C$29, 14.6472, 14.6403) * CHOOSE( CONTROL!$C$12, $D$4, 100%, $F$4)</f>
        <v>14.6403</v>
      </c>
      <c r="F893" s="4">
        <f>CHOOSE( CONTROL!$C$29, 15.6439, 15.6371) * CHOOSE(CONTROL!$C$12, $D$4, 100%, $F$4)</f>
        <v>15.6371</v>
      </c>
      <c r="G893" s="8">
        <f>CHOOSE( CONTROL!$C$29, 14.4241, 14.4174) * CHOOSE( CONTROL!$C$12, $D$4, 100%, $F$4)</f>
        <v>14.417400000000001</v>
      </c>
      <c r="H893" s="4">
        <f>CHOOSE( CONTROL!$C$29, 15.3385, 15.3317) * CHOOSE(CONTROL!$C$12, $D$4, 100%, $F$4)</f>
        <v>15.3317</v>
      </c>
      <c r="I893" s="8">
        <f>CHOOSE( CONTROL!$C$29, 14.2551, 14.2485) * CHOOSE(CONTROL!$C$12, $D$4, 100%, $F$4)</f>
        <v>14.2485</v>
      </c>
      <c r="J893" s="4">
        <f>CHOOSE( CONTROL!$C$29, 14.1828, 14.1761) * CHOOSE(CONTROL!$C$12, $D$4, 100%, $F$4)</f>
        <v>14.1761</v>
      </c>
      <c r="K893" s="4"/>
      <c r="L893" s="9">
        <v>29.520499999999998</v>
      </c>
      <c r="M893" s="9">
        <v>12.063700000000001</v>
      </c>
      <c r="N893" s="9">
        <v>4.9444999999999997</v>
      </c>
      <c r="O893" s="9">
        <v>0.37459999999999999</v>
      </c>
      <c r="P893" s="9">
        <v>1.2192000000000001</v>
      </c>
      <c r="Q893" s="9">
        <v>19.688099999999999</v>
      </c>
      <c r="R893" s="9"/>
      <c r="S893" s="11"/>
    </row>
    <row r="894" spans="1:19" ht="15.6">
      <c r="A894" s="13">
        <v>69306</v>
      </c>
      <c r="B894" s="8">
        <f>CHOOSE( CONTROL!$C$29, 14.331, 14.3242) * CHOOSE(CONTROL!$C$12, $D$4, 100%, $F$4)</f>
        <v>14.324199999999999</v>
      </c>
      <c r="C894" s="8">
        <f>CHOOSE( CONTROL!$C$29, 14.3413, 14.3345) * CHOOSE(CONTROL!$C$12, $D$4, 100%, $F$4)</f>
        <v>14.3345</v>
      </c>
      <c r="D894" s="8">
        <f>CHOOSE( CONTROL!$C$29, 14.346, 14.3392) * CHOOSE( CONTROL!$C$12, $D$4, 100%, $F$4)</f>
        <v>14.3392</v>
      </c>
      <c r="E894" s="12">
        <f>CHOOSE( CONTROL!$C$29, 14.3427, 14.3359) * CHOOSE( CONTROL!$C$12, $D$4, 100%, $F$4)</f>
        <v>14.335900000000001</v>
      </c>
      <c r="F894" s="4">
        <f>CHOOSE( CONTROL!$C$29, 15.3426, 15.3358) * CHOOSE(CONTROL!$C$12, $D$4, 100%, $F$4)</f>
        <v>15.335800000000001</v>
      </c>
      <c r="G894" s="8">
        <f>CHOOSE( CONTROL!$C$29, 14.1241, 14.1174) * CHOOSE( CONTROL!$C$12, $D$4, 100%, $F$4)</f>
        <v>14.1174</v>
      </c>
      <c r="H894" s="4">
        <f>CHOOSE( CONTROL!$C$29, 15.0415, 15.0347) * CHOOSE(CONTROL!$C$12, $D$4, 100%, $F$4)</f>
        <v>15.034700000000001</v>
      </c>
      <c r="I894" s="8">
        <f>CHOOSE( CONTROL!$C$29, 13.9658, 13.9592) * CHOOSE(CONTROL!$C$12, $D$4, 100%, $F$4)</f>
        <v>13.959199999999999</v>
      </c>
      <c r="J894" s="4">
        <f>CHOOSE( CONTROL!$C$29, 13.8858, 13.8792) * CHOOSE(CONTROL!$C$12, $D$4, 100%, $F$4)</f>
        <v>13.879200000000001</v>
      </c>
      <c r="K894" s="4"/>
      <c r="L894" s="9">
        <v>28.568200000000001</v>
      </c>
      <c r="M894" s="9">
        <v>11.6745</v>
      </c>
      <c r="N894" s="9">
        <v>4.7850000000000001</v>
      </c>
      <c r="O894" s="9">
        <v>0.36249999999999999</v>
      </c>
      <c r="P894" s="9">
        <v>1.1798</v>
      </c>
      <c r="Q894" s="9">
        <v>19.053000000000001</v>
      </c>
      <c r="R894" s="9"/>
      <c r="S894" s="11"/>
    </row>
    <row r="895" spans="1:19" ht="15.6">
      <c r="A895" s="13">
        <v>69337</v>
      </c>
      <c r="B895" s="8">
        <f>14.9605 * CHOOSE(CONTROL!$C$12, $D$4, 100%, $F$4)</f>
        <v>14.9605</v>
      </c>
      <c r="C895" s="8">
        <f>14.9708 * CHOOSE(CONTROL!$C$12, $D$4, 100%, $F$4)</f>
        <v>14.970800000000001</v>
      </c>
      <c r="D895" s="8">
        <f>14.9658 * CHOOSE( CONTROL!$C$12, $D$4, 100%, $F$4)</f>
        <v>14.9658</v>
      </c>
      <c r="E895" s="12">
        <f>14.9664 * CHOOSE( CONTROL!$C$12, $D$4, 100%, $F$4)</f>
        <v>14.9664</v>
      </c>
      <c r="F895" s="4">
        <f>15.9514 * CHOOSE(CONTROL!$C$12, $D$4, 100%, $F$4)</f>
        <v>15.9514</v>
      </c>
      <c r="G895" s="8">
        <f>14.7414 * CHOOSE( CONTROL!$C$12, $D$4, 100%, $F$4)</f>
        <v>14.741400000000001</v>
      </c>
      <c r="H895" s="4">
        <f>15.6416 * CHOOSE(CONTROL!$C$12, $D$4, 100%, $F$4)</f>
        <v>15.6416</v>
      </c>
      <c r="I895" s="8">
        <f>14.5799 * CHOOSE(CONTROL!$C$12, $D$4, 100%, $F$4)</f>
        <v>14.5799</v>
      </c>
      <c r="J895" s="4">
        <f>14.4957 * CHOOSE(CONTROL!$C$12, $D$4, 100%, $F$4)</f>
        <v>14.495699999999999</v>
      </c>
      <c r="K895" s="4"/>
      <c r="L895" s="9">
        <v>28.921800000000001</v>
      </c>
      <c r="M895" s="9">
        <v>12.063700000000001</v>
      </c>
      <c r="N895" s="9">
        <v>4.9444999999999997</v>
      </c>
      <c r="O895" s="9">
        <v>0.37459999999999999</v>
      </c>
      <c r="P895" s="9">
        <v>1.2192000000000001</v>
      </c>
      <c r="Q895" s="9">
        <v>19.688099999999999</v>
      </c>
      <c r="R895" s="9"/>
      <c r="S895" s="11"/>
    </row>
    <row r="896" spans="1:19" ht="15.6">
      <c r="A896" s="13">
        <v>69367</v>
      </c>
      <c r="B896" s="8">
        <f>16.1349 * CHOOSE(CONTROL!$C$12, $D$4, 100%, $F$4)</f>
        <v>16.134899999999998</v>
      </c>
      <c r="C896" s="8">
        <f>16.1452 * CHOOSE(CONTROL!$C$12, $D$4, 100%, $F$4)</f>
        <v>16.145199999999999</v>
      </c>
      <c r="D896" s="8">
        <f>16.1046 * CHOOSE( CONTROL!$C$12, $D$4, 100%, $F$4)</f>
        <v>16.104600000000001</v>
      </c>
      <c r="E896" s="12">
        <f>16.1183 * CHOOSE( CONTROL!$C$12, $D$4, 100%, $F$4)</f>
        <v>16.118300000000001</v>
      </c>
      <c r="F896" s="4">
        <f>17.112 * CHOOSE(CONTROL!$C$12, $D$4, 100%, $F$4)</f>
        <v>17.111999999999998</v>
      </c>
      <c r="G896" s="8">
        <f>15.8931 * CHOOSE( CONTROL!$C$12, $D$4, 100%, $F$4)</f>
        <v>15.8931</v>
      </c>
      <c r="H896" s="4">
        <f>16.7856 * CHOOSE(CONTROL!$C$12, $D$4, 100%, $F$4)</f>
        <v>16.785599999999999</v>
      </c>
      <c r="I896" s="8">
        <f>15.7028 * CHOOSE(CONTROL!$C$12, $D$4, 100%, $F$4)</f>
        <v>15.7028</v>
      </c>
      <c r="J896" s="4">
        <f>15.6338 * CHOOSE(CONTROL!$C$12, $D$4, 100%, $F$4)</f>
        <v>15.633800000000001</v>
      </c>
      <c r="K896" s="4"/>
      <c r="L896" s="9">
        <v>26.515499999999999</v>
      </c>
      <c r="M896" s="9">
        <v>11.6745</v>
      </c>
      <c r="N896" s="9">
        <v>4.7850000000000001</v>
      </c>
      <c r="O896" s="9">
        <v>0.36249999999999999</v>
      </c>
      <c r="P896" s="9">
        <v>1.2522</v>
      </c>
      <c r="Q896" s="9">
        <v>19.053000000000001</v>
      </c>
      <c r="R896" s="9"/>
      <c r="S896" s="11"/>
    </row>
    <row r="897" spans="1:19" ht="15.6">
      <c r="A897" s="13">
        <v>69398</v>
      </c>
      <c r="B897" s="8">
        <f>16.1056 * CHOOSE(CONTROL!$C$12, $D$4, 100%, $F$4)</f>
        <v>16.105599999999999</v>
      </c>
      <c r="C897" s="8">
        <f>16.1159 * CHOOSE(CONTROL!$C$12, $D$4, 100%, $F$4)</f>
        <v>16.1159</v>
      </c>
      <c r="D897" s="8">
        <f>16.0771 * CHOOSE( CONTROL!$C$12, $D$4, 100%, $F$4)</f>
        <v>16.077100000000002</v>
      </c>
      <c r="E897" s="12">
        <f>16.0902 * CHOOSE( CONTROL!$C$12, $D$4, 100%, $F$4)</f>
        <v>16.090199999999999</v>
      </c>
      <c r="F897" s="4">
        <f>17.0759 * CHOOSE(CONTROL!$C$12, $D$4, 100%, $F$4)</f>
        <v>17.075900000000001</v>
      </c>
      <c r="G897" s="8">
        <f>15.8665 * CHOOSE( CONTROL!$C$12, $D$4, 100%, $F$4)</f>
        <v>15.8665</v>
      </c>
      <c r="H897" s="4">
        <f>16.7501 * CHOOSE(CONTROL!$C$12, $D$4, 100%, $F$4)</f>
        <v>16.7501</v>
      </c>
      <c r="I897" s="8">
        <f>15.6851 * CHOOSE(CONTROL!$C$12, $D$4, 100%, $F$4)</f>
        <v>15.6851</v>
      </c>
      <c r="J897" s="4">
        <f>15.6054 * CHOOSE(CONTROL!$C$12, $D$4, 100%, $F$4)</f>
        <v>15.605399999999999</v>
      </c>
      <c r="K897" s="4"/>
      <c r="L897" s="9">
        <v>27.3993</v>
      </c>
      <c r="M897" s="9">
        <v>12.063700000000001</v>
      </c>
      <c r="N897" s="9">
        <v>4.9444999999999997</v>
      </c>
      <c r="O897" s="9">
        <v>0.37459999999999999</v>
      </c>
      <c r="P897" s="9">
        <v>1.2939000000000001</v>
      </c>
      <c r="Q897" s="9">
        <v>19.688099999999999</v>
      </c>
      <c r="R897" s="9"/>
      <c r="S897" s="11"/>
    </row>
    <row r="898" spans="1:19" ht="15.6">
      <c r="A898" s="13">
        <v>69429</v>
      </c>
      <c r="B898" s="8">
        <f>16.4814 * CHOOSE(CONTROL!$C$12, $D$4, 100%, $F$4)</f>
        <v>16.481400000000001</v>
      </c>
      <c r="C898" s="8">
        <f>16.4917 * CHOOSE(CONTROL!$C$12, $D$4, 100%, $F$4)</f>
        <v>16.491700000000002</v>
      </c>
      <c r="D898" s="8">
        <f>16.4915 * CHOOSE( CONTROL!$C$12, $D$4, 100%, $F$4)</f>
        <v>16.491499999999998</v>
      </c>
      <c r="E898" s="12">
        <f>16.4905 * CHOOSE( CONTROL!$C$12, $D$4, 100%, $F$4)</f>
        <v>16.490500000000001</v>
      </c>
      <c r="F898" s="4">
        <f>17.5033 * CHOOSE(CONTROL!$C$12, $D$4, 100%, $F$4)</f>
        <v>17.503299999999999</v>
      </c>
      <c r="G898" s="8">
        <f>16.2779 * CHOOSE( CONTROL!$C$12, $D$4, 100%, $F$4)</f>
        <v>16.277899999999999</v>
      </c>
      <c r="H898" s="4">
        <f>17.1714 * CHOOSE(CONTROL!$C$12, $D$4, 100%, $F$4)</f>
        <v>17.171399999999998</v>
      </c>
      <c r="I898" s="8">
        <f>16.0861 * CHOOSE(CONTROL!$C$12, $D$4, 100%, $F$4)</f>
        <v>16.086099999999998</v>
      </c>
      <c r="J898" s="4">
        <f>15.9695 * CHOOSE(CONTROL!$C$12, $D$4, 100%, $F$4)</f>
        <v>15.9695</v>
      </c>
      <c r="K898" s="4"/>
      <c r="L898" s="9">
        <v>27.3993</v>
      </c>
      <c r="M898" s="9">
        <v>12.063700000000001</v>
      </c>
      <c r="N898" s="9">
        <v>4.9444999999999997</v>
      </c>
      <c r="O898" s="9">
        <v>0.37459999999999999</v>
      </c>
      <c r="P898" s="9">
        <v>1.2939000000000001</v>
      </c>
      <c r="Q898" s="9">
        <v>19.688099999999999</v>
      </c>
      <c r="R898" s="9"/>
      <c r="S898" s="11"/>
    </row>
    <row r="899" spans="1:19" ht="15.6">
      <c r="A899" s="13">
        <v>69457</v>
      </c>
      <c r="B899" s="8">
        <f>15.416 * CHOOSE(CONTROL!$C$12, $D$4, 100%, $F$4)</f>
        <v>15.416</v>
      </c>
      <c r="C899" s="8">
        <f>15.4263 * CHOOSE(CONTROL!$C$12, $D$4, 100%, $F$4)</f>
        <v>15.426299999999999</v>
      </c>
      <c r="D899" s="8">
        <f>15.4284 * CHOOSE( CONTROL!$C$12, $D$4, 100%, $F$4)</f>
        <v>15.4284</v>
      </c>
      <c r="E899" s="12">
        <f>15.4265 * CHOOSE( CONTROL!$C$12, $D$4, 100%, $F$4)</f>
        <v>15.426500000000001</v>
      </c>
      <c r="F899" s="4">
        <f>16.4302 * CHOOSE(CONTROL!$C$12, $D$4, 100%, $F$4)</f>
        <v>16.430199999999999</v>
      </c>
      <c r="G899" s="8">
        <f>15.2275 * CHOOSE( CONTROL!$C$12, $D$4, 100%, $F$4)</f>
        <v>15.227499999999999</v>
      </c>
      <c r="H899" s="4">
        <f>16.1135 * CHOOSE(CONTROL!$C$12, $D$4, 100%, $F$4)</f>
        <v>16.113499999999998</v>
      </c>
      <c r="I899" s="8">
        <f>15.0423 * CHOOSE(CONTROL!$C$12, $D$4, 100%, $F$4)</f>
        <v>15.042299999999999</v>
      </c>
      <c r="J899" s="4">
        <f>14.9371 * CHOOSE(CONTROL!$C$12, $D$4, 100%, $F$4)</f>
        <v>14.937099999999999</v>
      </c>
      <c r="K899" s="4"/>
      <c r="L899" s="9">
        <v>24.747800000000002</v>
      </c>
      <c r="M899" s="9">
        <v>10.8962</v>
      </c>
      <c r="N899" s="9">
        <v>4.4660000000000002</v>
      </c>
      <c r="O899" s="9">
        <v>0.33829999999999999</v>
      </c>
      <c r="P899" s="9">
        <v>1.1687000000000001</v>
      </c>
      <c r="Q899" s="9">
        <v>17.782800000000002</v>
      </c>
      <c r="R899" s="9"/>
      <c r="S899" s="11"/>
    </row>
    <row r="900" spans="1:19" ht="15.6">
      <c r="A900" s="13">
        <v>69488</v>
      </c>
      <c r="B900" s="8">
        <f>15.0878 * CHOOSE(CONTROL!$C$12, $D$4, 100%, $F$4)</f>
        <v>15.0878</v>
      </c>
      <c r="C900" s="8">
        <f>15.0981 * CHOOSE(CONTROL!$C$12, $D$4, 100%, $F$4)</f>
        <v>15.098100000000001</v>
      </c>
      <c r="D900" s="8">
        <f>15.0803 * CHOOSE( CONTROL!$C$12, $D$4, 100%, $F$4)</f>
        <v>15.080299999999999</v>
      </c>
      <c r="E900" s="12">
        <f>15.0857 * CHOOSE( CONTROL!$C$12, $D$4, 100%, $F$4)</f>
        <v>15.085699999999999</v>
      </c>
      <c r="F900" s="4">
        <f>16.086 * CHOOSE(CONTROL!$C$12, $D$4, 100%, $F$4)</f>
        <v>16.085999999999999</v>
      </c>
      <c r="G900" s="8">
        <f>14.8836 * CHOOSE( CONTROL!$C$12, $D$4, 100%, $F$4)</f>
        <v>14.883599999999999</v>
      </c>
      <c r="H900" s="4">
        <f>15.7743 * CHOOSE(CONTROL!$C$12, $D$4, 100%, $F$4)</f>
        <v>15.7743</v>
      </c>
      <c r="I900" s="8">
        <f>14.6846 * CHOOSE(CONTROL!$C$12, $D$4, 100%, $F$4)</f>
        <v>14.6846</v>
      </c>
      <c r="J900" s="4">
        <f>14.6192 * CHOOSE(CONTROL!$C$12, $D$4, 100%, $F$4)</f>
        <v>14.619199999999999</v>
      </c>
      <c r="K900" s="4"/>
      <c r="L900" s="9">
        <v>27.3993</v>
      </c>
      <c r="M900" s="9">
        <v>12.063700000000001</v>
      </c>
      <c r="N900" s="9">
        <v>4.9444999999999997</v>
      </c>
      <c r="O900" s="9">
        <v>0.37459999999999999</v>
      </c>
      <c r="P900" s="9">
        <v>1.2939000000000001</v>
      </c>
      <c r="Q900" s="9">
        <v>19.688099999999999</v>
      </c>
      <c r="R900" s="9"/>
      <c r="S900" s="11"/>
    </row>
    <row r="901" spans="1:19" ht="15.6">
      <c r="A901" s="13">
        <v>69518</v>
      </c>
      <c r="B901" s="8">
        <f>15.3171 * CHOOSE(CONTROL!$C$12, $D$4, 100%, $F$4)</f>
        <v>15.3171</v>
      </c>
      <c r="C901" s="8">
        <f>15.3274 * CHOOSE(CONTROL!$C$12, $D$4, 100%, $F$4)</f>
        <v>15.327400000000001</v>
      </c>
      <c r="D901" s="8">
        <f>15.3325 * CHOOSE( CONTROL!$C$12, $D$4, 100%, $F$4)</f>
        <v>15.3325</v>
      </c>
      <c r="E901" s="12">
        <f>15.3296 * CHOOSE( CONTROL!$C$12, $D$4, 100%, $F$4)</f>
        <v>15.329599999999999</v>
      </c>
      <c r="F901" s="4">
        <f>16.3236 * CHOOSE(CONTROL!$C$12, $D$4, 100%, $F$4)</f>
        <v>16.323599999999999</v>
      </c>
      <c r="G901" s="8">
        <f>15.0975 * CHOOSE( CONTROL!$C$12, $D$4, 100%, $F$4)</f>
        <v>15.0975</v>
      </c>
      <c r="H901" s="4">
        <f>16.0085 * CHOOSE(CONTROL!$C$12, $D$4, 100%, $F$4)</f>
        <v>16.008500000000002</v>
      </c>
      <c r="I901" s="8">
        <f>14.897 * CHOOSE(CONTROL!$C$12, $D$4, 100%, $F$4)</f>
        <v>14.897</v>
      </c>
      <c r="J901" s="4">
        <f>14.8413 * CHOOSE(CONTROL!$C$12, $D$4, 100%, $F$4)</f>
        <v>14.8413</v>
      </c>
      <c r="K901" s="4"/>
      <c r="L901" s="9">
        <v>27.988800000000001</v>
      </c>
      <c r="M901" s="9">
        <v>11.6745</v>
      </c>
      <c r="N901" s="9">
        <v>4.7850000000000001</v>
      </c>
      <c r="O901" s="9">
        <v>0.36249999999999999</v>
      </c>
      <c r="P901" s="9">
        <v>1.1798</v>
      </c>
      <c r="Q901" s="9">
        <v>19.053000000000001</v>
      </c>
      <c r="R901" s="9"/>
      <c r="S901" s="11"/>
    </row>
    <row r="902" spans="1:19" ht="15.6">
      <c r="A902" s="13">
        <v>69549</v>
      </c>
      <c r="B902" s="8">
        <f>CHOOSE( CONTROL!$C$29, 15.7321, 15.7252) * CHOOSE(CONTROL!$C$12, $D$4, 100%, $F$4)</f>
        <v>15.725199999999999</v>
      </c>
      <c r="C902" s="8">
        <f>CHOOSE( CONTROL!$C$29, 15.7424, 15.7356) * CHOOSE(CONTROL!$C$12, $D$4, 100%, $F$4)</f>
        <v>15.7356</v>
      </c>
      <c r="D902" s="8">
        <f>CHOOSE( CONTROL!$C$29, 15.7226, 15.7158) * CHOOSE( CONTROL!$C$12, $D$4, 100%, $F$4)</f>
        <v>15.7158</v>
      </c>
      <c r="E902" s="12">
        <f>CHOOSE( CONTROL!$C$29, 15.7282, 15.7214) * CHOOSE( CONTROL!$C$12, $D$4, 100%, $F$4)</f>
        <v>15.721399999999999</v>
      </c>
      <c r="F902" s="4">
        <f>CHOOSE( CONTROL!$C$29, 16.7065, 16.6997) * CHOOSE(CONTROL!$C$12, $D$4, 100%, $F$4)</f>
        <v>16.6997</v>
      </c>
      <c r="G902" s="8">
        <f>CHOOSE( CONTROL!$C$29, 15.4883, 15.4816) * CHOOSE( CONTROL!$C$12, $D$4, 100%, $F$4)</f>
        <v>15.4816</v>
      </c>
      <c r="H902" s="4">
        <f>CHOOSE( CONTROL!$C$29, 16.386, 16.3792) * CHOOSE(CONTROL!$C$12, $D$4, 100%, $F$4)</f>
        <v>16.379200000000001</v>
      </c>
      <c r="I902" s="8">
        <f>CHOOSE( CONTROL!$C$29, 15.2778, 15.2711) * CHOOSE(CONTROL!$C$12, $D$4, 100%, $F$4)</f>
        <v>15.271100000000001</v>
      </c>
      <c r="J902" s="4">
        <f>CHOOSE( CONTROL!$C$29, 15.2434, 15.2368) * CHOOSE(CONTROL!$C$12, $D$4, 100%, $F$4)</f>
        <v>15.236800000000001</v>
      </c>
      <c r="K902" s="4"/>
      <c r="L902" s="9">
        <v>29.520499999999998</v>
      </c>
      <c r="M902" s="9">
        <v>12.063700000000001</v>
      </c>
      <c r="N902" s="9">
        <v>4.9444999999999997</v>
      </c>
      <c r="O902" s="9">
        <v>0.37459999999999999</v>
      </c>
      <c r="P902" s="9">
        <v>1.2192000000000001</v>
      </c>
      <c r="Q902" s="9">
        <v>19.688099999999999</v>
      </c>
      <c r="R902" s="9"/>
      <c r="S902" s="11"/>
    </row>
    <row r="903" spans="1:19" ht="15.6">
      <c r="A903" s="13">
        <v>69579</v>
      </c>
      <c r="B903" s="8">
        <f>CHOOSE( CONTROL!$C$29, 15.4793, 15.4724) * CHOOSE(CONTROL!$C$12, $D$4, 100%, $F$4)</f>
        <v>15.4724</v>
      </c>
      <c r="C903" s="8">
        <f>CHOOSE( CONTROL!$C$29, 15.4896, 15.4827) * CHOOSE(CONTROL!$C$12, $D$4, 100%, $F$4)</f>
        <v>15.482699999999999</v>
      </c>
      <c r="D903" s="8">
        <f>CHOOSE( CONTROL!$C$29, 15.4643, 15.4575) * CHOOSE( CONTROL!$C$12, $D$4, 100%, $F$4)</f>
        <v>15.4575</v>
      </c>
      <c r="E903" s="12">
        <f>CHOOSE( CONTROL!$C$29, 15.4719, 15.4651) * CHOOSE( CONTROL!$C$12, $D$4, 100%, $F$4)</f>
        <v>15.4651</v>
      </c>
      <c r="F903" s="4">
        <f>CHOOSE( CONTROL!$C$29, 16.4434, 16.4366) * CHOOSE(CONTROL!$C$12, $D$4, 100%, $F$4)</f>
        <v>16.436599999999999</v>
      </c>
      <c r="G903" s="8">
        <f>CHOOSE( CONTROL!$C$29, 15.2378, 15.2311) * CHOOSE( CONTROL!$C$12, $D$4, 100%, $F$4)</f>
        <v>15.2311</v>
      </c>
      <c r="H903" s="4">
        <f>CHOOSE( CONTROL!$C$29, 16.1266, 16.1198) * CHOOSE(CONTROL!$C$12, $D$4, 100%, $F$4)</f>
        <v>16.119800000000001</v>
      </c>
      <c r="I903" s="8">
        <f>CHOOSE( CONTROL!$C$29, 15.0348, 15.0282) * CHOOSE(CONTROL!$C$12, $D$4, 100%, $F$4)</f>
        <v>15.0282</v>
      </c>
      <c r="J903" s="4">
        <f>CHOOSE( CONTROL!$C$29, 14.9985, 14.9918) * CHOOSE(CONTROL!$C$12, $D$4, 100%, $F$4)</f>
        <v>14.9918</v>
      </c>
      <c r="K903" s="4"/>
      <c r="L903" s="9">
        <v>28.568200000000001</v>
      </c>
      <c r="M903" s="9">
        <v>11.6745</v>
      </c>
      <c r="N903" s="9">
        <v>4.7850000000000001</v>
      </c>
      <c r="O903" s="9">
        <v>0.36249999999999999</v>
      </c>
      <c r="P903" s="9">
        <v>1.1798</v>
      </c>
      <c r="Q903" s="9">
        <v>19.053000000000001</v>
      </c>
      <c r="R903" s="9"/>
      <c r="S903" s="11"/>
    </row>
    <row r="904" spans="1:19" ht="15.6">
      <c r="A904" s="13">
        <v>69610</v>
      </c>
      <c r="B904" s="8">
        <f>CHOOSE( CONTROL!$C$29, 16.145, 16.1382) * CHOOSE(CONTROL!$C$12, $D$4, 100%, $F$4)</f>
        <v>16.138200000000001</v>
      </c>
      <c r="C904" s="8">
        <f>CHOOSE( CONTROL!$C$29, 16.1553, 16.1485) * CHOOSE(CONTROL!$C$12, $D$4, 100%, $F$4)</f>
        <v>16.148499999999999</v>
      </c>
      <c r="D904" s="8">
        <f>CHOOSE( CONTROL!$C$29, 16.1635, 16.1566) * CHOOSE( CONTROL!$C$12, $D$4, 100%, $F$4)</f>
        <v>16.156600000000001</v>
      </c>
      <c r="E904" s="12">
        <f>CHOOSE( CONTROL!$C$29, 16.159, 16.1521) * CHOOSE( CONTROL!$C$12, $D$4, 100%, $F$4)</f>
        <v>16.152100000000001</v>
      </c>
      <c r="F904" s="4">
        <f>CHOOSE( CONTROL!$C$29, 17.154, 17.1472) * CHOOSE(CONTROL!$C$12, $D$4, 100%, $F$4)</f>
        <v>17.147200000000002</v>
      </c>
      <c r="G904" s="8">
        <f>CHOOSE( CONTROL!$C$29, 15.9201, 15.9134) * CHOOSE( CONTROL!$C$12, $D$4, 100%, $F$4)</f>
        <v>15.913399999999999</v>
      </c>
      <c r="H904" s="4">
        <f>CHOOSE( CONTROL!$C$29, 16.8271, 16.8203) * CHOOSE(CONTROL!$C$12, $D$4, 100%, $F$4)</f>
        <v>16.8203</v>
      </c>
      <c r="I904" s="8">
        <f>CHOOSE( CONTROL!$C$29, 15.7355, 15.7289) * CHOOSE(CONTROL!$C$12, $D$4, 100%, $F$4)</f>
        <v>15.728899999999999</v>
      </c>
      <c r="J904" s="4">
        <f>CHOOSE( CONTROL!$C$29, 15.6436, 15.6369) * CHOOSE(CONTROL!$C$12, $D$4, 100%, $F$4)</f>
        <v>15.636900000000001</v>
      </c>
      <c r="K904" s="4"/>
      <c r="L904" s="9">
        <v>29.520499999999998</v>
      </c>
      <c r="M904" s="9">
        <v>12.063700000000001</v>
      </c>
      <c r="N904" s="9">
        <v>4.9444999999999997</v>
      </c>
      <c r="O904" s="9">
        <v>0.37459999999999999</v>
      </c>
      <c r="P904" s="9">
        <v>1.2192000000000001</v>
      </c>
      <c r="Q904" s="9">
        <v>19.688099999999999</v>
      </c>
      <c r="R904" s="9"/>
      <c r="S904" s="11"/>
    </row>
    <row r="905" spans="1:19" ht="15.6">
      <c r="A905" s="13">
        <v>69641</v>
      </c>
      <c r="B905" s="8">
        <f>CHOOSE( CONTROL!$C$29, 14.8993, 14.8925) * CHOOSE(CONTROL!$C$12, $D$4, 100%, $F$4)</f>
        <v>14.8925</v>
      </c>
      <c r="C905" s="8">
        <f>CHOOSE( CONTROL!$C$29, 14.9097, 14.9028) * CHOOSE(CONTROL!$C$12, $D$4, 100%, $F$4)</f>
        <v>14.902799999999999</v>
      </c>
      <c r="D905" s="8">
        <f>CHOOSE( CONTROL!$C$29, 14.9111, 14.9043) * CHOOSE( CONTROL!$C$12, $D$4, 100%, $F$4)</f>
        <v>14.904299999999999</v>
      </c>
      <c r="E905" s="12">
        <f>CHOOSE( CONTROL!$C$29, 14.909, 14.9022) * CHOOSE( CONTROL!$C$12, $D$4, 100%, $F$4)</f>
        <v>14.902200000000001</v>
      </c>
      <c r="F905" s="4">
        <f>CHOOSE( CONTROL!$C$29, 15.9058, 15.8989) * CHOOSE(CONTROL!$C$12, $D$4, 100%, $F$4)</f>
        <v>15.898899999999999</v>
      </c>
      <c r="G905" s="8">
        <f>CHOOSE( CONTROL!$C$29, 14.6823, 14.6755) * CHOOSE( CONTROL!$C$12, $D$4, 100%, $F$4)</f>
        <v>14.6755</v>
      </c>
      <c r="H905" s="4">
        <f>CHOOSE( CONTROL!$C$29, 15.5966, 15.5899) * CHOOSE(CONTROL!$C$12, $D$4, 100%, $F$4)</f>
        <v>15.5899</v>
      </c>
      <c r="I905" s="8">
        <f>CHOOSE( CONTROL!$C$29, 14.509, 14.5023) * CHOOSE(CONTROL!$C$12, $D$4, 100%, $F$4)</f>
        <v>14.5023</v>
      </c>
      <c r="J905" s="4">
        <f>CHOOSE( CONTROL!$C$29, 14.4365, 14.4299) * CHOOSE(CONTROL!$C$12, $D$4, 100%, $F$4)</f>
        <v>14.4299</v>
      </c>
      <c r="K905" s="4"/>
      <c r="L905" s="9">
        <v>29.520499999999998</v>
      </c>
      <c r="M905" s="9">
        <v>12.063700000000001</v>
      </c>
      <c r="N905" s="9">
        <v>4.9444999999999997</v>
      </c>
      <c r="O905" s="9">
        <v>0.37459999999999999</v>
      </c>
      <c r="P905" s="9">
        <v>1.2192000000000001</v>
      </c>
      <c r="Q905" s="9">
        <v>19.688099999999999</v>
      </c>
      <c r="R905" s="9"/>
      <c r="S905" s="11"/>
    </row>
    <row r="906" spans="1:19" ht="15.6">
      <c r="A906" s="13">
        <v>69671</v>
      </c>
      <c r="B906" s="8">
        <f>CHOOSE( CONTROL!$C$29, 14.5874, 14.5806) * CHOOSE(CONTROL!$C$12, $D$4, 100%, $F$4)</f>
        <v>14.5806</v>
      </c>
      <c r="C906" s="8">
        <f>CHOOSE( CONTROL!$C$29, 14.5977, 14.5909) * CHOOSE(CONTROL!$C$12, $D$4, 100%, $F$4)</f>
        <v>14.5909</v>
      </c>
      <c r="D906" s="8">
        <f>CHOOSE( CONTROL!$C$29, 14.6024, 14.5956) * CHOOSE( CONTROL!$C$12, $D$4, 100%, $F$4)</f>
        <v>14.595599999999999</v>
      </c>
      <c r="E906" s="12">
        <f>CHOOSE( CONTROL!$C$29, 14.5991, 14.5923) * CHOOSE( CONTROL!$C$12, $D$4, 100%, $F$4)</f>
        <v>14.5923</v>
      </c>
      <c r="F906" s="4">
        <f>CHOOSE( CONTROL!$C$29, 15.599, 15.5922) * CHOOSE(CONTROL!$C$12, $D$4, 100%, $F$4)</f>
        <v>15.5922</v>
      </c>
      <c r="G906" s="8">
        <f>CHOOSE( CONTROL!$C$29, 14.3768, 14.3701) * CHOOSE( CONTROL!$C$12, $D$4, 100%, $F$4)</f>
        <v>14.370100000000001</v>
      </c>
      <c r="H906" s="4">
        <f>CHOOSE( CONTROL!$C$29, 15.2942, 15.2875) * CHOOSE(CONTROL!$C$12, $D$4, 100%, $F$4)</f>
        <v>15.2875</v>
      </c>
      <c r="I906" s="8">
        <f>CHOOSE( CONTROL!$C$29, 14.2144, 14.2077) * CHOOSE(CONTROL!$C$12, $D$4, 100%, $F$4)</f>
        <v>14.207700000000001</v>
      </c>
      <c r="J906" s="4">
        <f>CHOOSE( CONTROL!$C$29, 14.1342, 14.1276) * CHOOSE(CONTROL!$C$12, $D$4, 100%, $F$4)</f>
        <v>14.127599999999999</v>
      </c>
      <c r="K906" s="4"/>
      <c r="L906" s="9">
        <v>28.568200000000001</v>
      </c>
      <c r="M906" s="9">
        <v>11.6745</v>
      </c>
      <c r="N906" s="9">
        <v>4.7850000000000001</v>
      </c>
      <c r="O906" s="9">
        <v>0.36249999999999999</v>
      </c>
      <c r="P906" s="9">
        <v>1.1798</v>
      </c>
      <c r="Q906" s="9">
        <v>19.053000000000001</v>
      </c>
      <c r="R906" s="9"/>
      <c r="S906" s="11"/>
    </row>
    <row r="907" spans="1:19" ht="15.6">
      <c r="A907" s="13">
        <v>69702</v>
      </c>
      <c r="B907" s="8">
        <f>15.2282 * CHOOSE(CONTROL!$C$12, $D$4, 100%, $F$4)</f>
        <v>15.228199999999999</v>
      </c>
      <c r="C907" s="8">
        <f>15.2386 * CHOOSE(CONTROL!$C$12, $D$4, 100%, $F$4)</f>
        <v>15.2386</v>
      </c>
      <c r="D907" s="8">
        <f>15.2336 * CHOOSE( CONTROL!$C$12, $D$4, 100%, $F$4)</f>
        <v>15.233599999999999</v>
      </c>
      <c r="E907" s="12">
        <f>15.2341 * CHOOSE( CONTROL!$C$12, $D$4, 100%, $F$4)</f>
        <v>15.2341</v>
      </c>
      <c r="F907" s="4">
        <f>16.2192 * CHOOSE(CONTROL!$C$12, $D$4, 100%, $F$4)</f>
        <v>16.219200000000001</v>
      </c>
      <c r="G907" s="8">
        <f>15.0053 * CHOOSE( CONTROL!$C$12, $D$4, 100%, $F$4)</f>
        <v>15.0053</v>
      </c>
      <c r="H907" s="4">
        <f>15.9056 * CHOOSE(CONTROL!$C$12, $D$4, 100%, $F$4)</f>
        <v>15.9056</v>
      </c>
      <c r="I907" s="8">
        <f>14.8395 * CHOOSE(CONTROL!$C$12, $D$4, 100%, $F$4)</f>
        <v>14.839499999999999</v>
      </c>
      <c r="J907" s="4">
        <f>14.7552 * CHOOSE(CONTROL!$C$12, $D$4, 100%, $F$4)</f>
        <v>14.7552</v>
      </c>
      <c r="K907" s="4"/>
      <c r="L907" s="9">
        <v>28.921800000000001</v>
      </c>
      <c r="M907" s="9">
        <v>12.063700000000001</v>
      </c>
      <c r="N907" s="9">
        <v>4.9444999999999997</v>
      </c>
      <c r="O907" s="9">
        <v>0.37459999999999999</v>
      </c>
      <c r="P907" s="9">
        <v>1.2192000000000001</v>
      </c>
      <c r="Q907" s="9">
        <v>19.688099999999999</v>
      </c>
      <c r="R907" s="9"/>
      <c r="S907" s="11"/>
    </row>
    <row r="908" spans="1:19" ht="15.6">
      <c r="A908" s="13">
        <v>69732</v>
      </c>
      <c r="B908" s="8">
        <f>16.4237 * CHOOSE(CONTROL!$C$12, $D$4, 100%, $F$4)</f>
        <v>16.4237</v>
      </c>
      <c r="C908" s="8">
        <f>16.434 * CHOOSE(CONTROL!$C$12, $D$4, 100%, $F$4)</f>
        <v>16.434000000000001</v>
      </c>
      <c r="D908" s="8">
        <f>16.3934 * CHOOSE( CONTROL!$C$12, $D$4, 100%, $F$4)</f>
        <v>16.3934</v>
      </c>
      <c r="E908" s="12">
        <f>16.4071 * CHOOSE( CONTROL!$C$12, $D$4, 100%, $F$4)</f>
        <v>16.4071</v>
      </c>
      <c r="F908" s="4">
        <f>17.4007 * CHOOSE(CONTROL!$C$12, $D$4, 100%, $F$4)</f>
        <v>17.400700000000001</v>
      </c>
      <c r="G908" s="8">
        <f>16.1777 * CHOOSE( CONTROL!$C$12, $D$4, 100%, $F$4)</f>
        <v>16.177700000000002</v>
      </c>
      <c r="H908" s="4">
        <f>17.0703 * CHOOSE(CONTROL!$C$12, $D$4, 100%, $F$4)</f>
        <v>17.0703</v>
      </c>
      <c r="I908" s="8">
        <f>15.9828 * CHOOSE(CONTROL!$C$12, $D$4, 100%, $F$4)</f>
        <v>15.982799999999999</v>
      </c>
      <c r="J908" s="4">
        <f>15.9136 * CHOOSE(CONTROL!$C$12, $D$4, 100%, $F$4)</f>
        <v>15.913600000000001</v>
      </c>
      <c r="K908" s="4"/>
      <c r="L908" s="9">
        <v>26.515499999999999</v>
      </c>
      <c r="M908" s="9">
        <v>11.6745</v>
      </c>
      <c r="N908" s="9">
        <v>4.7850000000000001</v>
      </c>
      <c r="O908" s="9">
        <v>0.36249999999999999</v>
      </c>
      <c r="P908" s="9">
        <v>1.2522</v>
      </c>
      <c r="Q908" s="9">
        <v>19.053000000000001</v>
      </c>
      <c r="R908" s="9"/>
      <c r="S908" s="11"/>
    </row>
    <row r="909" spans="1:19" ht="15.6">
      <c r="A909" s="13">
        <v>69763</v>
      </c>
      <c r="B909" s="8">
        <f>16.3939 * CHOOSE(CONTROL!$C$12, $D$4, 100%, $F$4)</f>
        <v>16.393899999999999</v>
      </c>
      <c r="C909" s="8">
        <f>16.4042 * CHOOSE(CONTROL!$C$12, $D$4, 100%, $F$4)</f>
        <v>16.404199999999999</v>
      </c>
      <c r="D909" s="8">
        <f>16.3654 * CHOOSE( CONTROL!$C$12, $D$4, 100%, $F$4)</f>
        <v>16.365400000000001</v>
      </c>
      <c r="E909" s="12">
        <f>16.3785 * CHOOSE( CONTROL!$C$12, $D$4, 100%, $F$4)</f>
        <v>16.378499999999999</v>
      </c>
      <c r="F909" s="4">
        <f>17.3642 * CHOOSE(CONTROL!$C$12, $D$4, 100%, $F$4)</f>
        <v>17.3642</v>
      </c>
      <c r="G909" s="8">
        <f>16.1507 * CHOOSE( CONTROL!$C$12, $D$4, 100%, $F$4)</f>
        <v>16.150700000000001</v>
      </c>
      <c r="H909" s="4">
        <f>17.0342 * CHOOSE(CONTROL!$C$12, $D$4, 100%, $F$4)</f>
        <v>17.034199999999998</v>
      </c>
      <c r="I909" s="8">
        <f>15.9646 * CHOOSE(CONTROL!$C$12, $D$4, 100%, $F$4)</f>
        <v>15.964600000000001</v>
      </c>
      <c r="J909" s="4">
        <f>15.8847 * CHOOSE(CONTROL!$C$12, $D$4, 100%, $F$4)</f>
        <v>15.8847</v>
      </c>
      <c r="K909" s="4"/>
      <c r="L909" s="9">
        <v>27.3993</v>
      </c>
      <c r="M909" s="9">
        <v>12.063700000000001</v>
      </c>
      <c r="N909" s="9">
        <v>4.9444999999999997</v>
      </c>
      <c r="O909" s="9">
        <v>0.37459999999999999</v>
      </c>
      <c r="P909" s="9">
        <v>1.2939000000000001</v>
      </c>
      <c r="Q909" s="9">
        <v>19.688099999999999</v>
      </c>
      <c r="R909" s="9"/>
      <c r="S909" s="11"/>
    </row>
    <row r="910" spans="1:19" ht="15.6">
      <c r="A910" s="13">
        <v>69794</v>
      </c>
      <c r="B910" s="8">
        <f>16.7764 * CHOOSE(CONTROL!$C$12, $D$4, 100%, $F$4)</f>
        <v>16.776399999999999</v>
      </c>
      <c r="C910" s="8">
        <f>16.7867 * CHOOSE(CONTROL!$C$12, $D$4, 100%, $F$4)</f>
        <v>16.7867</v>
      </c>
      <c r="D910" s="8">
        <f>16.7865 * CHOOSE( CONTROL!$C$12, $D$4, 100%, $F$4)</f>
        <v>16.7865</v>
      </c>
      <c r="E910" s="12">
        <f>16.7855 * CHOOSE( CONTROL!$C$12, $D$4, 100%, $F$4)</f>
        <v>16.785499999999999</v>
      </c>
      <c r="F910" s="4">
        <f>17.7983 * CHOOSE(CONTROL!$C$12, $D$4, 100%, $F$4)</f>
        <v>17.798300000000001</v>
      </c>
      <c r="G910" s="8">
        <f>16.5687 * CHOOSE( CONTROL!$C$12, $D$4, 100%, $F$4)</f>
        <v>16.5687</v>
      </c>
      <c r="H910" s="4">
        <f>17.4622 * CHOOSE(CONTROL!$C$12, $D$4, 100%, $F$4)</f>
        <v>17.462199999999999</v>
      </c>
      <c r="I910" s="8">
        <f>16.3721 * CHOOSE(CONTROL!$C$12, $D$4, 100%, $F$4)</f>
        <v>16.3721</v>
      </c>
      <c r="J910" s="4">
        <f>16.2554 * CHOOSE(CONTROL!$C$12, $D$4, 100%, $F$4)</f>
        <v>16.255400000000002</v>
      </c>
      <c r="K910" s="4"/>
      <c r="L910" s="9">
        <v>27.3993</v>
      </c>
      <c r="M910" s="9">
        <v>12.063700000000001</v>
      </c>
      <c r="N910" s="9">
        <v>4.9444999999999997</v>
      </c>
      <c r="O910" s="9">
        <v>0.37459999999999999</v>
      </c>
      <c r="P910" s="9">
        <v>1.2939000000000001</v>
      </c>
      <c r="Q910" s="9">
        <v>19.688099999999999</v>
      </c>
      <c r="R910" s="9"/>
      <c r="S910" s="11"/>
    </row>
    <row r="911" spans="1:19" ht="15.6">
      <c r="A911" s="13">
        <v>69822</v>
      </c>
      <c r="B911" s="8">
        <f>15.6919 * CHOOSE(CONTROL!$C$12, $D$4, 100%, $F$4)</f>
        <v>15.6919</v>
      </c>
      <c r="C911" s="8">
        <f>15.7022 * CHOOSE(CONTROL!$C$12, $D$4, 100%, $F$4)</f>
        <v>15.702199999999999</v>
      </c>
      <c r="D911" s="8">
        <f>15.7043 * CHOOSE( CONTROL!$C$12, $D$4, 100%, $F$4)</f>
        <v>15.7043</v>
      </c>
      <c r="E911" s="12">
        <f>15.7024 * CHOOSE( CONTROL!$C$12, $D$4, 100%, $F$4)</f>
        <v>15.702400000000001</v>
      </c>
      <c r="F911" s="4">
        <f>16.7061 * CHOOSE(CONTROL!$C$12, $D$4, 100%, $F$4)</f>
        <v>16.706099999999999</v>
      </c>
      <c r="G911" s="8">
        <f>15.4995 * CHOOSE( CONTROL!$C$12, $D$4, 100%, $F$4)</f>
        <v>15.499499999999999</v>
      </c>
      <c r="H911" s="4">
        <f>16.3855 * CHOOSE(CONTROL!$C$12, $D$4, 100%, $F$4)</f>
        <v>16.3855</v>
      </c>
      <c r="I911" s="8">
        <f>15.3098 * CHOOSE(CONTROL!$C$12, $D$4, 100%, $F$4)</f>
        <v>15.309799999999999</v>
      </c>
      <c r="J911" s="4">
        <f>15.2045 * CHOOSE(CONTROL!$C$12, $D$4, 100%, $F$4)</f>
        <v>15.204499999999999</v>
      </c>
      <c r="K911" s="4"/>
      <c r="L911" s="9">
        <v>24.747800000000002</v>
      </c>
      <c r="M911" s="9">
        <v>10.8962</v>
      </c>
      <c r="N911" s="9">
        <v>4.4660000000000002</v>
      </c>
      <c r="O911" s="9">
        <v>0.33829999999999999</v>
      </c>
      <c r="P911" s="9">
        <v>1.1687000000000001</v>
      </c>
      <c r="Q911" s="9">
        <v>17.782800000000002</v>
      </c>
      <c r="R911" s="9"/>
      <c r="S911" s="11"/>
    </row>
    <row r="912" spans="1:19" ht="15.6">
      <c r="A912" s="13">
        <v>69853</v>
      </c>
      <c r="B912" s="8">
        <f>15.3579 * CHOOSE(CONTROL!$C$12, $D$4, 100%, $F$4)</f>
        <v>15.357900000000001</v>
      </c>
      <c r="C912" s="8">
        <f>15.3682 * CHOOSE(CONTROL!$C$12, $D$4, 100%, $F$4)</f>
        <v>15.3682</v>
      </c>
      <c r="D912" s="8">
        <f>15.3504 * CHOOSE( CONTROL!$C$12, $D$4, 100%, $F$4)</f>
        <v>15.3504</v>
      </c>
      <c r="E912" s="12">
        <f>15.3558 * CHOOSE( CONTROL!$C$12, $D$4, 100%, $F$4)</f>
        <v>15.3558</v>
      </c>
      <c r="F912" s="4">
        <f>16.3561 * CHOOSE(CONTROL!$C$12, $D$4, 100%, $F$4)</f>
        <v>16.356100000000001</v>
      </c>
      <c r="G912" s="8">
        <f>15.1498 * CHOOSE( CONTROL!$C$12, $D$4, 100%, $F$4)</f>
        <v>15.149800000000001</v>
      </c>
      <c r="H912" s="4">
        <f>16.0405 * CHOOSE(CONTROL!$C$12, $D$4, 100%, $F$4)</f>
        <v>16.040500000000002</v>
      </c>
      <c r="I912" s="8">
        <f>14.9464 * CHOOSE(CONTROL!$C$12, $D$4, 100%, $F$4)</f>
        <v>14.946400000000001</v>
      </c>
      <c r="J912" s="4">
        <f>14.8808 * CHOOSE(CONTROL!$C$12, $D$4, 100%, $F$4)</f>
        <v>14.880800000000001</v>
      </c>
      <c r="K912" s="4"/>
      <c r="L912" s="9">
        <v>27.3993</v>
      </c>
      <c r="M912" s="9">
        <v>12.063700000000001</v>
      </c>
      <c r="N912" s="9">
        <v>4.9444999999999997</v>
      </c>
      <c r="O912" s="9">
        <v>0.37459999999999999</v>
      </c>
      <c r="P912" s="9">
        <v>1.2939000000000001</v>
      </c>
      <c r="Q912" s="9">
        <v>19.688099999999999</v>
      </c>
      <c r="R912" s="9"/>
      <c r="S912" s="11"/>
    </row>
    <row r="913" spans="1:19" ht="15.6">
      <c r="A913" s="13">
        <v>69883</v>
      </c>
      <c r="B913" s="8">
        <f>15.5913 * CHOOSE(CONTROL!$C$12, $D$4, 100%, $F$4)</f>
        <v>15.5913</v>
      </c>
      <c r="C913" s="8">
        <f>15.6016 * CHOOSE(CONTROL!$C$12, $D$4, 100%, $F$4)</f>
        <v>15.601599999999999</v>
      </c>
      <c r="D913" s="8">
        <f>15.6066 * CHOOSE( CONTROL!$C$12, $D$4, 100%, $F$4)</f>
        <v>15.6066</v>
      </c>
      <c r="E913" s="12">
        <f>15.6038 * CHOOSE( CONTROL!$C$12, $D$4, 100%, $F$4)</f>
        <v>15.6038</v>
      </c>
      <c r="F913" s="4">
        <f>16.5977 * CHOOSE(CONTROL!$C$12, $D$4, 100%, $F$4)</f>
        <v>16.5977</v>
      </c>
      <c r="G913" s="8">
        <f>15.3677 * CHOOSE( CONTROL!$C$12, $D$4, 100%, $F$4)</f>
        <v>15.367699999999999</v>
      </c>
      <c r="H913" s="4">
        <f>16.2787 * CHOOSE(CONTROL!$C$12, $D$4, 100%, $F$4)</f>
        <v>16.278700000000001</v>
      </c>
      <c r="I913" s="8">
        <f>15.1628 * CHOOSE(CONTROL!$C$12, $D$4, 100%, $F$4)</f>
        <v>15.162800000000001</v>
      </c>
      <c r="J913" s="4">
        <f>15.107 * CHOOSE(CONTROL!$C$12, $D$4, 100%, $F$4)</f>
        <v>15.106999999999999</v>
      </c>
      <c r="K913" s="4"/>
      <c r="L913" s="9">
        <v>27.988800000000001</v>
      </c>
      <c r="M913" s="9">
        <v>11.6745</v>
      </c>
      <c r="N913" s="9">
        <v>4.7850000000000001</v>
      </c>
      <c r="O913" s="9">
        <v>0.36249999999999999</v>
      </c>
      <c r="P913" s="9">
        <v>1.1798</v>
      </c>
      <c r="Q913" s="9">
        <v>19.053000000000001</v>
      </c>
      <c r="R913" s="9"/>
      <c r="S913" s="11"/>
    </row>
    <row r="914" spans="1:19" ht="15.6">
      <c r="A914" s="13">
        <v>69914</v>
      </c>
      <c r="B914" s="8">
        <f>CHOOSE( CONTROL!$C$29, 16.0135, 16.0067) * CHOOSE(CONTROL!$C$12, $D$4, 100%, $F$4)</f>
        <v>16.006699999999999</v>
      </c>
      <c r="C914" s="8">
        <f>CHOOSE( CONTROL!$C$29, 16.0239, 16.017) * CHOOSE(CONTROL!$C$12, $D$4, 100%, $F$4)</f>
        <v>16.016999999999999</v>
      </c>
      <c r="D914" s="8">
        <f>CHOOSE( CONTROL!$C$29, 16.0041, 15.9973) * CHOOSE( CONTROL!$C$12, $D$4, 100%, $F$4)</f>
        <v>15.997299999999999</v>
      </c>
      <c r="E914" s="12">
        <f>CHOOSE( CONTROL!$C$29, 16.0097, 16.0029) * CHOOSE( CONTROL!$C$12, $D$4, 100%, $F$4)</f>
        <v>16.0029</v>
      </c>
      <c r="F914" s="4">
        <f>CHOOSE( CONTROL!$C$29, 16.988, 16.9811) * CHOOSE(CONTROL!$C$12, $D$4, 100%, $F$4)</f>
        <v>16.981100000000001</v>
      </c>
      <c r="G914" s="8">
        <f>CHOOSE( CONTROL!$C$29, 15.7658, 15.759) * CHOOSE( CONTROL!$C$12, $D$4, 100%, $F$4)</f>
        <v>15.759</v>
      </c>
      <c r="H914" s="4">
        <f>CHOOSE( CONTROL!$C$29, 16.6634, 16.6567) * CHOOSE(CONTROL!$C$12, $D$4, 100%, $F$4)</f>
        <v>16.656700000000001</v>
      </c>
      <c r="I914" s="8">
        <f>CHOOSE( CONTROL!$C$29, 15.5506, 15.544) * CHOOSE(CONTROL!$C$12, $D$4, 100%, $F$4)</f>
        <v>15.544</v>
      </c>
      <c r="J914" s="4">
        <f>CHOOSE( CONTROL!$C$29, 15.5162, 15.5095) * CHOOSE(CONTROL!$C$12, $D$4, 100%, $F$4)</f>
        <v>15.509499999999999</v>
      </c>
      <c r="K914" s="4"/>
      <c r="L914" s="9">
        <v>29.520499999999998</v>
      </c>
      <c r="M914" s="9">
        <v>12.063700000000001</v>
      </c>
      <c r="N914" s="9">
        <v>4.9444999999999997</v>
      </c>
      <c r="O914" s="9">
        <v>0.37459999999999999</v>
      </c>
      <c r="P914" s="9">
        <v>1.2192000000000001</v>
      </c>
      <c r="Q914" s="9">
        <v>19.688099999999999</v>
      </c>
      <c r="R914" s="9"/>
      <c r="S914" s="11"/>
    </row>
    <row r="915" spans="1:19" ht="15.6">
      <c r="A915" s="13">
        <v>69944</v>
      </c>
      <c r="B915" s="8">
        <f>CHOOSE( CONTROL!$C$29, 15.7562, 15.7494) * CHOOSE(CONTROL!$C$12, $D$4, 100%, $F$4)</f>
        <v>15.7494</v>
      </c>
      <c r="C915" s="8">
        <f>CHOOSE( CONTROL!$C$29, 15.7665, 15.7597) * CHOOSE(CONTROL!$C$12, $D$4, 100%, $F$4)</f>
        <v>15.7597</v>
      </c>
      <c r="D915" s="8">
        <f>CHOOSE( CONTROL!$C$29, 15.7412, 15.7344) * CHOOSE( CONTROL!$C$12, $D$4, 100%, $F$4)</f>
        <v>15.734400000000001</v>
      </c>
      <c r="E915" s="12">
        <f>CHOOSE( CONTROL!$C$29, 15.7488, 15.742) * CHOOSE( CONTROL!$C$12, $D$4, 100%, $F$4)</f>
        <v>15.742000000000001</v>
      </c>
      <c r="F915" s="4">
        <f>CHOOSE( CONTROL!$C$29, 16.7203, 16.7135) * CHOOSE(CONTROL!$C$12, $D$4, 100%, $F$4)</f>
        <v>16.7135</v>
      </c>
      <c r="G915" s="8">
        <f>CHOOSE( CONTROL!$C$29, 15.5108, 15.5041) * CHOOSE( CONTROL!$C$12, $D$4, 100%, $F$4)</f>
        <v>15.504099999999999</v>
      </c>
      <c r="H915" s="4">
        <f>CHOOSE( CONTROL!$C$29, 16.3996, 16.3928) * CHOOSE(CONTROL!$C$12, $D$4, 100%, $F$4)</f>
        <v>16.392800000000001</v>
      </c>
      <c r="I915" s="8">
        <f>CHOOSE( CONTROL!$C$29, 15.3033, 15.2967) * CHOOSE(CONTROL!$C$12, $D$4, 100%, $F$4)</f>
        <v>15.2967</v>
      </c>
      <c r="J915" s="4">
        <f>CHOOSE( CONTROL!$C$29, 15.2668, 15.2602) * CHOOSE(CONTROL!$C$12, $D$4, 100%, $F$4)</f>
        <v>15.260199999999999</v>
      </c>
      <c r="K915" s="4"/>
      <c r="L915" s="9">
        <v>28.568200000000001</v>
      </c>
      <c r="M915" s="9">
        <v>11.6745</v>
      </c>
      <c r="N915" s="9">
        <v>4.7850000000000001</v>
      </c>
      <c r="O915" s="9">
        <v>0.36249999999999999</v>
      </c>
      <c r="P915" s="9">
        <v>1.1798</v>
      </c>
      <c r="Q915" s="9">
        <v>19.053000000000001</v>
      </c>
      <c r="R915" s="9"/>
      <c r="S915" s="11"/>
    </row>
    <row r="916" spans="1:19" ht="15.6">
      <c r="A916" s="13">
        <v>69975</v>
      </c>
      <c r="B916" s="8">
        <f>CHOOSE( CONTROL!$C$29, 16.4339, 16.427) * CHOOSE(CONTROL!$C$12, $D$4, 100%, $F$4)</f>
        <v>16.427</v>
      </c>
      <c r="C916" s="8">
        <f>CHOOSE( CONTROL!$C$29, 16.4442, 16.4373) * CHOOSE(CONTROL!$C$12, $D$4, 100%, $F$4)</f>
        <v>16.4373</v>
      </c>
      <c r="D916" s="8">
        <f>CHOOSE( CONTROL!$C$29, 16.4523, 16.4455) * CHOOSE( CONTROL!$C$12, $D$4, 100%, $F$4)</f>
        <v>16.445499999999999</v>
      </c>
      <c r="E916" s="12">
        <f>CHOOSE( CONTROL!$C$29, 16.4478, 16.441) * CHOOSE( CONTROL!$C$12, $D$4, 100%, $F$4)</f>
        <v>16.440999999999999</v>
      </c>
      <c r="F916" s="4">
        <f>CHOOSE( CONTROL!$C$29, 17.4429, 17.436) * CHOOSE(CONTROL!$C$12, $D$4, 100%, $F$4)</f>
        <v>17.436</v>
      </c>
      <c r="G916" s="8">
        <f>CHOOSE( CONTROL!$C$29, 16.2049, 16.1981) * CHOOSE( CONTROL!$C$12, $D$4, 100%, $F$4)</f>
        <v>16.1981</v>
      </c>
      <c r="H916" s="4">
        <f>CHOOSE( CONTROL!$C$29, 17.1118, 17.1051) * CHOOSE(CONTROL!$C$12, $D$4, 100%, $F$4)</f>
        <v>17.1051</v>
      </c>
      <c r="I916" s="8">
        <f>CHOOSE( CONTROL!$C$29, 16.0156, 16.0089) * CHOOSE(CONTROL!$C$12, $D$4, 100%, $F$4)</f>
        <v>16.008900000000001</v>
      </c>
      <c r="J916" s="4">
        <f>CHOOSE( CONTROL!$C$29, 15.9235, 15.9168) * CHOOSE(CONTROL!$C$12, $D$4, 100%, $F$4)</f>
        <v>15.9168</v>
      </c>
      <c r="K916" s="4"/>
      <c r="L916" s="9">
        <v>29.520499999999998</v>
      </c>
      <c r="M916" s="9">
        <v>12.063700000000001</v>
      </c>
      <c r="N916" s="9">
        <v>4.9444999999999997</v>
      </c>
      <c r="O916" s="9">
        <v>0.37459999999999999</v>
      </c>
      <c r="P916" s="9">
        <v>1.2192000000000001</v>
      </c>
      <c r="Q916" s="9">
        <v>19.688099999999999</v>
      </c>
      <c r="R916" s="9"/>
      <c r="S916" s="11"/>
    </row>
    <row r="917" spans="1:19" ht="15.6">
      <c r="A917" s="13">
        <v>70006</v>
      </c>
      <c r="B917" s="8">
        <f>CHOOSE( CONTROL!$C$29, 15.1659, 15.1591) * CHOOSE(CONTROL!$C$12, $D$4, 100%, $F$4)</f>
        <v>15.1591</v>
      </c>
      <c r="C917" s="8">
        <f>CHOOSE( CONTROL!$C$29, 15.1762, 15.1694) * CHOOSE(CONTROL!$C$12, $D$4, 100%, $F$4)</f>
        <v>15.1694</v>
      </c>
      <c r="D917" s="8">
        <f>CHOOSE( CONTROL!$C$29, 15.1777, 15.1709) * CHOOSE( CONTROL!$C$12, $D$4, 100%, $F$4)</f>
        <v>15.1709</v>
      </c>
      <c r="E917" s="12">
        <f>CHOOSE( CONTROL!$C$29, 15.1756, 15.1688) * CHOOSE( CONTROL!$C$12, $D$4, 100%, $F$4)</f>
        <v>15.168799999999999</v>
      </c>
      <c r="F917" s="4">
        <f>CHOOSE( CONTROL!$C$29, 16.1723, 16.1655) * CHOOSE(CONTROL!$C$12, $D$4, 100%, $F$4)</f>
        <v>16.165500000000002</v>
      </c>
      <c r="G917" s="8">
        <f>CHOOSE( CONTROL!$C$29, 14.945, 14.9383) * CHOOSE( CONTROL!$C$12, $D$4, 100%, $F$4)</f>
        <v>14.9383</v>
      </c>
      <c r="H917" s="4">
        <f>CHOOSE( CONTROL!$C$29, 15.8594, 15.8526) * CHOOSE(CONTROL!$C$12, $D$4, 100%, $F$4)</f>
        <v>15.852600000000001</v>
      </c>
      <c r="I917" s="8">
        <f>CHOOSE( CONTROL!$C$29, 14.7674, 14.7608) * CHOOSE(CONTROL!$C$12, $D$4, 100%, $F$4)</f>
        <v>14.7608</v>
      </c>
      <c r="J917" s="4">
        <f>CHOOSE( CONTROL!$C$29, 14.6948, 14.6882) * CHOOSE(CONTROL!$C$12, $D$4, 100%, $F$4)</f>
        <v>14.6882</v>
      </c>
      <c r="K917" s="4"/>
      <c r="L917" s="9">
        <v>29.520499999999998</v>
      </c>
      <c r="M917" s="9">
        <v>12.063700000000001</v>
      </c>
      <c r="N917" s="9">
        <v>4.9444999999999997</v>
      </c>
      <c r="O917" s="9">
        <v>0.37459999999999999</v>
      </c>
      <c r="P917" s="9">
        <v>1.2192000000000001</v>
      </c>
      <c r="Q917" s="9">
        <v>19.688099999999999</v>
      </c>
      <c r="R917" s="9"/>
      <c r="S917" s="11"/>
    </row>
    <row r="918" spans="1:19" ht="15.6">
      <c r="A918" s="13">
        <v>70036</v>
      </c>
      <c r="B918" s="8">
        <f>CHOOSE( CONTROL!$C$29, 14.8484, 14.8415) * CHOOSE(CONTROL!$C$12, $D$4, 100%, $F$4)</f>
        <v>14.8415</v>
      </c>
      <c r="C918" s="8">
        <f>CHOOSE( CONTROL!$C$29, 14.8587, 14.8519) * CHOOSE(CONTROL!$C$12, $D$4, 100%, $F$4)</f>
        <v>14.851900000000001</v>
      </c>
      <c r="D918" s="8">
        <f>CHOOSE( CONTROL!$C$29, 14.8634, 14.8565) * CHOOSE( CONTROL!$C$12, $D$4, 100%, $F$4)</f>
        <v>14.8565</v>
      </c>
      <c r="E918" s="12">
        <f>CHOOSE( CONTROL!$C$29, 14.8601, 14.8532) * CHOOSE( CONTROL!$C$12, $D$4, 100%, $F$4)</f>
        <v>14.853199999999999</v>
      </c>
      <c r="F918" s="4">
        <f>CHOOSE( CONTROL!$C$29, 15.86, 15.8531) * CHOOSE(CONTROL!$C$12, $D$4, 100%, $F$4)</f>
        <v>15.8531</v>
      </c>
      <c r="G918" s="8">
        <f>CHOOSE( CONTROL!$C$29, 14.6341, 14.6274) * CHOOSE( CONTROL!$C$12, $D$4, 100%, $F$4)</f>
        <v>14.6274</v>
      </c>
      <c r="H918" s="4">
        <f>CHOOSE( CONTROL!$C$29, 15.5515, 15.5447) * CHOOSE(CONTROL!$C$12, $D$4, 100%, $F$4)</f>
        <v>15.544700000000001</v>
      </c>
      <c r="I918" s="8">
        <f>CHOOSE( CONTROL!$C$29, 14.4674, 14.4607) * CHOOSE(CONTROL!$C$12, $D$4, 100%, $F$4)</f>
        <v>14.460699999999999</v>
      </c>
      <c r="J918" s="4">
        <f>CHOOSE( CONTROL!$C$29, 14.3871, 14.3805) * CHOOSE(CONTROL!$C$12, $D$4, 100%, $F$4)</f>
        <v>14.3805</v>
      </c>
      <c r="K918" s="4"/>
      <c r="L918" s="9">
        <v>28.568200000000001</v>
      </c>
      <c r="M918" s="9">
        <v>11.6745</v>
      </c>
      <c r="N918" s="9">
        <v>4.7850000000000001</v>
      </c>
      <c r="O918" s="9">
        <v>0.36249999999999999</v>
      </c>
      <c r="P918" s="9">
        <v>1.1798</v>
      </c>
      <c r="Q918" s="9">
        <v>19.053000000000001</v>
      </c>
      <c r="R918" s="9"/>
      <c r="S918" s="11"/>
    </row>
    <row r="919" spans="1:19" ht="15.6">
      <c r="A919" s="13">
        <v>70067</v>
      </c>
      <c r="B919" s="8">
        <f>15.5008 * CHOOSE(CONTROL!$C$12, $D$4, 100%, $F$4)</f>
        <v>15.5008</v>
      </c>
      <c r="C919" s="8">
        <f>15.5111 * CHOOSE(CONTROL!$C$12, $D$4, 100%, $F$4)</f>
        <v>15.511100000000001</v>
      </c>
      <c r="D919" s="8">
        <f>15.5062 * CHOOSE( CONTROL!$C$12, $D$4, 100%, $F$4)</f>
        <v>15.5062</v>
      </c>
      <c r="E919" s="12">
        <f>15.5067 * CHOOSE( CONTROL!$C$12, $D$4, 100%, $F$4)</f>
        <v>15.5067</v>
      </c>
      <c r="F919" s="4">
        <f>16.4918 * CHOOSE(CONTROL!$C$12, $D$4, 100%, $F$4)</f>
        <v>16.491800000000001</v>
      </c>
      <c r="G919" s="8">
        <f>15.274 * CHOOSE( CONTROL!$C$12, $D$4, 100%, $F$4)</f>
        <v>15.273999999999999</v>
      </c>
      <c r="H919" s="4">
        <f>16.1743 * CHOOSE(CONTROL!$C$12, $D$4, 100%, $F$4)</f>
        <v>16.174299999999999</v>
      </c>
      <c r="I919" s="8">
        <f>15.1038 * CHOOSE(CONTROL!$C$12, $D$4, 100%, $F$4)</f>
        <v>15.1038</v>
      </c>
      <c r="J919" s="4">
        <f>15.0193 * CHOOSE(CONTROL!$C$12, $D$4, 100%, $F$4)</f>
        <v>15.019299999999999</v>
      </c>
      <c r="K919" s="4"/>
      <c r="L919" s="9">
        <v>28.921800000000001</v>
      </c>
      <c r="M919" s="9">
        <v>12.063700000000001</v>
      </c>
      <c r="N919" s="9">
        <v>4.9444999999999997</v>
      </c>
      <c r="O919" s="9">
        <v>0.37459999999999999</v>
      </c>
      <c r="P919" s="9">
        <v>1.2192000000000001</v>
      </c>
      <c r="Q919" s="9">
        <v>19.688099999999999</v>
      </c>
      <c r="R919" s="9"/>
      <c r="S919" s="11"/>
    </row>
    <row r="920" spans="1:19" ht="15.6">
      <c r="A920" s="13">
        <v>70097</v>
      </c>
      <c r="B920" s="8">
        <f>16.7177 * CHOOSE(CONTROL!$C$12, $D$4, 100%, $F$4)</f>
        <v>16.717700000000001</v>
      </c>
      <c r="C920" s="8">
        <f>16.728 * CHOOSE(CONTROL!$C$12, $D$4, 100%, $F$4)</f>
        <v>16.728000000000002</v>
      </c>
      <c r="D920" s="8">
        <f>16.6873 * CHOOSE( CONTROL!$C$12, $D$4, 100%, $F$4)</f>
        <v>16.6873</v>
      </c>
      <c r="E920" s="12">
        <f>16.7011 * CHOOSE( CONTROL!$C$12, $D$4, 100%, $F$4)</f>
        <v>16.7011</v>
      </c>
      <c r="F920" s="4">
        <f>17.6947 * CHOOSE(CONTROL!$C$12, $D$4, 100%, $F$4)</f>
        <v>17.694700000000001</v>
      </c>
      <c r="G920" s="8">
        <f>16.4675 * CHOOSE( CONTROL!$C$12, $D$4, 100%, $F$4)</f>
        <v>16.467500000000001</v>
      </c>
      <c r="H920" s="4">
        <f>17.3601 * CHOOSE(CONTROL!$C$12, $D$4, 100%, $F$4)</f>
        <v>17.360099999999999</v>
      </c>
      <c r="I920" s="8">
        <f>16.2678 * CHOOSE(CONTROL!$C$12, $D$4, 100%, $F$4)</f>
        <v>16.267800000000001</v>
      </c>
      <c r="J920" s="4">
        <f>16.1985 * CHOOSE(CONTROL!$C$12, $D$4, 100%, $F$4)</f>
        <v>16.198499999999999</v>
      </c>
      <c r="K920" s="4"/>
      <c r="L920" s="9">
        <v>26.515499999999999</v>
      </c>
      <c r="M920" s="9">
        <v>11.6745</v>
      </c>
      <c r="N920" s="9">
        <v>4.7850000000000001</v>
      </c>
      <c r="O920" s="9">
        <v>0.36249999999999999</v>
      </c>
      <c r="P920" s="9">
        <v>1.2522</v>
      </c>
      <c r="Q920" s="9">
        <v>19.053000000000001</v>
      </c>
      <c r="R920" s="9"/>
      <c r="S920" s="11"/>
    </row>
    <row r="921" spans="1:19" ht="15.6">
      <c r="A921" s="13">
        <v>70128</v>
      </c>
      <c r="B921" s="8">
        <f>16.6873 * CHOOSE(CONTROL!$C$12, $D$4, 100%, $F$4)</f>
        <v>16.6873</v>
      </c>
      <c r="C921" s="8">
        <f>16.6976 * CHOOSE(CONTROL!$C$12, $D$4, 100%, $F$4)</f>
        <v>16.697600000000001</v>
      </c>
      <c r="D921" s="8">
        <f>16.6588 * CHOOSE( CONTROL!$C$12, $D$4, 100%, $F$4)</f>
        <v>16.658799999999999</v>
      </c>
      <c r="E921" s="12">
        <f>16.6719 * CHOOSE( CONTROL!$C$12, $D$4, 100%, $F$4)</f>
        <v>16.671900000000001</v>
      </c>
      <c r="F921" s="4">
        <f>17.6576 * CHOOSE(CONTROL!$C$12, $D$4, 100%, $F$4)</f>
        <v>17.657599999999999</v>
      </c>
      <c r="G921" s="8">
        <f>16.4399 * CHOOSE( CONTROL!$C$12, $D$4, 100%, $F$4)</f>
        <v>16.439900000000002</v>
      </c>
      <c r="H921" s="4">
        <f>17.3235 * CHOOSE(CONTROL!$C$12, $D$4, 100%, $F$4)</f>
        <v>17.323499999999999</v>
      </c>
      <c r="I921" s="8">
        <f>16.2491 * CHOOSE(CONTROL!$C$12, $D$4, 100%, $F$4)</f>
        <v>16.249099999999999</v>
      </c>
      <c r="J921" s="4">
        <f>16.169 * CHOOSE(CONTROL!$C$12, $D$4, 100%, $F$4)</f>
        <v>16.169</v>
      </c>
      <c r="K921" s="4"/>
      <c r="L921" s="9">
        <v>27.3993</v>
      </c>
      <c r="M921" s="9">
        <v>12.063700000000001</v>
      </c>
      <c r="N921" s="9">
        <v>4.9444999999999997</v>
      </c>
      <c r="O921" s="9">
        <v>0.37459999999999999</v>
      </c>
      <c r="P921" s="9">
        <v>1.2939000000000001</v>
      </c>
      <c r="Q921" s="9">
        <v>19.688099999999999</v>
      </c>
      <c r="R921" s="9"/>
      <c r="S921" s="11"/>
    </row>
    <row r="922" spans="1:19" ht="15.6">
      <c r="A922" s="13">
        <v>70159</v>
      </c>
      <c r="B922" s="8">
        <f>17.0767 * CHOOSE(CONTROL!$C$12, $D$4, 100%, $F$4)</f>
        <v>17.076699999999999</v>
      </c>
      <c r="C922" s="8">
        <f>17.087 * CHOOSE(CONTROL!$C$12, $D$4, 100%, $F$4)</f>
        <v>17.087</v>
      </c>
      <c r="D922" s="8">
        <f>17.0868 * CHOOSE( CONTROL!$C$12, $D$4, 100%, $F$4)</f>
        <v>17.0868</v>
      </c>
      <c r="E922" s="12">
        <f>17.0858 * CHOOSE( CONTROL!$C$12, $D$4, 100%, $F$4)</f>
        <v>17.085799999999999</v>
      </c>
      <c r="F922" s="4">
        <f>18.0986 * CHOOSE(CONTROL!$C$12, $D$4, 100%, $F$4)</f>
        <v>18.098600000000001</v>
      </c>
      <c r="G922" s="8">
        <f>16.8647 * CHOOSE( CONTROL!$C$12, $D$4, 100%, $F$4)</f>
        <v>16.864699999999999</v>
      </c>
      <c r="H922" s="4">
        <f>17.7582 * CHOOSE(CONTROL!$C$12, $D$4, 100%, $F$4)</f>
        <v>17.758199999999999</v>
      </c>
      <c r="I922" s="8">
        <f>16.6632 * CHOOSE(CONTROL!$C$12, $D$4, 100%, $F$4)</f>
        <v>16.6632</v>
      </c>
      <c r="J922" s="4">
        <f>16.5464 * CHOOSE(CONTROL!$C$12, $D$4, 100%, $F$4)</f>
        <v>16.546399999999998</v>
      </c>
      <c r="K922" s="4"/>
      <c r="L922" s="9">
        <v>27.3993</v>
      </c>
      <c r="M922" s="9">
        <v>12.063700000000001</v>
      </c>
      <c r="N922" s="9">
        <v>4.9444999999999997</v>
      </c>
      <c r="O922" s="9">
        <v>0.37459999999999999</v>
      </c>
      <c r="P922" s="9">
        <v>1.2939000000000001</v>
      </c>
      <c r="Q922" s="9">
        <v>19.688099999999999</v>
      </c>
      <c r="R922" s="9"/>
      <c r="S922" s="11"/>
    </row>
    <row r="923" spans="1:19" ht="15.6">
      <c r="A923" s="13">
        <v>70188</v>
      </c>
      <c r="B923" s="8">
        <f>15.9728 * CHOOSE(CONTROL!$C$12, $D$4, 100%, $F$4)</f>
        <v>15.972799999999999</v>
      </c>
      <c r="C923" s="8">
        <f>15.9831 * CHOOSE(CONTROL!$C$12, $D$4, 100%, $F$4)</f>
        <v>15.9831</v>
      </c>
      <c r="D923" s="8">
        <f>15.9852 * CHOOSE( CONTROL!$C$12, $D$4, 100%, $F$4)</f>
        <v>15.985200000000001</v>
      </c>
      <c r="E923" s="12">
        <f>15.9833 * CHOOSE( CONTROL!$C$12, $D$4, 100%, $F$4)</f>
        <v>15.9833</v>
      </c>
      <c r="F923" s="4">
        <f>16.9869 * CHOOSE(CONTROL!$C$12, $D$4, 100%, $F$4)</f>
        <v>16.986899999999999</v>
      </c>
      <c r="G923" s="8">
        <f>15.7764 * CHOOSE( CONTROL!$C$12, $D$4, 100%, $F$4)</f>
        <v>15.776400000000001</v>
      </c>
      <c r="H923" s="4">
        <f>16.6624 * CHOOSE(CONTROL!$C$12, $D$4, 100%, $F$4)</f>
        <v>16.662400000000002</v>
      </c>
      <c r="I923" s="8">
        <f>15.5821 * CHOOSE(CONTROL!$C$12, $D$4, 100%, $F$4)</f>
        <v>15.582100000000001</v>
      </c>
      <c r="J923" s="4">
        <f>15.4767 * CHOOSE(CONTROL!$C$12, $D$4, 100%, $F$4)</f>
        <v>15.476699999999999</v>
      </c>
      <c r="K923" s="4"/>
      <c r="L923" s="9">
        <v>25.631599999999999</v>
      </c>
      <c r="M923" s="9">
        <v>11.285299999999999</v>
      </c>
      <c r="N923" s="9">
        <v>4.6254999999999997</v>
      </c>
      <c r="O923" s="9">
        <v>0.35039999999999999</v>
      </c>
      <c r="P923" s="9">
        <v>1.2104999999999999</v>
      </c>
      <c r="Q923" s="9">
        <v>18.417899999999999</v>
      </c>
      <c r="R923" s="9"/>
      <c r="S923" s="11"/>
    </row>
    <row r="924" spans="1:19" ht="15.6">
      <c r="A924" s="13">
        <v>70219</v>
      </c>
      <c r="B924" s="8">
        <f>15.6328 * CHOOSE(CONTROL!$C$12, $D$4, 100%, $F$4)</f>
        <v>15.6328</v>
      </c>
      <c r="C924" s="8">
        <f>15.6431 * CHOOSE(CONTROL!$C$12, $D$4, 100%, $F$4)</f>
        <v>15.6431</v>
      </c>
      <c r="D924" s="8">
        <f>15.6253 * CHOOSE( CONTROL!$C$12, $D$4, 100%, $F$4)</f>
        <v>15.625299999999999</v>
      </c>
      <c r="E924" s="12">
        <f>15.6307 * CHOOSE( CONTROL!$C$12, $D$4, 100%, $F$4)</f>
        <v>15.630699999999999</v>
      </c>
      <c r="F924" s="4">
        <f>16.631 * CHOOSE(CONTROL!$C$12, $D$4, 100%, $F$4)</f>
        <v>16.631</v>
      </c>
      <c r="G924" s="8">
        <f>15.4208 * CHOOSE( CONTROL!$C$12, $D$4, 100%, $F$4)</f>
        <v>15.4208</v>
      </c>
      <c r="H924" s="4">
        <f>16.3115 * CHOOSE(CONTROL!$C$12, $D$4, 100%, $F$4)</f>
        <v>16.311499999999999</v>
      </c>
      <c r="I924" s="8">
        <f>15.2129 * CHOOSE(CONTROL!$C$12, $D$4, 100%, $F$4)</f>
        <v>15.212899999999999</v>
      </c>
      <c r="J924" s="4">
        <f>15.1472 * CHOOSE(CONTROL!$C$12, $D$4, 100%, $F$4)</f>
        <v>15.1472</v>
      </c>
      <c r="K924" s="4"/>
      <c r="L924" s="9">
        <v>27.3993</v>
      </c>
      <c r="M924" s="9">
        <v>12.063700000000001</v>
      </c>
      <c r="N924" s="9">
        <v>4.9444999999999997</v>
      </c>
      <c r="O924" s="9">
        <v>0.37459999999999999</v>
      </c>
      <c r="P924" s="9">
        <v>1.2939000000000001</v>
      </c>
      <c r="Q924" s="9">
        <v>19.688099999999999</v>
      </c>
      <c r="R924" s="9"/>
      <c r="S924" s="11"/>
    </row>
    <row r="925" spans="1:19" ht="15.6">
      <c r="A925" s="13">
        <v>70249</v>
      </c>
      <c r="B925" s="8">
        <f>15.8704 * CHOOSE(CONTROL!$C$12, $D$4, 100%, $F$4)</f>
        <v>15.8704</v>
      </c>
      <c r="C925" s="8">
        <f>15.8807 * CHOOSE(CONTROL!$C$12, $D$4, 100%, $F$4)</f>
        <v>15.880699999999999</v>
      </c>
      <c r="D925" s="8">
        <f>15.8857 * CHOOSE( CONTROL!$C$12, $D$4, 100%, $F$4)</f>
        <v>15.8857</v>
      </c>
      <c r="E925" s="12">
        <f>15.8829 * CHOOSE( CONTROL!$C$12, $D$4, 100%, $F$4)</f>
        <v>15.882899999999999</v>
      </c>
      <c r="F925" s="4">
        <f>16.8768 * CHOOSE(CONTROL!$C$12, $D$4, 100%, $F$4)</f>
        <v>16.876799999999999</v>
      </c>
      <c r="G925" s="8">
        <f>15.6428 * CHOOSE( CONTROL!$C$12, $D$4, 100%, $F$4)</f>
        <v>15.642799999999999</v>
      </c>
      <c r="H925" s="4">
        <f>16.5538 * CHOOSE(CONTROL!$C$12, $D$4, 100%, $F$4)</f>
        <v>16.553799999999999</v>
      </c>
      <c r="I925" s="8">
        <f>15.4334 * CHOOSE(CONTROL!$C$12, $D$4, 100%, $F$4)</f>
        <v>15.433400000000001</v>
      </c>
      <c r="J925" s="4">
        <f>15.3774 * CHOOSE(CONTROL!$C$12, $D$4, 100%, $F$4)</f>
        <v>15.3774</v>
      </c>
      <c r="K925" s="4"/>
      <c r="L925" s="9">
        <v>27.988800000000001</v>
      </c>
      <c r="M925" s="9">
        <v>11.6745</v>
      </c>
      <c r="N925" s="9">
        <v>4.7850000000000001</v>
      </c>
      <c r="O925" s="9">
        <v>0.36249999999999999</v>
      </c>
      <c r="P925" s="9">
        <v>1.1798</v>
      </c>
      <c r="Q925" s="9">
        <v>19.053000000000001</v>
      </c>
      <c r="R925" s="9"/>
      <c r="S925" s="11"/>
    </row>
    <row r="926" spans="1:19" ht="15.6">
      <c r="A926" s="13">
        <v>70280</v>
      </c>
      <c r="B926" s="8">
        <f>CHOOSE( CONTROL!$C$29, 16.3, 16.2932) * CHOOSE(CONTROL!$C$12, $D$4, 100%, $F$4)</f>
        <v>16.293199999999999</v>
      </c>
      <c r="C926" s="8">
        <f>CHOOSE( CONTROL!$C$29, 16.3104, 16.3035) * CHOOSE(CONTROL!$C$12, $D$4, 100%, $F$4)</f>
        <v>16.3035</v>
      </c>
      <c r="D926" s="8">
        <f>CHOOSE( CONTROL!$C$29, 16.2906, 16.2838) * CHOOSE( CONTROL!$C$12, $D$4, 100%, $F$4)</f>
        <v>16.283799999999999</v>
      </c>
      <c r="E926" s="12">
        <f>CHOOSE( CONTROL!$C$29, 16.2962, 16.2894) * CHOOSE( CONTROL!$C$12, $D$4, 100%, $F$4)</f>
        <v>16.289400000000001</v>
      </c>
      <c r="F926" s="4">
        <f>CHOOSE( CONTROL!$C$29, 17.2745, 17.2677) * CHOOSE(CONTROL!$C$12, $D$4, 100%, $F$4)</f>
        <v>17.267700000000001</v>
      </c>
      <c r="G926" s="8">
        <f>CHOOSE( CONTROL!$C$29, 16.0482, 16.0414) * CHOOSE( CONTROL!$C$12, $D$4, 100%, $F$4)</f>
        <v>16.041399999999999</v>
      </c>
      <c r="H926" s="4">
        <f>CHOOSE( CONTROL!$C$29, 16.9458, 16.9391) * CHOOSE(CONTROL!$C$12, $D$4, 100%, $F$4)</f>
        <v>16.9391</v>
      </c>
      <c r="I926" s="8">
        <f>CHOOSE( CONTROL!$C$29, 15.8284, 15.8218) * CHOOSE(CONTROL!$C$12, $D$4, 100%, $F$4)</f>
        <v>15.8218</v>
      </c>
      <c r="J926" s="4">
        <f>CHOOSE( CONTROL!$C$29, 15.7938, 15.7872) * CHOOSE(CONTROL!$C$12, $D$4, 100%, $F$4)</f>
        <v>15.7872</v>
      </c>
      <c r="K926" s="4"/>
      <c r="L926" s="9">
        <v>29.520499999999998</v>
      </c>
      <c r="M926" s="9">
        <v>12.063700000000001</v>
      </c>
      <c r="N926" s="9">
        <v>4.9444999999999997</v>
      </c>
      <c r="O926" s="9">
        <v>0.37459999999999999</v>
      </c>
      <c r="P926" s="9">
        <v>1.2192000000000001</v>
      </c>
      <c r="Q926" s="9">
        <v>19.688099999999999</v>
      </c>
      <c r="R926" s="9"/>
      <c r="S926" s="11"/>
    </row>
    <row r="927" spans="1:19" ht="15.6">
      <c r="A927" s="13">
        <v>70310</v>
      </c>
      <c r="B927" s="8">
        <f>CHOOSE( CONTROL!$C$29, 16.0381, 16.0313) * CHOOSE(CONTROL!$C$12, $D$4, 100%, $F$4)</f>
        <v>16.031300000000002</v>
      </c>
      <c r="C927" s="8">
        <f>CHOOSE( CONTROL!$C$29, 16.0484, 16.0416) * CHOOSE(CONTROL!$C$12, $D$4, 100%, $F$4)</f>
        <v>16.041599999999999</v>
      </c>
      <c r="D927" s="8">
        <f>CHOOSE( CONTROL!$C$29, 16.0231, 16.0163) * CHOOSE( CONTROL!$C$12, $D$4, 100%, $F$4)</f>
        <v>16.016300000000001</v>
      </c>
      <c r="E927" s="12">
        <f>CHOOSE( CONTROL!$C$29, 16.0307, 16.0239) * CHOOSE( CONTROL!$C$12, $D$4, 100%, $F$4)</f>
        <v>16.023900000000001</v>
      </c>
      <c r="F927" s="4">
        <f>CHOOSE( CONTROL!$C$29, 17.0022, 16.9954) * CHOOSE(CONTROL!$C$12, $D$4, 100%, $F$4)</f>
        <v>16.9954</v>
      </c>
      <c r="G927" s="8">
        <f>CHOOSE( CONTROL!$C$29, 15.7887, 15.782) * CHOOSE( CONTROL!$C$12, $D$4, 100%, $F$4)</f>
        <v>15.782</v>
      </c>
      <c r="H927" s="4">
        <f>CHOOSE( CONTROL!$C$29, 16.6774, 16.6707) * CHOOSE(CONTROL!$C$12, $D$4, 100%, $F$4)</f>
        <v>16.6707</v>
      </c>
      <c r="I927" s="8">
        <f>CHOOSE( CONTROL!$C$29, 15.5766, 15.57) * CHOOSE(CONTROL!$C$12, $D$4, 100%, $F$4)</f>
        <v>15.57</v>
      </c>
      <c r="J927" s="4">
        <f>CHOOSE( CONTROL!$C$29, 15.54, 15.5333) * CHOOSE(CONTROL!$C$12, $D$4, 100%, $F$4)</f>
        <v>15.533300000000001</v>
      </c>
      <c r="K927" s="4"/>
      <c r="L927" s="9">
        <v>28.568200000000001</v>
      </c>
      <c r="M927" s="9">
        <v>11.6745</v>
      </c>
      <c r="N927" s="9">
        <v>4.7850000000000001</v>
      </c>
      <c r="O927" s="9">
        <v>0.36249999999999999</v>
      </c>
      <c r="P927" s="9">
        <v>1.1798</v>
      </c>
      <c r="Q927" s="9">
        <v>19.053000000000001</v>
      </c>
      <c r="R927" s="9"/>
      <c r="S927" s="11"/>
    </row>
    <row r="928" spans="1:19" ht="15.6">
      <c r="A928" s="13">
        <v>70341</v>
      </c>
      <c r="B928" s="8">
        <f>CHOOSE( CONTROL!$C$29, 16.7279, 16.7211) * CHOOSE(CONTROL!$C$12, $D$4, 100%, $F$4)</f>
        <v>16.7211</v>
      </c>
      <c r="C928" s="8">
        <f>CHOOSE( CONTROL!$C$29, 16.7382, 16.7314) * CHOOSE(CONTROL!$C$12, $D$4, 100%, $F$4)</f>
        <v>16.731400000000001</v>
      </c>
      <c r="D928" s="8">
        <f>CHOOSE( CONTROL!$C$29, 16.7464, 16.7395) * CHOOSE( CONTROL!$C$12, $D$4, 100%, $F$4)</f>
        <v>16.7395</v>
      </c>
      <c r="E928" s="12">
        <f>CHOOSE( CONTROL!$C$29, 16.7419, 16.735) * CHOOSE( CONTROL!$C$12, $D$4, 100%, $F$4)</f>
        <v>16.734999999999999</v>
      </c>
      <c r="F928" s="4">
        <f>CHOOSE( CONTROL!$C$29, 17.7369, 17.7301) * CHOOSE(CONTROL!$C$12, $D$4, 100%, $F$4)</f>
        <v>17.7301</v>
      </c>
      <c r="G928" s="8">
        <f>CHOOSE( CONTROL!$C$29, 16.4947, 16.488) * CHOOSE( CONTROL!$C$12, $D$4, 100%, $F$4)</f>
        <v>16.488</v>
      </c>
      <c r="H928" s="4">
        <f>CHOOSE( CONTROL!$C$29, 17.4017, 17.3949) * CHOOSE(CONTROL!$C$12, $D$4, 100%, $F$4)</f>
        <v>17.3949</v>
      </c>
      <c r="I928" s="8">
        <f>CHOOSE( CONTROL!$C$29, 16.3006, 16.294) * CHOOSE(CONTROL!$C$12, $D$4, 100%, $F$4)</f>
        <v>16.294</v>
      </c>
      <c r="J928" s="4">
        <f>CHOOSE( CONTROL!$C$29, 16.2084, 16.2017) * CHOOSE(CONTROL!$C$12, $D$4, 100%, $F$4)</f>
        <v>16.201699999999999</v>
      </c>
      <c r="K928" s="4"/>
      <c r="L928" s="9">
        <v>29.520499999999998</v>
      </c>
      <c r="M928" s="9">
        <v>12.063700000000001</v>
      </c>
      <c r="N928" s="9">
        <v>4.9444999999999997</v>
      </c>
      <c r="O928" s="9">
        <v>0.37459999999999999</v>
      </c>
      <c r="P928" s="9">
        <v>1.2192000000000001</v>
      </c>
      <c r="Q928" s="9">
        <v>19.688099999999999</v>
      </c>
      <c r="R928" s="9"/>
      <c r="S928" s="11"/>
    </row>
    <row r="929" spans="1:19" ht="15.6">
      <c r="A929" s="13">
        <v>70372</v>
      </c>
      <c r="B929" s="8">
        <f>CHOOSE( CONTROL!$C$29, 15.4372, 15.4304) * CHOOSE(CONTROL!$C$12, $D$4, 100%, $F$4)</f>
        <v>15.430400000000001</v>
      </c>
      <c r="C929" s="8">
        <f>CHOOSE( CONTROL!$C$29, 15.4475, 15.4407) * CHOOSE(CONTROL!$C$12, $D$4, 100%, $F$4)</f>
        <v>15.4407</v>
      </c>
      <c r="D929" s="8">
        <f>CHOOSE( CONTROL!$C$29, 15.449, 15.4422) * CHOOSE( CONTROL!$C$12, $D$4, 100%, $F$4)</f>
        <v>15.4422</v>
      </c>
      <c r="E929" s="12">
        <f>CHOOSE( CONTROL!$C$29, 15.4469, 15.4401) * CHOOSE( CONTROL!$C$12, $D$4, 100%, $F$4)</f>
        <v>15.440099999999999</v>
      </c>
      <c r="F929" s="4">
        <f>CHOOSE( CONTROL!$C$29, 16.4437, 16.4368) * CHOOSE(CONTROL!$C$12, $D$4, 100%, $F$4)</f>
        <v>16.436800000000002</v>
      </c>
      <c r="G929" s="8">
        <f>CHOOSE( CONTROL!$C$29, 15.2125, 15.2058) * CHOOSE( CONTROL!$C$12, $D$4, 100%, $F$4)</f>
        <v>15.2058</v>
      </c>
      <c r="H929" s="4">
        <f>CHOOSE( CONTROL!$C$29, 16.1268, 16.1201) * CHOOSE(CONTROL!$C$12, $D$4, 100%, $F$4)</f>
        <v>16.120100000000001</v>
      </c>
      <c r="I929" s="8">
        <f>CHOOSE( CONTROL!$C$29, 15.0305, 15.0238) * CHOOSE(CONTROL!$C$12, $D$4, 100%, $F$4)</f>
        <v>15.0238</v>
      </c>
      <c r="J929" s="4">
        <f>CHOOSE( CONTROL!$C$29, 14.9577, 14.9511) * CHOOSE(CONTROL!$C$12, $D$4, 100%, $F$4)</f>
        <v>14.9511</v>
      </c>
      <c r="K929" s="4"/>
      <c r="L929" s="9">
        <v>29.520499999999998</v>
      </c>
      <c r="M929" s="9">
        <v>12.063700000000001</v>
      </c>
      <c r="N929" s="9">
        <v>4.9444999999999997</v>
      </c>
      <c r="O929" s="9">
        <v>0.37459999999999999</v>
      </c>
      <c r="P929" s="9">
        <v>1.2192000000000001</v>
      </c>
      <c r="Q929" s="9">
        <v>19.688099999999999</v>
      </c>
      <c r="R929" s="9"/>
      <c r="S929" s="11"/>
    </row>
    <row r="930" spans="1:19" ht="15.6">
      <c r="A930" s="13">
        <v>70402</v>
      </c>
      <c r="B930" s="8">
        <f>CHOOSE( CONTROL!$C$29, 15.114, 15.1072) * CHOOSE(CONTROL!$C$12, $D$4, 100%, $F$4)</f>
        <v>15.107200000000001</v>
      </c>
      <c r="C930" s="8">
        <f>CHOOSE( CONTROL!$C$29, 15.1243, 15.1175) * CHOOSE(CONTROL!$C$12, $D$4, 100%, $F$4)</f>
        <v>15.1175</v>
      </c>
      <c r="D930" s="8">
        <f>CHOOSE( CONTROL!$C$29, 15.129, 15.1222) * CHOOSE( CONTROL!$C$12, $D$4, 100%, $F$4)</f>
        <v>15.122199999999999</v>
      </c>
      <c r="E930" s="12">
        <f>CHOOSE( CONTROL!$C$29, 15.1257, 15.1189) * CHOOSE( CONTROL!$C$12, $D$4, 100%, $F$4)</f>
        <v>15.1189</v>
      </c>
      <c r="F930" s="4">
        <f>CHOOSE( CONTROL!$C$29, 16.1256, 16.1188) * CHOOSE(CONTROL!$C$12, $D$4, 100%, $F$4)</f>
        <v>16.1188</v>
      </c>
      <c r="G930" s="8">
        <f>CHOOSE( CONTROL!$C$29, 14.896, 14.8892) * CHOOSE( CONTROL!$C$12, $D$4, 100%, $F$4)</f>
        <v>14.889200000000001</v>
      </c>
      <c r="H930" s="4">
        <f>CHOOSE( CONTROL!$C$29, 15.8133, 15.8066) * CHOOSE(CONTROL!$C$12, $D$4, 100%, $F$4)</f>
        <v>15.8066</v>
      </c>
      <c r="I930" s="8">
        <f>CHOOSE( CONTROL!$C$29, 14.7249, 14.7183) * CHOOSE(CONTROL!$C$12, $D$4, 100%, $F$4)</f>
        <v>14.718299999999999</v>
      </c>
      <c r="J930" s="4">
        <f>CHOOSE( CONTROL!$C$29, 14.6445, 14.6379) * CHOOSE(CONTROL!$C$12, $D$4, 100%, $F$4)</f>
        <v>14.6379</v>
      </c>
      <c r="K930" s="4"/>
      <c r="L930" s="9">
        <v>28.568200000000001</v>
      </c>
      <c r="M930" s="9">
        <v>11.6745</v>
      </c>
      <c r="N930" s="9">
        <v>4.7850000000000001</v>
      </c>
      <c r="O930" s="9">
        <v>0.36249999999999999</v>
      </c>
      <c r="P930" s="9">
        <v>1.1798</v>
      </c>
      <c r="Q930" s="9">
        <v>19.053000000000001</v>
      </c>
      <c r="R930" s="9"/>
      <c r="S930" s="11"/>
    </row>
    <row r="931" spans="1:19" ht="15.6">
      <c r="A931" s="13">
        <v>70433</v>
      </c>
      <c r="B931" s="8">
        <f>15.7783 * CHOOSE(CONTROL!$C$12, $D$4, 100%, $F$4)</f>
        <v>15.7783</v>
      </c>
      <c r="C931" s="8">
        <f>15.7886 * CHOOSE(CONTROL!$C$12, $D$4, 100%, $F$4)</f>
        <v>15.788600000000001</v>
      </c>
      <c r="D931" s="8">
        <f>15.7836 * CHOOSE( CONTROL!$C$12, $D$4, 100%, $F$4)</f>
        <v>15.7836</v>
      </c>
      <c r="E931" s="12">
        <f>15.7842 * CHOOSE( CONTROL!$C$12, $D$4, 100%, $F$4)</f>
        <v>15.7842</v>
      </c>
      <c r="F931" s="4">
        <f>16.7692 * CHOOSE(CONTROL!$C$12, $D$4, 100%, $F$4)</f>
        <v>16.769200000000001</v>
      </c>
      <c r="G931" s="8">
        <f>15.5475 * CHOOSE( CONTROL!$C$12, $D$4, 100%, $F$4)</f>
        <v>15.547499999999999</v>
      </c>
      <c r="H931" s="4">
        <f>16.4478 * CHOOSE(CONTROL!$C$12, $D$4, 100%, $F$4)</f>
        <v>16.447800000000001</v>
      </c>
      <c r="I931" s="8">
        <f>15.3728 * CHOOSE(CONTROL!$C$12, $D$4, 100%, $F$4)</f>
        <v>15.3728</v>
      </c>
      <c r="J931" s="4">
        <f>15.2882 * CHOOSE(CONTROL!$C$12, $D$4, 100%, $F$4)</f>
        <v>15.2882</v>
      </c>
      <c r="K931" s="4"/>
      <c r="L931" s="9">
        <v>28.921800000000001</v>
      </c>
      <c r="M931" s="9">
        <v>12.063700000000001</v>
      </c>
      <c r="N931" s="9">
        <v>4.9444999999999997</v>
      </c>
      <c r="O931" s="9">
        <v>0.37459999999999999</v>
      </c>
      <c r="P931" s="9">
        <v>1.2192000000000001</v>
      </c>
      <c r="Q931" s="9">
        <v>19.688099999999999</v>
      </c>
      <c r="R931" s="9"/>
      <c r="S931" s="11"/>
    </row>
    <row r="932" spans="1:19" ht="15.6">
      <c r="A932" s="13">
        <v>70463</v>
      </c>
      <c r="B932" s="8">
        <f>17.0169 * CHOOSE(CONTROL!$C$12, $D$4, 100%, $F$4)</f>
        <v>17.0169</v>
      </c>
      <c r="C932" s="8">
        <f>17.0272 * CHOOSE(CONTROL!$C$12, $D$4, 100%, $F$4)</f>
        <v>17.027200000000001</v>
      </c>
      <c r="D932" s="8">
        <f>16.9866 * CHOOSE( CONTROL!$C$12, $D$4, 100%, $F$4)</f>
        <v>16.986599999999999</v>
      </c>
      <c r="E932" s="12">
        <f>17.0003 * CHOOSE( CONTROL!$C$12, $D$4, 100%, $F$4)</f>
        <v>17.000299999999999</v>
      </c>
      <c r="F932" s="4">
        <f>17.9939 * CHOOSE(CONTROL!$C$12, $D$4, 100%, $F$4)</f>
        <v>17.9939</v>
      </c>
      <c r="G932" s="8">
        <f>16.7625 * CHOOSE( CONTROL!$C$12, $D$4, 100%, $F$4)</f>
        <v>16.762499999999999</v>
      </c>
      <c r="H932" s="4">
        <f>17.655 * CHOOSE(CONTROL!$C$12, $D$4, 100%, $F$4)</f>
        <v>17.655000000000001</v>
      </c>
      <c r="I932" s="8">
        <f>16.5579 * CHOOSE(CONTROL!$C$12, $D$4, 100%, $F$4)</f>
        <v>16.5579</v>
      </c>
      <c r="J932" s="4">
        <f>16.4884 * CHOOSE(CONTROL!$C$12, $D$4, 100%, $F$4)</f>
        <v>16.488399999999999</v>
      </c>
      <c r="K932" s="4"/>
      <c r="L932" s="9">
        <v>26.515499999999999</v>
      </c>
      <c r="M932" s="9">
        <v>11.6745</v>
      </c>
      <c r="N932" s="9">
        <v>4.7850000000000001</v>
      </c>
      <c r="O932" s="9">
        <v>0.36249999999999999</v>
      </c>
      <c r="P932" s="9">
        <v>1.2522</v>
      </c>
      <c r="Q932" s="9">
        <v>19.053000000000001</v>
      </c>
      <c r="R932" s="9"/>
      <c r="S932" s="11"/>
    </row>
    <row r="933" spans="1:19" ht="15.6">
      <c r="A933" s="13">
        <v>70494</v>
      </c>
      <c r="B933" s="8">
        <f>16.986 * CHOOSE(CONTROL!$C$12, $D$4, 100%, $F$4)</f>
        <v>16.986000000000001</v>
      </c>
      <c r="C933" s="8">
        <f>16.9963 * CHOOSE(CONTROL!$C$12, $D$4, 100%, $F$4)</f>
        <v>16.996300000000002</v>
      </c>
      <c r="D933" s="8">
        <f>16.9575 * CHOOSE( CONTROL!$C$12, $D$4, 100%, $F$4)</f>
        <v>16.9575</v>
      </c>
      <c r="E933" s="12">
        <f>16.9706 * CHOOSE( CONTROL!$C$12, $D$4, 100%, $F$4)</f>
        <v>16.970600000000001</v>
      </c>
      <c r="F933" s="4">
        <f>17.9563 * CHOOSE(CONTROL!$C$12, $D$4, 100%, $F$4)</f>
        <v>17.956299999999999</v>
      </c>
      <c r="G933" s="8">
        <f>16.7343 * CHOOSE( CONTROL!$C$12, $D$4, 100%, $F$4)</f>
        <v>16.734300000000001</v>
      </c>
      <c r="H933" s="4">
        <f>17.6179 * CHOOSE(CONTROL!$C$12, $D$4, 100%, $F$4)</f>
        <v>17.617899999999999</v>
      </c>
      <c r="I933" s="8">
        <f>16.5387 * CHOOSE(CONTROL!$C$12, $D$4, 100%, $F$4)</f>
        <v>16.538699999999999</v>
      </c>
      <c r="J933" s="4">
        <f>16.4585 * CHOOSE(CONTROL!$C$12, $D$4, 100%, $F$4)</f>
        <v>16.458500000000001</v>
      </c>
      <c r="K933" s="4"/>
      <c r="L933" s="9">
        <v>27.3993</v>
      </c>
      <c r="M933" s="9">
        <v>12.063700000000001</v>
      </c>
      <c r="N933" s="9">
        <v>4.9444999999999997</v>
      </c>
      <c r="O933" s="9">
        <v>0.37459999999999999</v>
      </c>
      <c r="P933" s="9">
        <v>1.2939000000000001</v>
      </c>
      <c r="Q933" s="9">
        <v>19.688099999999999</v>
      </c>
      <c r="R933" s="9"/>
      <c r="S933" s="11"/>
    </row>
    <row r="934" spans="1:19" ht="15.6">
      <c r="A934" s="13">
        <v>70525</v>
      </c>
      <c r="B934" s="8">
        <f>17.3823 * CHOOSE(CONTROL!$C$12, $D$4, 100%, $F$4)</f>
        <v>17.382300000000001</v>
      </c>
      <c r="C934" s="8">
        <f>17.3927 * CHOOSE(CONTROL!$C$12, $D$4, 100%, $F$4)</f>
        <v>17.392700000000001</v>
      </c>
      <c r="D934" s="8">
        <f>17.3925 * CHOOSE( CONTROL!$C$12, $D$4, 100%, $F$4)</f>
        <v>17.392499999999998</v>
      </c>
      <c r="E934" s="12">
        <f>17.3915 * CHOOSE( CONTROL!$C$12, $D$4, 100%, $F$4)</f>
        <v>17.391500000000001</v>
      </c>
      <c r="F934" s="4">
        <f>18.4043 * CHOOSE(CONTROL!$C$12, $D$4, 100%, $F$4)</f>
        <v>18.404299999999999</v>
      </c>
      <c r="G934" s="8">
        <f>17.166 * CHOOSE( CONTROL!$C$12, $D$4, 100%, $F$4)</f>
        <v>17.166</v>
      </c>
      <c r="H934" s="4">
        <f>18.0595 * CHOOSE(CONTROL!$C$12, $D$4, 100%, $F$4)</f>
        <v>18.0595</v>
      </c>
      <c r="I934" s="8">
        <f>16.9595 * CHOOSE(CONTROL!$C$12, $D$4, 100%, $F$4)</f>
        <v>16.959499999999998</v>
      </c>
      <c r="J934" s="4">
        <f>16.8425 * CHOOSE(CONTROL!$C$12, $D$4, 100%, $F$4)</f>
        <v>16.842500000000001</v>
      </c>
      <c r="K934" s="4"/>
      <c r="L934" s="9">
        <v>27.3993</v>
      </c>
      <c r="M934" s="9">
        <v>12.063700000000001</v>
      </c>
      <c r="N934" s="9">
        <v>4.9444999999999997</v>
      </c>
      <c r="O934" s="9">
        <v>0.37459999999999999</v>
      </c>
      <c r="P934" s="9">
        <v>1.2939000000000001</v>
      </c>
      <c r="Q934" s="9">
        <v>19.688099999999999</v>
      </c>
      <c r="R934" s="9"/>
      <c r="S934" s="11"/>
    </row>
    <row r="935" spans="1:19" ht="15.6">
      <c r="A935" s="13">
        <v>70553</v>
      </c>
      <c r="B935" s="8">
        <f>16.2587 * CHOOSE(CONTROL!$C$12, $D$4, 100%, $F$4)</f>
        <v>16.258700000000001</v>
      </c>
      <c r="C935" s="8">
        <f>16.269 * CHOOSE(CONTROL!$C$12, $D$4, 100%, $F$4)</f>
        <v>16.268999999999998</v>
      </c>
      <c r="D935" s="8">
        <f>16.2711 * CHOOSE( CONTROL!$C$12, $D$4, 100%, $F$4)</f>
        <v>16.271100000000001</v>
      </c>
      <c r="E935" s="12">
        <f>16.2692 * CHOOSE( CONTROL!$C$12, $D$4, 100%, $F$4)</f>
        <v>16.269200000000001</v>
      </c>
      <c r="F935" s="4">
        <f>17.2728 * CHOOSE(CONTROL!$C$12, $D$4, 100%, $F$4)</f>
        <v>17.2728</v>
      </c>
      <c r="G935" s="8">
        <f>16.0582 * CHOOSE( CONTROL!$C$12, $D$4, 100%, $F$4)</f>
        <v>16.058199999999999</v>
      </c>
      <c r="H935" s="4">
        <f>16.9442 * CHOOSE(CONTROL!$C$12, $D$4, 100%, $F$4)</f>
        <v>16.944199999999999</v>
      </c>
      <c r="I935" s="8">
        <f>15.8592 * CHOOSE(CONTROL!$C$12, $D$4, 100%, $F$4)</f>
        <v>15.8592</v>
      </c>
      <c r="J935" s="4">
        <f>15.7537 * CHOOSE(CONTROL!$C$12, $D$4, 100%, $F$4)</f>
        <v>15.7537</v>
      </c>
      <c r="K935" s="4"/>
      <c r="L935" s="9">
        <v>24.747800000000002</v>
      </c>
      <c r="M935" s="9">
        <v>10.8962</v>
      </c>
      <c r="N935" s="9">
        <v>4.4660000000000002</v>
      </c>
      <c r="O935" s="9">
        <v>0.33829999999999999</v>
      </c>
      <c r="P935" s="9">
        <v>1.1687000000000001</v>
      </c>
      <c r="Q935" s="9">
        <v>17.782800000000002</v>
      </c>
      <c r="R935" s="9"/>
      <c r="S935" s="11"/>
    </row>
    <row r="936" spans="1:19" ht="15.6">
      <c r="A936" s="13">
        <v>70584</v>
      </c>
      <c r="B936" s="8">
        <f>15.9126 * CHOOSE(CONTROL!$C$12, $D$4, 100%, $F$4)</f>
        <v>15.912599999999999</v>
      </c>
      <c r="C936" s="8">
        <f>15.9229 * CHOOSE(CONTROL!$C$12, $D$4, 100%, $F$4)</f>
        <v>15.9229</v>
      </c>
      <c r="D936" s="8">
        <f>15.9051 * CHOOSE( CONTROL!$C$12, $D$4, 100%, $F$4)</f>
        <v>15.905099999999999</v>
      </c>
      <c r="E936" s="12">
        <f>15.9105 * CHOOSE( CONTROL!$C$12, $D$4, 100%, $F$4)</f>
        <v>15.910500000000001</v>
      </c>
      <c r="F936" s="4">
        <f>16.9108 * CHOOSE(CONTROL!$C$12, $D$4, 100%, $F$4)</f>
        <v>16.910799999999998</v>
      </c>
      <c r="G936" s="8">
        <f>15.6966 * CHOOSE( CONTROL!$C$12, $D$4, 100%, $F$4)</f>
        <v>15.6966</v>
      </c>
      <c r="H936" s="4">
        <f>16.5873 * CHOOSE(CONTROL!$C$12, $D$4, 100%, $F$4)</f>
        <v>16.587299999999999</v>
      </c>
      <c r="I936" s="8">
        <f>15.4842 * CHOOSE(CONTROL!$C$12, $D$4, 100%, $F$4)</f>
        <v>15.4842</v>
      </c>
      <c r="J936" s="4">
        <f>15.4183 * CHOOSE(CONTROL!$C$12, $D$4, 100%, $F$4)</f>
        <v>15.4183</v>
      </c>
      <c r="K936" s="4"/>
      <c r="L936" s="9">
        <v>27.3993</v>
      </c>
      <c r="M936" s="9">
        <v>12.063700000000001</v>
      </c>
      <c r="N936" s="9">
        <v>4.9444999999999997</v>
      </c>
      <c r="O936" s="9">
        <v>0.37459999999999999</v>
      </c>
      <c r="P936" s="9">
        <v>1.2939000000000001</v>
      </c>
      <c r="Q936" s="9">
        <v>19.688099999999999</v>
      </c>
      <c r="R936" s="9"/>
      <c r="S936" s="11"/>
    </row>
    <row r="937" spans="1:19" ht="15.6">
      <c r="A937" s="13">
        <v>70614</v>
      </c>
      <c r="B937" s="8">
        <f>16.1544 * CHOOSE(CONTROL!$C$12, $D$4, 100%, $F$4)</f>
        <v>16.154399999999999</v>
      </c>
      <c r="C937" s="8">
        <f>16.1647 * CHOOSE(CONTROL!$C$12, $D$4, 100%, $F$4)</f>
        <v>16.1647</v>
      </c>
      <c r="D937" s="8">
        <f>16.1698 * CHOOSE( CONTROL!$C$12, $D$4, 100%, $F$4)</f>
        <v>16.169799999999999</v>
      </c>
      <c r="E937" s="12">
        <f>16.1669 * CHOOSE( CONTROL!$C$12, $D$4, 100%, $F$4)</f>
        <v>16.166899999999998</v>
      </c>
      <c r="F937" s="4">
        <f>17.1609 * CHOOSE(CONTROL!$C$12, $D$4, 100%, $F$4)</f>
        <v>17.160900000000002</v>
      </c>
      <c r="G937" s="8">
        <f>15.9229 * CHOOSE( CONTROL!$C$12, $D$4, 100%, $F$4)</f>
        <v>15.9229</v>
      </c>
      <c r="H937" s="4">
        <f>16.8338 * CHOOSE(CONTROL!$C$12, $D$4, 100%, $F$4)</f>
        <v>16.8338</v>
      </c>
      <c r="I937" s="8">
        <f>15.7087 * CHOOSE(CONTROL!$C$12, $D$4, 100%, $F$4)</f>
        <v>15.7087</v>
      </c>
      <c r="J937" s="4">
        <f>15.6527 * CHOOSE(CONTROL!$C$12, $D$4, 100%, $F$4)</f>
        <v>15.652699999999999</v>
      </c>
      <c r="K937" s="4"/>
      <c r="L937" s="9">
        <v>27.988800000000001</v>
      </c>
      <c r="M937" s="9">
        <v>11.6745</v>
      </c>
      <c r="N937" s="9">
        <v>4.7850000000000001</v>
      </c>
      <c r="O937" s="9">
        <v>0.36249999999999999</v>
      </c>
      <c r="P937" s="9">
        <v>1.1798</v>
      </c>
      <c r="Q937" s="9">
        <v>19.053000000000001</v>
      </c>
      <c r="R937" s="9"/>
      <c r="S937" s="11"/>
    </row>
    <row r="938" spans="1:19" ht="15.6">
      <c r="A938" s="13">
        <v>70645</v>
      </c>
      <c r="B938" s="8">
        <f>CHOOSE( CONTROL!$C$29, 16.5917, 16.5848) * CHOOSE(CONTROL!$C$12, $D$4, 100%, $F$4)</f>
        <v>16.584800000000001</v>
      </c>
      <c r="C938" s="8">
        <f>CHOOSE( CONTROL!$C$29, 16.602, 16.5952) * CHOOSE(CONTROL!$C$12, $D$4, 100%, $F$4)</f>
        <v>16.595199999999998</v>
      </c>
      <c r="D938" s="8">
        <f>CHOOSE( CONTROL!$C$29, 16.5822, 16.5754) * CHOOSE( CONTROL!$C$12, $D$4, 100%, $F$4)</f>
        <v>16.575399999999998</v>
      </c>
      <c r="E938" s="12">
        <f>CHOOSE( CONTROL!$C$29, 16.5878, 16.581) * CHOOSE( CONTROL!$C$12, $D$4, 100%, $F$4)</f>
        <v>16.581</v>
      </c>
      <c r="F938" s="4">
        <f>CHOOSE( CONTROL!$C$29, 17.5661, 17.5593) * CHOOSE(CONTROL!$C$12, $D$4, 100%, $F$4)</f>
        <v>17.5593</v>
      </c>
      <c r="G938" s="8">
        <f>CHOOSE( CONTROL!$C$29, 16.3357, 16.3289) * CHOOSE( CONTROL!$C$12, $D$4, 100%, $F$4)</f>
        <v>16.328900000000001</v>
      </c>
      <c r="H938" s="4">
        <f>CHOOSE( CONTROL!$C$29, 17.2333, 17.2266) * CHOOSE(CONTROL!$C$12, $D$4, 100%, $F$4)</f>
        <v>17.226600000000001</v>
      </c>
      <c r="I938" s="8">
        <f>CHOOSE( CONTROL!$C$29, 16.1111, 16.1045) * CHOOSE(CONTROL!$C$12, $D$4, 100%, $F$4)</f>
        <v>16.104500000000002</v>
      </c>
      <c r="J938" s="4">
        <f>CHOOSE( CONTROL!$C$29, 16.0764, 16.0698) * CHOOSE(CONTROL!$C$12, $D$4, 100%, $F$4)</f>
        <v>16.069800000000001</v>
      </c>
      <c r="K938" s="4"/>
      <c r="L938" s="9">
        <v>29.520499999999998</v>
      </c>
      <c r="M938" s="9">
        <v>12.063700000000001</v>
      </c>
      <c r="N938" s="9">
        <v>4.9444999999999997</v>
      </c>
      <c r="O938" s="9">
        <v>0.37459999999999999</v>
      </c>
      <c r="P938" s="9">
        <v>1.2192000000000001</v>
      </c>
      <c r="Q938" s="9">
        <v>19.688099999999999</v>
      </c>
      <c r="R938" s="9"/>
      <c r="S938" s="11"/>
    </row>
    <row r="939" spans="1:19" ht="15.6">
      <c r="A939" s="13">
        <v>70675</v>
      </c>
      <c r="B939" s="8">
        <f>CHOOSE( CONTROL!$C$29, 16.325, 16.3182) * CHOOSE(CONTROL!$C$12, $D$4, 100%, $F$4)</f>
        <v>16.318200000000001</v>
      </c>
      <c r="C939" s="8">
        <f>CHOOSE( CONTROL!$C$29, 16.3354, 16.3285) * CHOOSE(CONTROL!$C$12, $D$4, 100%, $F$4)</f>
        <v>16.328499999999998</v>
      </c>
      <c r="D939" s="8">
        <f>CHOOSE( CONTROL!$C$29, 16.3101, 16.3032) * CHOOSE( CONTROL!$C$12, $D$4, 100%, $F$4)</f>
        <v>16.3032</v>
      </c>
      <c r="E939" s="12">
        <f>CHOOSE( CONTROL!$C$29, 16.3177, 16.3108) * CHOOSE( CONTROL!$C$12, $D$4, 100%, $F$4)</f>
        <v>16.3108</v>
      </c>
      <c r="F939" s="4">
        <f>CHOOSE( CONTROL!$C$29, 17.2892, 17.2823) * CHOOSE(CONTROL!$C$12, $D$4, 100%, $F$4)</f>
        <v>17.282299999999999</v>
      </c>
      <c r="G939" s="8">
        <f>CHOOSE( CONTROL!$C$29, 16.0716, 16.0648) * CHOOSE( CONTROL!$C$12, $D$4, 100%, $F$4)</f>
        <v>16.064800000000002</v>
      </c>
      <c r="H939" s="4">
        <f>CHOOSE( CONTROL!$C$29, 16.9603, 16.9536) * CHOOSE(CONTROL!$C$12, $D$4, 100%, $F$4)</f>
        <v>16.953600000000002</v>
      </c>
      <c r="I939" s="8">
        <f>CHOOSE( CONTROL!$C$29, 15.8548, 15.8482) * CHOOSE(CONTROL!$C$12, $D$4, 100%, $F$4)</f>
        <v>15.8482</v>
      </c>
      <c r="J939" s="4">
        <f>CHOOSE( CONTROL!$C$29, 15.818, 15.8114) * CHOOSE(CONTROL!$C$12, $D$4, 100%, $F$4)</f>
        <v>15.811400000000001</v>
      </c>
      <c r="K939" s="4"/>
      <c r="L939" s="9">
        <v>28.568200000000001</v>
      </c>
      <c r="M939" s="9">
        <v>11.6745</v>
      </c>
      <c r="N939" s="9">
        <v>4.7850000000000001</v>
      </c>
      <c r="O939" s="9">
        <v>0.36249999999999999</v>
      </c>
      <c r="P939" s="9">
        <v>1.1798</v>
      </c>
      <c r="Q939" s="9">
        <v>19.053000000000001</v>
      </c>
      <c r="R939" s="9"/>
      <c r="S939" s="11"/>
    </row>
    <row r="940" spans="1:19" ht="15.6">
      <c r="A940" s="13">
        <v>70706</v>
      </c>
      <c r="B940" s="8">
        <f>CHOOSE( CONTROL!$C$29, 17.0272, 17.0203) * CHOOSE(CONTROL!$C$12, $D$4, 100%, $F$4)</f>
        <v>17.020299999999999</v>
      </c>
      <c r="C940" s="8">
        <f>CHOOSE( CONTROL!$C$29, 17.0375, 17.0307) * CHOOSE(CONTROL!$C$12, $D$4, 100%, $F$4)</f>
        <v>17.0307</v>
      </c>
      <c r="D940" s="8">
        <f>CHOOSE( CONTROL!$C$29, 17.0456, 17.0388) * CHOOSE( CONTROL!$C$12, $D$4, 100%, $F$4)</f>
        <v>17.038799999999998</v>
      </c>
      <c r="E940" s="12">
        <f>CHOOSE( CONTROL!$C$29, 17.0411, 17.0343) * CHOOSE( CONTROL!$C$12, $D$4, 100%, $F$4)</f>
        <v>17.034300000000002</v>
      </c>
      <c r="F940" s="4">
        <f>CHOOSE( CONTROL!$C$29, 18.0362, 18.0294) * CHOOSE(CONTROL!$C$12, $D$4, 100%, $F$4)</f>
        <v>18.029399999999999</v>
      </c>
      <c r="G940" s="8">
        <f>CHOOSE( CONTROL!$C$29, 16.7897, 16.783) * CHOOSE( CONTROL!$C$12, $D$4, 100%, $F$4)</f>
        <v>16.783000000000001</v>
      </c>
      <c r="H940" s="4">
        <f>CHOOSE( CONTROL!$C$29, 17.6967, 17.6899) * CHOOSE(CONTROL!$C$12, $D$4, 100%, $F$4)</f>
        <v>17.689900000000002</v>
      </c>
      <c r="I940" s="8">
        <f>CHOOSE( CONTROL!$C$29, 16.5908, 16.5842) * CHOOSE(CONTROL!$C$12, $D$4, 100%, $F$4)</f>
        <v>16.584199999999999</v>
      </c>
      <c r="J940" s="4">
        <f>CHOOSE( CONTROL!$C$29, 16.4984, 16.4918) * CHOOSE(CONTROL!$C$12, $D$4, 100%, $F$4)</f>
        <v>16.491800000000001</v>
      </c>
      <c r="K940" s="4"/>
      <c r="L940" s="9">
        <v>29.520499999999998</v>
      </c>
      <c r="M940" s="9">
        <v>12.063700000000001</v>
      </c>
      <c r="N940" s="9">
        <v>4.9444999999999997</v>
      </c>
      <c r="O940" s="9">
        <v>0.37459999999999999</v>
      </c>
      <c r="P940" s="9">
        <v>1.2192000000000001</v>
      </c>
      <c r="Q940" s="9">
        <v>19.688099999999999</v>
      </c>
      <c r="R940" s="9"/>
      <c r="S940" s="11"/>
    </row>
    <row r="941" spans="1:19" ht="15.6">
      <c r="A941" s="13">
        <v>70737</v>
      </c>
      <c r="B941" s="8">
        <f>CHOOSE( CONTROL!$C$29, 15.7134, 15.7066) * CHOOSE(CONTROL!$C$12, $D$4, 100%, $F$4)</f>
        <v>15.7066</v>
      </c>
      <c r="C941" s="8">
        <f>CHOOSE( CONTROL!$C$29, 15.7237, 15.7169) * CHOOSE(CONTROL!$C$12, $D$4, 100%, $F$4)</f>
        <v>15.716900000000001</v>
      </c>
      <c r="D941" s="8">
        <f>CHOOSE( CONTROL!$C$29, 15.7252, 15.7184) * CHOOSE( CONTROL!$C$12, $D$4, 100%, $F$4)</f>
        <v>15.718400000000001</v>
      </c>
      <c r="E941" s="12">
        <f>CHOOSE( CONTROL!$C$29, 15.7231, 15.7163) * CHOOSE( CONTROL!$C$12, $D$4, 100%, $F$4)</f>
        <v>15.7163</v>
      </c>
      <c r="F941" s="4">
        <f>CHOOSE( CONTROL!$C$29, 16.7198, 16.713) * CHOOSE(CONTROL!$C$12, $D$4, 100%, $F$4)</f>
        <v>16.713000000000001</v>
      </c>
      <c r="G941" s="8">
        <f>CHOOSE( CONTROL!$C$29, 15.4848, 15.478) * CHOOSE( CONTROL!$C$12, $D$4, 100%, $F$4)</f>
        <v>15.478</v>
      </c>
      <c r="H941" s="4">
        <f>CHOOSE( CONTROL!$C$29, 16.3991, 16.3923) * CHOOSE(CONTROL!$C$12, $D$4, 100%, $F$4)</f>
        <v>16.392299999999999</v>
      </c>
      <c r="I941" s="8">
        <f>CHOOSE( CONTROL!$C$29, 15.2982, 15.2916) * CHOOSE(CONTROL!$C$12, $D$4, 100%, $F$4)</f>
        <v>15.291600000000001</v>
      </c>
      <c r="J941" s="4">
        <f>CHOOSE( CONTROL!$C$29, 15.2253, 15.2187) * CHOOSE(CONTROL!$C$12, $D$4, 100%, $F$4)</f>
        <v>15.2187</v>
      </c>
      <c r="K941" s="4"/>
      <c r="L941" s="9">
        <v>29.520499999999998</v>
      </c>
      <c r="M941" s="9">
        <v>12.063700000000001</v>
      </c>
      <c r="N941" s="9">
        <v>4.9444999999999997</v>
      </c>
      <c r="O941" s="9">
        <v>0.37459999999999999</v>
      </c>
      <c r="P941" s="9">
        <v>1.2192000000000001</v>
      </c>
      <c r="Q941" s="9">
        <v>19.688099999999999</v>
      </c>
      <c r="R941" s="9"/>
      <c r="S941" s="11"/>
    </row>
    <row r="942" spans="1:19" ht="15.6">
      <c r="A942" s="13">
        <v>70767</v>
      </c>
      <c r="B942" s="8">
        <f>CHOOSE( CONTROL!$C$29, 15.3844, 15.3776) * CHOOSE(CONTROL!$C$12, $D$4, 100%, $F$4)</f>
        <v>15.377599999999999</v>
      </c>
      <c r="C942" s="8">
        <f>CHOOSE( CONTROL!$C$29, 15.3947, 15.3879) * CHOOSE(CONTROL!$C$12, $D$4, 100%, $F$4)</f>
        <v>15.3879</v>
      </c>
      <c r="D942" s="8">
        <f>CHOOSE( CONTROL!$C$29, 15.3994, 15.3926) * CHOOSE( CONTROL!$C$12, $D$4, 100%, $F$4)</f>
        <v>15.3926</v>
      </c>
      <c r="E942" s="12">
        <f>CHOOSE( CONTROL!$C$29, 15.3961, 15.3893) * CHOOSE( CONTROL!$C$12, $D$4, 100%, $F$4)</f>
        <v>15.3893</v>
      </c>
      <c r="F942" s="4">
        <f>CHOOSE( CONTROL!$C$29, 16.396, 16.3892) * CHOOSE(CONTROL!$C$12, $D$4, 100%, $F$4)</f>
        <v>16.389199999999999</v>
      </c>
      <c r="G942" s="8">
        <f>CHOOSE( CONTROL!$C$29, 15.1625, 15.1558) * CHOOSE( CONTROL!$C$12, $D$4, 100%, $F$4)</f>
        <v>15.155799999999999</v>
      </c>
      <c r="H942" s="4">
        <f>CHOOSE( CONTROL!$C$29, 16.0799, 16.0731) * CHOOSE(CONTROL!$C$12, $D$4, 100%, $F$4)</f>
        <v>16.0731</v>
      </c>
      <c r="I942" s="8">
        <f>CHOOSE( CONTROL!$C$29, 14.9871, 14.9804) * CHOOSE(CONTROL!$C$12, $D$4, 100%, $F$4)</f>
        <v>14.980399999999999</v>
      </c>
      <c r="J942" s="4">
        <f>CHOOSE( CONTROL!$C$29, 14.9066, 14.8999) * CHOOSE(CONTROL!$C$12, $D$4, 100%, $F$4)</f>
        <v>14.899900000000001</v>
      </c>
      <c r="K942" s="4"/>
      <c r="L942" s="9">
        <v>28.568200000000001</v>
      </c>
      <c r="M942" s="9">
        <v>11.6745</v>
      </c>
      <c r="N942" s="9">
        <v>4.7850000000000001</v>
      </c>
      <c r="O942" s="9">
        <v>0.36249999999999999</v>
      </c>
      <c r="P942" s="9">
        <v>1.1798</v>
      </c>
      <c r="Q942" s="9">
        <v>19.053000000000001</v>
      </c>
      <c r="R942" s="9"/>
      <c r="S942" s="11"/>
    </row>
    <row r="943" spans="1:19" ht="15.6">
      <c r="A943" s="13">
        <v>70798</v>
      </c>
      <c r="B943" s="8">
        <f>16.0607 * CHOOSE(CONTROL!$C$12, $D$4, 100%, $F$4)</f>
        <v>16.060700000000001</v>
      </c>
      <c r="C943" s="8">
        <f>16.071 * CHOOSE(CONTROL!$C$12, $D$4, 100%, $F$4)</f>
        <v>16.071000000000002</v>
      </c>
      <c r="D943" s="8">
        <f>16.066 * CHOOSE( CONTROL!$C$12, $D$4, 100%, $F$4)</f>
        <v>16.065999999999999</v>
      </c>
      <c r="E943" s="12">
        <f>16.0666 * CHOOSE( CONTROL!$C$12, $D$4, 100%, $F$4)</f>
        <v>16.066600000000001</v>
      </c>
      <c r="F943" s="4">
        <f>17.0516 * CHOOSE(CONTROL!$C$12, $D$4, 100%, $F$4)</f>
        <v>17.051600000000001</v>
      </c>
      <c r="G943" s="8">
        <f>15.8259 * CHOOSE( CONTROL!$C$12, $D$4, 100%, $F$4)</f>
        <v>15.825900000000001</v>
      </c>
      <c r="H943" s="4">
        <f>16.7261 * CHOOSE(CONTROL!$C$12, $D$4, 100%, $F$4)</f>
        <v>16.726099999999999</v>
      </c>
      <c r="I943" s="8">
        <f>15.6465 * CHOOSE(CONTROL!$C$12, $D$4, 100%, $F$4)</f>
        <v>15.6465</v>
      </c>
      <c r="J943" s="4">
        <f>15.5618 * CHOOSE(CONTROL!$C$12, $D$4, 100%, $F$4)</f>
        <v>15.5618</v>
      </c>
      <c r="K943" s="4"/>
      <c r="L943" s="9">
        <v>28.921800000000001</v>
      </c>
      <c r="M943" s="9">
        <v>12.063700000000001</v>
      </c>
      <c r="N943" s="9">
        <v>4.9444999999999997</v>
      </c>
      <c r="O943" s="9">
        <v>0.37459999999999999</v>
      </c>
      <c r="P943" s="9">
        <v>1.2192000000000001</v>
      </c>
      <c r="Q943" s="9">
        <v>19.688099999999999</v>
      </c>
      <c r="R943" s="9"/>
      <c r="S943" s="11"/>
    </row>
    <row r="944" spans="1:19" ht="15.6">
      <c r="A944" s="13">
        <v>70828</v>
      </c>
      <c r="B944" s="8">
        <f>17.3215 * CHOOSE(CONTROL!$C$12, $D$4, 100%, $F$4)</f>
        <v>17.3215</v>
      </c>
      <c r="C944" s="8">
        <f>17.3318 * CHOOSE(CONTROL!$C$12, $D$4, 100%, $F$4)</f>
        <v>17.331800000000001</v>
      </c>
      <c r="D944" s="8">
        <f>17.2911 * CHOOSE( CONTROL!$C$12, $D$4, 100%, $F$4)</f>
        <v>17.2911</v>
      </c>
      <c r="E944" s="12">
        <f>17.3049 * CHOOSE( CONTROL!$C$12, $D$4, 100%, $F$4)</f>
        <v>17.3049</v>
      </c>
      <c r="F944" s="4">
        <f>18.2985 * CHOOSE(CONTROL!$C$12, $D$4, 100%, $F$4)</f>
        <v>18.298500000000001</v>
      </c>
      <c r="G944" s="8">
        <f>17.0627 * CHOOSE( CONTROL!$C$12, $D$4, 100%, $F$4)</f>
        <v>17.0627</v>
      </c>
      <c r="H944" s="4">
        <f>17.9553 * CHOOSE(CONTROL!$C$12, $D$4, 100%, $F$4)</f>
        <v>17.955300000000001</v>
      </c>
      <c r="I944" s="8">
        <f>16.8532 * CHOOSE(CONTROL!$C$12, $D$4, 100%, $F$4)</f>
        <v>16.853200000000001</v>
      </c>
      <c r="J944" s="4">
        <f>16.7836 * CHOOSE(CONTROL!$C$12, $D$4, 100%, $F$4)</f>
        <v>16.7836</v>
      </c>
      <c r="K944" s="4"/>
      <c r="L944" s="9">
        <v>26.515499999999999</v>
      </c>
      <c r="M944" s="9">
        <v>11.6745</v>
      </c>
      <c r="N944" s="9">
        <v>4.7850000000000001</v>
      </c>
      <c r="O944" s="9">
        <v>0.36249999999999999</v>
      </c>
      <c r="P944" s="9">
        <v>1.2522</v>
      </c>
      <c r="Q944" s="9">
        <v>19.053000000000001</v>
      </c>
      <c r="R944" s="9"/>
      <c r="S944" s="11"/>
    </row>
    <row r="945" spans="1:19" ht="15.6">
      <c r="A945" s="13">
        <v>70859</v>
      </c>
      <c r="B945" s="8">
        <f>17.29 * CHOOSE(CONTROL!$C$12, $D$4, 100%, $F$4)</f>
        <v>17.29</v>
      </c>
      <c r="C945" s="8">
        <f>17.3003 * CHOOSE(CONTROL!$C$12, $D$4, 100%, $F$4)</f>
        <v>17.3003</v>
      </c>
      <c r="D945" s="8">
        <f>17.2615 * CHOOSE( CONTROL!$C$12, $D$4, 100%, $F$4)</f>
        <v>17.261500000000002</v>
      </c>
      <c r="E945" s="12">
        <f>17.2746 * CHOOSE( CONTROL!$C$12, $D$4, 100%, $F$4)</f>
        <v>17.2746</v>
      </c>
      <c r="F945" s="4">
        <f>18.2603 * CHOOSE(CONTROL!$C$12, $D$4, 100%, $F$4)</f>
        <v>18.260300000000001</v>
      </c>
      <c r="G945" s="8">
        <f>17.034 * CHOOSE( CONTROL!$C$12, $D$4, 100%, $F$4)</f>
        <v>17.033999999999999</v>
      </c>
      <c r="H945" s="4">
        <f>17.9176 * CHOOSE(CONTROL!$C$12, $D$4, 100%, $F$4)</f>
        <v>17.9176</v>
      </c>
      <c r="I945" s="8">
        <f>16.8334 * CHOOSE(CONTROL!$C$12, $D$4, 100%, $F$4)</f>
        <v>16.833400000000001</v>
      </c>
      <c r="J945" s="4">
        <f>16.7531 * CHOOSE(CONTROL!$C$12, $D$4, 100%, $F$4)</f>
        <v>16.7531</v>
      </c>
      <c r="K945" s="4"/>
      <c r="L945" s="9">
        <v>27.3993</v>
      </c>
      <c r="M945" s="9">
        <v>12.063700000000001</v>
      </c>
      <c r="N945" s="9">
        <v>4.9444999999999997</v>
      </c>
      <c r="O945" s="9">
        <v>0.37459999999999999</v>
      </c>
      <c r="P945" s="9">
        <v>1.2939000000000001</v>
      </c>
      <c r="Q945" s="9">
        <v>19.688099999999999</v>
      </c>
      <c r="R945" s="9"/>
      <c r="S945" s="11"/>
    </row>
    <row r="946" spans="1:19" ht="15.6">
      <c r="A946" s="13">
        <v>70890</v>
      </c>
      <c r="B946" s="8">
        <f>17.6935 * CHOOSE(CONTROL!$C$12, $D$4, 100%, $F$4)</f>
        <v>17.6935</v>
      </c>
      <c r="C946" s="8">
        <f>17.7038 * CHOOSE(CONTROL!$C$12, $D$4, 100%, $F$4)</f>
        <v>17.703800000000001</v>
      </c>
      <c r="D946" s="8">
        <f>17.7036 * CHOOSE( CONTROL!$C$12, $D$4, 100%, $F$4)</f>
        <v>17.703600000000002</v>
      </c>
      <c r="E946" s="12">
        <f>17.7026 * CHOOSE( CONTROL!$C$12, $D$4, 100%, $F$4)</f>
        <v>17.7026</v>
      </c>
      <c r="F946" s="4">
        <f>18.7154 * CHOOSE(CONTROL!$C$12, $D$4, 100%, $F$4)</f>
        <v>18.715399999999999</v>
      </c>
      <c r="G946" s="8">
        <f>17.4727 * CHOOSE( CONTROL!$C$12, $D$4, 100%, $F$4)</f>
        <v>17.4727</v>
      </c>
      <c r="H946" s="4">
        <f>18.3662 * CHOOSE(CONTROL!$C$12, $D$4, 100%, $F$4)</f>
        <v>18.366199999999999</v>
      </c>
      <c r="I946" s="8">
        <f>17.2612 * CHOOSE(CONTROL!$C$12, $D$4, 100%, $F$4)</f>
        <v>17.261199999999999</v>
      </c>
      <c r="J946" s="4">
        <f>17.144 * CHOOSE(CONTROL!$C$12, $D$4, 100%, $F$4)</f>
        <v>17.143999999999998</v>
      </c>
      <c r="K946" s="4"/>
      <c r="L946" s="9">
        <v>27.3993</v>
      </c>
      <c r="M946" s="9">
        <v>12.063700000000001</v>
      </c>
      <c r="N946" s="9">
        <v>4.9444999999999997</v>
      </c>
      <c r="O946" s="9">
        <v>0.37459999999999999</v>
      </c>
      <c r="P946" s="9">
        <v>1.2939000000000001</v>
      </c>
      <c r="Q946" s="9">
        <v>19.688099999999999</v>
      </c>
      <c r="R946" s="9"/>
      <c r="S946" s="11"/>
    </row>
    <row r="947" spans="1:19" ht="15.6">
      <c r="A947" s="13">
        <v>70918</v>
      </c>
      <c r="B947" s="8">
        <f>16.5497 * CHOOSE(CONTROL!$C$12, $D$4, 100%, $F$4)</f>
        <v>16.549700000000001</v>
      </c>
      <c r="C947" s="8">
        <f>16.56 * CHOOSE(CONTROL!$C$12, $D$4, 100%, $F$4)</f>
        <v>16.559999999999999</v>
      </c>
      <c r="D947" s="8">
        <f>16.5621 * CHOOSE( CONTROL!$C$12, $D$4, 100%, $F$4)</f>
        <v>16.562100000000001</v>
      </c>
      <c r="E947" s="12">
        <f>16.5602 * CHOOSE( CONTROL!$C$12, $D$4, 100%, $F$4)</f>
        <v>16.560199999999998</v>
      </c>
      <c r="F947" s="4">
        <f>17.5639 * CHOOSE(CONTROL!$C$12, $D$4, 100%, $F$4)</f>
        <v>17.5639</v>
      </c>
      <c r="G947" s="8">
        <f>16.3451 * CHOOSE( CONTROL!$C$12, $D$4, 100%, $F$4)</f>
        <v>16.345099999999999</v>
      </c>
      <c r="H947" s="4">
        <f>17.2311 * CHOOSE(CONTROL!$C$12, $D$4, 100%, $F$4)</f>
        <v>17.231100000000001</v>
      </c>
      <c r="I947" s="8">
        <f>16.1414 * CHOOSE(CONTROL!$C$12, $D$4, 100%, $F$4)</f>
        <v>16.141400000000001</v>
      </c>
      <c r="J947" s="4">
        <f>16.0357 * CHOOSE(CONTROL!$C$12, $D$4, 100%, $F$4)</f>
        <v>16.035699999999999</v>
      </c>
      <c r="K947" s="4"/>
      <c r="L947" s="9">
        <v>24.747800000000002</v>
      </c>
      <c r="M947" s="9">
        <v>10.8962</v>
      </c>
      <c r="N947" s="9">
        <v>4.4660000000000002</v>
      </c>
      <c r="O947" s="9">
        <v>0.33829999999999999</v>
      </c>
      <c r="P947" s="9">
        <v>1.1687000000000001</v>
      </c>
      <c r="Q947" s="9">
        <v>17.782800000000002</v>
      </c>
      <c r="R947" s="9"/>
      <c r="S947" s="11"/>
    </row>
    <row r="948" spans="1:19" ht="15.6">
      <c r="A948" s="13">
        <v>70949</v>
      </c>
      <c r="B948" s="8">
        <f>16.1974 * CHOOSE(CONTROL!$C$12, $D$4, 100%, $F$4)</f>
        <v>16.197399999999998</v>
      </c>
      <c r="C948" s="8">
        <f>16.2077 * CHOOSE(CONTROL!$C$12, $D$4, 100%, $F$4)</f>
        <v>16.207699999999999</v>
      </c>
      <c r="D948" s="8">
        <f>16.1899 * CHOOSE( CONTROL!$C$12, $D$4, 100%, $F$4)</f>
        <v>16.189900000000002</v>
      </c>
      <c r="E948" s="12">
        <f>16.1953 * CHOOSE( CONTROL!$C$12, $D$4, 100%, $F$4)</f>
        <v>16.1953</v>
      </c>
      <c r="F948" s="4">
        <f>17.1956 * CHOOSE(CONTROL!$C$12, $D$4, 100%, $F$4)</f>
        <v>17.195599999999999</v>
      </c>
      <c r="G948" s="8">
        <f>15.9773 * CHOOSE( CONTROL!$C$12, $D$4, 100%, $F$4)</f>
        <v>15.9773</v>
      </c>
      <c r="H948" s="4">
        <f>16.868 * CHOOSE(CONTROL!$C$12, $D$4, 100%, $F$4)</f>
        <v>16.867999999999999</v>
      </c>
      <c r="I948" s="8">
        <f>15.7603 * CHOOSE(CONTROL!$C$12, $D$4, 100%, $F$4)</f>
        <v>15.760300000000001</v>
      </c>
      <c r="J948" s="4">
        <f>15.6943 * CHOOSE(CONTROL!$C$12, $D$4, 100%, $F$4)</f>
        <v>15.6943</v>
      </c>
      <c r="K948" s="4"/>
      <c r="L948" s="9">
        <v>27.3993</v>
      </c>
      <c r="M948" s="9">
        <v>12.063700000000001</v>
      </c>
      <c r="N948" s="9">
        <v>4.9444999999999997</v>
      </c>
      <c r="O948" s="9">
        <v>0.37459999999999999</v>
      </c>
      <c r="P948" s="9">
        <v>1.2939000000000001</v>
      </c>
      <c r="Q948" s="9">
        <v>19.688099999999999</v>
      </c>
      <c r="R948" s="9"/>
      <c r="S948" s="11"/>
    </row>
    <row r="949" spans="1:19" ht="15.6">
      <c r="A949" s="13">
        <v>70979</v>
      </c>
      <c r="B949" s="8">
        <f>16.4436 * CHOOSE(CONTROL!$C$12, $D$4, 100%, $F$4)</f>
        <v>16.4436</v>
      </c>
      <c r="C949" s="8">
        <f>16.4539 * CHOOSE(CONTROL!$C$12, $D$4, 100%, $F$4)</f>
        <v>16.453900000000001</v>
      </c>
      <c r="D949" s="8">
        <f>16.4589 * CHOOSE( CONTROL!$C$12, $D$4, 100%, $F$4)</f>
        <v>16.4589</v>
      </c>
      <c r="E949" s="12">
        <f>16.4561 * CHOOSE( CONTROL!$C$12, $D$4, 100%, $F$4)</f>
        <v>16.456099999999999</v>
      </c>
      <c r="F949" s="4">
        <f>17.45 * CHOOSE(CONTROL!$C$12, $D$4, 100%, $F$4)</f>
        <v>17.45</v>
      </c>
      <c r="G949" s="8">
        <f>16.2079 * CHOOSE( CONTROL!$C$12, $D$4, 100%, $F$4)</f>
        <v>16.207899999999999</v>
      </c>
      <c r="H949" s="4">
        <f>17.1188 * CHOOSE(CONTROL!$C$12, $D$4, 100%, $F$4)</f>
        <v>17.1188</v>
      </c>
      <c r="I949" s="8">
        <f>15.9891 * CHOOSE(CONTROL!$C$12, $D$4, 100%, $F$4)</f>
        <v>15.989100000000001</v>
      </c>
      <c r="J949" s="4">
        <f>15.9329 * CHOOSE(CONTROL!$C$12, $D$4, 100%, $F$4)</f>
        <v>15.9329</v>
      </c>
      <c r="K949" s="4"/>
      <c r="L949" s="9">
        <v>27.988800000000001</v>
      </c>
      <c r="M949" s="9">
        <v>11.6745</v>
      </c>
      <c r="N949" s="9">
        <v>4.7850000000000001</v>
      </c>
      <c r="O949" s="9">
        <v>0.36249999999999999</v>
      </c>
      <c r="P949" s="9">
        <v>1.1798</v>
      </c>
      <c r="Q949" s="9">
        <v>19.053000000000001</v>
      </c>
      <c r="R949" s="9"/>
      <c r="S949" s="11"/>
    </row>
    <row r="950" spans="1:19" ht="15.6">
      <c r="A950" s="13">
        <v>71010</v>
      </c>
      <c r="B950" s="8">
        <f>CHOOSE( CONTROL!$C$29, 16.8885, 16.8817) * CHOOSE(CONTROL!$C$12, $D$4, 100%, $F$4)</f>
        <v>16.881699999999999</v>
      </c>
      <c r="C950" s="8">
        <f>CHOOSE( CONTROL!$C$29, 16.8988, 16.892) * CHOOSE(CONTROL!$C$12, $D$4, 100%, $F$4)</f>
        <v>16.891999999999999</v>
      </c>
      <c r="D950" s="8">
        <f>CHOOSE( CONTROL!$C$29, 16.8791, 16.8723) * CHOOSE( CONTROL!$C$12, $D$4, 100%, $F$4)</f>
        <v>16.872299999999999</v>
      </c>
      <c r="E950" s="12">
        <f>CHOOSE( CONTROL!$C$29, 16.8847, 16.8779) * CHOOSE( CONTROL!$C$12, $D$4, 100%, $F$4)</f>
        <v>16.8779</v>
      </c>
      <c r="F950" s="4">
        <f>CHOOSE( CONTROL!$C$29, 17.863, 17.8561) * CHOOSE(CONTROL!$C$12, $D$4, 100%, $F$4)</f>
        <v>17.856100000000001</v>
      </c>
      <c r="G950" s="8">
        <f>CHOOSE( CONTROL!$C$29, 16.6283, 16.6215) * CHOOSE( CONTROL!$C$12, $D$4, 100%, $F$4)</f>
        <v>16.621500000000001</v>
      </c>
      <c r="H950" s="4">
        <f>CHOOSE( CONTROL!$C$29, 17.5259, 17.5192) * CHOOSE(CONTROL!$C$12, $D$4, 100%, $F$4)</f>
        <v>17.519200000000001</v>
      </c>
      <c r="I950" s="8">
        <f>CHOOSE( CONTROL!$C$29, 16.3989, 16.3923) * CHOOSE(CONTROL!$C$12, $D$4, 100%, $F$4)</f>
        <v>16.392299999999999</v>
      </c>
      <c r="J950" s="4">
        <f>CHOOSE( CONTROL!$C$29, 16.364, 16.3574) * CHOOSE(CONTROL!$C$12, $D$4, 100%, $F$4)</f>
        <v>16.357399999999998</v>
      </c>
      <c r="K950" s="4"/>
      <c r="L950" s="9">
        <v>29.520499999999998</v>
      </c>
      <c r="M950" s="9">
        <v>12.063700000000001</v>
      </c>
      <c r="N950" s="9">
        <v>4.9444999999999997</v>
      </c>
      <c r="O950" s="9">
        <v>0.37459999999999999</v>
      </c>
      <c r="P950" s="9">
        <v>1.2192000000000001</v>
      </c>
      <c r="Q950" s="9">
        <v>19.688099999999999</v>
      </c>
      <c r="R950" s="9"/>
      <c r="S950" s="11"/>
    </row>
    <row r="951" spans="1:19" ht="15.6">
      <c r="A951" s="13">
        <v>71040</v>
      </c>
      <c r="B951" s="8">
        <f>CHOOSE( CONTROL!$C$29, 16.6171, 16.6103) * CHOOSE(CONTROL!$C$12, $D$4, 100%, $F$4)</f>
        <v>16.610299999999999</v>
      </c>
      <c r="C951" s="8">
        <f>CHOOSE( CONTROL!$C$29, 16.6274, 16.6206) * CHOOSE(CONTROL!$C$12, $D$4, 100%, $F$4)</f>
        <v>16.6206</v>
      </c>
      <c r="D951" s="8">
        <f>CHOOSE( CONTROL!$C$29, 16.6022, 16.5953) * CHOOSE( CONTROL!$C$12, $D$4, 100%, $F$4)</f>
        <v>16.595300000000002</v>
      </c>
      <c r="E951" s="12">
        <f>CHOOSE( CONTROL!$C$29, 16.6098, 16.6029) * CHOOSE( CONTROL!$C$12, $D$4, 100%, $F$4)</f>
        <v>16.602900000000002</v>
      </c>
      <c r="F951" s="4">
        <f>CHOOSE( CONTROL!$C$29, 17.5813, 17.5744) * CHOOSE(CONTROL!$C$12, $D$4, 100%, $F$4)</f>
        <v>17.574400000000001</v>
      </c>
      <c r="G951" s="8">
        <f>CHOOSE( CONTROL!$C$29, 16.3595, 16.3527) * CHOOSE( CONTROL!$C$12, $D$4, 100%, $F$4)</f>
        <v>16.352699999999999</v>
      </c>
      <c r="H951" s="4">
        <f>CHOOSE( CONTROL!$C$29, 17.2482, 17.2415) * CHOOSE(CONTROL!$C$12, $D$4, 100%, $F$4)</f>
        <v>17.241499999999998</v>
      </c>
      <c r="I951" s="8">
        <f>CHOOSE( CONTROL!$C$29, 16.138, 16.1313) * CHOOSE(CONTROL!$C$12, $D$4, 100%, $F$4)</f>
        <v>16.1313</v>
      </c>
      <c r="J951" s="4">
        <f>CHOOSE( CONTROL!$C$29, 16.101, 16.0944) * CHOOSE(CONTROL!$C$12, $D$4, 100%, $F$4)</f>
        <v>16.0944</v>
      </c>
      <c r="K951" s="4"/>
      <c r="L951" s="9">
        <v>28.568200000000001</v>
      </c>
      <c r="M951" s="9">
        <v>11.6745</v>
      </c>
      <c r="N951" s="9">
        <v>4.7850000000000001</v>
      </c>
      <c r="O951" s="9">
        <v>0.36249999999999999</v>
      </c>
      <c r="P951" s="9">
        <v>1.1798</v>
      </c>
      <c r="Q951" s="9">
        <v>19.053000000000001</v>
      </c>
      <c r="R951" s="9"/>
      <c r="S951" s="11"/>
    </row>
    <row r="952" spans="1:19" ht="15.6">
      <c r="A952" s="13">
        <v>71071</v>
      </c>
      <c r="B952" s="8">
        <f>CHOOSE( CONTROL!$C$29, 17.3318, 17.325) * CHOOSE(CONTROL!$C$12, $D$4, 100%, $F$4)</f>
        <v>17.324999999999999</v>
      </c>
      <c r="C952" s="8">
        <f>CHOOSE( CONTROL!$C$29, 17.3421, 17.3353) * CHOOSE(CONTROL!$C$12, $D$4, 100%, $F$4)</f>
        <v>17.3353</v>
      </c>
      <c r="D952" s="8">
        <f>CHOOSE( CONTROL!$C$29, 17.3503, 17.3434) * CHOOSE( CONTROL!$C$12, $D$4, 100%, $F$4)</f>
        <v>17.343399999999999</v>
      </c>
      <c r="E952" s="12">
        <f>CHOOSE( CONTROL!$C$29, 17.3458, 17.3389) * CHOOSE( CONTROL!$C$12, $D$4, 100%, $F$4)</f>
        <v>17.338899999999999</v>
      </c>
      <c r="F952" s="4">
        <f>CHOOSE( CONTROL!$C$29, 18.3408, 18.334) * CHOOSE(CONTROL!$C$12, $D$4, 100%, $F$4)</f>
        <v>18.334</v>
      </c>
      <c r="G952" s="8">
        <f>CHOOSE( CONTROL!$C$29, 17.09, 17.0833) * CHOOSE( CONTROL!$C$12, $D$4, 100%, $F$4)</f>
        <v>17.083300000000001</v>
      </c>
      <c r="H952" s="4">
        <f>CHOOSE( CONTROL!$C$29, 17.997, 17.9903) * CHOOSE(CONTROL!$C$12, $D$4, 100%, $F$4)</f>
        <v>17.990300000000001</v>
      </c>
      <c r="I952" s="8">
        <f>CHOOSE( CONTROL!$C$29, 16.8861, 16.8795) * CHOOSE(CONTROL!$C$12, $D$4, 100%, $F$4)</f>
        <v>16.8795</v>
      </c>
      <c r="J952" s="4">
        <f>CHOOSE( CONTROL!$C$29, 16.7936, 16.787) * CHOOSE(CONTROL!$C$12, $D$4, 100%, $F$4)</f>
        <v>16.786999999999999</v>
      </c>
      <c r="K952" s="4"/>
      <c r="L952" s="9">
        <v>29.520499999999998</v>
      </c>
      <c r="M952" s="9">
        <v>12.063700000000001</v>
      </c>
      <c r="N952" s="9">
        <v>4.9444999999999997</v>
      </c>
      <c r="O952" s="9">
        <v>0.37459999999999999</v>
      </c>
      <c r="P952" s="9">
        <v>1.2192000000000001</v>
      </c>
      <c r="Q952" s="9">
        <v>19.688099999999999</v>
      </c>
      <c r="R952" s="9"/>
      <c r="S952" s="11"/>
    </row>
    <row r="953" spans="1:19" ht="15.6">
      <c r="A953" s="13">
        <v>71102</v>
      </c>
      <c r="B953" s="8">
        <f>CHOOSE( CONTROL!$C$29, 15.9945, 15.9877) * CHOOSE(CONTROL!$C$12, $D$4, 100%, $F$4)</f>
        <v>15.9877</v>
      </c>
      <c r="C953" s="8">
        <f>CHOOSE( CONTROL!$C$29, 16.0049, 15.998) * CHOOSE(CONTROL!$C$12, $D$4, 100%, $F$4)</f>
        <v>15.997999999999999</v>
      </c>
      <c r="D953" s="8">
        <f>CHOOSE( CONTROL!$C$29, 16.0063, 15.9995) * CHOOSE( CONTROL!$C$12, $D$4, 100%, $F$4)</f>
        <v>15.999499999999999</v>
      </c>
      <c r="E953" s="12">
        <f>CHOOSE( CONTROL!$C$29, 16.0042, 15.9974) * CHOOSE( CONTROL!$C$12, $D$4, 100%, $F$4)</f>
        <v>15.997400000000001</v>
      </c>
      <c r="F953" s="4">
        <f>CHOOSE( CONTROL!$C$29, 17.001, 16.9941) * CHOOSE(CONTROL!$C$12, $D$4, 100%, $F$4)</f>
        <v>16.9941</v>
      </c>
      <c r="G953" s="8">
        <f>CHOOSE( CONTROL!$C$29, 15.7619, 15.7551) * CHOOSE( CONTROL!$C$12, $D$4, 100%, $F$4)</f>
        <v>15.755100000000001</v>
      </c>
      <c r="H953" s="4">
        <f>CHOOSE( CONTROL!$C$29, 16.6762, 16.6695) * CHOOSE(CONTROL!$C$12, $D$4, 100%, $F$4)</f>
        <v>16.669499999999999</v>
      </c>
      <c r="I953" s="8">
        <f>CHOOSE( CONTROL!$C$29, 15.5708, 15.5641) * CHOOSE(CONTROL!$C$12, $D$4, 100%, $F$4)</f>
        <v>15.5641</v>
      </c>
      <c r="J953" s="4">
        <f>CHOOSE( CONTROL!$C$29, 15.4978, 15.4911) * CHOOSE(CONTROL!$C$12, $D$4, 100%, $F$4)</f>
        <v>15.491099999999999</v>
      </c>
      <c r="K953" s="4"/>
      <c r="L953" s="9">
        <v>29.520499999999998</v>
      </c>
      <c r="M953" s="9">
        <v>12.063700000000001</v>
      </c>
      <c r="N953" s="9">
        <v>4.9444999999999997</v>
      </c>
      <c r="O953" s="9">
        <v>0.37459999999999999</v>
      </c>
      <c r="P953" s="9">
        <v>1.2192000000000001</v>
      </c>
      <c r="Q953" s="9">
        <v>19.688099999999999</v>
      </c>
      <c r="R953" s="9"/>
      <c r="S953" s="11"/>
    </row>
    <row r="954" spans="1:19" ht="15.6">
      <c r="A954" s="13">
        <v>71132</v>
      </c>
      <c r="B954" s="8">
        <f>CHOOSE( CONTROL!$C$29, 15.6597, 15.6528) * CHOOSE(CONTROL!$C$12, $D$4, 100%, $F$4)</f>
        <v>15.652799999999999</v>
      </c>
      <c r="C954" s="8">
        <f>CHOOSE( CONTROL!$C$29, 15.67, 15.6631) * CHOOSE(CONTROL!$C$12, $D$4, 100%, $F$4)</f>
        <v>15.6631</v>
      </c>
      <c r="D954" s="8">
        <f>CHOOSE( CONTROL!$C$29, 15.6747, 15.6678) * CHOOSE( CONTROL!$C$12, $D$4, 100%, $F$4)</f>
        <v>15.6678</v>
      </c>
      <c r="E954" s="12">
        <f>CHOOSE( CONTROL!$C$29, 15.6714, 15.6645) * CHOOSE( CONTROL!$C$12, $D$4, 100%, $F$4)</f>
        <v>15.6645</v>
      </c>
      <c r="F954" s="4">
        <f>CHOOSE( CONTROL!$C$29, 16.6713, 16.6644) * CHOOSE(CONTROL!$C$12, $D$4, 100%, $F$4)</f>
        <v>16.664400000000001</v>
      </c>
      <c r="G954" s="8">
        <f>CHOOSE( CONTROL!$C$29, 15.4338, 15.4271) * CHOOSE( CONTROL!$C$12, $D$4, 100%, $F$4)</f>
        <v>15.427099999999999</v>
      </c>
      <c r="H954" s="4">
        <f>CHOOSE( CONTROL!$C$29, 16.3512, 16.3445) * CHOOSE(CONTROL!$C$12, $D$4, 100%, $F$4)</f>
        <v>16.3445</v>
      </c>
      <c r="I954" s="8">
        <f>CHOOSE( CONTROL!$C$29, 15.2539, 15.2473) * CHOOSE(CONTROL!$C$12, $D$4, 100%, $F$4)</f>
        <v>15.247299999999999</v>
      </c>
      <c r="J954" s="4">
        <f>CHOOSE( CONTROL!$C$29, 15.1733, 15.1666) * CHOOSE(CONTROL!$C$12, $D$4, 100%, $F$4)</f>
        <v>15.166600000000001</v>
      </c>
      <c r="K954" s="4"/>
      <c r="L954" s="9">
        <v>28.568200000000001</v>
      </c>
      <c r="M954" s="9">
        <v>11.6745</v>
      </c>
      <c r="N954" s="9">
        <v>4.7850000000000001</v>
      </c>
      <c r="O954" s="9">
        <v>0.36249999999999999</v>
      </c>
      <c r="P954" s="9">
        <v>1.1798</v>
      </c>
      <c r="Q954" s="9">
        <v>19.053000000000001</v>
      </c>
      <c r="R954" s="9"/>
      <c r="S954" s="11"/>
    </row>
    <row r="955" spans="1:19" ht="15.6">
      <c r="A955" s="13">
        <v>71163</v>
      </c>
      <c r="B955" s="8">
        <f>16.3481 * CHOOSE(CONTROL!$C$12, $D$4, 100%, $F$4)</f>
        <v>16.348099999999999</v>
      </c>
      <c r="C955" s="8">
        <f>16.3585 * CHOOSE(CONTROL!$C$12, $D$4, 100%, $F$4)</f>
        <v>16.358499999999999</v>
      </c>
      <c r="D955" s="8">
        <f>16.3535 * CHOOSE( CONTROL!$C$12, $D$4, 100%, $F$4)</f>
        <v>16.3535</v>
      </c>
      <c r="E955" s="12">
        <f>16.354 * CHOOSE( CONTROL!$C$12, $D$4, 100%, $F$4)</f>
        <v>16.353999999999999</v>
      </c>
      <c r="F955" s="4">
        <f>17.3391 * CHOOSE(CONTROL!$C$12, $D$4, 100%, $F$4)</f>
        <v>17.339099999999998</v>
      </c>
      <c r="G955" s="8">
        <f>16.1093 * CHOOSE( CONTROL!$C$12, $D$4, 100%, $F$4)</f>
        <v>16.109300000000001</v>
      </c>
      <c r="H955" s="4">
        <f>17.0095 * CHOOSE(CONTROL!$C$12, $D$4, 100%, $F$4)</f>
        <v>17.009499999999999</v>
      </c>
      <c r="I955" s="8">
        <f>15.9252 * CHOOSE(CONTROL!$C$12, $D$4, 100%, $F$4)</f>
        <v>15.9252</v>
      </c>
      <c r="J955" s="4">
        <f>15.8404 * CHOOSE(CONTROL!$C$12, $D$4, 100%, $F$4)</f>
        <v>15.840400000000001</v>
      </c>
      <c r="K955" s="4"/>
      <c r="L955" s="9">
        <v>28.921800000000001</v>
      </c>
      <c r="M955" s="9">
        <v>12.063700000000001</v>
      </c>
      <c r="N955" s="9">
        <v>4.9444999999999997</v>
      </c>
      <c r="O955" s="9">
        <v>0.37459999999999999</v>
      </c>
      <c r="P955" s="9">
        <v>1.2192000000000001</v>
      </c>
      <c r="Q955" s="9">
        <v>19.688099999999999</v>
      </c>
      <c r="R955" s="9"/>
      <c r="S955" s="11"/>
    </row>
    <row r="956" spans="1:19" ht="15.6">
      <c r="A956" s="13">
        <v>71193</v>
      </c>
      <c r="B956" s="8">
        <f>17.6315 * CHOOSE(CONTROL!$C$12, $D$4, 100%, $F$4)</f>
        <v>17.631499999999999</v>
      </c>
      <c r="C956" s="8">
        <f>17.6419 * CHOOSE(CONTROL!$C$12, $D$4, 100%, $F$4)</f>
        <v>17.6419</v>
      </c>
      <c r="D956" s="8">
        <f>17.6012 * CHOOSE( CONTROL!$C$12, $D$4, 100%, $F$4)</f>
        <v>17.601199999999999</v>
      </c>
      <c r="E956" s="12">
        <f>17.615 * CHOOSE( CONTROL!$C$12, $D$4, 100%, $F$4)</f>
        <v>17.614999999999998</v>
      </c>
      <c r="F956" s="4">
        <f>18.6086 * CHOOSE(CONTROL!$C$12, $D$4, 100%, $F$4)</f>
        <v>18.608599999999999</v>
      </c>
      <c r="G956" s="8">
        <f>17.3684 * CHOOSE( CONTROL!$C$12, $D$4, 100%, $F$4)</f>
        <v>17.368400000000001</v>
      </c>
      <c r="H956" s="4">
        <f>18.2609 * CHOOSE(CONTROL!$C$12, $D$4, 100%, $F$4)</f>
        <v>18.260899999999999</v>
      </c>
      <c r="I956" s="8">
        <f>17.1538 * CHOOSE(CONTROL!$C$12, $D$4, 100%, $F$4)</f>
        <v>17.1538</v>
      </c>
      <c r="J956" s="4">
        <f>17.084 * CHOOSE(CONTROL!$C$12, $D$4, 100%, $F$4)</f>
        <v>17.084</v>
      </c>
      <c r="K956" s="4"/>
      <c r="L956" s="9">
        <v>26.515499999999999</v>
      </c>
      <c r="M956" s="9">
        <v>11.6745</v>
      </c>
      <c r="N956" s="9">
        <v>4.7850000000000001</v>
      </c>
      <c r="O956" s="9">
        <v>0.36249999999999999</v>
      </c>
      <c r="P956" s="9">
        <v>1.2522</v>
      </c>
      <c r="Q956" s="9">
        <v>19.053000000000001</v>
      </c>
      <c r="R956" s="9"/>
      <c r="S956" s="11"/>
    </row>
    <row r="957" spans="1:19" ht="15.6">
      <c r="A957" s="13">
        <v>71224</v>
      </c>
      <c r="B957" s="8">
        <f>17.5995 * CHOOSE(CONTROL!$C$12, $D$4, 100%, $F$4)</f>
        <v>17.599499999999999</v>
      </c>
      <c r="C957" s="8">
        <f>17.6098 * CHOOSE(CONTROL!$C$12, $D$4, 100%, $F$4)</f>
        <v>17.6098</v>
      </c>
      <c r="D957" s="8">
        <f>17.571 * CHOOSE( CONTROL!$C$12, $D$4, 100%, $F$4)</f>
        <v>17.571000000000002</v>
      </c>
      <c r="E957" s="12">
        <f>17.5841 * CHOOSE( CONTROL!$C$12, $D$4, 100%, $F$4)</f>
        <v>17.584099999999999</v>
      </c>
      <c r="F957" s="4">
        <f>18.5698 * CHOOSE(CONTROL!$C$12, $D$4, 100%, $F$4)</f>
        <v>18.569800000000001</v>
      </c>
      <c r="G957" s="8">
        <f>17.3391 * CHOOSE( CONTROL!$C$12, $D$4, 100%, $F$4)</f>
        <v>17.339099999999998</v>
      </c>
      <c r="H957" s="4">
        <f>18.2227 * CHOOSE(CONTROL!$C$12, $D$4, 100%, $F$4)</f>
        <v>18.2227</v>
      </c>
      <c r="I957" s="8">
        <f>17.1334 * CHOOSE(CONTROL!$C$12, $D$4, 100%, $F$4)</f>
        <v>17.133400000000002</v>
      </c>
      <c r="J957" s="4">
        <f>17.0529 * CHOOSE(CONTROL!$C$12, $D$4, 100%, $F$4)</f>
        <v>17.052900000000001</v>
      </c>
      <c r="K957" s="4"/>
      <c r="L957" s="9">
        <v>27.3993</v>
      </c>
      <c r="M957" s="9">
        <v>12.063700000000001</v>
      </c>
      <c r="N957" s="9">
        <v>4.9444999999999997</v>
      </c>
      <c r="O957" s="9">
        <v>0.37459999999999999</v>
      </c>
      <c r="P957" s="9">
        <v>1.2939000000000001</v>
      </c>
      <c r="Q957" s="9">
        <v>19.688099999999999</v>
      </c>
      <c r="R957" s="9"/>
      <c r="S957" s="11"/>
    </row>
    <row r="958" spans="1:19" ht="15.6">
      <c r="A958" s="13">
        <v>71255</v>
      </c>
      <c r="B958" s="8">
        <f>18.0102 * CHOOSE(CONTROL!$C$12, $D$4, 100%, $F$4)</f>
        <v>18.010200000000001</v>
      </c>
      <c r="C958" s="8">
        <f>18.0205 * CHOOSE(CONTROL!$C$12, $D$4, 100%, $F$4)</f>
        <v>18.020499999999998</v>
      </c>
      <c r="D958" s="8">
        <f>18.0203 * CHOOSE( CONTROL!$C$12, $D$4, 100%, $F$4)</f>
        <v>18.020299999999999</v>
      </c>
      <c r="E958" s="12">
        <f>18.0193 * CHOOSE( CONTROL!$C$12, $D$4, 100%, $F$4)</f>
        <v>18.019300000000001</v>
      </c>
      <c r="F958" s="4">
        <f>19.0321 * CHOOSE(CONTROL!$C$12, $D$4, 100%, $F$4)</f>
        <v>19.0321</v>
      </c>
      <c r="G958" s="8">
        <f>17.7849 * CHOOSE( CONTROL!$C$12, $D$4, 100%, $F$4)</f>
        <v>17.7849</v>
      </c>
      <c r="H958" s="4">
        <f>18.6784 * CHOOSE(CONTROL!$C$12, $D$4, 100%, $F$4)</f>
        <v>18.6784</v>
      </c>
      <c r="I958" s="8">
        <f>17.5682 * CHOOSE(CONTROL!$C$12, $D$4, 100%, $F$4)</f>
        <v>17.568200000000001</v>
      </c>
      <c r="J958" s="4">
        <f>17.4509 * CHOOSE(CONTROL!$C$12, $D$4, 100%, $F$4)</f>
        <v>17.450900000000001</v>
      </c>
      <c r="K958" s="4"/>
      <c r="L958" s="9">
        <v>27.3993</v>
      </c>
      <c r="M958" s="9">
        <v>12.063700000000001</v>
      </c>
      <c r="N958" s="9">
        <v>4.9444999999999997</v>
      </c>
      <c r="O958" s="9">
        <v>0.37459999999999999</v>
      </c>
      <c r="P958" s="9">
        <v>1.2939000000000001</v>
      </c>
      <c r="Q958" s="9">
        <v>19.688099999999999</v>
      </c>
      <c r="R958" s="9"/>
      <c r="S958" s="11"/>
    </row>
    <row r="959" spans="1:19" ht="15.6">
      <c r="A959" s="13">
        <v>71283</v>
      </c>
      <c r="B959" s="8">
        <f>16.8459 * CHOOSE(CONTROL!$C$12, $D$4, 100%, $F$4)</f>
        <v>16.8459</v>
      </c>
      <c r="C959" s="8">
        <f>16.8562 * CHOOSE(CONTROL!$C$12, $D$4, 100%, $F$4)</f>
        <v>16.856200000000001</v>
      </c>
      <c r="D959" s="8">
        <f>16.8583 * CHOOSE( CONTROL!$C$12, $D$4, 100%, $F$4)</f>
        <v>16.8583</v>
      </c>
      <c r="E959" s="12">
        <f>16.8564 * CHOOSE( CONTROL!$C$12, $D$4, 100%, $F$4)</f>
        <v>16.856400000000001</v>
      </c>
      <c r="F959" s="4">
        <f>17.8601 * CHOOSE(CONTROL!$C$12, $D$4, 100%, $F$4)</f>
        <v>17.860099999999999</v>
      </c>
      <c r="G959" s="8">
        <f>16.6371 * CHOOSE( CONTROL!$C$12, $D$4, 100%, $F$4)</f>
        <v>16.6371</v>
      </c>
      <c r="H959" s="4">
        <f>17.5231 * CHOOSE(CONTROL!$C$12, $D$4, 100%, $F$4)</f>
        <v>17.523099999999999</v>
      </c>
      <c r="I959" s="8">
        <f>16.4285 * CHOOSE(CONTROL!$C$12, $D$4, 100%, $F$4)</f>
        <v>16.4285</v>
      </c>
      <c r="J959" s="4">
        <f>16.3227 * CHOOSE(CONTROL!$C$12, $D$4, 100%, $F$4)</f>
        <v>16.322700000000001</v>
      </c>
      <c r="K959" s="4"/>
      <c r="L959" s="9">
        <v>24.747800000000002</v>
      </c>
      <c r="M959" s="9">
        <v>10.8962</v>
      </c>
      <c r="N959" s="9">
        <v>4.4660000000000002</v>
      </c>
      <c r="O959" s="9">
        <v>0.33829999999999999</v>
      </c>
      <c r="P959" s="9">
        <v>1.1687000000000001</v>
      </c>
      <c r="Q959" s="9">
        <v>17.782800000000002</v>
      </c>
      <c r="R959" s="9"/>
      <c r="S959" s="11"/>
    </row>
    <row r="960" spans="1:19" ht="15.6">
      <c r="A960" s="13">
        <v>71314</v>
      </c>
      <c r="B960" s="8">
        <f>16.4873 * CHOOSE(CONTROL!$C$12, $D$4, 100%, $F$4)</f>
        <v>16.487300000000001</v>
      </c>
      <c r="C960" s="8">
        <f>16.4976 * CHOOSE(CONTROL!$C$12, $D$4, 100%, $F$4)</f>
        <v>16.497599999999998</v>
      </c>
      <c r="D960" s="8">
        <f>16.4798 * CHOOSE( CONTROL!$C$12, $D$4, 100%, $F$4)</f>
        <v>16.479800000000001</v>
      </c>
      <c r="E960" s="12">
        <f>16.4852 * CHOOSE( CONTROL!$C$12, $D$4, 100%, $F$4)</f>
        <v>16.485199999999999</v>
      </c>
      <c r="F960" s="4">
        <f>17.4855 * CHOOSE(CONTROL!$C$12, $D$4, 100%, $F$4)</f>
        <v>17.485499999999998</v>
      </c>
      <c r="G960" s="8">
        <f>16.2631 * CHOOSE( CONTROL!$C$12, $D$4, 100%, $F$4)</f>
        <v>16.263100000000001</v>
      </c>
      <c r="H960" s="4">
        <f>17.1538 * CHOOSE(CONTROL!$C$12, $D$4, 100%, $F$4)</f>
        <v>17.1538</v>
      </c>
      <c r="I960" s="8">
        <f>16.0414 * CHOOSE(CONTROL!$C$12, $D$4, 100%, $F$4)</f>
        <v>16.041399999999999</v>
      </c>
      <c r="J960" s="4">
        <f>15.9753 * CHOOSE(CONTROL!$C$12, $D$4, 100%, $F$4)</f>
        <v>15.975300000000001</v>
      </c>
      <c r="K960" s="4"/>
      <c r="L960" s="9">
        <v>27.3993</v>
      </c>
      <c r="M960" s="9">
        <v>12.063700000000001</v>
      </c>
      <c r="N960" s="9">
        <v>4.9444999999999997</v>
      </c>
      <c r="O960" s="9">
        <v>0.37459999999999999</v>
      </c>
      <c r="P960" s="9">
        <v>1.2939000000000001</v>
      </c>
      <c r="Q960" s="9">
        <v>19.688099999999999</v>
      </c>
      <c r="R960" s="9"/>
      <c r="S960" s="11"/>
    </row>
    <row r="961" spans="1:19" ht="15.6">
      <c r="A961" s="13">
        <v>71344</v>
      </c>
      <c r="B961" s="8">
        <f>16.7379 * CHOOSE(CONTROL!$C$12, $D$4, 100%, $F$4)</f>
        <v>16.7379</v>
      </c>
      <c r="C961" s="8">
        <f>16.7482 * CHOOSE(CONTROL!$C$12, $D$4, 100%, $F$4)</f>
        <v>16.748200000000001</v>
      </c>
      <c r="D961" s="8">
        <f>16.7532 * CHOOSE( CONTROL!$C$12, $D$4, 100%, $F$4)</f>
        <v>16.7532</v>
      </c>
      <c r="E961" s="12">
        <f>16.7504 * CHOOSE( CONTROL!$C$12, $D$4, 100%, $F$4)</f>
        <v>16.750399999999999</v>
      </c>
      <c r="F961" s="4">
        <f>17.7443 * CHOOSE(CONTROL!$C$12, $D$4, 100%, $F$4)</f>
        <v>17.744299999999999</v>
      </c>
      <c r="G961" s="8">
        <f>16.498 * CHOOSE( CONTROL!$C$12, $D$4, 100%, $F$4)</f>
        <v>16.498000000000001</v>
      </c>
      <c r="H961" s="4">
        <f>17.409 * CHOOSE(CONTROL!$C$12, $D$4, 100%, $F$4)</f>
        <v>17.408999999999999</v>
      </c>
      <c r="I961" s="8">
        <f>16.2744 * CHOOSE(CONTROL!$C$12, $D$4, 100%, $F$4)</f>
        <v>16.2744</v>
      </c>
      <c r="J961" s="4">
        <f>16.2181 * CHOOSE(CONTROL!$C$12, $D$4, 100%, $F$4)</f>
        <v>16.2181</v>
      </c>
      <c r="K961" s="4"/>
      <c r="L961" s="9">
        <v>27.988800000000001</v>
      </c>
      <c r="M961" s="9">
        <v>11.6745</v>
      </c>
      <c r="N961" s="9">
        <v>4.7850000000000001</v>
      </c>
      <c r="O961" s="9">
        <v>0.36249999999999999</v>
      </c>
      <c r="P961" s="9">
        <v>1.1798</v>
      </c>
      <c r="Q961" s="9">
        <v>19.053000000000001</v>
      </c>
      <c r="R961" s="9"/>
      <c r="S961" s="11"/>
    </row>
    <row r="962" spans="1:19" ht="15.6">
      <c r="A962" s="13">
        <v>71375</v>
      </c>
      <c r="B962" s="8">
        <f>CHOOSE( CONTROL!$C$29, 17.1907, 17.1839) * CHOOSE(CONTROL!$C$12, $D$4, 100%, $F$4)</f>
        <v>17.183900000000001</v>
      </c>
      <c r="C962" s="8">
        <f>CHOOSE( CONTROL!$C$29, 17.201, 17.1942) * CHOOSE(CONTROL!$C$12, $D$4, 100%, $F$4)</f>
        <v>17.194199999999999</v>
      </c>
      <c r="D962" s="8">
        <f>CHOOSE( CONTROL!$C$29, 17.1813, 17.1744) * CHOOSE( CONTROL!$C$12, $D$4, 100%, $F$4)</f>
        <v>17.174399999999999</v>
      </c>
      <c r="E962" s="12">
        <f>CHOOSE( CONTROL!$C$29, 17.1869, 17.18) * CHOOSE( CONTROL!$C$12, $D$4, 100%, $F$4)</f>
        <v>17.18</v>
      </c>
      <c r="F962" s="4">
        <f>CHOOSE( CONTROL!$C$29, 18.1651, 18.1583) * CHOOSE(CONTROL!$C$12, $D$4, 100%, $F$4)</f>
        <v>18.158300000000001</v>
      </c>
      <c r="G962" s="8">
        <f>CHOOSE( CONTROL!$C$29, 16.9261, 16.9194) * CHOOSE( CONTROL!$C$12, $D$4, 100%, $F$4)</f>
        <v>16.9194</v>
      </c>
      <c r="H962" s="4">
        <f>CHOOSE( CONTROL!$C$29, 17.8238, 17.8171) * CHOOSE(CONTROL!$C$12, $D$4, 100%, $F$4)</f>
        <v>17.8171</v>
      </c>
      <c r="I962" s="8">
        <f>CHOOSE( CONTROL!$C$29, 16.6919, 16.6852) * CHOOSE(CONTROL!$C$12, $D$4, 100%, $F$4)</f>
        <v>16.685199999999998</v>
      </c>
      <c r="J962" s="4">
        <f>CHOOSE( CONTROL!$C$29, 16.6568, 16.6502) * CHOOSE(CONTROL!$C$12, $D$4, 100%, $F$4)</f>
        <v>16.650200000000002</v>
      </c>
      <c r="K962" s="4"/>
      <c r="L962" s="9">
        <v>29.520499999999998</v>
      </c>
      <c r="M962" s="9">
        <v>12.063700000000001</v>
      </c>
      <c r="N962" s="9">
        <v>4.9444999999999997</v>
      </c>
      <c r="O962" s="9">
        <v>0.37459999999999999</v>
      </c>
      <c r="P962" s="9">
        <v>1.2192000000000001</v>
      </c>
      <c r="Q962" s="9">
        <v>19.688099999999999</v>
      </c>
      <c r="R962" s="9"/>
      <c r="S962" s="11"/>
    </row>
    <row r="963" spans="1:19" ht="15.6">
      <c r="A963" s="13">
        <v>71405</v>
      </c>
      <c r="B963" s="8">
        <f>CHOOSE( CONTROL!$C$29, 16.9144, 16.9076) * CHOOSE(CONTROL!$C$12, $D$4, 100%, $F$4)</f>
        <v>16.907599999999999</v>
      </c>
      <c r="C963" s="8">
        <f>CHOOSE( CONTROL!$C$29, 16.9247, 16.9179) * CHOOSE(CONTROL!$C$12, $D$4, 100%, $F$4)</f>
        <v>16.917899999999999</v>
      </c>
      <c r="D963" s="8">
        <f>CHOOSE( CONTROL!$C$29, 16.8995, 16.8926) * CHOOSE( CONTROL!$C$12, $D$4, 100%, $F$4)</f>
        <v>16.892600000000002</v>
      </c>
      <c r="E963" s="12">
        <f>CHOOSE( CONTROL!$C$29, 16.9071, 16.9002) * CHOOSE( CONTROL!$C$12, $D$4, 100%, $F$4)</f>
        <v>16.900200000000002</v>
      </c>
      <c r="F963" s="4">
        <f>CHOOSE( CONTROL!$C$29, 17.8786, 17.8717) * CHOOSE(CONTROL!$C$12, $D$4, 100%, $F$4)</f>
        <v>17.871700000000001</v>
      </c>
      <c r="G963" s="8">
        <f>CHOOSE( CONTROL!$C$29, 16.6525, 16.6458) * CHOOSE( CONTROL!$C$12, $D$4, 100%, $F$4)</f>
        <v>16.645800000000001</v>
      </c>
      <c r="H963" s="4">
        <f>CHOOSE( CONTROL!$C$29, 17.5413, 17.5346) * CHOOSE(CONTROL!$C$12, $D$4, 100%, $F$4)</f>
        <v>17.534600000000001</v>
      </c>
      <c r="I963" s="8">
        <f>CHOOSE( CONTROL!$C$29, 16.4262, 16.4196) * CHOOSE(CONTROL!$C$12, $D$4, 100%, $F$4)</f>
        <v>16.419599999999999</v>
      </c>
      <c r="J963" s="4">
        <f>CHOOSE( CONTROL!$C$29, 16.3891, 16.3825) * CHOOSE(CONTROL!$C$12, $D$4, 100%, $F$4)</f>
        <v>16.3825</v>
      </c>
      <c r="K963" s="4"/>
      <c r="L963" s="9">
        <v>28.568200000000001</v>
      </c>
      <c r="M963" s="9">
        <v>11.6745</v>
      </c>
      <c r="N963" s="9">
        <v>4.7850000000000001</v>
      </c>
      <c r="O963" s="9">
        <v>0.36249999999999999</v>
      </c>
      <c r="P963" s="9">
        <v>1.1798</v>
      </c>
      <c r="Q963" s="9">
        <v>19.053000000000001</v>
      </c>
      <c r="R963" s="9"/>
      <c r="S963" s="11"/>
    </row>
    <row r="964" spans="1:19" ht="15.6">
      <c r="A964" s="13">
        <v>71436</v>
      </c>
      <c r="B964" s="8">
        <f>CHOOSE( CONTROL!$C$29, 17.6419, 17.6351) * CHOOSE(CONTROL!$C$12, $D$4, 100%, $F$4)</f>
        <v>17.635100000000001</v>
      </c>
      <c r="C964" s="8">
        <f>CHOOSE( CONTROL!$C$29, 17.6522, 17.6454) * CHOOSE(CONTROL!$C$12, $D$4, 100%, $F$4)</f>
        <v>17.645399999999999</v>
      </c>
      <c r="D964" s="8">
        <f>CHOOSE( CONTROL!$C$29, 17.6604, 17.6535) * CHOOSE( CONTROL!$C$12, $D$4, 100%, $F$4)</f>
        <v>17.653500000000001</v>
      </c>
      <c r="E964" s="12">
        <f>CHOOSE( CONTROL!$C$29, 17.6559, 17.649) * CHOOSE( CONTROL!$C$12, $D$4, 100%, $F$4)</f>
        <v>17.649000000000001</v>
      </c>
      <c r="F964" s="4">
        <f>CHOOSE( CONTROL!$C$29, 18.6509, 18.6441) * CHOOSE(CONTROL!$C$12, $D$4, 100%, $F$4)</f>
        <v>18.644100000000002</v>
      </c>
      <c r="G964" s="8">
        <f>CHOOSE( CONTROL!$C$29, 17.3957, 17.389) * CHOOSE( CONTROL!$C$12, $D$4, 100%, $F$4)</f>
        <v>17.388999999999999</v>
      </c>
      <c r="H964" s="4">
        <f>CHOOSE( CONTROL!$C$29, 18.3027, 18.2959) * CHOOSE(CONTROL!$C$12, $D$4, 100%, $F$4)</f>
        <v>18.2959</v>
      </c>
      <c r="I964" s="8">
        <f>CHOOSE( CONTROL!$C$29, 17.1868, 17.1801) * CHOOSE(CONTROL!$C$12, $D$4, 100%, $F$4)</f>
        <v>17.180099999999999</v>
      </c>
      <c r="J964" s="4">
        <f>CHOOSE( CONTROL!$C$29, 17.0941, 17.0874) * CHOOSE(CONTROL!$C$12, $D$4, 100%, $F$4)</f>
        <v>17.087399999999999</v>
      </c>
      <c r="K964" s="4"/>
      <c r="L964" s="9">
        <v>29.520499999999998</v>
      </c>
      <c r="M964" s="9">
        <v>12.063700000000001</v>
      </c>
      <c r="N964" s="9">
        <v>4.9444999999999997</v>
      </c>
      <c r="O964" s="9">
        <v>0.37459999999999999</v>
      </c>
      <c r="P964" s="9">
        <v>1.2192000000000001</v>
      </c>
      <c r="Q964" s="9">
        <v>19.688099999999999</v>
      </c>
      <c r="R964" s="9"/>
      <c r="S964" s="11"/>
    </row>
    <row r="965" spans="1:19" ht="15.6">
      <c r="A965" s="13">
        <v>71467</v>
      </c>
      <c r="B965" s="8">
        <f>CHOOSE( CONTROL!$C$29, 16.2807, 16.2739) * CHOOSE(CONTROL!$C$12, $D$4, 100%, $F$4)</f>
        <v>16.273900000000001</v>
      </c>
      <c r="C965" s="8">
        <f>CHOOSE( CONTROL!$C$29, 16.291, 16.2842) * CHOOSE(CONTROL!$C$12, $D$4, 100%, $F$4)</f>
        <v>16.284199999999998</v>
      </c>
      <c r="D965" s="8">
        <f>CHOOSE( CONTROL!$C$29, 16.2925, 16.2857) * CHOOSE( CONTROL!$C$12, $D$4, 100%, $F$4)</f>
        <v>16.285699999999999</v>
      </c>
      <c r="E965" s="12">
        <f>CHOOSE( CONTROL!$C$29, 16.2904, 16.2836) * CHOOSE( CONTROL!$C$12, $D$4, 100%, $F$4)</f>
        <v>16.2836</v>
      </c>
      <c r="F965" s="4">
        <f>CHOOSE( CONTROL!$C$29, 17.2871, 17.2803) * CHOOSE(CONTROL!$C$12, $D$4, 100%, $F$4)</f>
        <v>17.2803</v>
      </c>
      <c r="G965" s="8">
        <f>CHOOSE( CONTROL!$C$29, 16.044, 16.0372) * CHOOSE( CONTROL!$C$12, $D$4, 100%, $F$4)</f>
        <v>16.037199999999999</v>
      </c>
      <c r="H965" s="4">
        <f>CHOOSE( CONTROL!$C$29, 16.9583, 16.9516) * CHOOSE(CONTROL!$C$12, $D$4, 100%, $F$4)</f>
        <v>16.951599999999999</v>
      </c>
      <c r="I965" s="8">
        <f>CHOOSE( CONTROL!$C$29, 15.8482, 15.8416) * CHOOSE(CONTROL!$C$12, $D$4, 100%, $F$4)</f>
        <v>15.8416</v>
      </c>
      <c r="J965" s="4">
        <f>CHOOSE( CONTROL!$C$29, 15.7751, 15.7684) * CHOOSE(CONTROL!$C$12, $D$4, 100%, $F$4)</f>
        <v>15.7684</v>
      </c>
      <c r="K965" s="4"/>
      <c r="L965" s="9">
        <v>29.520499999999998</v>
      </c>
      <c r="M965" s="9">
        <v>12.063700000000001</v>
      </c>
      <c r="N965" s="9">
        <v>4.9444999999999997</v>
      </c>
      <c r="O965" s="9">
        <v>0.37459999999999999</v>
      </c>
      <c r="P965" s="9">
        <v>1.2192000000000001</v>
      </c>
      <c r="Q965" s="9">
        <v>19.688099999999999</v>
      </c>
      <c r="R965" s="9"/>
      <c r="S965" s="11"/>
    </row>
    <row r="966" spans="1:19" ht="15.6">
      <c r="A966" s="13">
        <v>71497</v>
      </c>
      <c r="B966" s="8">
        <f>CHOOSE( CONTROL!$C$29, 15.9398, 15.933) * CHOOSE(CONTROL!$C$12, $D$4, 100%, $F$4)</f>
        <v>15.933</v>
      </c>
      <c r="C966" s="8">
        <f>CHOOSE( CONTROL!$C$29, 15.9502, 15.9433) * CHOOSE(CONTROL!$C$12, $D$4, 100%, $F$4)</f>
        <v>15.943300000000001</v>
      </c>
      <c r="D966" s="8">
        <f>CHOOSE( CONTROL!$C$29, 15.9548, 15.948) * CHOOSE( CONTROL!$C$12, $D$4, 100%, $F$4)</f>
        <v>15.948</v>
      </c>
      <c r="E966" s="12">
        <f>CHOOSE( CONTROL!$C$29, 15.9515, 15.9447) * CHOOSE( CONTROL!$C$12, $D$4, 100%, $F$4)</f>
        <v>15.944699999999999</v>
      </c>
      <c r="F966" s="4">
        <f>CHOOSE( CONTROL!$C$29, 16.9514, 16.9446) * CHOOSE(CONTROL!$C$12, $D$4, 100%, $F$4)</f>
        <v>16.944600000000001</v>
      </c>
      <c r="G966" s="8">
        <f>CHOOSE( CONTROL!$C$29, 15.71, 15.7033) * CHOOSE( CONTROL!$C$12, $D$4, 100%, $F$4)</f>
        <v>15.7033</v>
      </c>
      <c r="H966" s="4">
        <f>CHOOSE( CONTROL!$C$29, 16.6274, 16.6206) * CHOOSE(CONTROL!$C$12, $D$4, 100%, $F$4)</f>
        <v>16.6206</v>
      </c>
      <c r="I966" s="8">
        <f>CHOOSE( CONTROL!$C$29, 15.5255, 15.5189) * CHOOSE(CONTROL!$C$12, $D$4, 100%, $F$4)</f>
        <v>15.5189</v>
      </c>
      <c r="J966" s="4">
        <f>CHOOSE( CONTROL!$C$29, 15.4448, 15.4381) * CHOOSE(CONTROL!$C$12, $D$4, 100%, $F$4)</f>
        <v>15.4381</v>
      </c>
      <c r="K966" s="4"/>
      <c r="L966" s="9">
        <v>28.568200000000001</v>
      </c>
      <c r="M966" s="9">
        <v>11.6745</v>
      </c>
      <c r="N966" s="9">
        <v>4.7850000000000001</v>
      </c>
      <c r="O966" s="9">
        <v>0.36249999999999999</v>
      </c>
      <c r="P966" s="9">
        <v>1.1798</v>
      </c>
      <c r="Q966" s="9">
        <v>19.053000000000001</v>
      </c>
      <c r="R966" s="9"/>
      <c r="S966" s="11"/>
    </row>
    <row r="967" spans="1:19" ht="15.6">
      <c r="A967" s="13">
        <v>71528</v>
      </c>
      <c r="B967" s="8">
        <f>16.6408 * CHOOSE(CONTROL!$C$12, $D$4, 100%, $F$4)</f>
        <v>16.640799999999999</v>
      </c>
      <c r="C967" s="8">
        <f>16.6511 * CHOOSE(CONTROL!$C$12, $D$4, 100%, $F$4)</f>
        <v>16.6511</v>
      </c>
      <c r="D967" s="8">
        <f>16.6461 * CHOOSE( CONTROL!$C$12, $D$4, 100%, $F$4)</f>
        <v>16.646100000000001</v>
      </c>
      <c r="E967" s="12">
        <f>16.6467 * CHOOSE( CONTROL!$C$12, $D$4, 100%, $F$4)</f>
        <v>16.646699999999999</v>
      </c>
      <c r="F967" s="4">
        <f>17.6317 * CHOOSE(CONTROL!$C$12, $D$4, 100%, $F$4)</f>
        <v>17.631699999999999</v>
      </c>
      <c r="G967" s="8">
        <f>16.3977 * CHOOSE( CONTROL!$C$12, $D$4, 100%, $F$4)</f>
        <v>16.3977</v>
      </c>
      <c r="H967" s="4">
        <f>17.298 * CHOOSE(CONTROL!$C$12, $D$4, 100%, $F$4)</f>
        <v>17.297999999999998</v>
      </c>
      <c r="I967" s="8">
        <f>16.2089 * CHOOSE(CONTROL!$C$12, $D$4, 100%, $F$4)</f>
        <v>16.2089</v>
      </c>
      <c r="J967" s="4">
        <f>16.1239 * CHOOSE(CONTROL!$C$12, $D$4, 100%, $F$4)</f>
        <v>16.123899999999999</v>
      </c>
      <c r="K967" s="4"/>
      <c r="L967" s="9">
        <v>28.921800000000001</v>
      </c>
      <c r="M967" s="9">
        <v>12.063700000000001</v>
      </c>
      <c r="N967" s="9">
        <v>4.9444999999999997</v>
      </c>
      <c r="O967" s="9">
        <v>0.37459999999999999</v>
      </c>
      <c r="P967" s="9">
        <v>1.2192000000000001</v>
      </c>
      <c r="Q967" s="9">
        <v>19.688099999999999</v>
      </c>
      <c r="R967" s="9"/>
      <c r="S967" s="11"/>
    </row>
    <row r="968" spans="1:19" ht="15.6">
      <c r="A968" s="13">
        <v>71558</v>
      </c>
      <c r="B968" s="8">
        <f>17.9471 * CHOOSE(CONTROL!$C$12, $D$4, 100%, $F$4)</f>
        <v>17.947099999999999</v>
      </c>
      <c r="C968" s="8">
        <f>17.9574 * CHOOSE(CONTROL!$C$12, $D$4, 100%, $F$4)</f>
        <v>17.9574</v>
      </c>
      <c r="D968" s="8">
        <f>17.9168 * CHOOSE( CONTROL!$C$12, $D$4, 100%, $F$4)</f>
        <v>17.916799999999999</v>
      </c>
      <c r="E968" s="12">
        <f>17.9305 * CHOOSE( CONTROL!$C$12, $D$4, 100%, $F$4)</f>
        <v>17.930499999999999</v>
      </c>
      <c r="F968" s="4">
        <f>18.9242 * CHOOSE(CONTROL!$C$12, $D$4, 100%, $F$4)</f>
        <v>18.924199999999999</v>
      </c>
      <c r="G968" s="8">
        <f>17.6794 * CHOOSE( CONTROL!$C$12, $D$4, 100%, $F$4)</f>
        <v>17.679400000000001</v>
      </c>
      <c r="H968" s="4">
        <f>18.572 * CHOOSE(CONTROL!$C$12, $D$4, 100%, $F$4)</f>
        <v>18.571999999999999</v>
      </c>
      <c r="I968" s="8">
        <f>17.4597 * CHOOSE(CONTROL!$C$12, $D$4, 100%, $F$4)</f>
        <v>17.459700000000002</v>
      </c>
      <c r="J968" s="4">
        <f>17.3898 * CHOOSE(CONTROL!$C$12, $D$4, 100%, $F$4)</f>
        <v>17.389800000000001</v>
      </c>
      <c r="K968" s="4"/>
      <c r="L968" s="9">
        <v>26.515499999999999</v>
      </c>
      <c r="M968" s="9">
        <v>11.6745</v>
      </c>
      <c r="N968" s="9">
        <v>4.7850000000000001</v>
      </c>
      <c r="O968" s="9">
        <v>0.36249999999999999</v>
      </c>
      <c r="P968" s="9">
        <v>1.2522</v>
      </c>
      <c r="Q968" s="9">
        <v>19.053000000000001</v>
      </c>
      <c r="R968" s="9"/>
      <c r="S968" s="11"/>
    </row>
    <row r="969" spans="1:19" ht="15.6">
      <c r="A969" s="13">
        <v>71589</v>
      </c>
      <c r="B969" s="8">
        <f>17.9145 * CHOOSE(CONTROL!$C$12, $D$4, 100%, $F$4)</f>
        <v>17.9145</v>
      </c>
      <c r="C969" s="8">
        <f>17.9248 * CHOOSE(CONTROL!$C$12, $D$4, 100%, $F$4)</f>
        <v>17.924800000000001</v>
      </c>
      <c r="D969" s="8">
        <f>17.886 * CHOOSE( CONTROL!$C$12, $D$4, 100%, $F$4)</f>
        <v>17.885999999999999</v>
      </c>
      <c r="E969" s="12">
        <f>17.8991 * CHOOSE( CONTROL!$C$12, $D$4, 100%, $F$4)</f>
        <v>17.899100000000001</v>
      </c>
      <c r="F969" s="4">
        <f>18.8848 * CHOOSE(CONTROL!$C$12, $D$4, 100%, $F$4)</f>
        <v>18.884799999999998</v>
      </c>
      <c r="G969" s="8">
        <f>17.6496 * CHOOSE( CONTROL!$C$12, $D$4, 100%, $F$4)</f>
        <v>17.6496</v>
      </c>
      <c r="H969" s="4">
        <f>18.5332 * CHOOSE(CONTROL!$C$12, $D$4, 100%, $F$4)</f>
        <v>18.533200000000001</v>
      </c>
      <c r="I969" s="8">
        <f>17.4388 * CHOOSE(CONTROL!$C$12, $D$4, 100%, $F$4)</f>
        <v>17.438800000000001</v>
      </c>
      <c r="J969" s="4">
        <f>17.3582 * CHOOSE(CONTROL!$C$12, $D$4, 100%, $F$4)</f>
        <v>17.3582</v>
      </c>
      <c r="K969" s="4"/>
      <c r="L969" s="9">
        <v>27.3993</v>
      </c>
      <c r="M969" s="9">
        <v>12.063700000000001</v>
      </c>
      <c r="N969" s="9">
        <v>4.9444999999999997</v>
      </c>
      <c r="O969" s="9">
        <v>0.37459999999999999</v>
      </c>
      <c r="P969" s="9">
        <v>1.2939000000000001</v>
      </c>
      <c r="Q969" s="9">
        <v>19.688099999999999</v>
      </c>
      <c r="R969" s="9"/>
      <c r="S969" s="11"/>
    </row>
    <row r="970" spans="1:19" ht="15.6">
      <c r="A970" s="13">
        <v>71620</v>
      </c>
      <c r="B970" s="8">
        <f>18.3325 * CHOOSE(CONTROL!$C$12, $D$4, 100%, $F$4)</f>
        <v>18.3325</v>
      </c>
      <c r="C970" s="8">
        <f>18.3428 * CHOOSE(CONTROL!$C$12, $D$4, 100%, $F$4)</f>
        <v>18.3428</v>
      </c>
      <c r="D970" s="8">
        <f>18.3427 * CHOOSE( CONTROL!$C$12, $D$4, 100%, $F$4)</f>
        <v>18.342700000000001</v>
      </c>
      <c r="E970" s="12">
        <f>18.3416 * CHOOSE( CONTROL!$C$12, $D$4, 100%, $F$4)</f>
        <v>18.3416</v>
      </c>
      <c r="F970" s="4">
        <f>19.3544 * CHOOSE(CONTROL!$C$12, $D$4, 100%, $F$4)</f>
        <v>19.354399999999998</v>
      </c>
      <c r="G970" s="8">
        <f>18.1027 * CHOOSE( CONTROL!$C$12, $D$4, 100%, $F$4)</f>
        <v>18.102699999999999</v>
      </c>
      <c r="H970" s="4">
        <f>18.9962 * CHOOSE(CONTROL!$C$12, $D$4, 100%, $F$4)</f>
        <v>18.996200000000002</v>
      </c>
      <c r="I970" s="8">
        <f>17.8807 * CHOOSE(CONTROL!$C$12, $D$4, 100%, $F$4)</f>
        <v>17.880700000000001</v>
      </c>
      <c r="J970" s="4">
        <f>17.7633 * CHOOSE(CONTROL!$C$12, $D$4, 100%, $F$4)</f>
        <v>17.763300000000001</v>
      </c>
      <c r="K970" s="4"/>
      <c r="L970" s="9">
        <v>27.3993</v>
      </c>
      <c r="M970" s="9">
        <v>12.063700000000001</v>
      </c>
      <c r="N970" s="9">
        <v>4.9444999999999997</v>
      </c>
      <c r="O970" s="9">
        <v>0.37459999999999999</v>
      </c>
      <c r="P970" s="9">
        <v>1.2939000000000001</v>
      </c>
      <c r="Q970" s="9">
        <v>19.688099999999999</v>
      </c>
      <c r="R970" s="9"/>
      <c r="S970" s="11"/>
    </row>
    <row r="971" spans="1:19" ht="15.6">
      <c r="A971" s="13">
        <v>71649</v>
      </c>
      <c r="B971" s="8">
        <f>17.1474 * CHOOSE(CONTROL!$C$12, $D$4, 100%, $F$4)</f>
        <v>17.147400000000001</v>
      </c>
      <c r="C971" s="8">
        <f>17.1577 * CHOOSE(CONTROL!$C$12, $D$4, 100%, $F$4)</f>
        <v>17.157699999999998</v>
      </c>
      <c r="D971" s="8">
        <f>17.1598 * CHOOSE( CONTROL!$C$12, $D$4, 100%, $F$4)</f>
        <v>17.159800000000001</v>
      </c>
      <c r="E971" s="12">
        <f>17.1579 * CHOOSE( CONTROL!$C$12, $D$4, 100%, $F$4)</f>
        <v>17.157900000000001</v>
      </c>
      <c r="F971" s="4">
        <f>18.1616 * CHOOSE(CONTROL!$C$12, $D$4, 100%, $F$4)</f>
        <v>18.1616</v>
      </c>
      <c r="G971" s="8">
        <f>16.9343 * CHOOSE( CONTROL!$C$12, $D$4, 100%, $F$4)</f>
        <v>16.9343</v>
      </c>
      <c r="H971" s="4">
        <f>17.8203 * CHOOSE(CONTROL!$C$12, $D$4, 100%, $F$4)</f>
        <v>17.8203</v>
      </c>
      <c r="I971" s="8">
        <f>16.7209 * CHOOSE(CONTROL!$C$12, $D$4, 100%, $F$4)</f>
        <v>16.7209</v>
      </c>
      <c r="J971" s="4">
        <f>16.6149 * CHOOSE(CONTROL!$C$12, $D$4, 100%, $F$4)</f>
        <v>16.614899999999999</v>
      </c>
      <c r="K971" s="4"/>
      <c r="L971" s="9">
        <v>25.631599999999999</v>
      </c>
      <c r="M971" s="9">
        <v>11.285299999999999</v>
      </c>
      <c r="N971" s="9">
        <v>4.6254999999999997</v>
      </c>
      <c r="O971" s="9">
        <v>0.35039999999999999</v>
      </c>
      <c r="P971" s="9">
        <v>1.2104999999999999</v>
      </c>
      <c r="Q971" s="9">
        <v>18.417899999999999</v>
      </c>
      <c r="R971" s="9"/>
      <c r="S971" s="11"/>
    </row>
    <row r="972" spans="1:19" ht="15.6">
      <c r="A972" s="13">
        <v>71680</v>
      </c>
      <c r="B972" s="8">
        <f>16.7824 * CHOOSE(CONTROL!$C$12, $D$4, 100%, $F$4)</f>
        <v>16.782399999999999</v>
      </c>
      <c r="C972" s="8">
        <f>16.7927 * CHOOSE(CONTROL!$C$12, $D$4, 100%, $F$4)</f>
        <v>16.7927</v>
      </c>
      <c r="D972" s="8">
        <f>16.7749 * CHOOSE( CONTROL!$C$12, $D$4, 100%, $F$4)</f>
        <v>16.774899999999999</v>
      </c>
      <c r="E972" s="12">
        <f>16.7803 * CHOOSE( CONTROL!$C$12, $D$4, 100%, $F$4)</f>
        <v>16.7803</v>
      </c>
      <c r="F972" s="4">
        <f>17.7806 * CHOOSE(CONTROL!$C$12, $D$4, 100%, $F$4)</f>
        <v>17.7806</v>
      </c>
      <c r="G972" s="8">
        <f>16.554 * CHOOSE( CONTROL!$C$12, $D$4, 100%, $F$4)</f>
        <v>16.553999999999998</v>
      </c>
      <c r="H972" s="4">
        <f>17.4447 * CHOOSE(CONTROL!$C$12, $D$4, 100%, $F$4)</f>
        <v>17.444700000000001</v>
      </c>
      <c r="I972" s="8">
        <f>16.3275 * CHOOSE(CONTROL!$C$12, $D$4, 100%, $F$4)</f>
        <v>16.327500000000001</v>
      </c>
      <c r="J972" s="4">
        <f>16.2612 * CHOOSE(CONTROL!$C$12, $D$4, 100%, $F$4)</f>
        <v>16.261199999999999</v>
      </c>
      <c r="K972" s="4"/>
      <c r="L972" s="9">
        <v>27.3993</v>
      </c>
      <c r="M972" s="9">
        <v>12.063700000000001</v>
      </c>
      <c r="N972" s="9">
        <v>4.9444999999999997</v>
      </c>
      <c r="O972" s="9">
        <v>0.37459999999999999</v>
      </c>
      <c r="P972" s="9">
        <v>1.2939000000000001</v>
      </c>
      <c r="Q972" s="9">
        <v>19.688099999999999</v>
      </c>
      <c r="R972" s="9"/>
      <c r="S972" s="11"/>
    </row>
    <row r="973" spans="1:19" ht="15.6">
      <c r="A973" s="13">
        <v>71710</v>
      </c>
      <c r="B973" s="8">
        <f>17.0375 * CHOOSE(CONTROL!$C$12, $D$4, 100%, $F$4)</f>
        <v>17.037500000000001</v>
      </c>
      <c r="C973" s="8">
        <f>17.0478 * CHOOSE(CONTROL!$C$12, $D$4, 100%, $F$4)</f>
        <v>17.047799999999999</v>
      </c>
      <c r="D973" s="8">
        <f>17.0528 * CHOOSE( CONTROL!$C$12, $D$4, 100%, $F$4)</f>
        <v>17.052800000000001</v>
      </c>
      <c r="E973" s="12">
        <f>17.05 * CHOOSE( CONTROL!$C$12, $D$4, 100%, $F$4)</f>
        <v>17.05</v>
      </c>
      <c r="F973" s="4">
        <f>18.0439 * CHOOSE(CONTROL!$C$12, $D$4, 100%, $F$4)</f>
        <v>18.043900000000001</v>
      </c>
      <c r="G973" s="8">
        <f>16.7933 * CHOOSE( CONTROL!$C$12, $D$4, 100%, $F$4)</f>
        <v>16.793299999999999</v>
      </c>
      <c r="H973" s="4">
        <f>17.7043 * CHOOSE(CONTROL!$C$12, $D$4, 100%, $F$4)</f>
        <v>17.7043</v>
      </c>
      <c r="I973" s="8">
        <f>16.5649 * CHOOSE(CONTROL!$C$12, $D$4, 100%, $F$4)</f>
        <v>16.564900000000002</v>
      </c>
      <c r="J973" s="4">
        <f>16.5084 * CHOOSE(CONTROL!$C$12, $D$4, 100%, $F$4)</f>
        <v>16.508400000000002</v>
      </c>
      <c r="K973" s="4"/>
      <c r="L973" s="9">
        <v>27.988800000000001</v>
      </c>
      <c r="M973" s="9">
        <v>11.6745</v>
      </c>
      <c r="N973" s="9">
        <v>4.7850000000000001</v>
      </c>
      <c r="O973" s="9">
        <v>0.36249999999999999</v>
      </c>
      <c r="P973" s="9">
        <v>1.1798</v>
      </c>
      <c r="Q973" s="9">
        <v>19.053000000000001</v>
      </c>
      <c r="R973" s="9"/>
      <c r="S973" s="11"/>
    </row>
    <row r="974" spans="1:19" ht="15.6">
      <c r="A974" s="13">
        <v>71741</v>
      </c>
      <c r="B974" s="8">
        <f>CHOOSE( CONTROL!$C$29, 17.4983, 17.4914) * CHOOSE(CONTROL!$C$12, $D$4, 100%, $F$4)</f>
        <v>17.491399999999999</v>
      </c>
      <c r="C974" s="8">
        <f>CHOOSE( CONTROL!$C$29, 17.5086, 17.5017) * CHOOSE(CONTROL!$C$12, $D$4, 100%, $F$4)</f>
        <v>17.5017</v>
      </c>
      <c r="D974" s="8">
        <f>CHOOSE( CONTROL!$C$29, 17.4888, 17.482) * CHOOSE( CONTROL!$C$12, $D$4, 100%, $F$4)</f>
        <v>17.481999999999999</v>
      </c>
      <c r="E974" s="12">
        <f>CHOOSE( CONTROL!$C$29, 17.4944, 17.4876) * CHOOSE( CONTROL!$C$12, $D$4, 100%, $F$4)</f>
        <v>17.4876</v>
      </c>
      <c r="F974" s="4">
        <f>CHOOSE( CONTROL!$C$29, 18.4727, 18.4659) * CHOOSE(CONTROL!$C$12, $D$4, 100%, $F$4)</f>
        <v>18.465900000000001</v>
      </c>
      <c r="G974" s="8">
        <f>CHOOSE( CONTROL!$C$29, 17.2293, 17.2226) * CHOOSE( CONTROL!$C$12, $D$4, 100%, $F$4)</f>
        <v>17.2226</v>
      </c>
      <c r="H974" s="4">
        <f>CHOOSE( CONTROL!$C$29, 18.127, 18.1202) * CHOOSE(CONTROL!$C$12, $D$4, 100%, $F$4)</f>
        <v>18.120200000000001</v>
      </c>
      <c r="I974" s="8">
        <f>CHOOSE( CONTROL!$C$29, 16.99, 16.9834) * CHOOSE(CONTROL!$C$12, $D$4, 100%, $F$4)</f>
        <v>16.9834</v>
      </c>
      <c r="J974" s="4">
        <f>CHOOSE( CONTROL!$C$29, 16.9549, 16.9482) * CHOOSE(CONTROL!$C$12, $D$4, 100%, $F$4)</f>
        <v>16.9482</v>
      </c>
      <c r="K974" s="4"/>
      <c r="L974" s="9">
        <v>29.520499999999998</v>
      </c>
      <c r="M974" s="9">
        <v>12.063700000000001</v>
      </c>
      <c r="N974" s="9">
        <v>4.9444999999999997</v>
      </c>
      <c r="O974" s="9">
        <v>0.37459999999999999</v>
      </c>
      <c r="P974" s="9">
        <v>1.2192000000000001</v>
      </c>
      <c r="Q974" s="9">
        <v>19.688099999999999</v>
      </c>
      <c r="R974" s="9"/>
      <c r="S974" s="11"/>
    </row>
    <row r="975" spans="1:19" ht="15.6">
      <c r="A975" s="13">
        <v>71771</v>
      </c>
      <c r="B975" s="8">
        <f>CHOOSE( CONTROL!$C$29, 17.2171, 17.2102) * CHOOSE(CONTROL!$C$12, $D$4, 100%, $F$4)</f>
        <v>17.2102</v>
      </c>
      <c r="C975" s="8">
        <f>CHOOSE( CONTROL!$C$29, 17.2274, 17.2205) * CHOOSE(CONTROL!$C$12, $D$4, 100%, $F$4)</f>
        <v>17.220500000000001</v>
      </c>
      <c r="D975" s="8">
        <f>CHOOSE( CONTROL!$C$29, 17.2021, 17.1953) * CHOOSE( CONTROL!$C$12, $D$4, 100%, $F$4)</f>
        <v>17.1953</v>
      </c>
      <c r="E975" s="12">
        <f>CHOOSE( CONTROL!$C$29, 17.2097, 17.2029) * CHOOSE( CONTROL!$C$12, $D$4, 100%, $F$4)</f>
        <v>17.2029</v>
      </c>
      <c r="F975" s="4">
        <f>CHOOSE( CONTROL!$C$29, 18.1812, 18.1743) * CHOOSE(CONTROL!$C$12, $D$4, 100%, $F$4)</f>
        <v>18.174299999999999</v>
      </c>
      <c r="G975" s="8">
        <f>CHOOSE( CONTROL!$C$29, 16.9509, 16.9441) * CHOOSE( CONTROL!$C$12, $D$4, 100%, $F$4)</f>
        <v>16.944099999999999</v>
      </c>
      <c r="H975" s="4">
        <f>CHOOSE( CONTROL!$C$29, 17.8396, 17.8329) * CHOOSE(CONTROL!$C$12, $D$4, 100%, $F$4)</f>
        <v>17.832899999999999</v>
      </c>
      <c r="I975" s="8">
        <f>CHOOSE( CONTROL!$C$29, 16.7196, 16.713) * CHOOSE(CONTROL!$C$12, $D$4, 100%, $F$4)</f>
        <v>16.713000000000001</v>
      </c>
      <c r="J975" s="4">
        <f>CHOOSE( CONTROL!$C$29, 16.6824, 16.6758) * CHOOSE(CONTROL!$C$12, $D$4, 100%, $F$4)</f>
        <v>16.675799999999999</v>
      </c>
      <c r="K975" s="4"/>
      <c r="L975" s="9">
        <v>28.568200000000001</v>
      </c>
      <c r="M975" s="9">
        <v>11.6745</v>
      </c>
      <c r="N975" s="9">
        <v>4.7850000000000001</v>
      </c>
      <c r="O975" s="9">
        <v>0.36249999999999999</v>
      </c>
      <c r="P975" s="9">
        <v>1.1798</v>
      </c>
      <c r="Q975" s="9">
        <v>19.053000000000001</v>
      </c>
      <c r="R975" s="9"/>
      <c r="S975" s="11"/>
    </row>
    <row r="976" spans="1:19" ht="15.6">
      <c r="A976" s="13">
        <v>71802</v>
      </c>
      <c r="B976" s="8">
        <f>CHOOSE( CONTROL!$C$29, 17.9576, 17.9507) * CHOOSE(CONTROL!$C$12, $D$4, 100%, $F$4)</f>
        <v>17.950700000000001</v>
      </c>
      <c r="C976" s="8">
        <f>CHOOSE( CONTROL!$C$29, 17.9679, 17.9611) * CHOOSE(CONTROL!$C$12, $D$4, 100%, $F$4)</f>
        <v>17.961099999999998</v>
      </c>
      <c r="D976" s="8">
        <f>CHOOSE( CONTROL!$C$29, 17.976, 17.9692) * CHOOSE( CONTROL!$C$12, $D$4, 100%, $F$4)</f>
        <v>17.969200000000001</v>
      </c>
      <c r="E976" s="12">
        <f>CHOOSE( CONTROL!$C$29, 17.9715, 17.9647) * CHOOSE( CONTROL!$C$12, $D$4, 100%, $F$4)</f>
        <v>17.964700000000001</v>
      </c>
      <c r="F976" s="4">
        <f>CHOOSE( CONTROL!$C$29, 18.9666, 18.9598) * CHOOSE(CONTROL!$C$12, $D$4, 100%, $F$4)</f>
        <v>18.959800000000001</v>
      </c>
      <c r="G976" s="8">
        <f>CHOOSE( CONTROL!$C$29, 17.7069, 17.7001) * CHOOSE( CONTROL!$C$12, $D$4, 100%, $F$4)</f>
        <v>17.700099999999999</v>
      </c>
      <c r="H976" s="4">
        <f>CHOOSE( CONTROL!$C$29, 18.6138, 18.6071) * CHOOSE(CONTROL!$C$12, $D$4, 100%, $F$4)</f>
        <v>18.607099999999999</v>
      </c>
      <c r="I976" s="8">
        <f>CHOOSE( CONTROL!$C$29, 17.4928, 17.4862) * CHOOSE(CONTROL!$C$12, $D$4, 100%, $F$4)</f>
        <v>17.4862</v>
      </c>
      <c r="J976" s="4">
        <f>CHOOSE( CONTROL!$C$29, 17.3999, 17.3933) * CHOOSE(CONTROL!$C$12, $D$4, 100%, $F$4)</f>
        <v>17.3933</v>
      </c>
      <c r="K976" s="4"/>
      <c r="L976" s="9">
        <v>29.520499999999998</v>
      </c>
      <c r="M976" s="9">
        <v>12.063700000000001</v>
      </c>
      <c r="N976" s="9">
        <v>4.9444999999999997</v>
      </c>
      <c r="O976" s="9">
        <v>0.37459999999999999</v>
      </c>
      <c r="P976" s="9">
        <v>1.2192000000000001</v>
      </c>
      <c r="Q976" s="9">
        <v>19.688099999999999</v>
      </c>
      <c r="R976" s="9"/>
      <c r="S976" s="11"/>
    </row>
    <row r="977" spans="1:19" ht="15.6">
      <c r="A977" s="13">
        <v>71833</v>
      </c>
      <c r="B977" s="8">
        <f>CHOOSE( CONTROL!$C$29, 16.572, 16.5651) * CHOOSE(CONTROL!$C$12, $D$4, 100%, $F$4)</f>
        <v>16.565100000000001</v>
      </c>
      <c r="C977" s="8">
        <f>CHOOSE( CONTROL!$C$29, 16.5823, 16.5755) * CHOOSE(CONTROL!$C$12, $D$4, 100%, $F$4)</f>
        <v>16.575500000000002</v>
      </c>
      <c r="D977" s="8">
        <f>CHOOSE( CONTROL!$C$29, 16.5838, 16.5769) * CHOOSE( CONTROL!$C$12, $D$4, 100%, $F$4)</f>
        <v>16.576899999999998</v>
      </c>
      <c r="E977" s="12">
        <f>CHOOSE( CONTROL!$C$29, 16.5817, 16.5748) * CHOOSE( CONTROL!$C$12, $D$4, 100%, $F$4)</f>
        <v>16.5748</v>
      </c>
      <c r="F977" s="4">
        <f>CHOOSE( CONTROL!$C$29, 17.5784, 17.5716) * CHOOSE(CONTROL!$C$12, $D$4, 100%, $F$4)</f>
        <v>17.5716</v>
      </c>
      <c r="G977" s="8">
        <f>CHOOSE( CONTROL!$C$29, 16.3311, 16.3244) * CHOOSE( CONTROL!$C$12, $D$4, 100%, $F$4)</f>
        <v>16.324400000000001</v>
      </c>
      <c r="H977" s="4">
        <f>CHOOSE( CONTROL!$C$29, 17.2454, 17.2387) * CHOOSE(CONTROL!$C$12, $D$4, 100%, $F$4)</f>
        <v>17.238700000000001</v>
      </c>
      <c r="I977" s="8">
        <f>CHOOSE( CONTROL!$C$29, 16.1306, 16.124) * CHOOSE(CONTROL!$C$12, $D$4, 100%, $F$4)</f>
        <v>16.123999999999999</v>
      </c>
      <c r="J977" s="4">
        <f>CHOOSE( CONTROL!$C$29, 16.0573, 16.0507) * CHOOSE(CONTROL!$C$12, $D$4, 100%, $F$4)</f>
        <v>16.050699999999999</v>
      </c>
      <c r="K977" s="4"/>
      <c r="L977" s="9">
        <v>29.520499999999998</v>
      </c>
      <c r="M977" s="9">
        <v>12.063700000000001</v>
      </c>
      <c r="N977" s="9">
        <v>4.9444999999999997</v>
      </c>
      <c r="O977" s="9">
        <v>0.37459999999999999</v>
      </c>
      <c r="P977" s="9">
        <v>1.2192000000000001</v>
      </c>
      <c r="Q977" s="9">
        <v>19.688099999999999</v>
      </c>
      <c r="R977" s="9"/>
      <c r="S977" s="11"/>
    </row>
    <row r="978" spans="1:19" ht="15.6">
      <c r="A978" s="13">
        <v>71863</v>
      </c>
      <c r="B978" s="8">
        <f>CHOOSE( CONTROL!$C$29, 16.225, 16.2182) * CHOOSE(CONTROL!$C$12, $D$4, 100%, $F$4)</f>
        <v>16.2182</v>
      </c>
      <c r="C978" s="8">
        <f>CHOOSE( CONTROL!$C$29, 16.2353, 16.2285) * CHOOSE(CONTROL!$C$12, $D$4, 100%, $F$4)</f>
        <v>16.2285</v>
      </c>
      <c r="D978" s="8">
        <f>CHOOSE( CONTROL!$C$29, 16.24, 16.2332) * CHOOSE( CONTROL!$C$12, $D$4, 100%, $F$4)</f>
        <v>16.2332</v>
      </c>
      <c r="E978" s="12">
        <f>CHOOSE( CONTROL!$C$29, 16.2367, 16.2299) * CHOOSE( CONTROL!$C$12, $D$4, 100%, $F$4)</f>
        <v>16.229900000000001</v>
      </c>
      <c r="F978" s="4">
        <f>CHOOSE( CONTROL!$C$29, 17.2366, 17.2298) * CHOOSE(CONTROL!$C$12, $D$4, 100%, $F$4)</f>
        <v>17.229800000000001</v>
      </c>
      <c r="G978" s="8">
        <f>CHOOSE( CONTROL!$C$29, 15.9911, 15.9844) * CHOOSE( CONTROL!$C$12, $D$4, 100%, $F$4)</f>
        <v>15.984400000000001</v>
      </c>
      <c r="H978" s="4">
        <f>CHOOSE( CONTROL!$C$29, 16.9085, 16.9018) * CHOOSE(CONTROL!$C$12, $D$4, 100%, $F$4)</f>
        <v>16.901800000000001</v>
      </c>
      <c r="I978" s="8">
        <f>CHOOSE( CONTROL!$C$29, 15.802, 15.7954) * CHOOSE(CONTROL!$C$12, $D$4, 100%, $F$4)</f>
        <v>15.795400000000001</v>
      </c>
      <c r="J978" s="4">
        <f>CHOOSE( CONTROL!$C$29, 15.7211, 15.7145) * CHOOSE(CONTROL!$C$12, $D$4, 100%, $F$4)</f>
        <v>15.714499999999999</v>
      </c>
      <c r="K978" s="4"/>
      <c r="L978" s="9">
        <v>28.568200000000001</v>
      </c>
      <c r="M978" s="9">
        <v>11.6745</v>
      </c>
      <c r="N978" s="9">
        <v>4.7850000000000001</v>
      </c>
      <c r="O978" s="9">
        <v>0.36249999999999999</v>
      </c>
      <c r="P978" s="9">
        <v>1.1798</v>
      </c>
      <c r="Q978" s="9">
        <v>19.053000000000001</v>
      </c>
      <c r="R978" s="9"/>
      <c r="S978" s="11"/>
    </row>
    <row r="979" spans="1:19" ht="15.6">
      <c r="A979" s="13">
        <v>71894</v>
      </c>
      <c r="B979" s="8">
        <f>16.9386 * CHOOSE(CONTROL!$C$12, $D$4, 100%, $F$4)</f>
        <v>16.938600000000001</v>
      </c>
      <c r="C979" s="8">
        <f>16.9489 * CHOOSE(CONTROL!$C$12, $D$4, 100%, $F$4)</f>
        <v>16.948899999999998</v>
      </c>
      <c r="D979" s="8">
        <f>16.944 * CHOOSE( CONTROL!$C$12, $D$4, 100%, $F$4)</f>
        <v>16.943999999999999</v>
      </c>
      <c r="E979" s="12">
        <f>16.9445 * CHOOSE( CONTROL!$C$12, $D$4, 100%, $F$4)</f>
        <v>16.944500000000001</v>
      </c>
      <c r="F979" s="4">
        <f>17.9296 * CHOOSE(CONTROL!$C$12, $D$4, 100%, $F$4)</f>
        <v>17.929600000000001</v>
      </c>
      <c r="G979" s="8">
        <f>16.6913 * CHOOSE( CONTROL!$C$12, $D$4, 100%, $F$4)</f>
        <v>16.691299999999998</v>
      </c>
      <c r="H979" s="4">
        <f>17.5916 * CHOOSE(CONTROL!$C$12, $D$4, 100%, $F$4)</f>
        <v>17.5916</v>
      </c>
      <c r="I979" s="8">
        <f>16.4977 * CHOOSE(CONTROL!$C$12, $D$4, 100%, $F$4)</f>
        <v>16.497699999999998</v>
      </c>
      <c r="J979" s="4">
        <f>16.4126 * CHOOSE(CONTROL!$C$12, $D$4, 100%, $F$4)</f>
        <v>16.412600000000001</v>
      </c>
      <c r="K979" s="4"/>
      <c r="L979" s="9">
        <v>28.921800000000001</v>
      </c>
      <c r="M979" s="9">
        <v>12.063700000000001</v>
      </c>
      <c r="N979" s="9">
        <v>4.9444999999999997</v>
      </c>
      <c r="O979" s="9">
        <v>0.37459999999999999</v>
      </c>
      <c r="P979" s="9">
        <v>1.2192000000000001</v>
      </c>
      <c r="Q979" s="9">
        <v>19.688099999999999</v>
      </c>
      <c r="R979" s="9"/>
      <c r="S979" s="11"/>
    </row>
    <row r="980" spans="1:19" ht="15.6">
      <c r="A980" s="13">
        <v>71924</v>
      </c>
      <c r="B980" s="8">
        <f>18.2684 * CHOOSE(CONTROL!$C$12, $D$4, 100%, $F$4)</f>
        <v>18.2684</v>
      </c>
      <c r="C980" s="8">
        <f>18.2787 * CHOOSE(CONTROL!$C$12, $D$4, 100%, $F$4)</f>
        <v>18.278700000000001</v>
      </c>
      <c r="D980" s="8">
        <f>18.238 * CHOOSE( CONTROL!$C$12, $D$4, 100%, $F$4)</f>
        <v>18.238</v>
      </c>
      <c r="E980" s="12">
        <f>18.2518 * CHOOSE( CONTROL!$C$12, $D$4, 100%, $F$4)</f>
        <v>18.251799999999999</v>
      </c>
      <c r="F980" s="4">
        <f>19.2454 * CHOOSE(CONTROL!$C$12, $D$4, 100%, $F$4)</f>
        <v>19.2454</v>
      </c>
      <c r="G980" s="8">
        <f>17.9961 * CHOOSE( CONTROL!$C$12, $D$4, 100%, $F$4)</f>
        <v>17.996099999999998</v>
      </c>
      <c r="H980" s="4">
        <f>18.8887 * CHOOSE(CONTROL!$C$12, $D$4, 100%, $F$4)</f>
        <v>18.8887</v>
      </c>
      <c r="I980" s="8">
        <f>17.7712 * CHOOSE(CONTROL!$C$12, $D$4, 100%, $F$4)</f>
        <v>17.7712</v>
      </c>
      <c r="J980" s="4">
        <f>17.7011 * CHOOSE(CONTROL!$C$12, $D$4, 100%, $F$4)</f>
        <v>17.7011</v>
      </c>
      <c r="K980" s="4"/>
      <c r="L980" s="9">
        <v>26.515499999999999</v>
      </c>
      <c r="M980" s="9">
        <v>11.6745</v>
      </c>
      <c r="N980" s="9">
        <v>4.7850000000000001</v>
      </c>
      <c r="O980" s="9">
        <v>0.36249999999999999</v>
      </c>
      <c r="P980" s="9">
        <v>1.2522</v>
      </c>
      <c r="Q980" s="9">
        <v>19.053000000000001</v>
      </c>
      <c r="R980" s="9"/>
      <c r="S980" s="11"/>
    </row>
    <row r="981" spans="1:19" ht="15.6">
      <c r="A981" s="13">
        <v>71955</v>
      </c>
      <c r="B981" s="8">
        <f>18.2351 * CHOOSE(CONTROL!$C$12, $D$4, 100%, $F$4)</f>
        <v>18.235099999999999</v>
      </c>
      <c r="C981" s="8">
        <f>18.2455 * CHOOSE(CONTROL!$C$12, $D$4, 100%, $F$4)</f>
        <v>18.2455</v>
      </c>
      <c r="D981" s="8">
        <f>18.2067 * CHOOSE( CONTROL!$C$12, $D$4, 100%, $F$4)</f>
        <v>18.206700000000001</v>
      </c>
      <c r="E981" s="12">
        <f>18.2198 * CHOOSE( CONTROL!$C$12, $D$4, 100%, $F$4)</f>
        <v>18.219799999999999</v>
      </c>
      <c r="F981" s="4">
        <f>19.2055 * CHOOSE(CONTROL!$C$12, $D$4, 100%, $F$4)</f>
        <v>19.205500000000001</v>
      </c>
      <c r="G981" s="8">
        <f>17.9657 * CHOOSE( CONTROL!$C$12, $D$4, 100%, $F$4)</f>
        <v>17.965699999999998</v>
      </c>
      <c r="H981" s="4">
        <f>18.8493 * CHOOSE(CONTROL!$C$12, $D$4, 100%, $F$4)</f>
        <v>18.849299999999999</v>
      </c>
      <c r="I981" s="8">
        <f>17.7497 * CHOOSE(CONTROL!$C$12, $D$4, 100%, $F$4)</f>
        <v>17.749700000000001</v>
      </c>
      <c r="J981" s="4">
        <f>17.6689 * CHOOSE(CONTROL!$C$12, $D$4, 100%, $F$4)</f>
        <v>17.668900000000001</v>
      </c>
      <c r="K981" s="4"/>
      <c r="L981" s="9">
        <v>27.3993</v>
      </c>
      <c r="M981" s="9">
        <v>12.063700000000001</v>
      </c>
      <c r="N981" s="9">
        <v>4.9444999999999997</v>
      </c>
      <c r="O981" s="9">
        <v>0.37459999999999999</v>
      </c>
      <c r="P981" s="9">
        <v>1.2939000000000001</v>
      </c>
      <c r="Q981" s="9">
        <v>19.688099999999999</v>
      </c>
      <c r="R981" s="9"/>
      <c r="S981" s="11"/>
    </row>
    <row r="982" spans="1:19" ht="15.6">
      <c r="A982" s="13">
        <v>71986</v>
      </c>
      <c r="B982" s="8">
        <f>18.6607 * CHOOSE(CONTROL!$C$12, $D$4, 100%, $F$4)</f>
        <v>18.660699999999999</v>
      </c>
      <c r="C982" s="8">
        <f>18.671 * CHOOSE(CONTROL!$C$12, $D$4, 100%, $F$4)</f>
        <v>18.670999999999999</v>
      </c>
      <c r="D982" s="8">
        <f>18.6708 * CHOOSE( CONTROL!$C$12, $D$4, 100%, $F$4)</f>
        <v>18.6708</v>
      </c>
      <c r="E982" s="12">
        <f>18.6698 * CHOOSE( CONTROL!$C$12, $D$4, 100%, $F$4)</f>
        <v>18.669799999999999</v>
      </c>
      <c r="F982" s="4">
        <f>19.6826 * CHOOSE(CONTROL!$C$12, $D$4, 100%, $F$4)</f>
        <v>19.682600000000001</v>
      </c>
      <c r="G982" s="8">
        <f>18.4262 * CHOOSE( CONTROL!$C$12, $D$4, 100%, $F$4)</f>
        <v>18.426200000000001</v>
      </c>
      <c r="H982" s="4">
        <f>19.3196 * CHOOSE(CONTROL!$C$12, $D$4, 100%, $F$4)</f>
        <v>19.319600000000001</v>
      </c>
      <c r="I982" s="8">
        <f>18.1989 * CHOOSE(CONTROL!$C$12, $D$4, 100%, $F$4)</f>
        <v>18.198899999999998</v>
      </c>
      <c r="J982" s="4">
        <f>18.0812 * CHOOSE(CONTROL!$C$12, $D$4, 100%, $F$4)</f>
        <v>18.081199999999999</v>
      </c>
      <c r="K982" s="4"/>
      <c r="L982" s="9">
        <v>27.3993</v>
      </c>
      <c r="M982" s="9">
        <v>12.063700000000001</v>
      </c>
      <c r="N982" s="9">
        <v>4.9444999999999997</v>
      </c>
      <c r="O982" s="9">
        <v>0.37459999999999999</v>
      </c>
      <c r="P982" s="9">
        <v>1.2939000000000001</v>
      </c>
      <c r="Q982" s="9">
        <v>19.688099999999999</v>
      </c>
      <c r="R982" s="9"/>
      <c r="S982" s="11"/>
    </row>
    <row r="983" spans="1:19" ht="15.6">
      <c r="A983" s="13">
        <v>72014</v>
      </c>
      <c r="B983" s="8">
        <f>17.4543 * CHOOSE(CONTROL!$C$12, $D$4, 100%, $F$4)</f>
        <v>17.4543</v>
      </c>
      <c r="C983" s="8">
        <f>17.4647 * CHOOSE(CONTROL!$C$12, $D$4, 100%, $F$4)</f>
        <v>17.464700000000001</v>
      </c>
      <c r="D983" s="8">
        <f>17.4667 * CHOOSE( CONTROL!$C$12, $D$4, 100%, $F$4)</f>
        <v>17.466699999999999</v>
      </c>
      <c r="E983" s="12">
        <f>17.4649 * CHOOSE( CONTROL!$C$12, $D$4, 100%, $F$4)</f>
        <v>17.4649</v>
      </c>
      <c r="F983" s="4">
        <f>18.4685 * CHOOSE(CONTROL!$C$12, $D$4, 100%, $F$4)</f>
        <v>18.468499999999999</v>
      </c>
      <c r="G983" s="8">
        <f>17.2369 * CHOOSE( CONTROL!$C$12, $D$4, 100%, $F$4)</f>
        <v>17.236899999999999</v>
      </c>
      <c r="H983" s="4">
        <f>18.1229 * CHOOSE(CONTROL!$C$12, $D$4, 100%, $F$4)</f>
        <v>18.122900000000001</v>
      </c>
      <c r="I983" s="8">
        <f>17.0184 * CHOOSE(CONTROL!$C$12, $D$4, 100%, $F$4)</f>
        <v>17.0184</v>
      </c>
      <c r="J983" s="4">
        <f>16.9123 * CHOOSE(CONTROL!$C$12, $D$4, 100%, $F$4)</f>
        <v>16.912299999999998</v>
      </c>
      <c r="K983" s="4"/>
      <c r="L983" s="9">
        <v>24.747800000000002</v>
      </c>
      <c r="M983" s="9">
        <v>10.8962</v>
      </c>
      <c r="N983" s="9">
        <v>4.4660000000000002</v>
      </c>
      <c r="O983" s="9">
        <v>0.33829999999999999</v>
      </c>
      <c r="P983" s="9">
        <v>1.1687000000000001</v>
      </c>
      <c r="Q983" s="9">
        <v>17.782800000000002</v>
      </c>
      <c r="R983" s="9"/>
      <c r="S983" s="11"/>
    </row>
    <row r="984" spans="1:19" ht="15.6">
      <c r="A984" s="13">
        <v>72045</v>
      </c>
      <c r="B984" s="8">
        <f>17.0828 * CHOOSE(CONTROL!$C$12, $D$4, 100%, $F$4)</f>
        <v>17.082799999999999</v>
      </c>
      <c r="C984" s="8">
        <f>17.0931 * CHOOSE(CONTROL!$C$12, $D$4, 100%, $F$4)</f>
        <v>17.0931</v>
      </c>
      <c r="D984" s="8">
        <f>17.0753 * CHOOSE( CONTROL!$C$12, $D$4, 100%, $F$4)</f>
        <v>17.075299999999999</v>
      </c>
      <c r="E984" s="12">
        <f>17.0807 * CHOOSE( CONTROL!$C$12, $D$4, 100%, $F$4)</f>
        <v>17.0807</v>
      </c>
      <c r="F984" s="4">
        <f>18.081 * CHOOSE(CONTROL!$C$12, $D$4, 100%, $F$4)</f>
        <v>18.081</v>
      </c>
      <c r="G984" s="8">
        <f>16.8501 * CHOOSE( CONTROL!$C$12, $D$4, 100%, $F$4)</f>
        <v>16.850100000000001</v>
      </c>
      <c r="H984" s="4">
        <f>17.7408 * CHOOSE(CONTROL!$C$12, $D$4, 100%, $F$4)</f>
        <v>17.7408</v>
      </c>
      <c r="I984" s="8">
        <f>16.6187 * CHOOSE(CONTROL!$C$12, $D$4, 100%, $F$4)</f>
        <v>16.6187</v>
      </c>
      <c r="J984" s="4">
        <f>16.5523 * CHOOSE(CONTROL!$C$12, $D$4, 100%, $F$4)</f>
        <v>16.552299999999999</v>
      </c>
      <c r="K984" s="4"/>
      <c r="L984" s="9">
        <v>27.3993</v>
      </c>
      <c r="M984" s="9">
        <v>12.063700000000001</v>
      </c>
      <c r="N984" s="9">
        <v>4.9444999999999997</v>
      </c>
      <c r="O984" s="9">
        <v>0.37459999999999999</v>
      </c>
      <c r="P984" s="9">
        <v>1.2939000000000001</v>
      </c>
      <c r="Q984" s="9">
        <v>19.688099999999999</v>
      </c>
      <c r="R984" s="9"/>
      <c r="S984" s="11"/>
    </row>
    <row r="985" spans="1:19" ht="15.6">
      <c r="A985" s="13">
        <v>72075</v>
      </c>
      <c r="B985" s="8">
        <f>17.3424 * CHOOSE(CONTROL!$C$12, $D$4, 100%, $F$4)</f>
        <v>17.342400000000001</v>
      </c>
      <c r="C985" s="8">
        <f>17.3527 * CHOOSE(CONTROL!$C$12, $D$4, 100%, $F$4)</f>
        <v>17.352699999999999</v>
      </c>
      <c r="D985" s="8">
        <f>17.3578 * CHOOSE( CONTROL!$C$12, $D$4, 100%, $F$4)</f>
        <v>17.357800000000001</v>
      </c>
      <c r="E985" s="12">
        <f>17.3549 * CHOOSE( CONTROL!$C$12, $D$4, 100%, $F$4)</f>
        <v>17.354900000000001</v>
      </c>
      <c r="F985" s="4">
        <f>18.3489 * CHOOSE(CONTROL!$C$12, $D$4, 100%, $F$4)</f>
        <v>18.3489</v>
      </c>
      <c r="G985" s="8">
        <f>17.0939 * CHOOSE( CONTROL!$C$12, $D$4, 100%, $F$4)</f>
        <v>17.093900000000001</v>
      </c>
      <c r="H985" s="4">
        <f>18.0049 * CHOOSE(CONTROL!$C$12, $D$4, 100%, $F$4)</f>
        <v>18.004899999999999</v>
      </c>
      <c r="I985" s="8">
        <f>16.8605 * CHOOSE(CONTROL!$C$12, $D$4, 100%, $F$4)</f>
        <v>16.860499999999998</v>
      </c>
      <c r="J985" s="4">
        <f>16.8039 * CHOOSE(CONTROL!$C$12, $D$4, 100%, $F$4)</f>
        <v>16.803899999999999</v>
      </c>
      <c r="K985" s="4"/>
      <c r="L985" s="9">
        <v>27.988800000000001</v>
      </c>
      <c r="M985" s="9">
        <v>11.6745</v>
      </c>
      <c r="N985" s="9">
        <v>4.7850000000000001</v>
      </c>
      <c r="O985" s="9">
        <v>0.36249999999999999</v>
      </c>
      <c r="P985" s="9">
        <v>1.1798</v>
      </c>
      <c r="Q985" s="9">
        <v>19.053000000000001</v>
      </c>
      <c r="R985" s="9"/>
      <c r="S985" s="11"/>
    </row>
    <row r="986" spans="1:19" ht="15.6">
      <c r="A986" s="13">
        <v>72106</v>
      </c>
      <c r="B986" s="8">
        <f>CHOOSE( CONTROL!$C$29, 17.8113, 17.8045) * CHOOSE(CONTROL!$C$12, $D$4, 100%, $F$4)</f>
        <v>17.804500000000001</v>
      </c>
      <c r="C986" s="8">
        <f>CHOOSE( CONTROL!$C$29, 17.8217, 17.8148) * CHOOSE(CONTROL!$C$12, $D$4, 100%, $F$4)</f>
        <v>17.814800000000002</v>
      </c>
      <c r="D986" s="8">
        <f>CHOOSE( CONTROL!$C$29, 17.8019, 17.7951) * CHOOSE( CONTROL!$C$12, $D$4, 100%, $F$4)</f>
        <v>17.795100000000001</v>
      </c>
      <c r="E986" s="12">
        <f>CHOOSE( CONTROL!$C$29, 17.8075, 17.8007) * CHOOSE( CONTROL!$C$12, $D$4, 100%, $F$4)</f>
        <v>17.800699999999999</v>
      </c>
      <c r="F986" s="4">
        <f>CHOOSE( CONTROL!$C$29, 18.7858, 18.779) * CHOOSE(CONTROL!$C$12, $D$4, 100%, $F$4)</f>
        <v>18.779</v>
      </c>
      <c r="G986" s="8">
        <f>CHOOSE( CONTROL!$C$29, 17.538, 17.5312) * CHOOSE( CONTROL!$C$12, $D$4, 100%, $F$4)</f>
        <v>17.531199999999998</v>
      </c>
      <c r="H986" s="4">
        <f>CHOOSE( CONTROL!$C$29, 18.4356, 18.4289) * CHOOSE(CONTROL!$C$12, $D$4, 100%, $F$4)</f>
        <v>18.428899999999999</v>
      </c>
      <c r="I986" s="8">
        <f>CHOOSE( CONTROL!$C$29, 17.2936, 17.2869) * CHOOSE(CONTROL!$C$12, $D$4, 100%, $F$4)</f>
        <v>17.286899999999999</v>
      </c>
      <c r="J986" s="4">
        <f>CHOOSE( CONTROL!$C$29, 17.2582, 17.2516) * CHOOSE(CONTROL!$C$12, $D$4, 100%, $F$4)</f>
        <v>17.2516</v>
      </c>
      <c r="K986" s="4"/>
      <c r="L986" s="9">
        <v>29.520499999999998</v>
      </c>
      <c r="M986" s="9">
        <v>12.063700000000001</v>
      </c>
      <c r="N986" s="9">
        <v>4.9444999999999997</v>
      </c>
      <c r="O986" s="9">
        <v>0.37459999999999999</v>
      </c>
      <c r="P986" s="9">
        <v>1.2192000000000001</v>
      </c>
      <c r="Q986" s="9">
        <v>19.688099999999999</v>
      </c>
      <c r="R986" s="9"/>
      <c r="S986" s="11"/>
    </row>
    <row r="987" spans="1:19" ht="15.6">
      <c r="A987" s="13">
        <v>72136</v>
      </c>
      <c r="B987" s="8">
        <f>CHOOSE( CONTROL!$C$29, 17.5251, 17.5183) * CHOOSE(CONTROL!$C$12, $D$4, 100%, $F$4)</f>
        <v>17.5183</v>
      </c>
      <c r="C987" s="8">
        <f>CHOOSE( CONTROL!$C$29, 17.5354, 17.5286) * CHOOSE(CONTROL!$C$12, $D$4, 100%, $F$4)</f>
        <v>17.528600000000001</v>
      </c>
      <c r="D987" s="8">
        <f>CHOOSE( CONTROL!$C$29, 17.5101, 17.5033) * CHOOSE( CONTROL!$C$12, $D$4, 100%, $F$4)</f>
        <v>17.503299999999999</v>
      </c>
      <c r="E987" s="12">
        <f>CHOOSE( CONTROL!$C$29, 17.5177, 17.5109) * CHOOSE( CONTROL!$C$12, $D$4, 100%, $F$4)</f>
        <v>17.510899999999999</v>
      </c>
      <c r="F987" s="4">
        <f>CHOOSE( CONTROL!$C$29, 18.4892, 18.4824) * CHOOSE(CONTROL!$C$12, $D$4, 100%, $F$4)</f>
        <v>18.482399999999998</v>
      </c>
      <c r="G987" s="8">
        <f>CHOOSE( CONTROL!$C$29, 17.2545, 17.2478) * CHOOSE( CONTROL!$C$12, $D$4, 100%, $F$4)</f>
        <v>17.247800000000002</v>
      </c>
      <c r="H987" s="4">
        <f>CHOOSE( CONTROL!$C$29, 18.1433, 18.1365) * CHOOSE(CONTROL!$C$12, $D$4, 100%, $F$4)</f>
        <v>18.136500000000002</v>
      </c>
      <c r="I987" s="8">
        <f>CHOOSE( CONTROL!$C$29, 17.0182, 17.0116) * CHOOSE(CONTROL!$C$12, $D$4, 100%, $F$4)</f>
        <v>17.011600000000001</v>
      </c>
      <c r="J987" s="4">
        <f>CHOOSE( CONTROL!$C$29, 16.9809, 16.9742) * CHOOSE(CONTROL!$C$12, $D$4, 100%, $F$4)</f>
        <v>16.9742</v>
      </c>
      <c r="K987" s="4"/>
      <c r="L987" s="9">
        <v>28.568200000000001</v>
      </c>
      <c r="M987" s="9">
        <v>11.6745</v>
      </c>
      <c r="N987" s="9">
        <v>4.7850000000000001</v>
      </c>
      <c r="O987" s="9">
        <v>0.36249999999999999</v>
      </c>
      <c r="P987" s="9">
        <v>1.1798</v>
      </c>
      <c r="Q987" s="9">
        <v>19.053000000000001</v>
      </c>
      <c r="R987" s="9"/>
      <c r="S987" s="11"/>
    </row>
    <row r="988" spans="1:19" ht="15.6">
      <c r="A988" s="13">
        <v>72167</v>
      </c>
      <c r="B988" s="8">
        <f>CHOOSE( CONTROL!$C$29, 18.2789, 18.272) * CHOOSE(CONTROL!$C$12, $D$4, 100%, $F$4)</f>
        <v>18.271999999999998</v>
      </c>
      <c r="C988" s="8">
        <f>CHOOSE( CONTROL!$C$29, 18.2892, 18.2824) * CHOOSE(CONTROL!$C$12, $D$4, 100%, $F$4)</f>
        <v>18.282399999999999</v>
      </c>
      <c r="D988" s="8">
        <f>CHOOSE( CONTROL!$C$29, 18.2973, 18.2905) * CHOOSE( CONTROL!$C$12, $D$4, 100%, $F$4)</f>
        <v>18.290500000000002</v>
      </c>
      <c r="E988" s="12">
        <f>CHOOSE( CONTROL!$C$29, 18.2928, 18.286) * CHOOSE( CONTROL!$C$12, $D$4, 100%, $F$4)</f>
        <v>18.286000000000001</v>
      </c>
      <c r="F988" s="4">
        <f>CHOOSE( CONTROL!$C$29, 19.2879, 19.2811) * CHOOSE(CONTROL!$C$12, $D$4, 100%, $F$4)</f>
        <v>19.281099999999999</v>
      </c>
      <c r="G988" s="8">
        <f>CHOOSE( CONTROL!$C$29, 18.0236, 18.0169) * CHOOSE( CONTROL!$C$12, $D$4, 100%, $F$4)</f>
        <v>18.0169</v>
      </c>
      <c r="H988" s="4">
        <f>CHOOSE( CONTROL!$C$29, 18.9306, 18.9238) * CHOOSE(CONTROL!$C$12, $D$4, 100%, $F$4)</f>
        <v>18.9238</v>
      </c>
      <c r="I988" s="8">
        <f>CHOOSE( CONTROL!$C$29, 17.8043, 17.7977) * CHOOSE(CONTROL!$C$12, $D$4, 100%, $F$4)</f>
        <v>17.797699999999999</v>
      </c>
      <c r="J988" s="4">
        <f>CHOOSE( CONTROL!$C$29, 17.7113, 17.7047) * CHOOSE(CONTROL!$C$12, $D$4, 100%, $F$4)</f>
        <v>17.704699999999999</v>
      </c>
      <c r="K988" s="4"/>
      <c r="L988" s="9">
        <v>29.520499999999998</v>
      </c>
      <c r="M988" s="9">
        <v>12.063700000000001</v>
      </c>
      <c r="N988" s="9">
        <v>4.9444999999999997</v>
      </c>
      <c r="O988" s="9">
        <v>0.37459999999999999</v>
      </c>
      <c r="P988" s="9">
        <v>1.2192000000000001</v>
      </c>
      <c r="Q988" s="9">
        <v>19.688099999999999</v>
      </c>
      <c r="R988" s="9"/>
      <c r="S988" s="11"/>
    </row>
    <row r="989" spans="1:19" ht="15.6">
      <c r="A989" s="13">
        <v>72198</v>
      </c>
      <c r="B989" s="8">
        <f>CHOOSE( CONTROL!$C$29, 16.8685, 16.8616) * CHOOSE(CONTROL!$C$12, $D$4, 100%, $F$4)</f>
        <v>16.861599999999999</v>
      </c>
      <c r="C989" s="8">
        <f>CHOOSE( CONTROL!$C$29, 16.8788, 16.872) * CHOOSE(CONTROL!$C$12, $D$4, 100%, $F$4)</f>
        <v>16.872</v>
      </c>
      <c r="D989" s="8">
        <f>CHOOSE( CONTROL!$C$29, 16.8803, 16.8734) * CHOOSE( CONTROL!$C$12, $D$4, 100%, $F$4)</f>
        <v>16.8734</v>
      </c>
      <c r="E989" s="12">
        <f>CHOOSE( CONTROL!$C$29, 16.8782, 16.8713) * CHOOSE( CONTROL!$C$12, $D$4, 100%, $F$4)</f>
        <v>16.871300000000002</v>
      </c>
      <c r="F989" s="4">
        <f>CHOOSE( CONTROL!$C$29, 17.8749, 17.8681) * CHOOSE(CONTROL!$C$12, $D$4, 100%, $F$4)</f>
        <v>17.868099999999998</v>
      </c>
      <c r="G989" s="8">
        <f>CHOOSE( CONTROL!$C$29, 16.6234, 16.6166) * CHOOSE( CONTROL!$C$12, $D$4, 100%, $F$4)</f>
        <v>16.616599999999998</v>
      </c>
      <c r="H989" s="4">
        <f>CHOOSE( CONTROL!$C$29, 17.5377, 17.531) * CHOOSE(CONTROL!$C$12, $D$4, 100%, $F$4)</f>
        <v>17.530999999999999</v>
      </c>
      <c r="I989" s="8">
        <f>CHOOSE( CONTROL!$C$29, 16.418, 16.4114) * CHOOSE(CONTROL!$C$12, $D$4, 100%, $F$4)</f>
        <v>16.4114</v>
      </c>
      <c r="J989" s="4">
        <f>CHOOSE( CONTROL!$C$29, 16.3446, 16.338) * CHOOSE(CONTROL!$C$12, $D$4, 100%, $F$4)</f>
        <v>16.338000000000001</v>
      </c>
      <c r="K989" s="4"/>
      <c r="L989" s="9">
        <v>29.520499999999998</v>
      </c>
      <c r="M989" s="9">
        <v>12.063700000000001</v>
      </c>
      <c r="N989" s="9">
        <v>4.9444999999999997</v>
      </c>
      <c r="O989" s="9">
        <v>0.37459999999999999</v>
      </c>
      <c r="P989" s="9">
        <v>1.2192000000000001</v>
      </c>
      <c r="Q989" s="9">
        <v>19.688099999999999</v>
      </c>
      <c r="R989" s="9"/>
      <c r="S989" s="11"/>
    </row>
    <row r="990" spans="1:19" ht="15.6">
      <c r="A990" s="13">
        <v>72228</v>
      </c>
      <c r="B990" s="8">
        <f>CHOOSE( CONTROL!$C$29, 16.5153, 16.5085) * CHOOSE(CONTROL!$C$12, $D$4, 100%, $F$4)</f>
        <v>16.508500000000002</v>
      </c>
      <c r="C990" s="8">
        <f>CHOOSE( CONTROL!$C$29, 16.5256, 16.5188) * CHOOSE(CONTROL!$C$12, $D$4, 100%, $F$4)</f>
        <v>16.518799999999999</v>
      </c>
      <c r="D990" s="8">
        <f>CHOOSE( CONTROL!$C$29, 16.5303, 16.5235) * CHOOSE( CONTROL!$C$12, $D$4, 100%, $F$4)</f>
        <v>16.523499999999999</v>
      </c>
      <c r="E990" s="12">
        <f>CHOOSE( CONTROL!$C$29, 16.527, 16.5202) * CHOOSE( CONTROL!$C$12, $D$4, 100%, $F$4)</f>
        <v>16.520199999999999</v>
      </c>
      <c r="F990" s="4">
        <f>CHOOSE( CONTROL!$C$29, 17.5269, 17.5201) * CHOOSE(CONTROL!$C$12, $D$4, 100%, $F$4)</f>
        <v>17.520099999999999</v>
      </c>
      <c r="G990" s="8">
        <f>CHOOSE( CONTROL!$C$29, 16.2773, 16.2705) * CHOOSE( CONTROL!$C$12, $D$4, 100%, $F$4)</f>
        <v>16.270499999999998</v>
      </c>
      <c r="H990" s="4">
        <f>CHOOSE( CONTROL!$C$29, 17.1947, 17.1879) * CHOOSE(CONTROL!$C$12, $D$4, 100%, $F$4)</f>
        <v>17.187899999999999</v>
      </c>
      <c r="I990" s="8">
        <f>CHOOSE( CONTROL!$C$29, 16.0834, 16.0768) * CHOOSE(CONTROL!$C$12, $D$4, 100%, $F$4)</f>
        <v>16.076799999999999</v>
      </c>
      <c r="J990" s="4">
        <f>CHOOSE( CONTROL!$C$29, 16.0024, 15.9958) * CHOOSE(CONTROL!$C$12, $D$4, 100%, $F$4)</f>
        <v>15.995799999999999</v>
      </c>
      <c r="K990" s="4"/>
      <c r="L990" s="9">
        <v>28.568200000000001</v>
      </c>
      <c r="M990" s="9">
        <v>11.6745</v>
      </c>
      <c r="N990" s="9">
        <v>4.7850000000000001</v>
      </c>
      <c r="O990" s="9">
        <v>0.36249999999999999</v>
      </c>
      <c r="P990" s="9">
        <v>1.1798</v>
      </c>
      <c r="Q990" s="9">
        <v>19.053000000000001</v>
      </c>
      <c r="R990" s="9"/>
      <c r="S990" s="11"/>
    </row>
    <row r="991" spans="1:19" ht="15.6">
      <c r="A991" s="13">
        <v>72259</v>
      </c>
      <c r="B991" s="8">
        <f>17.2418 * CHOOSE(CONTROL!$C$12, $D$4, 100%, $F$4)</f>
        <v>17.241800000000001</v>
      </c>
      <c r="C991" s="8">
        <f>17.2521 * CHOOSE(CONTROL!$C$12, $D$4, 100%, $F$4)</f>
        <v>17.252099999999999</v>
      </c>
      <c r="D991" s="8">
        <f>17.2472 * CHOOSE( CONTROL!$C$12, $D$4, 100%, $F$4)</f>
        <v>17.247199999999999</v>
      </c>
      <c r="E991" s="12">
        <f>17.2477 * CHOOSE( CONTROL!$C$12, $D$4, 100%, $F$4)</f>
        <v>17.247699999999998</v>
      </c>
      <c r="F991" s="4">
        <f>18.2327 * CHOOSE(CONTROL!$C$12, $D$4, 100%, $F$4)</f>
        <v>18.232700000000001</v>
      </c>
      <c r="G991" s="8">
        <f>16.9902 * CHOOSE( CONTROL!$C$12, $D$4, 100%, $F$4)</f>
        <v>16.990200000000002</v>
      </c>
      <c r="H991" s="4">
        <f>17.8904 * CHOOSE(CONTROL!$C$12, $D$4, 100%, $F$4)</f>
        <v>17.8904</v>
      </c>
      <c r="I991" s="8">
        <f>16.7916 * CHOOSE(CONTROL!$C$12, $D$4, 100%, $F$4)</f>
        <v>16.791599999999999</v>
      </c>
      <c r="J991" s="4">
        <f>16.7063 * CHOOSE(CONTROL!$C$12, $D$4, 100%, $F$4)</f>
        <v>16.706299999999999</v>
      </c>
      <c r="K991" s="4"/>
      <c r="L991" s="9">
        <v>28.921800000000001</v>
      </c>
      <c r="M991" s="9">
        <v>12.063700000000001</v>
      </c>
      <c r="N991" s="9">
        <v>4.9444999999999997</v>
      </c>
      <c r="O991" s="9">
        <v>0.37459999999999999</v>
      </c>
      <c r="P991" s="9">
        <v>1.2192000000000001</v>
      </c>
      <c r="Q991" s="9">
        <v>19.688099999999999</v>
      </c>
      <c r="R991" s="9"/>
      <c r="S991" s="11"/>
    </row>
    <row r="992" spans="1:19" ht="15.6">
      <c r="A992" s="13">
        <v>72289</v>
      </c>
      <c r="B992" s="8">
        <f>18.5953 * CHOOSE(CONTROL!$C$12, $D$4, 100%, $F$4)</f>
        <v>18.595300000000002</v>
      </c>
      <c r="C992" s="8">
        <f>18.6057 * CHOOSE(CONTROL!$C$12, $D$4, 100%, $F$4)</f>
        <v>18.605699999999999</v>
      </c>
      <c r="D992" s="8">
        <f>18.565 * CHOOSE( CONTROL!$C$12, $D$4, 100%, $F$4)</f>
        <v>18.565000000000001</v>
      </c>
      <c r="E992" s="12">
        <f>18.5788 * CHOOSE( CONTROL!$C$12, $D$4, 100%, $F$4)</f>
        <v>18.578800000000001</v>
      </c>
      <c r="F992" s="4">
        <f>19.5724 * CHOOSE(CONTROL!$C$12, $D$4, 100%, $F$4)</f>
        <v>19.572399999999998</v>
      </c>
      <c r="G992" s="8">
        <f>18.3184 * CHOOSE( CONTROL!$C$12, $D$4, 100%, $F$4)</f>
        <v>18.3184</v>
      </c>
      <c r="H992" s="4">
        <f>19.211 * CHOOSE(CONTROL!$C$12, $D$4, 100%, $F$4)</f>
        <v>19.210999999999999</v>
      </c>
      <c r="I992" s="8">
        <f>18.0882 * CHOOSE(CONTROL!$C$12, $D$4, 100%, $F$4)</f>
        <v>18.088200000000001</v>
      </c>
      <c r="J992" s="4">
        <f>18.0179 * CHOOSE(CONTROL!$C$12, $D$4, 100%, $F$4)</f>
        <v>18.017900000000001</v>
      </c>
      <c r="K992" s="4"/>
      <c r="L992" s="9">
        <v>26.515499999999999</v>
      </c>
      <c r="M992" s="9">
        <v>11.6745</v>
      </c>
      <c r="N992" s="9">
        <v>4.7850000000000001</v>
      </c>
      <c r="O992" s="9">
        <v>0.36249999999999999</v>
      </c>
      <c r="P992" s="9">
        <v>1.2522</v>
      </c>
      <c r="Q992" s="9">
        <v>19.053000000000001</v>
      </c>
      <c r="R992" s="9"/>
      <c r="S992" s="11"/>
    </row>
    <row r="993" spans="1:19" ht="15.6">
      <c r="A993" s="13">
        <v>72320</v>
      </c>
      <c r="B993" s="8">
        <f>18.5615 * CHOOSE(CONTROL!$C$12, $D$4, 100%, $F$4)</f>
        <v>18.561499999999999</v>
      </c>
      <c r="C993" s="8">
        <f>18.5719 * CHOOSE(CONTROL!$C$12, $D$4, 100%, $F$4)</f>
        <v>18.571899999999999</v>
      </c>
      <c r="D993" s="8">
        <f>18.5331 * CHOOSE( CONTROL!$C$12, $D$4, 100%, $F$4)</f>
        <v>18.533100000000001</v>
      </c>
      <c r="E993" s="12">
        <f>18.5462 * CHOOSE( CONTROL!$C$12, $D$4, 100%, $F$4)</f>
        <v>18.546199999999999</v>
      </c>
      <c r="F993" s="4">
        <f>19.5319 * CHOOSE(CONTROL!$C$12, $D$4, 100%, $F$4)</f>
        <v>19.5319</v>
      </c>
      <c r="G993" s="8">
        <f>18.2875 * CHOOSE( CONTROL!$C$12, $D$4, 100%, $F$4)</f>
        <v>18.287500000000001</v>
      </c>
      <c r="H993" s="4">
        <f>19.171 * CHOOSE(CONTROL!$C$12, $D$4, 100%, $F$4)</f>
        <v>19.170999999999999</v>
      </c>
      <c r="I993" s="8">
        <f>18.0661 * CHOOSE(CONTROL!$C$12, $D$4, 100%, $F$4)</f>
        <v>18.066099999999999</v>
      </c>
      <c r="J993" s="4">
        <f>17.9852 * CHOOSE(CONTROL!$C$12, $D$4, 100%, $F$4)</f>
        <v>17.985199999999999</v>
      </c>
      <c r="K993" s="4"/>
      <c r="L993" s="9">
        <v>27.3993</v>
      </c>
      <c r="M993" s="9">
        <v>12.063700000000001</v>
      </c>
      <c r="N993" s="9">
        <v>4.9444999999999997</v>
      </c>
      <c r="O993" s="9">
        <v>0.37459999999999999</v>
      </c>
      <c r="P993" s="9">
        <v>1.2939000000000001</v>
      </c>
      <c r="Q993" s="9">
        <v>19.688099999999999</v>
      </c>
      <c r="R993" s="9"/>
      <c r="S993" s="11"/>
    </row>
    <row r="994" spans="1:19" ht="15.6">
      <c r="A994" s="13">
        <v>72351</v>
      </c>
      <c r="B994" s="8">
        <f>18.9947 * CHOOSE(CONTROL!$C$12, $D$4, 100%, $F$4)</f>
        <v>18.994700000000002</v>
      </c>
      <c r="C994" s="8">
        <f>19.005 * CHOOSE(CONTROL!$C$12, $D$4, 100%, $F$4)</f>
        <v>19.004999999999999</v>
      </c>
      <c r="D994" s="8">
        <f>19.0048 * CHOOSE( CONTROL!$C$12, $D$4, 100%, $F$4)</f>
        <v>19.004799999999999</v>
      </c>
      <c r="E994" s="12">
        <f>19.0038 * CHOOSE( CONTROL!$C$12, $D$4, 100%, $F$4)</f>
        <v>19.003799999999998</v>
      </c>
      <c r="F994" s="4">
        <f>20.0166 * CHOOSE(CONTROL!$C$12, $D$4, 100%, $F$4)</f>
        <v>20.0166</v>
      </c>
      <c r="G994" s="8">
        <f>18.7554 * CHOOSE( CONTROL!$C$12, $D$4, 100%, $F$4)</f>
        <v>18.755400000000002</v>
      </c>
      <c r="H994" s="4">
        <f>19.6489 * CHOOSE(CONTROL!$C$12, $D$4, 100%, $F$4)</f>
        <v>19.648900000000001</v>
      </c>
      <c r="I994" s="8">
        <f>18.5227 * CHOOSE(CONTROL!$C$12, $D$4, 100%, $F$4)</f>
        <v>18.5227</v>
      </c>
      <c r="J994" s="4">
        <f>18.4049 * CHOOSE(CONTROL!$C$12, $D$4, 100%, $F$4)</f>
        <v>18.404900000000001</v>
      </c>
      <c r="K994" s="4"/>
      <c r="L994" s="9">
        <v>27.3993</v>
      </c>
      <c r="M994" s="9">
        <v>12.063700000000001</v>
      </c>
      <c r="N994" s="9">
        <v>4.9444999999999997</v>
      </c>
      <c r="O994" s="9">
        <v>0.37459999999999999</v>
      </c>
      <c r="P994" s="9">
        <v>1.2939000000000001</v>
      </c>
      <c r="Q994" s="9">
        <v>19.688099999999999</v>
      </c>
      <c r="R994" s="9"/>
      <c r="S994" s="11"/>
    </row>
    <row r="995" spans="1:19" ht="15.6">
      <c r="A995" s="13">
        <v>72379</v>
      </c>
      <c r="B995" s="8">
        <f>17.7668 * CHOOSE(CONTROL!$C$12, $D$4, 100%, $F$4)</f>
        <v>17.7668</v>
      </c>
      <c r="C995" s="8">
        <f>17.7771 * CHOOSE(CONTROL!$C$12, $D$4, 100%, $F$4)</f>
        <v>17.777100000000001</v>
      </c>
      <c r="D995" s="8">
        <f>17.7792 * CHOOSE( CONTROL!$C$12, $D$4, 100%, $F$4)</f>
        <v>17.779199999999999</v>
      </c>
      <c r="E995" s="12">
        <f>17.7773 * CHOOSE( CONTROL!$C$12, $D$4, 100%, $F$4)</f>
        <v>17.7773</v>
      </c>
      <c r="F995" s="4">
        <f>18.7809 * CHOOSE(CONTROL!$C$12, $D$4, 100%, $F$4)</f>
        <v>18.780899999999999</v>
      </c>
      <c r="G995" s="8">
        <f>17.5448 * CHOOSE( CONTROL!$C$12, $D$4, 100%, $F$4)</f>
        <v>17.544799999999999</v>
      </c>
      <c r="H995" s="4">
        <f>18.4308 * CHOOSE(CONTROL!$C$12, $D$4, 100%, $F$4)</f>
        <v>18.430800000000001</v>
      </c>
      <c r="I995" s="8">
        <f>17.3213 * CHOOSE(CONTROL!$C$12, $D$4, 100%, $F$4)</f>
        <v>17.321300000000001</v>
      </c>
      <c r="J995" s="4">
        <f>17.215 * CHOOSE(CONTROL!$C$12, $D$4, 100%, $F$4)</f>
        <v>17.215</v>
      </c>
      <c r="K995" s="4"/>
      <c r="L995" s="9">
        <v>24.747800000000002</v>
      </c>
      <c r="M995" s="9">
        <v>10.8962</v>
      </c>
      <c r="N995" s="9">
        <v>4.4660000000000002</v>
      </c>
      <c r="O995" s="9">
        <v>0.33829999999999999</v>
      </c>
      <c r="P995" s="9">
        <v>1.1687000000000001</v>
      </c>
      <c r="Q995" s="9">
        <v>17.782800000000002</v>
      </c>
      <c r="R995" s="9"/>
      <c r="S995" s="11"/>
    </row>
    <row r="996" spans="1:19" ht="15.6">
      <c r="A996" s="13">
        <v>72410</v>
      </c>
      <c r="B996" s="8">
        <f>17.3886 * CHOOSE(CONTROL!$C$12, $D$4, 100%, $F$4)</f>
        <v>17.3886</v>
      </c>
      <c r="C996" s="8">
        <f>17.3989 * CHOOSE(CONTROL!$C$12, $D$4, 100%, $F$4)</f>
        <v>17.398900000000001</v>
      </c>
      <c r="D996" s="8">
        <f>17.3811 * CHOOSE( CONTROL!$C$12, $D$4, 100%, $F$4)</f>
        <v>17.3811</v>
      </c>
      <c r="E996" s="12">
        <f>17.3865 * CHOOSE( CONTROL!$C$12, $D$4, 100%, $F$4)</f>
        <v>17.386500000000002</v>
      </c>
      <c r="F996" s="4">
        <f>18.3868 * CHOOSE(CONTROL!$C$12, $D$4, 100%, $F$4)</f>
        <v>18.386800000000001</v>
      </c>
      <c r="G996" s="8">
        <f>17.1516 * CHOOSE( CONTROL!$C$12, $D$4, 100%, $F$4)</f>
        <v>17.151599999999998</v>
      </c>
      <c r="H996" s="4">
        <f>18.0423 * CHOOSE(CONTROL!$C$12, $D$4, 100%, $F$4)</f>
        <v>18.042300000000001</v>
      </c>
      <c r="I996" s="8">
        <f>16.9151 * CHOOSE(CONTROL!$C$12, $D$4, 100%, $F$4)</f>
        <v>16.915099999999999</v>
      </c>
      <c r="J996" s="4">
        <f>16.8486 * CHOOSE(CONTROL!$C$12, $D$4, 100%, $F$4)</f>
        <v>16.848600000000001</v>
      </c>
      <c r="K996" s="4"/>
      <c r="L996" s="9">
        <v>27.3993</v>
      </c>
      <c r="M996" s="9">
        <v>12.063700000000001</v>
      </c>
      <c r="N996" s="9">
        <v>4.9444999999999997</v>
      </c>
      <c r="O996" s="9">
        <v>0.37459999999999999</v>
      </c>
      <c r="P996" s="9">
        <v>1.2939000000000001</v>
      </c>
      <c r="Q996" s="9">
        <v>19.688099999999999</v>
      </c>
      <c r="R996" s="9"/>
      <c r="S996" s="11"/>
    </row>
    <row r="997" spans="1:19" ht="15.6">
      <c r="A997" s="13">
        <v>72440</v>
      </c>
      <c r="B997" s="8">
        <f>17.6528 * CHOOSE(CONTROL!$C$12, $D$4, 100%, $F$4)</f>
        <v>17.652799999999999</v>
      </c>
      <c r="C997" s="8">
        <f>17.6632 * CHOOSE(CONTROL!$C$12, $D$4, 100%, $F$4)</f>
        <v>17.6632</v>
      </c>
      <c r="D997" s="8">
        <f>17.6682 * CHOOSE( CONTROL!$C$12, $D$4, 100%, $F$4)</f>
        <v>17.668199999999999</v>
      </c>
      <c r="E997" s="12">
        <f>17.6654 * CHOOSE( CONTROL!$C$12, $D$4, 100%, $F$4)</f>
        <v>17.665400000000002</v>
      </c>
      <c r="F997" s="4">
        <f>18.6593 * CHOOSE(CONTROL!$C$12, $D$4, 100%, $F$4)</f>
        <v>18.659300000000002</v>
      </c>
      <c r="G997" s="8">
        <f>17.3999 * CHOOSE( CONTROL!$C$12, $D$4, 100%, $F$4)</f>
        <v>17.399899999999999</v>
      </c>
      <c r="H997" s="4">
        <f>18.3109 * CHOOSE(CONTROL!$C$12, $D$4, 100%, $F$4)</f>
        <v>18.3109</v>
      </c>
      <c r="I997" s="8">
        <f>17.1614 * CHOOSE(CONTROL!$C$12, $D$4, 100%, $F$4)</f>
        <v>17.1614</v>
      </c>
      <c r="J997" s="4">
        <f>17.1047 * CHOOSE(CONTROL!$C$12, $D$4, 100%, $F$4)</f>
        <v>17.104700000000001</v>
      </c>
      <c r="K997" s="4"/>
      <c r="L997" s="9">
        <v>27.988800000000001</v>
      </c>
      <c r="M997" s="9">
        <v>11.6745</v>
      </c>
      <c r="N997" s="9">
        <v>4.7850000000000001</v>
      </c>
      <c r="O997" s="9">
        <v>0.36249999999999999</v>
      </c>
      <c r="P997" s="9">
        <v>1.1798</v>
      </c>
      <c r="Q997" s="9">
        <v>19.053000000000001</v>
      </c>
      <c r="R997" s="9"/>
      <c r="S997" s="11"/>
    </row>
    <row r="998" spans="1:19" ht="15.6">
      <c r="A998" s="13">
        <v>72471</v>
      </c>
      <c r="B998" s="8">
        <f>CHOOSE( CONTROL!$C$29, 18.13, 18.1232) * CHOOSE(CONTROL!$C$12, $D$4, 100%, $F$4)</f>
        <v>18.123200000000001</v>
      </c>
      <c r="C998" s="8">
        <f>CHOOSE( CONTROL!$C$29, 18.1403, 18.1335) * CHOOSE(CONTROL!$C$12, $D$4, 100%, $F$4)</f>
        <v>18.133500000000002</v>
      </c>
      <c r="D998" s="8">
        <f>CHOOSE( CONTROL!$C$29, 18.1206, 18.1138) * CHOOSE( CONTROL!$C$12, $D$4, 100%, $F$4)</f>
        <v>18.113800000000001</v>
      </c>
      <c r="E998" s="12">
        <f>CHOOSE( CONTROL!$C$29, 18.1262, 18.1194) * CHOOSE( CONTROL!$C$12, $D$4, 100%, $F$4)</f>
        <v>18.119399999999999</v>
      </c>
      <c r="F998" s="4">
        <f>CHOOSE( CONTROL!$C$29, 19.1045, 19.0976) * CHOOSE(CONTROL!$C$12, $D$4, 100%, $F$4)</f>
        <v>19.0976</v>
      </c>
      <c r="G998" s="8">
        <f>CHOOSE( CONTROL!$C$29, 17.8521, 17.8454) * CHOOSE( CONTROL!$C$12, $D$4, 100%, $F$4)</f>
        <v>17.845400000000001</v>
      </c>
      <c r="H998" s="4">
        <f>CHOOSE( CONTROL!$C$29, 18.7498, 18.743) * CHOOSE(CONTROL!$C$12, $D$4, 100%, $F$4)</f>
        <v>18.742999999999999</v>
      </c>
      <c r="I998" s="8">
        <f>CHOOSE( CONTROL!$C$29, 17.6025, 17.5959) * CHOOSE(CONTROL!$C$12, $D$4, 100%, $F$4)</f>
        <v>17.5959</v>
      </c>
      <c r="J998" s="4">
        <f>CHOOSE( CONTROL!$C$29, 17.567, 17.5604) * CHOOSE(CONTROL!$C$12, $D$4, 100%, $F$4)</f>
        <v>17.560400000000001</v>
      </c>
      <c r="K998" s="4"/>
      <c r="L998" s="9">
        <v>29.520499999999998</v>
      </c>
      <c r="M998" s="9">
        <v>12.063700000000001</v>
      </c>
      <c r="N998" s="9">
        <v>4.9444999999999997</v>
      </c>
      <c r="O998" s="9">
        <v>0.37459999999999999</v>
      </c>
      <c r="P998" s="9">
        <v>1.2192000000000001</v>
      </c>
      <c r="Q998" s="9">
        <v>19.688099999999999</v>
      </c>
      <c r="R998" s="9"/>
      <c r="S998" s="11"/>
    </row>
    <row r="999" spans="1:19" ht="15.6">
      <c r="A999" s="13">
        <v>72501</v>
      </c>
      <c r="B999" s="8">
        <f>CHOOSE( CONTROL!$C$29, 17.8387, 17.8318) * CHOOSE(CONTROL!$C$12, $D$4, 100%, $F$4)</f>
        <v>17.831800000000001</v>
      </c>
      <c r="C999" s="8">
        <f>CHOOSE( CONTROL!$C$29, 17.849, 17.8421) * CHOOSE(CONTROL!$C$12, $D$4, 100%, $F$4)</f>
        <v>17.842099999999999</v>
      </c>
      <c r="D999" s="8">
        <f>CHOOSE( CONTROL!$C$29, 17.8237, 17.8169) * CHOOSE( CONTROL!$C$12, $D$4, 100%, $F$4)</f>
        <v>17.8169</v>
      </c>
      <c r="E999" s="12">
        <f>CHOOSE( CONTROL!$C$29, 17.8313, 17.8245) * CHOOSE( CONTROL!$C$12, $D$4, 100%, $F$4)</f>
        <v>17.8245</v>
      </c>
      <c r="F999" s="4">
        <f>CHOOSE( CONTROL!$C$29, 18.8028, 18.796) * CHOOSE(CONTROL!$C$12, $D$4, 100%, $F$4)</f>
        <v>18.795999999999999</v>
      </c>
      <c r="G999" s="8">
        <f>CHOOSE( CONTROL!$C$29, 17.5636, 17.5569) * CHOOSE( CONTROL!$C$12, $D$4, 100%, $F$4)</f>
        <v>17.556899999999999</v>
      </c>
      <c r="H999" s="4">
        <f>CHOOSE( CONTROL!$C$29, 18.4524, 18.4456) * CHOOSE(CONTROL!$C$12, $D$4, 100%, $F$4)</f>
        <v>18.445599999999999</v>
      </c>
      <c r="I999" s="8">
        <f>CHOOSE( CONTROL!$C$29, 17.3222, 17.3156) * CHOOSE(CONTROL!$C$12, $D$4, 100%, $F$4)</f>
        <v>17.3156</v>
      </c>
      <c r="J999" s="4">
        <f>CHOOSE( CONTROL!$C$29, 17.2847, 17.2781) * CHOOSE(CONTROL!$C$12, $D$4, 100%, $F$4)</f>
        <v>17.278099999999998</v>
      </c>
      <c r="K999" s="4"/>
      <c r="L999" s="9">
        <v>28.568200000000001</v>
      </c>
      <c r="M999" s="9">
        <v>11.6745</v>
      </c>
      <c r="N999" s="9">
        <v>4.7850000000000001</v>
      </c>
      <c r="O999" s="9">
        <v>0.36249999999999999</v>
      </c>
      <c r="P999" s="9">
        <v>1.1798</v>
      </c>
      <c r="Q999" s="9">
        <v>19.053000000000001</v>
      </c>
      <c r="R999" s="9"/>
      <c r="S999" s="11"/>
    </row>
    <row r="1000" spans="1:19" ht="15.6">
      <c r="A1000" s="13">
        <v>72532</v>
      </c>
      <c r="B1000" s="8">
        <f>CHOOSE( CONTROL!$C$29, 18.6059, 18.5991) * CHOOSE(CONTROL!$C$12, $D$4, 100%, $F$4)</f>
        <v>18.5991</v>
      </c>
      <c r="C1000" s="8">
        <f>CHOOSE( CONTROL!$C$29, 18.6162, 18.6094) * CHOOSE(CONTROL!$C$12, $D$4, 100%, $F$4)</f>
        <v>18.609400000000001</v>
      </c>
      <c r="D1000" s="8">
        <f>CHOOSE( CONTROL!$C$29, 18.6244, 18.6175) * CHOOSE( CONTROL!$C$12, $D$4, 100%, $F$4)</f>
        <v>18.6175</v>
      </c>
      <c r="E1000" s="12">
        <f>CHOOSE( CONTROL!$C$29, 18.6199, 18.613) * CHOOSE( CONTROL!$C$12, $D$4, 100%, $F$4)</f>
        <v>18.613</v>
      </c>
      <c r="F1000" s="4">
        <f>CHOOSE( CONTROL!$C$29, 19.6149, 19.6081) * CHOOSE(CONTROL!$C$12, $D$4, 100%, $F$4)</f>
        <v>19.6081</v>
      </c>
      <c r="G1000" s="8">
        <f>CHOOSE( CONTROL!$C$29, 18.346, 18.3393) * CHOOSE( CONTROL!$C$12, $D$4, 100%, $F$4)</f>
        <v>18.339300000000001</v>
      </c>
      <c r="H1000" s="4">
        <f>CHOOSE( CONTROL!$C$29, 19.253, 19.2462) * CHOOSE(CONTROL!$C$12, $D$4, 100%, $F$4)</f>
        <v>19.246200000000002</v>
      </c>
      <c r="I1000" s="8">
        <f>CHOOSE( CONTROL!$C$29, 18.1214, 18.1147) * CHOOSE(CONTROL!$C$12, $D$4, 100%, $F$4)</f>
        <v>18.114699999999999</v>
      </c>
      <c r="J1000" s="4">
        <f>CHOOSE( CONTROL!$C$29, 18.0282, 18.0216) * CHOOSE(CONTROL!$C$12, $D$4, 100%, $F$4)</f>
        <v>18.021599999999999</v>
      </c>
      <c r="K1000" s="4"/>
      <c r="L1000" s="9">
        <v>29.520499999999998</v>
      </c>
      <c r="M1000" s="9">
        <v>12.063700000000001</v>
      </c>
      <c r="N1000" s="9">
        <v>4.9444999999999997</v>
      </c>
      <c r="O1000" s="9">
        <v>0.37459999999999999</v>
      </c>
      <c r="P1000" s="9">
        <v>1.2192000000000001</v>
      </c>
      <c r="Q1000" s="9">
        <v>19.688099999999999</v>
      </c>
      <c r="R1000" s="9"/>
      <c r="S1000" s="11"/>
    </row>
    <row r="1001" spans="1:19" ht="15.6">
      <c r="A1001" s="13">
        <v>72563</v>
      </c>
      <c r="B1001" s="8">
        <f>CHOOSE( CONTROL!$C$29, 17.1703, 17.1635) * CHOOSE(CONTROL!$C$12, $D$4, 100%, $F$4)</f>
        <v>17.163499999999999</v>
      </c>
      <c r="C1001" s="8">
        <f>CHOOSE( CONTROL!$C$29, 17.1806, 17.1738) * CHOOSE(CONTROL!$C$12, $D$4, 100%, $F$4)</f>
        <v>17.1738</v>
      </c>
      <c r="D1001" s="8">
        <f>CHOOSE( CONTROL!$C$29, 17.1821, 17.1753) * CHOOSE( CONTROL!$C$12, $D$4, 100%, $F$4)</f>
        <v>17.1753</v>
      </c>
      <c r="E1001" s="12">
        <f>CHOOSE( CONTROL!$C$29, 17.18, 17.1732) * CHOOSE( CONTROL!$C$12, $D$4, 100%, $F$4)</f>
        <v>17.173200000000001</v>
      </c>
      <c r="F1001" s="4">
        <f>CHOOSE( CONTROL!$C$29, 18.1767, 18.1699) * CHOOSE(CONTROL!$C$12, $D$4, 100%, $F$4)</f>
        <v>18.169899999999998</v>
      </c>
      <c r="G1001" s="8">
        <f>CHOOSE( CONTROL!$C$29, 16.9209, 16.9142) * CHOOSE( CONTROL!$C$12, $D$4, 100%, $F$4)</f>
        <v>16.914200000000001</v>
      </c>
      <c r="H1001" s="4">
        <f>CHOOSE( CONTROL!$C$29, 17.8352, 17.8285) * CHOOSE(CONTROL!$C$12, $D$4, 100%, $F$4)</f>
        <v>17.828499999999998</v>
      </c>
      <c r="I1001" s="8">
        <f>CHOOSE( CONTROL!$C$29, 16.7106, 16.704) * CHOOSE(CONTROL!$C$12, $D$4, 100%, $F$4)</f>
        <v>16.704000000000001</v>
      </c>
      <c r="J1001" s="4">
        <f>CHOOSE( CONTROL!$C$29, 16.6371, 16.6304) * CHOOSE(CONTROL!$C$12, $D$4, 100%, $F$4)</f>
        <v>16.630400000000002</v>
      </c>
      <c r="K1001" s="4"/>
      <c r="L1001" s="9">
        <v>29.520499999999998</v>
      </c>
      <c r="M1001" s="9">
        <v>12.063700000000001</v>
      </c>
      <c r="N1001" s="9">
        <v>4.9444999999999997</v>
      </c>
      <c r="O1001" s="9">
        <v>0.37459999999999999</v>
      </c>
      <c r="P1001" s="9">
        <v>1.2192000000000001</v>
      </c>
      <c r="Q1001" s="9">
        <v>19.688099999999999</v>
      </c>
      <c r="R1001" s="9"/>
      <c r="S1001" s="11"/>
    </row>
    <row r="1002" spans="1:19" ht="15.6">
      <c r="A1002" s="13">
        <v>72593</v>
      </c>
      <c r="B1002" s="8">
        <f>CHOOSE( CONTROL!$C$29, 16.8108, 16.804) * CHOOSE(CONTROL!$C$12, $D$4, 100%, $F$4)</f>
        <v>16.803999999999998</v>
      </c>
      <c r="C1002" s="8">
        <f>CHOOSE( CONTROL!$C$29, 16.8211, 16.8143) * CHOOSE(CONTROL!$C$12, $D$4, 100%, $F$4)</f>
        <v>16.814299999999999</v>
      </c>
      <c r="D1002" s="8">
        <f>CHOOSE( CONTROL!$C$29, 16.8258, 16.819) * CHOOSE( CONTROL!$C$12, $D$4, 100%, $F$4)</f>
        <v>16.818999999999999</v>
      </c>
      <c r="E1002" s="12">
        <f>CHOOSE( CONTROL!$C$29, 16.8225, 16.8157) * CHOOSE( CONTROL!$C$12, $D$4, 100%, $F$4)</f>
        <v>16.8157</v>
      </c>
      <c r="F1002" s="4">
        <f>CHOOSE( CONTROL!$C$29, 17.8224, 17.8156) * CHOOSE(CONTROL!$C$12, $D$4, 100%, $F$4)</f>
        <v>17.8156</v>
      </c>
      <c r="G1002" s="8">
        <f>CHOOSE( CONTROL!$C$29, 16.5686, 16.5618) * CHOOSE( CONTROL!$C$12, $D$4, 100%, $F$4)</f>
        <v>16.561800000000002</v>
      </c>
      <c r="H1002" s="4">
        <f>CHOOSE( CONTROL!$C$29, 17.4859, 17.4792) * CHOOSE(CONTROL!$C$12, $D$4, 100%, $F$4)</f>
        <v>17.479199999999999</v>
      </c>
      <c r="I1002" s="8">
        <f>CHOOSE( CONTROL!$C$29, 16.3699, 16.3633) * CHOOSE(CONTROL!$C$12, $D$4, 100%, $F$4)</f>
        <v>16.363299999999999</v>
      </c>
      <c r="J1002" s="4">
        <f>CHOOSE( CONTROL!$C$29, 16.2887, 16.2821) * CHOOSE(CONTROL!$C$12, $D$4, 100%, $F$4)</f>
        <v>16.2821</v>
      </c>
      <c r="K1002" s="4"/>
      <c r="L1002" s="9">
        <v>28.568200000000001</v>
      </c>
      <c r="M1002" s="9">
        <v>11.6745</v>
      </c>
      <c r="N1002" s="9">
        <v>4.7850000000000001</v>
      </c>
      <c r="O1002" s="9">
        <v>0.36249999999999999</v>
      </c>
      <c r="P1002" s="9">
        <v>1.1798</v>
      </c>
      <c r="Q1002" s="9">
        <v>19.053000000000001</v>
      </c>
      <c r="R1002" s="9"/>
      <c r="S1002" s="11"/>
    </row>
    <row r="1003" spans="1:19" ht="15.6">
      <c r="A1003" s="13">
        <v>72624</v>
      </c>
      <c r="B1003" s="8">
        <f>17.5504 * CHOOSE(CONTROL!$C$12, $D$4, 100%, $F$4)</f>
        <v>17.5504</v>
      </c>
      <c r="C1003" s="8">
        <f>17.5607 * CHOOSE(CONTROL!$C$12, $D$4, 100%, $F$4)</f>
        <v>17.560700000000001</v>
      </c>
      <c r="D1003" s="8">
        <f>17.5558 * CHOOSE( CONTROL!$C$12, $D$4, 100%, $F$4)</f>
        <v>17.555800000000001</v>
      </c>
      <c r="E1003" s="12">
        <f>17.5563 * CHOOSE( CONTROL!$C$12, $D$4, 100%, $F$4)</f>
        <v>17.5563</v>
      </c>
      <c r="F1003" s="4">
        <f>18.5414 * CHOOSE(CONTROL!$C$12, $D$4, 100%, $F$4)</f>
        <v>18.541399999999999</v>
      </c>
      <c r="G1003" s="8">
        <f>17.2944 * CHOOSE( CONTROL!$C$12, $D$4, 100%, $F$4)</f>
        <v>17.2944</v>
      </c>
      <c r="H1003" s="4">
        <f>18.1947 * CHOOSE(CONTROL!$C$12, $D$4, 100%, $F$4)</f>
        <v>18.194700000000001</v>
      </c>
      <c r="I1003" s="8">
        <f>17.0908 * CHOOSE(CONTROL!$C$12, $D$4, 100%, $F$4)</f>
        <v>17.090800000000002</v>
      </c>
      <c r="J1003" s="4">
        <f>17.0054 * CHOOSE(CONTROL!$C$12, $D$4, 100%, $F$4)</f>
        <v>17.005400000000002</v>
      </c>
      <c r="K1003" s="4"/>
      <c r="L1003" s="9">
        <v>28.921800000000001</v>
      </c>
      <c r="M1003" s="9">
        <v>12.063700000000001</v>
      </c>
      <c r="N1003" s="9">
        <v>4.9444999999999997</v>
      </c>
      <c r="O1003" s="9">
        <v>0.37459999999999999</v>
      </c>
      <c r="P1003" s="9">
        <v>1.2192000000000001</v>
      </c>
      <c r="Q1003" s="9">
        <v>19.688099999999999</v>
      </c>
      <c r="R1003" s="9"/>
      <c r="S1003" s="11"/>
    </row>
    <row r="1004" spans="1:19" ht="15.6">
      <c r="A1004" s="13">
        <v>72654</v>
      </c>
      <c r="B1004" s="8">
        <f>18.9282 * CHOOSE(CONTROL!$C$12, $D$4, 100%, $F$4)</f>
        <v>18.9282</v>
      </c>
      <c r="C1004" s="8">
        <f>18.9385 * CHOOSE(CONTROL!$C$12, $D$4, 100%, $F$4)</f>
        <v>18.938500000000001</v>
      </c>
      <c r="D1004" s="8">
        <f>18.8978 * CHOOSE( CONTROL!$C$12, $D$4, 100%, $F$4)</f>
        <v>18.8978</v>
      </c>
      <c r="E1004" s="12">
        <f>18.9116 * CHOOSE( CONTROL!$C$12, $D$4, 100%, $F$4)</f>
        <v>18.9116</v>
      </c>
      <c r="F1004" s="4">
        <f>19.9052 * CHOOSE(CONTROL!$C$12, $D$4, 100%, $F$4)</f>
        <v>19.905200000000001</v>
      </c>
      <c r="G1004" s="8">
        <f>18.6465 * CHOOSE( CONTROL!$C$12, $D$4, 100%, $F$4)</f>
        <v>18.6465</v>
      </c>
      <c r="H1004" s="4">
        <f>19.5391 * CHOOSE(CONTROL!$C$12, $D$4, 100%, $F$4)</f>
        <v>19.539100000000001</v>
      </c>
      <c r="I1004" s="8">
        <f>18.4109 * CHOOSE(CONTROL!$C$12, $D$4, 100%, $F$4)</f>
        <v>18.410900000000002</v>
      </c>
      <c r="J1004" s="4">
        <f>18.3405 * CHOOSE(CONTROL!$C$12, $D$4, 100%, $F$4)</f>
        <v>18.340499999999999</v>
      </c>
      <c r="K1004" s="4"/>
      <c r="L1004" s="9">
        <v>26.515499999999999</v>
      </c>
      <c r="M1004" s="9">
        <v>11.6745</v>
      </c>
      <c r="N1004" s="9">
        <v>4.7850000000000001</v>
      </c>
      <c r="O1004" s="9">
        <v>0.36249999999999999</v>
      </c>
      <c r="P1004" s="9">
        <v>1.2522</v>
      </c>
      <c r="Q1004" s="9">
        <v>19.053000000000001</v>
      </c>
      <c r="R1004" s="9"/>
      <c r="S1004" s="11"/>
    </row>
    <row r="1005" spans="1:19" ht="15.6">
      <c r="A1005" s="13">
        <v>72685</v>
      </c>
      <c r="B1005" s="8">
        <f>18.8938 * CHOOSE(CONTROL!$C$12, $D$4, 100%, $F$4)</f>
        <v>18.893799999999999</v>
      </c>
      <c r="C1005" s="8">
        <f>18.9041 * CHOOSE(CONTROL!$C$12, $D$4, 100%, $F$4)</f>
        <v>18.9041</v>
      </c>
      <c r="D1005" s="8">
        <f>18.8653 * CHOOSE( CONTROL!$C$12, $D$4, 100%, $F$4)</f>
        <v>18.865300000000001</v>
      </c>
      <c r="E1005" s="12">
        <f>18.8784 * CHOOSE( CONTROL!$C$12, $D$4, 100%, $F$4)</f>
        <v>18.878399999999999</v>
      </c>
      <c r="F1005" s="4">
        <f>19.8641 * CHOOSE(CONTROL!$C$12, $D$4, 100%, $F$4)</f>
        <v>19.864100000000001</v>
      </c>
      <c r="G1005" s="8">
        <f>18.615 * CHOOSE( CONTROL!$C$12, $D$4, 100%, $F$4)</f>
        <v>18.614999999999998</v>
      </c>
      <c r="H1005" s="4">
        <f>19.4985 * CHOOSE(CONTROL!$C$12, $D$4, 100%, $F$4)</f>
        <v>19.4985</v>
      </c>
      <c r="I1005" s="8">
        <f>18.3882 * CHOOSE(CONTROL!$C$12, $D$4, 100%, $F$4)</f>
        <v>18.388200000000001</v>
      </c>
      <c r="J1005" s="4">
        <f>18.3071 * CHOOSE(CONTROL!$C$12, $D$4, 100%, $F$4)</f>
        <v>18.307099999999998</v>
      </c>
      <c r="K1005" s="4"/>
      <c r="L1005" s="9">
        <v>27.3993</v>
      </c>
      <c r="M1005" s="9">
        <v>12.063700000000001</v>
      </c>
      <c r="N1005" s="9">
        <v>4.9444999999999997</v>
      </c>
      <c r="O1005" s="9">
        <v>0.37459999999999999</v>
      </c>
      <c r="P1005" s="9">
        <v>1.2939000000000001</v>
      </c>
      <c r="Q1005" s="9">
        <v>19.688099999999999</v>
      </c>
      <c r="R1005" s="9"/>
      <c r="S1005" s="11"/>
    </row>
    <row r="1006" spans="1:19" ht="15.6">
      <c r="A1006" s="13">
        <v>72716</v>
      </c>
      <c r="B1006" s="8">
        <f>19.3347 * CHOOSE(CONTROL!$C$12, $D$4, 100%, $F$4)</f>
        <v>19.334700000000002</v>
      </c>
      <c r="C1006" s="8">
        <f>19.345 * CHOOSE(CONTROL!$C$12, $D$4, 100%, $F$4)</f>
        <v>19.344999999999999</v>
      </c>
      <c r="D1006" s="8">
        <f>19.3448 * CHOOSE( CONTROL!$C$12, $D$4, 100%, $F$4)</f>
        <v>19.344799999999999</v>
      </c>
      <c r="E1006" s="12">
        <f>19.3438 * CHOOSE( CONTROL!$C$12, $D$4, 100%, $F$4)</f>
        <v>19.343800000000002</v>
      </c>
      <c r="F1006" s="4">
        <f>20.3566 * CHOOSE(CONTROL!$C$12, $D$4, 100%, $F$4)</f>
        <v>20.3566</v>
      </c>
      <c r="G1006" s="8">
        <f>19.0906 * CHOOSE( CONTROL!$C$12, $D$4, 100%, $F$4)</f>
        <v>19.090599999999998</v>
      </c>
      <c r="H1006" s="4">
        <f>19.984 * CHOOSE(CONTROL!$C$12, $D$4, 100%, $F$4)</f>
        <v>19.984000000000002</v>
      </c>
      <c r="I1006" s="8">
        <f>18.8523 * CHOOSE(CONTROL!$C$12, $D$4, 100%, $F$4)</f>
        <v>18.8523</v>
      </c>
      <c r="J1006" s="4">
        <f>18.7343 * CHOOSE(CONTROL!$C$12, $D$4, 100%, $F$4)</f>
        <v>18.734300000000001</v>
      </c>
      <c r="K1006" s="4"/>
      <c r="L1006" s="9">
        <v>27.3993</v>
      </c>
      <c r="M1006" s="9">
        <v>12.063700000000001</v>
      </c>
      <c r="N1006" s="9">
        <v>4.9444999999999997</v>
      </c>
      <c r="O1006" s="9">
        <v>0.37459999999999999</v>
      </c>
      <c r="P1006" s="9">
        <v>1.2939000000000001</v>
      </c>
      <c r="Q1006" s="9">
        <v>19.688099999999999</v>
      </c>
      <c r="R1006" s="9"/>
      <c r="S1006" s="11"/>
    </row>
    <row r="1007" spans="1:19" ht="15.6">
      <c r="A1007" s="13">
        <v>72744</v>
      </c>
      <c r="B1007" s="8">
        <f>18.0848 * CHOOSE(CONTROL!$C$12, $D$4, 100%, $F$4)</f>
        <v>18.084800000000001</v>
      </c>
      <c r="C1007" s="8">
        <f>18.0951 * CHOOSE(CONTROL!$C$12, $D$4, 100%, $F$4)</f>
        <v>18.095099999999999</v>
      </c>
      <c r="D1007" s="8">
        <f>18.0972 * CHOOSE( CONTROL!$C$12, $D$4, 100%, $F$4)</f>
        <v>18.097200000000001</v>
      </c>
      <c r="E1007" s="12">
        <f>18.0953 * CHOOSE( CONTROL!$C$12, $D$4, 100%, $F$4)</f>
        <v>18.095300000000002</v>
      </c>
      <c r="F1007" s="4">
        <f>19.0989 * CHOOSE(CONTROL!$C$12, $D$4, 100%, $F$4)</f>
        <v>19.0989</v>
      </c>
      <c r="G1007" s="8">
        <f>17.8583 * CHOOSE( CONTROL!$C$12, $D$4, 100%, $F$4)</f>
        <v>17.8583</v>
      </c>
      <c r="H1007" s="4">
        <f>18.7443 * CHOOSE(CONTROL!$C$12, $D$4, 100%, $F$4)</f>
        <v>18.744299999999999</v>
      </c>
      <c r="I1007" s="8">
        <f>17.6296 * CHOOSE(CONTROL!$C$12, $D$4, 100%, $F$4)</f>
        <v>17.6296</v>
      </c>
      <c r="J1007" s="4">
        <f>17.5232 * CHOOSE(CONTROL!$C$12, $D$4, 100%, $F$4)</f>
        <v>17.523199999999999</v>
      </c>
      <c r="K1007" s="4"/>
      <c r="L1007" s="9">
        <v>24.747800000000002</v>
      </c>
      <c r="M1007" s="9">
        <v>10.8962</v>
      </c>
      <c r="N1007" s="9">
        <v>4.4660000000000002</v>
      </c>
      <c r="O1007" s="9">
        <v>0.33829999999999999</v>
      </c>
      <c r="P1007" s="9">
        <v>1.1687000000000001</v>
      </c>
      <c r="Q1007" s="9">
        <v>17.782800000000002</v>
      </c>
      <c r="R1007" s="9"/>
      <c r="S1007" s="11"/>
    </row>
    <row r="1008" spans="1:19" ht="15.6">
      <c r="A1008" s="13">
        <v>72775</v>
      </c>
      <c r="B1008" s="8">
        <f>17.6998 * CHOOSE(CONTROL!$C$12, $D$4, 100%, $F$4)</f>
        <v>17.6998</v>
      </c>
      <c r="C1008" s="8">
        <f>17.7101 * CHOOSE(CONTROL!$C$12, $D$4, 100%, $F$4)</f>
        <v>17.710100000000001</v>
      </c>
      <c r="D1008" s="8">
        <f>17.6923 * CHOOSE( CONTROL!$C$12, $D$4, 100%, $F$4)</f>
        <v>17.692299999999999</v>
      </c>
      <c r="E1008" s="12">
        <f>17.6977 * CHOOSE( CONTROL!$C$12, $D$4, 100%, $F$4)</f>
        <v>17.697700000000001</v>
      </c>
      <c r="F1008" s="4">
        <f>18.698 * CHOOSE(CONTROL!$C$12, $D$4, 100%, $F$4)</f>
        <v>18.698</v>
      </c>
      <c r="G1008" s="8">
        <f>17.4584 * CHOOSE( CONTROL!$C$12, $D$4, 100%, $F$4)</f>
        <v>17.458400000000001</v>
      </c>
      <c r="H1008" s="4">
        <f>18.3491 * CHOOSE(CONTROL!$C$12, $D$4, 100%, $F$4)</f>
        <v>18.3491</v>
      </c>
      <c r="I1008" s="8">
        <f>17.2169 * CHOOSE(CONTROL!$C$12, $D$4, 100%, $F$4)</f>
        <v>17.216899999999999</v>
      </c>
      <c r="J1008" s="4">
        <f>17.1502 * CHOOSE(CONTROL!$C$12, $D$4, 100%, $F$4)</f>
        <v>17.150200000000002</v>
      </c>
      <c r="K1008" s="4"/>
      <c r="L1008" s="9">
        <v>27.3993</v>
      </c>
      <c r="M1008" s="9">
        <v>12.063700000000001</v>
      </c>
      <c r="N1008" s="9">
        <v>4.9444999999999997</v>
      </c>
      <c r="O1008" s="9">
        <v>0.37459999999999999</v>
      </c>
      <c r="P1008" s="9">
        <v>1.2939000000000001</v>
      </c>
      <c r="Q1008" s="9">
        <v>19.688099999999999</v>
      </c>
      <c r="R1008" s="9"/>
      <c r="S1008" s="11"/>
    </row>
    <row r="1009" spans="1:19" ht="15.6">
      <c r="A1009" s="13">
        <v>72805</v>
      </c>
      <c r="B1009" s="8">
        <f>17.9688 * CHOOSE(CONTROL!$C$12, $D$4, 100%, $F$4)</f>
        <v>17.968800000000002</v>
      </c>
      <c r="C1009" s="8">
        <f>17.9791 * CHOOSE(CONTROL!$C$12, $D$4, 100%, $F$4)</f>
        <v>17.979099999999999</v>
      </c>
      <c r="D1009" s="8">
        <f>17.9842 * CHOOSE( CONTROL!$C$12, $D$4, 100%, $F$4)</f>
        <v>17.984200000000001</v>
      </c>
      <c r="E1009" s="12">
        <f>17.9813 * CHOOSE( CONTROL!$C$12, $D$4, 100%, $F$4)</f>
        <v>17.981300000000001</v>
      </c>
      <c r="F1009" s="4">
        <f>18.9752 * CHOOSE(CONTROL!$C$12, $D$4, 100%, $F$4)</f>
        <v>18.975200000000001</v>
      </c>
      <c r="G1009" s="8">
        <f>17.7114 * CHOOSE( CONTROL!$C$12, $D$4, 100%, $F$4)</f>
        <v>17.711400000000001</v>
      </c>
      <c r="H1009" s="4">
        <f>18.6224 * CHOOSE(CONTROL!$C$12, $D$4, 100%, $F$4)</f>
        <v>18.622399999999999</v>
      </c>
      <c r="I1009" s="8">
        <f>17.4678 * CHOOSE(CONTROL!$C$12, $D$4, 100%, $F$4)</f>
        <v>17.4678</v>
      </c>
      <c r="J1009" s="4">
        <f>17.4108 * CHOOSE(CONTROL!$C$12, $D$4, 100%, $F$4)</f>
        <v>17.410799999999998</v>
      </c>
      <c r="K1009" s="4"/>
      <c r="L1009" s="9">
        <v>27.988800000000001</v>
      </c>
      <c r="M1009" s="9">
        <v>11.6745</v>
      </c>
      <c r="N1009" s="9">
        <v>4.7850000000000001</v>
      </c>
      <c r="O1009" s="9">
        <v>0.36249999999999999</v>
      </c>
      <c r="P1009" s="9">
        <v>1.1798</v>
      </c>
      <c r="Q1009" s="9">
        <v>19.053000000000001</v>
      </c>
      <c r="R1009" s="9"/>
      <c r="S1009" s="11"/>
    </row>
    <row r="1010" spans="1:19" ht="15.6">
      <c r="A1010" s="13">
        <v>72836</v>
      </c>
      <c r="B1010" s="8">
        <f>CHOOSE( CONTROL!$C$29, 18.4544, 18.4476) * CHOOSE(CONTROL!$C$12, $D$4, 100%, $F$4)</f>
        <v>18.447600000000001</v>
      </c>
      <c r="C1010" s="8">
        <f>CHOOSE( CONTROL!$C$29, 18.4647, 18.4579) * CHOOSE(CONTROL!$C$12, $D$4, 100%, $F$4)</f>
        <v>18.457899999999999</v>
      </c>
      <c r="D1010" s="8">
        <f>CHOOSE( CONTROL!$C$29, 18.445, 18.4381) * CHOOSE( CONTROL!$C$12, $D$4, 100%, $F$4)</f>
        <v>18.438099999999999</v>
      </c>
      <c r="E1010" s="12">
        <f>CHOOSE( CONTROL!$C$29, 18.4506, 18.4437) * CHOOSE( CONTROL!$C$12, $D$4, 100%, $F$4)</f>
        <v>18.4437</v>
      </c>
      <c r="F1010" s="4">
        <f>CHOOSE( CONTROL!$C$29, 19.4289, 19.422) * CHOOSE(CONTROL!$C$12, $D$4, 100%, $F$4)</f>
        <v>19.422000000000001</v>
      </c>
      <c r="G1010" s="8">
        <f>CHOOSE( CONTROL!$C$29, 18.1719, 18.1651) * CHOOSE( CONTROL!$C$12, $D$4, 100%, $F$4)</f>
        <v>18.165099999999999</v>
      </c>
      <c r="H1010" s="4">
        <f>CHOOSE( CONTROL!$C$29, 19.0695, 19.0628) * CHOOSE(CONTROL!$C$12, $D$4, 100%, $F$4)</f>
        <v>19.062799999999999</v>
      </c>
      <c r="I1010" s="8">
        <f>CHOOSE( CONTROL!$C$29, 17.917, 17.9104) * CHOOSE(CONTROL!$C$12, $D$4, 100%, $F$4)</f>
        <v>17.910399999999999</v>
      </c>
      <c r="J1010" s="4">
        <f>CHOOSE( CONTROL!$C$29, 17.8814, 17.8747) * CHOOSE(CONTROL!$C$12, $D$4, 100%, $F$4)</f>
        <v>17.874700000000001</v>
      </c>
      <c r="K1010" s="4"/>
      <c r="L1010" s="9">
        <v>29.520499999999998</v>
      </c>
      <c r="M1010" s="9">
        <v>12.063700000000001</v>
      </c>
      <c r="N1010" s="9">
        <v>4.9444999999999997</v>
      </c>
      <c r="O1010" s="9">
        <v>0.37459999999999999</v>
      </c>
      <c r="P1010" s="9">
        <v>1.2192000000000001</v>
      </c>
      <c r="Q1010" s="9">
        <v>19.688099999999999</v>
      </c>
      <c r="R1010" s="9"/>
      <c r="S1010" s="11"/>
    </row>
    <row r="1011" spans="1:19" ht="15.6">
      <c r="A1011" s="13">
        <v>72866</v>
      </c>
      <c r="B1011" s="8">
        <f>CHOOSE( CONTROL!$C$29, 18.1578, 18.151) * CHOOSE(CONTROL!$C$12, $D$4, 100%, $F$4)</f>
        <v>18.151</v>
      </c>
      <c r="C1011" s="8">
        <f>CHOOSE( CONTROL!$C$29, 18.1682, 18.1613) * CHOOSE(CONTROL!$C$12, $D$4, 100%, $F$4)</f>
        <v>18.161300000000001</v>
      </c>
      <c r="D1011" s="8">
        <f>CHOOSE( CONTROL!$C$29, 18.1429, 18.136) * CHOOSE( CONTROL!$C$12, $D$4, 100%, $F$4)</f>
        <v>18.135999999999999</v>
      </c>
      <c r="E1011" s="12">
        <f>CHOOSE( CONTROL!$C$29, 18.1505, 18.1436) * CHOOSE( CONTROL!$C$12, $D$4, 100%, $F$4)</f>
        <v>18.143599999999999</v>
      </c>
      <c r="F1011" s="4">
        <f>CHOOSE( CONTROL!$C$29, 19.122, 19.1151) * CHOOSE(CONTROL!$C$12, $D$4, 100%, $F$4)</f>
        <v>19.115100000000002</v>
      </c>
      <c r="G1011" s="8">
        <f>CHOOSE( CONTROL!$C$29, 17.8782, 17.8715) * CHOOSE( CONTROL!$C$12, $D$4, 100%, $F$4)</f>
        <v>17.871500000000001</v>
      </c>
      <c r="H1011" s="4">
        <f>CHOOSE( CONTROL!$C$29, 18.767, 18.7602) * CHOOSE(CONTROL!$C$12, $D$4, 100%, $F$4)</f>
        <v>18.760200000000001</v>
      </c>
      <c r="I1011" s="8">
        <f>CHOOSE( CONTROL!$C$29, 17.6317, 17.625) * CHOOSE(CONTROL!$C$12, $D$4, 100%, $F$4)</f>
        <v>17.625</v>
      </c>
      <c r="J1011" s="4">
        <f>CHOOSE( CONTROL!$C$29, 17.594, 17.5874) * CHOOSE(CONTROL!$C$12, $D$4, 100%, $F$4)</f>
        <v>17.587399999999999</v>
      </c>
      <c r="K1011" s="4"/>
      <c r="L1011" s="9">
        <v>28.568200000000001</v>
      </c>
      <c r="M1011" s="9">
        <v>11.6745</v>
      </c>
      <c r="N1011" s="9">
        <v>4.7850000000000001</v>
      </c>
      <c r="O1011" s="9">
        <v>0.36249999999999999</v>
      </c>
      <c r="P1011" s="9">
        <v>1.1798</v>
      </c>
      <c r="Q1011" s="9">
        <v>19.053000000000001</v>
      </c>
      <c r="R1011" s="9"/>
      <c r="S1011" s="11"/>
    </row>
    <row r="1012" spans="1:19" ht="15.6">
      <c r="A1012" s="13">
        <v>72897</v>
      </c>
      <c r="B1012" s="8">
        <f>CHOOSE( CONTROL!$C$29, 18.9388, 18.932) * CHOOSE(CONTROL!$C$12, $D$4, 100%, $F$4)</f>
        <v>18.931999999999999</v>
      </c>
      <c r="C1012" s="8">
        <f>CHOOSE( CONTROL!$C$29, 18.9492, 18.9423) * CHOOSE(CONTROL!$C$12, $D$4, 100%, $F$4)</f>
        <v>18.942299999999999</v>
      </c>
      <c r="D1012" s="8">
        <f>CHOOSE( CONTROL!$C$29, 18.9573, 18.9505) * CHOOSE( CONTROL!$C$12, $D$4, 100%, $F$4)</f>
        <v>18.950500000000002</v>
      </c>
      <c r="E1012" s="12">
        <f>CHOOSE( CONTROL!$C$29, 18.9528, 18.946) * CHOOSE( CONTROL!$C$12, $D$4, 100%, $F$4)</f>
        <v>18.946000000000002</v>
      </c>
      <c r="F1012" s="4">
        <f>CHOOSE( CONTROL!$C$29, 19.9479, 19.941) * CHOOSE(CONTROL!$C$12, $D$4, 100%, $F$4)</f>
        <v>19.940999999999999</v>
      </c>
      <c r="G1012" s="8">
        <f>CHOOSE( CONTROL!$C$29, 18.6742, 18.6674) * CHOOSE( CONTROL!$C$12, $D$4, 100%, $F$4)</f>
        <v>18.667400000000001</v>
      </c>
      <c r="H1012" s="4">
        <f>CHOOSE( CONTROL!$C$29, 19.5811, 19.5744) * CHOOSE(CONTROL!$C$12, $D$4, 100%, $F$4)</f>
        <v>19.574400000000001</v>
      </c>
      <c r="I1012" s="8">
        <f>CHOOSE( CONTROL!$C$29, 18.4441, 18.4375) * CHOOSE(CONTROL!$C$12, $D$4, 100%, $F$4)</f>
        <v>18.4375</v>
      </c>
      <c r="J1012" s="4">
        <f>CHOOSE( CONTROL!$C$29, 18.3508, 18.3442) * CHOOSE(CONTROL!$C$12, $D$4, 100%, $F$4)</f>
        <v>18.344200000000001</v>
      </c>
      <c r="K1012" s="4"/>
      <c r="L1012" s="9">
        <v>29.520499999999998</v>
      </c>
      <c r="M1012" s="9">
        <v>12.063700000000001</v>
      </c>
      <c r="N1012" s="9">
        <v>4.9444999999999997</v>
      </c>
      <c r="O1012" s="9">
        <v>0.37459999999999999</v>
      </c>
      <c r="P1012" s="9">
        <v>1.2192000000000001</v>
      </c>
      <c r="Q1012" s="9">
        <v>19.688099999999999</v>
      </c>
      <c r="R1012" s="9"/>
      <c r="S1012" s="11"/>
    </row>
    <row r="1013" spans="1:19" ht="15.6">
      <c r="A1013" s="13">
        <v>72928</v>
      </c>
      <c r="B1013" s="8">
        <f>CHOOSE( CONTROL!$C$29, 17.4775, 17.4707) * CHOOSE(CONTROL!$C$12, $D$4, 100%, $F$4)</f>
        <v>17.470700000000001</v>
      </c>
      <c r="C1013" s="8">
        <f>CHOOSE( CONTROL!$C$29, 17.4878, 17.481) * CHOOSE(CONTROL!$C$12, $D$4, 100%, $F$4)</f>
        <v>17.481000000000002</v>
      </c>
      <c r="D1013" s="8">
        <f>CHOOSE( CONTROL!$C$29, 17.4893, 17.4825) * CHOOSE( CONTROL!$C$12, $D$4, 100%, $F$4)</f>
        <v>17.482500000000002</v>
      </c>
      <c r="E1013" s="12">
        <f>CHOOSE( CONTROL!$C$29, 17.4872, 17.4804) * CHOOSE( CONTROL!$C$12, $D$4, 100%, $F$4)</f>
        <v>17.480399999999999</v>
      </c>
      <c r="F1013" s="4">
        <f>CHOOSE( CONTROL!$C$29, 18.4839, 18.4771) * CHOOSE(CONTROL!$C$12, $D$4, 100%, $F$4)</f>
        <v>18.4771</v>
      </c>
      <c r="G1013" s="8">
        <f>CHOOSE( CONTROL!$C$29, 17.2237, 17.217) * CHOOSE( CONTROL!$C$12, $D$4, 100%, $F$4)</f>
        <v>17.216999999999999</v>
      </c>
      <c r="H1013" s="4">
        <f>CHOOSE( CONTROL!$C$29, 18.1381, 18.1313) * CHOOSE(CONTROL!$C$12, $D$4, 100%, $F$4)</f>
        <v>18.1313</v>
      </c>
      <c r="I1013" s="8">
        <f>CHOOSE( CONTROL!$C$29, 17.0085, 17.0018) * CHOOSE(CONTROL!$C$12, $D$4, 100%, $F$4)</f>
        <v>17.001799999999999</v>
      </c>
      <c r="J1013" s="4">
        <f>CHOOSE( CONTROL!$C$29, 16.9347, 16.9281) * CHOOSE(CONTROL!$C$12, $D$4, 100%, $F$4)</f>
        <v>16.928100000000001</v>
      </c>
      <c r="K1013" s="4"/>
      <c r="L1013" s="9">
        <v>29.520499999999998</v>
      </c>
      <c r="M1013" s="9">
        <v>12.063700000000001</v>
      </c>
      <c r="N1013" s="9">
        <v>4.9444999999999997</v>
      </c>
      <c r="O1013" s="9">
        <v>0.37459999999999999</v>
      </c>
      <c r="P1013" s="9">
        <v>1.2192000000000001</v>
      </c>
      <c r="Q1013" s="9">
        <v>19.688099999999999</v>
      </c>
      <c r="R1013" s="9"/>
      <c r="S1013" s="11"/>
    </row>
    <row r="1014" spans="1:19" ht="15.6">
      <c r="A1014" s="13">
        <v>72958</v>
      </c>
      <c r="B1014" s="8">
        <f>CHOOSE( CONTROL!$C$29, 17.1116, 17.1047) * CHOOSE(CONTROL!$C$12, $D$4, 100%, $F$4)</f>
        <v>17.104700000000001</v>
      </c>
      <c r="C1014" s="8">
        <f>CHOOSE( CONTROL!$C$29, 17.1219, 17.115) * CHOOSE(CONTROL!$C$12, $D$4, 100%, $F$4)</f>
        <v>17.114999999999998</v>
      </c>
      <c r="D1014" s="8">
        <f>CHOOSE( CONTROL!$C$29, 17.1266, 17.1197) * CHOOSE( CONTROL!$C$12, $D$4, 100%, $F$4)</f>
        <v>17.119700000000002</v>
      </c>
      <c r="E1014" s="12">
        <f>CHOOSE( CONTROL!$C$29, 17.1233, 17.1164) * CHOOSE( CONTROL!$C$12, $D$4, 100%, $F$4)</f>
        <v>17.116399999999999</v>
      </c>
      <c r="F1014" s="4">
        <f>CHOOSE( CONTROL!$C$29, 18.1232, 18.1163) * CHOOSE(CONTROL!$C$12, $D$4, 100%, $F$4)</f>
        <v>18.116299999999999</v>
      </c>
      <c r="G1014" s="8">
        <f>CHOOSE( CONTROL!$C$29, 16.865, 16.8583) * CHOOSE( CONTROL!$C$12, $D$4, 100%, $F$4)</f>
        <v>16.8583</v>
      </c>
      <c r="H1014" s="4">
        <f>CHOOSE( CONTROL!$C$29, 17.7824, 17.7757) * CHOOSE(CONTROL!$C$12, $D$4, 100%, $F$4)</f>
        <v>17.775700000000001</v>
      </c>
      <c r="I1014" s="8">
        <f>CHOOSE( CONTROL!$C$29, 16.6615, 16.6549) * CHOOSE(CONTROL!$C$12, $D$4, 100%, $F$4)</f>
        <v>16.654900000000001</v>
      </c>
      <c r="J1014" s="4">
        <f>CHOOSE( CONTROL!$C$29, 16.5802, 16.5735) * CHOOSE(CONTROL!$C$12, $D$4, 100%, $F$4)</f>
        <v>16.573499999999999</v>
      </c>
      <c r="K1014" s="4"/>
      <c r="L1014" s="9">
        <v>28.568200000000001</v>
      </c>
      <c r="M1014" s="9">
        <v>11.6745</v>
      </c>
      <c r="N1014" s="9">
        <v>4.7850000000000001</v>
      </c>
      <c r="O1014" s="9">
        <v>0.36249999999999999</v>
      </c>
      <c r="P1014" s="9">
        <v>1.1798</v>
      </c>
      <c r="Q1014" s="9">
        <v>19.053000000000001</v>
      </c>
      <c r="R1014" s="9"/>
      <c r="S1014" s="11"/>
    </row>
    <row r="1015" spans="1:19" ht="15.6">
      <c r="A1015" s="13">
        <v>72989</v>
      </c>
      <c r="B1015" s="8">
        <f>17.8645 * CHOOSE(CONTROL!$C$12, $D$4, 100%, $F$4)</f>
        <v>17.8645</v>
      </c>
      <c r="C1015" s="8">
        <f>17.8749 * CHOOSE(CONTROL!$C$12, $D$4, 100%, $F$4)</f>
        <v>17.8749</v>
      </c>
      <c r="D1015" s="8">
        <f>17.8699 * CHOOSE( CONTROL!$C$12, $D$4, 100%, $F$4)</f>
        <v>17.869900000000001</v>
      </c>
      <c r="E1015" s="12">
        <f>17.8704 * CHOOSE( CONTROL!$C$12, $D$4, 100%, $F$4)</f>
        <v>17.8704</v>
      </c>
      <c r="F1015" s="4">
        <f>18.8555 * CHOOSE(CONTROL!$C$12, $D$4, 100%, $F$4)</f>
        <v>18.855499999999999</v>
      </c>
      <c r="G1015" s="8">
        <f>17.6041 * CHOOSE( CONTROL!$C$12, $D$4, 100%, $F$4)</f>
        <v>17.604099999999999</v>
      </c>
      <c r="H1015" s="4">
        <f>18.5043 * CHOOSE(CONTROL!$C$12, $D$4, 100%, $F$4)</f>
        <v>18.504300000000001</v>
      </c>
      <c r="I1015" s="8">
        <f>17.3954 * CHOOSE(CONTROL!$C$12, $D$4, 100%, $F$4)</f>
        <v>17.395399999999999</v>
      </c>
      <c r="J1015" s="4">
        <f>17.3098 * CHOOSE(CONTROL!$C$12, $D$4, 100%, $F$4)</f>
        <v>17.309799999999999</v>
      </c>
      <c r="K1015" s="4"/>
      <c r="L1015" s="9">
        <v>28.921800000000001</v>
      </c>
      <c r="M1015" s="9">
        <v>12.063700000000001</v>
      </c>
      <c r="N1015" s="9">
        <v>4.9444999999999997</v>
      </c>
      <c r="O1015" s="9">
        <v>0.37459999999999999</v>
      </c>
      <c r="P1015" s="9">
        <v>1.2192000000000001</v>
      </c>
      <c r="Q1015" s="9">
        <v>19.688099999999999</v>
      </c>
      <c r="R1015" s="9"/>
      <c r="S1015" s="11"/>
    </row>
    <row r="1016" spans="1:19" ht="15.6">
      <c r="A1016" s="13">
        <v>73019</v>
      </c>
      <c r="B1016" s="8">
        <f>19.267 * CHOOSE(CONTROL!$C$12, $D$4, 100%, $F$4)</f>
        <v>19.266999999999999</v>
      </c>
      <c r="C1016" s="8">
        <f>19.2773 * CHOOSE(CONTROL!$C$12, $D$4, 100%, $F$4)</f>
        <v>19.2773</v>
      </c>
      <c r="D1016" s="8">
        <f>19.2366 * CHOOSE( CONTROL!$C$12, $D$4, 100%, $F$4)</f>
        <v>19.236599999999999</v>
      </c>
      <c r="E1016" s="12">
        <f>19.2504 * CHOOSE( CONTROL!$C$12, $D$4, 100%, $F$4)</f>
        <v>19.250399999999999</v>
      </c>
      <c r="F1016" s="4">
        <f>20.244 * CHOOSE(CONTROL!$C$12, $D$4, 100%, $F$4)</f>
        <v>20.244</v>
      </c>
      <c r="G1016" s="8">
        <f>18.9805 * CHOOSE( CONTROL!$C$12, $D$4, 100%, $F$4)</f>
        <v>18.980499999999999</v>
      </c>
      <c r="H1016" s="4">
        <f>19.8731 * CHOOSE(CONTROL!$C$12, $D$4, 100%, $F$4)</f>
        <v>19.873100000000001</v>
      </c>
      <c r="I1016" s="8">
        <f>18.7393 * CHOOSE(CONTROL!$C$12, $D$4, 100%, $F$4)</f>
        <v>18.7393</v>
      </c>
      <c r="J1016" s="4">
        <f>18.6688 * CHOOSE(CONTROL!$C$12, $D$4, 100%, $F$4)</f>
        <v>18.668800000000001</v>
      </c>
      <c r="K1016" s="4"/>
      <c r="L1016" s="9">
        <v>26.515499999999999</v>
      </c>
      <c r="M1016" s="9">
        <v>11.6745</v>
      </c>
      <c r="N1016" s="9">
        <v>4.7850000000000001</v>
      </c>
      <c r="O1016" s="9">
        <v>0.36249999999999999</v>
      </c>
      <c r="P1016" s="9">
        <v>1.2522</v>
      </c>
      <c r="Q1016" s="9">
        <v>19.053000000000001</v>
      </c>
      <c r="R1016" s="9"/>
      <c r="S1016" s="11"/>
    </row>
    <row r="1017" spans="1:19" ht="15.6">
      <c r="A1017" s="13">
        <v>73050</v>
      </c>
      <c r="B1017" s="8">
        <f>19.2319 * CHOOSE(CONTROL!$C$12, $D$4, 100%, $F$4)</f>
        <v>19.2319</v>
      </c>
      <c r="C1017" s="8">
        <f>19.2423 * CHOOSE(CONTROL!$C$12, $D$4, 100%, $F$4)</f>
        <v>19.2423</v>
      </c>
      <c r="D1017" s="8">
        <f>19.2035 * CHOOSE( CONTROL!$C$12, $D$4, 100%, $F$4)</f>
        <v>19.203499999999998</v>
      </c>
      <c r="E1017" s="12">
        <f>19.2166 * CHOOSE( CONTROL!$C$12, $D$4, 100%, $F$4)</f>
        <v>19.2166</v>
      </c>
      <c r="F1017" s="4">
        <f>20.2023 * CHOOSE(CONTROL!$C$12, $D$4, 100%, $F$4)</f>
        <v>20.202300000000001</v>
      </c>
      <c r="G1017" s="8">
        <f>18.9483 * CHOOSE( CONTROL!$C$12, $D$4, 100%, $F$4)</f>
        <v>18.9483</v>
      </c>
      <c r="H1017" s="4">
        <f>19.8319 * CHOOSE(CONTROL!$C$12, $D$4, 100%, $F$4)</f>
        <v>19.831900000000001</v>
      </c>
      <c r="I1017" s="8">
        <f>18.7161 * CHOOSE(CONTROL!$C$12, $D$4, 100%, $F$4)</f>
        <v>18.716100000000001</v>
      </c>
      <c r="J1017" s="4">
        <f>18.6348 * CHOOSE(CONTROL!$C$12, $D$4, 100%, $F$4)</f>
        <v>18.634799999999998</v>
      </c>
      <c r="K1017" s="4"/>
      <c r="L1017" s="9">
        <v>27.3993</v>
      </c>
      <c r="M1017" s="9">
        <v>12.063700000000001</v>
      </c>
      <c r="N1017" s="9">
        <v>4.9444999999999997</v>
      </c>
      <c r="O1017" s="9">
        <v>0.37459999999999999</v>
      </c>
      <c r="P1017" s="9">
        <v>1.2939000000000001</v>
      </c>
      <c r="Q1017" s="9">
        <v>19.688099999999999</v>
      </c>
      <c r="R1017" s="9"/>
      <c r="S1017" s="11"/>
    </row>
    <row r="1018" spans="1:19" ht="15.6">
      <c r="A1018" s="13">
        <v>73081</v>
      </c>
      <c r="B1018" s="8">
        <f>19.6807 * CHOOSE(CONTROL!$C$12, $D$4, 100%, $F$4)</f>
        <v>19.680700000000002</v>
      </c>
      <c r="C1018" s="8">
        <f>19.6911 * CHOOSE(CONTROL!$C$12, $D$4, 100%, $F$4)</f>
        <v>19.691099999999999</v>
      </c>
      <c r="D1018" s="8">
        <f>19.6909 * CHOOSE( CONTROL!$C$12, $D$4, 100%, $F$4)</f>
        <v>19.690899999999999</v>
      </c>
      <c r="E1018" s="12">
        <f>19.6899 * CHOOSE( CONTROL!$C$12, $D$4, 100%, $F$4)</f>
        <v>19.689900000000002</v>
      </c>
      <c r="F1018" s="4">
        <f>20.7026 * CHOOSE(CONTROL!$C$12, $D$4, 100%, $F$4)</f>
        <v>20.7026</v>
      </c>
      <c r="G1018" s="8">
        <f>19.4317 * CHOOSE( CONTROL!$C$12, $D$4, 100%, $F$4)</f>
        <v>19.431699999999999</v>
      </c>
      <c r="H1018" s="4">
        <f>20.3252 * CHOOSE(CONTROL!$C$12, $D$4, 100%, $F$4)</f>
        <v>20.325199999999999</v>
      </c>
      <c r="I1018" s="8">
        <f>19.1878 * CHOOSE(CONTROL!$C$12, $D$4, 100%, $F$4)</f>
        <v>19.187799999999999</v>
      </c>
      <c r="J1018" s="4">
        <f>19.0697 * CHOOSE(CONTROL!$C$12, $D$4, 100%, $F$4)</f>
        <v>19.069700000000001</v>
      </c>
      <c r="K1018" s="4"/>
      <c r="L1018" s="9">
        <v>27.3993</v>
      </c>
      <c r="M1018" s="9">
        <v>12.063700000000001</v>
      </c>
      <c r="N1018" s="9">
        <v>4.9444999999999997</v>
      </c>
      <c r="O1018" s="9">
        <v>0.37459999999999999</v>
      </c>
      <c r="P1018" s="9">
        <v>1.2939000000000001</v>
      </c>
      <c r="Q1018" s="9">
        <v>19.688099999999999</v>
      </c>
      <c r="R1018" s="9"/>
      <c r="S1018" s="11"/>
    </row>
    <row r="1019" spans="1:19" ht="15.6">
      <c r="A1019" s="13">
        <v>73109</v>
      </c>
      <c r="B1019" s="8">
        <f>18.4085 * CHOOSE(CONTROL!$C$12, $D$4, 100%, $F$4)</f>
        <v>18.4085</v>
      </c>
      <c r="C1019" s="8">
        <f>18.4188 * CHOOSE(CONTROL!$C$12, $D$4, 100%, $F$4)</f>
        <v>18.418800000000001</v>
      </c>
      <c r="D1019" s="8">
        <f>18.4209 * CHOOSE( CONTROL!$C$12, $D$4, 100%, $F$4)</f>
        <v>18.4209</v>
      </c>
      <c r="E1019" s="12">
        <f>18.419 * CHOOSE( CONTROL!$C$12, $D$4, 100%, $F$4)</f>
        <v>18.419</v>
      </c>
      <c r="F1019" s="4">
        <f>19.4226 * CHOOSE(CONTROL!$C$12, $D$4, 100%, $F$4)</f>
        <v>19.422599999999999</v>
      </c>
      <c r="G1019" s="8">
        <f>18.1774 * CHOOSE( CONTROL!$C$12, $D$4, 100%, $F$4)</f>
        <v>18.177399999999999</v>
      </c>
      <c r="H1019" s="4">
        <f>19.0634 * CHOOSE(CONTROL!$C$12, $D$4, 100%, $F$4)</f>
        <v>19.063400000000001</v>
      </c>
      <c r="I1019" s="8">
        <f>17.9434 * CHOOSE(CONTROL!$C$12, $D$4, 100%, $F$4)</f>
        <v>17.9434</v>
      </c>
      <c r="J1019" s="4">
        <f>17.8369 * CHOOSE(CONTROL!$C$12, $D$4, 100%, $F$4)</f>
        <v>17.8369</v>
      </c>
      <c r="K1019" s="4"/>
      <c r="L1019" s="9">
        <v>24.747800000000002</v>
      </c>
      <c r="M1019" s="9">
        <v>10.8962</v>
      </c>
      <c r="N1019" s="9">
        <v>4.4660000000000002</v>
      </c>
      <c r="O1019" s="9">
        <v>0.33829999999999999</v>
      </c>
      <c r="P1019" s="9">
        <v>1.1687000000000001</v>
      </c>
      <c r="Q1019" s="9">
        <v>17.782800000000002</v>
      </c>
      <c r="R1019" s="9"/>
      <c r="S1019" s="11"/>
    </row>
    <row r="1020" spans="1:19" ht="15.6">
      <c r="A1020" s="13">
        <v>73140</v>
      </c>
      <c r="B1020" s="8">
        <f>18.0166 * CHOOSE(CONTROL!$C$12, $D$4, 100%, $F$4)</f>
        <v>18.0166</v>
      </c>
      <c r="C1020" s="8">
        <f>18.0269 * CHOOSE(CONTROL!$C$12, $D$4, 100%, $F$4)</f>
        <v>18.026900000000001</v>
      </c>
      <c r="D1020" s="8">
        <f>18.0091 * CHOOSE( CONTROL!$C$12, $D$4, 100%, $F$4)</f>
        <v>18.0091</v>
      </c>
      <c r="E1020" s="12">
        <f>18.0145 * CHOOSE( CONTROL!$C$12, $D$4, 100%, $F$4)</f>
        <v>18.014500000000002</v>
      </c>
      <c r="F1020" s="4">
        <f>19.0148 * CHOOSE(CONTROL!$C$12, $D$4, 100%, $F$4)</f>
        <v>19.014800000000001</v>
      </c>
      <c r="G1020" s="8">
        <f>17.7707 * CHOOSE( CONTROL!$C$12, $D$4, 100%, $F$4)</f>
        <v>17.770700000000001</v>
      </c>
      <c r="H1020" s="4">
        <f>18.6614 * CHOOSE(CONTROL!$C$12, $D$4, 100%, $F$4)</f>
        <v>18.6614</v>
      </c>
      <c r="I1020" s="8">
        <f>17.524 * CHOOSE(CONTROL!$C$12, $D$4, 100%, $F$4)</f>
        <v>17.524000000000001</v>
      </c>
      <c r="J1020" s="4">
        <f>17.4572 * CHOOSE(CONTROL!$C$12, $D$4, 100%, $F$4)</f>
        <v>17.4572</v>
      </c>
      <c r="K1020" s="4"/>
      <c r="L1020" s="9">
        <v>27.3993</v>
      </c>
      <c r="M1020" s="9">
        <v>12.063700000000001</v>
      </c>
      <c r="N1020" s="9">
        <v>4.9444999999999997</v>
      </c>
      <c r="O1020" s="9">
        <v>0.37459999999999999</v>
      </c>
      <c r="P1020" s="9">
        <v>1.2939000000000001</v>
      </c>
      <c r="Q1020" s="9">
        <v>19.688099999999999</v>
      </c>
      <c r="R1020" s="9"/>
      <c r="S1020" s="11"/>
    </row>
    <row r="1021" spans="1:19" ht="15.6">
      <c r="A1021" s="13">
        <v>73170</v>
      </c>
      <c r="B1021" s="8">
        <f>18.2904 * CHOOSE(CONTROL!$C$12, $D$4, 100%, $F$4)</f>
        <v>18.290400000000002</v>
      </c>
      <c r="C1021" s="8">
        <f>18.3008 * CHOOSE(CONTROL!$C$12, $D$4, 100%, $F$4)</f>
        <v>18.300799999999999</v>
      </c>
      <c r="D1021" s="8">
        <f>18.3058 * CHOOSE( CONTROL!$C$12, $D$4, 100%, $F$4)</f>
        <v>18.305800000000001</v>
      </c>
      <c r="E1021" s="12">
        <f>18.303 * CHOOSE( CONTROL!$C$12, $D$4, 100%, $F$4)</f>
        <v>18.303000000000001</v>
      </c>
      <c r="F1021" s="4">
        <f>19.2969 * CHOOSE(CONTROL!$C$12, $D$4, 100%, $F$4)</f>
        <v>19.296900000000001</v>
      </c>
      <c r="G1021" s="8">
        <f>18.0284 * CHOOSE( CONTROL!$C$12, $D$4, 100%, $F$4)</f>
        <v>18.028400000000001</v>
      </c>
      <c r="H1021" s="4">
        <f>18.9394 * CHOOSE(CONTROL!$C$12, $D$4, 100%, $F$4)</f>
        <v>18.939399999999999</v>
      </c>
      <c r="I1021" s="8">
        <f>17.7796 * CHOOSE(CONTROL!$C$12, $D$4, 100%, $F$4)</f>
        <v>17.779599999999999</v>
      </c>
      <c r="J1021" s="4">
        <f>17.7225 * CHOOSE(CONTROL!$C$12, $D$4, 100%, $F$4)</f>
        <v>17.7225</v>
      </c>
      <c r="K1021" s="4"/>
      <c r="L1021" s="9">
        <v>27.988800000000001</v>
      </c>
      <c r="M1021" s="9">
        <v>11.6745</v>
      </c>
      <c r="N1021" s="9">
        <v>4.7850000000000001</v>
      </c>
      <c r="O1021" s="9">
        <v>0.36249999999999999</v>
      </c>
      <c r="P1021" s="9">
        <v>1.1798</v>
      </c>
      <c r="Q1021" s="9">
        <v>19.053000000000001</v>
      </c>
      <c r="R1021" s="9"/>
      <c r="S1021" s="11"/>
    </row>
    <row r="1022" spans="1:19" ht="15.6">
      <c r="A1022" s="13">
        <v>73201</v>
      </c>
      <c r="B1022" s="8">
        <f>CHOOSE( CONTROL!$C$29, 18.7846, 18.7778) * CHOOSE(CONTROL!$C$12, $D$4, 100%, $F$4)</f>
        <v>18.777799999999999</v>
      </c>
      <c r="C1022" s="8">
        <f>CHOOSE( CONTROL!$C$29, 18.7949, 18.7881) * CHOOSE(CONTROL!$C$12, $D$4, 100%, $F$4)</f>
        <v>18.7881</v>
      </c>
      <c r="D1022" s="8">
        <f>CHOOSE( CONTROL!$C$29, 18.7752, 18.7683) * CHOOSE( CONTROL!$C$12, $D$4, 100%, $F$4)</f>
        <v>18.7683</v>
      </c>
      <c r="E1022" s="12">
        <f>CHOOSE( CONTROL!$C$29, 18.7808, 18.7739) * CHOOSE( CONTROL!$C$12, $D$4, 100%, $F$4)</f>
        <v>18.773900000000001</v>
      </c>
      <c r="F1022" s="4">
        <f>CHOOSE( CONTROL!$C$29, 19.7591, 19.7522) * CHOOSE(CONTROL!$C$12, $D$4, 100%, $F$4)</f>
        <v>19.752199999999998</v>
      </c>
      <c r="G1022" s="8">
        <f>CHOOSE( CONTROL!$C$29, 18.4974, 18.4906) * CHOOSE( CONTROL!$C$12, $D$4, 100%, $F$4)</f>
        <v>18.490600000000001</v>
      </c>
      <c r="H1022" s="4">
        <f>CHOOSE( CONTROL!$C$29, 19.395, 19.3883) * CHOOSE(CONTROL!$C$12, $D$4, 100%, $F$4)</f>
        <v>19.388300000000001</v>
      </c>
      <c r="I1022" s="8">
        <f>CHOOSE( CONTROL!$C$29, 18.2371, 18.2305) * CHOOSE(CONTROL!$C$12, $D$4, 100%, $F$4)</f>
        <v>18.230499999999999</v>
      </c>
      <c r="J1022" s="4">
        <f>CHOOSE( CONTROL!$C$29, 18.2013, 18.1947) * CHOOSE(CONTROL!$C$12, $D$4, 100%, $F$4)</f>
        <v>18.194700000000001</v>
      </c>
      <c r="K1022" s="4"/>
      <c r="L1022" s="9">
        <v>29.520499999999998</v>
      </c>
      <c r="M1022" s="9">
        <v>12.063700000000001</v>
      </c>
      <c r="N1022" s="9">
        <v>4.9444999999999997</v>
      </c>
      <c r="O1022" s="9">
        <v>0.37459999999999999</v>
      </c>
      <c r="P1022" s="9">
        <v>1.2192000000000001</v>
      </c>
      <c r="Q1022" s="9">
        <v>19.688099999999999</v>
      </c>
      <c r="R1022" s="9"/>
      <c r="S1022" s="11"/>
    </row>
    <row r="1023" spans="1:19" ht="15.6">
      <c r="A1023" s="13">
        <v>73231</v>
      </c>
      <c r="B1023" s="8">
        <f>CHOOSE( CONTROL!$C$29, 18.4827, 18.4759) * CHOOSE(CONTROL!$C$12, $D$4, 100%, $F$4)</f>
        <v>18.475899999999999</v>
      </c>
      <c r="C1023" s="8">
        <f>CHOOSE( CONTROL!$C$29, 18.493, 18.4862) * CHOOSE(CONTROL!$C$12, $D$4, 100%, $F$4)</f>
        <v>18.4862</v>
      </c>
      <c r="D1023" s="8">
        <f>CHOOSE( CONTROL!$C$29, 18.4678, 18.4609) * CHOOSE( CONTROL!$C$12, $D$4, 100%, $F$4)</f>
        <v>18.460899999999999</v>
      </c>
      <c r="E1023" s="12">
        <f>CHOOSE( CONTROL!$C$29, 18.4754, 18.4685) * CHOOSE( CONTROL!$C$12, $D$4, 100%, $F$4)</f>
        <v>18.468499999999999</v>
      </c>
      <c r="F1023" s="4">
        <f>CHOOSE( CONTROL!$C$29, 19.4468, 19.44) * CHOOSE(CONTROL!$C$12, $D$4, 100%, $F$4)</f>
        <v>19.440000000000001</v>
      </c>
      <c r="G1023" s="8">
        <f>CHOOSE( CONTROL!$C$29, 18.1985, 18.1918) * CHOOSE( CONTROL!$C$12, $D$4, 100%, $F$4)</f>
        <v>18.191800000000001</v>
      </c>
      <c r="H1023" s="4">
        <f>CHOOSE( CONTROL!$C$29, 19.0872, 19.0805) * CHOOSE(CONTROL!$C$12, $D$4, 100%, $F$4)</f>
        <v>19.080500000000001</v>
      </c>
      <c r="I1023" s="8">
        <f>CHOOSE( CONTROL!$C$29, 17.9466, 17.94) * CHOOSE(CONTROL!$C$12, $D$4, 100%, $F$4)</f>
        <v>17.940000000000001</v>
      </c>
      <c r="J1023" s="4">
        <f>CHOOSE( CONTROL!$C$29, 17.9088, 17.9022) * CHOOSE(CONTROL!$C$12, $D$4, 100%, $F$4)</f>
        <v>17.902200000000001</v>
      </c>
      <c r="K1023" s="4"/>
      <c r="L1023" s="9">
        <v>28.568200000000001</v>
      </c>
      <c r="M1023" s="9">
        <v>11.6745</v>
      </c>
      <c r="N1023" s="9">
        <v>4.7850000000000001</v>
      </c>
      <c r="O1023" s="9">
        <v>0.36249999999999999</v>
      </c>
      <c r="P1023" s="9">
        <v>1.1798</v>
      </c>
      <c r="Q1023" s="9">
        <v>19.053000000000001</v>
      </c>
      <c r="R1023" s="9"/>
      <c r="S1023" s="11"/>
    </row>
    <row r="1024" spans="1:19" ht="15.6">
      <c r="A1024" s="13">
        <v>73262</v>
      </c>
      <c r="B1024" s="8">
        <f>CHOOSE( CONTROL!$C$29, 19.2777, 19.2709) * CHOOSE(CONTROL!$C$12, $D$4, 100%, $F$4)</f>
        <v>19.270900000000001</v>
      </c>
      <c r="C1024" s="8">
        <f>CHOOSE( CONTROL!$C$29, 19.288, 19.2812) * CHOOSE(CONTROL!$C$12, $D$4, 100%, $F$4)</f>
        <v>19.281199999999998</v>
      </c>
      <c r="D1024" s="8">
        <f>CHOOSE( CONTROL!$C$29, 19.2962, 19.2893) * CHOOSE( CONTROL!$C$12, $D$4, 100%, $F$4)</f>
        <v>19.289300000000001</v>
      </c>
      <c r="E1024" s="12">
        <f>CHOOSE( CONTROL!$C$29, 19.2917, 19.2848) * CHOOSE( CONTROL!$C$12, $D$4, 100%, $F$4)</f>
        <v>19.284800000000001</v>
      </c>
      <c r="F1024" s="4">
        <f>CHOOSE( CONTROL!$C$29, 20.2867, 20.2799) * CHOOSE(CONTROL!$C$12, $D$4, 100%, $F$4)</f>
        <v>20.279900000000001</v>
      </c>
      <c r="G1024" s="8">
        <f>CHOOSE( CONTROL!$C$29, 19.0082, 19.0015) * CHOOSE( CONTROL!$C$12, $D$4, 100%, $F$4)</f>
        <v>19.0015</v>
      </c>
      <c r="H1024" s="4">
        <f>CHOOSE( CONTROL!$C$29, 19.9152, 19.9084) * CHOOSE(CONTROL!$C$12, $D$4, 100%, $F$4)</f>
        <v>19.9084</v>
      </c>
      <c r="I1024" s="8">
        <f>CHOOSE( CONTROL!$C$29, 18.7726, 18.766) * CHOOSE(CONTROL!$C$12, $D$4, 100%, $F$4)</f>
        <v>18.765999999999998</v>
      </c>
      <c r="J1024" s="4">
        <f>CHOOSE( CONTROL!$C$29, 18.6791, 18.6725) * CHOOSE(CONTROL!$C$12, $D$4, 100%, $F$4)</f>
        <v>18.672499999999999</v>
      </c>
      <c r="K1024" s="4"/>
      <c r="L1024" s="9">
        <v>29.520499999999998</v>
      </c>
      <c r="M1024" s="9">
        <v>12.063700000000001</v>
      </c>
      <c r="N1024" s="9">
        <v>4.9444999999999997</v>
      </c>
      <c r="O1024" s="9">
        <v>0.37459999999999999</v>
      </c>
      <c r="P1024" s="9">
        <v>1.2192000000000001</v>
      </c>
      <c r="Q1024" s="9">
        <v>19.688099999999999</v>
      </c>
      <c r="R1024" s="9"/>
      <c r="S1024" s="11"/>
    </row>
    <row r="1025" spans="1:19" ht="15.6">
      <c r="A1025" s="13">
        <v>73293</v>
      </c>
      <c r="B1025" s="8">
        <f>CHOOSE( CONTROL!$C$29, 17.7902, 17.7834) * CHOOSE(CONTROL!$C$12, $D$4, 100%, $F$4)</f>
        <v>17.7834</v>
      </c>
      <c r="C1025" s="8">
        <f>CHOOSE( CONTROL!$C$29, 17.8005, 17.7937) * CHOOSE(CONTROL!$C$12, $D$4, 100%, $F$4)</f>
        <v>17.793700000000001</v>
      </c>
      <c r="D1025" s="8">
        <f>CHOOSE( CONTROL!$C$29, 17.802, 17.7952) * CHOOSE( CONTROL!$C$12, $D$4, 100%, $F$4)</f>
        <v>17.795200000000001</v>
      </c>
      <c r="E1025" s="12">
        <f>CHOOSE( CONTROL!$C$29, 17.7999, 17.7931) * CHOOSE( CONTROL!$C$12, $D$4, 100%, $F$4)</f>
        <v>17.793099999999999</v>
      </c>
      <c r="F1025" s="4">
        <f>CHOOSE( CONTROL!$C$29, 18.7966, 18.7898) * CHOOSE(CONTROL!$C$12, $D$4, 100%, $F$4)</f>
        <v>18.7898</v>
      </c>
      <c r="G1025" s="8">
        <f>CHOOSE( CONTROL!$C$29, 17.532, 17.5252) * CHOOSE( CONTROL!$C$12, $D$4, 100%, $F$4)</f>
        <v>17.525200000000002</v>
      </c>
      <c r="H1025" s="4">
        <f>CHOOSE( CONTROL!$C$29, 18.4463, 18.4396) * CHOOSE(CONTROL!$C$12, $D$4, 100%, $F$4)</f>
        <v>18.439599999999999</v>
      </c>
      <c r="I1025" s="8">
        <f>CHOOSE( CONTROL!$C$29, 17.3116, 17.305) * CHOOSE(CONTROL!$C$12, $D$4, 100%, $F$4)</f>
        <v>17.305</v>
      </c>
      <c r="J1025" s="4">
        <f>CHOOSE( CONTROL!$C$29, 17.2378, 17.2311) * CHOOSE(CONTROL!$C$12, $D$4, 100%, $F$4)</f>
        <v>17.231100000000001</v>
      </c>
      <c r="K1025" s="4"/>
      <c r="L1025" s="9">
        <v>29.520499999999998</v>
      </c>
      <c r="M1025" s="9">
        <v>12.063700000000001</v>
      </c>
      <c r="N1025" s="9">
        <v>4.9444999999999997</v>
      </c>
      <c r="O1025" s="9">
        <v>0.37459999999999999</v>
      </c>
      <c r="P1025" s="9">
        <v>1.2192000000000001</v>
      </c>
      <c r="Q1025" s="9">
        <v>19.688099999999999</v>
      </c>
      <c r="R1025" s="9"/>
      <c r="S1025" s="11"/>
    </row>
    <row r="1026" spans="1:19" ht="15.6">
      <c r="A1026" s="13">
        <v>73323</v>
      </c>
      <c r="B1026" s="8">
        <f>CHOOSE( CONTROL!$C$29, 17.4177, 17.4109) * CHOOSE(CONTROL!$C$12, $D$4, 100%, $F$4)</f>
        <v>17.410900000000002</v>
      </c>
      <c r="C1026" s="8">
        <f>CHOOSE( CONTROL!$C$29, 17.428, 17.4212) * CHOOSE(CONTROL!$C$12, $D$4, 100%, $F$4)</f>
        <v>17.421199999999999</v>
      </c>
      <c r="D1026" s="8">
        <f>CHOOSE( CONTROL!$C$29, 17.4327, 17.4259) * CHOOSE( CONTROL!$C$12, $D$4, 100%, $F$4)</f>
        <v>17.425899999999999</v>
      </c>
      <c r="E1026" s="12">
        <f>CHOOSE( CONTROL!$C$29, 17.4294, 17.4226) * CHOOSE( CONTROL!$C$12, $D$4, 100%, $F$4)</f>
        <v>17.422599999999999</v>
      </c>
      <c r="F1026" s="4">
        <f>CHOOSE( CONTROL!$C$29, 18.4293, 18.4225) * CHOOSE(CONTROL!$C$12, $D$4, 100%, $F$4)</f>
        <v>18.422499999999999</v>
      </c>
      <c r="G1026" s="8">
        <f>CHOOSE( CONTROL!$C$29, 17.1668, 17.1601) * CHOOSE( CONTROL!$C$12, $D$4, 100%, $F$4)</f>
        <v>17.1601</v>
      </c>
      <c r="H1026" s="4">
        <f>CHOOSE( CONTROL!$C$29, 18.0842, 18.0775) * CHOOSE(CONTROL!$C$12, $D$4, 100%, $F$4)</f>
        <v>18.077500000000001</v>
      </c>
      <c r="I1026" s="8">
        <f>CHOOSE( CONTROL!$C$29, 16.9583, 16.9517) * CHOOSE(CONTROL!$C$12, $D$4, 100%, $F$4)</f>
        <v>16.951699999999999</v>
      </c>
      <c r="J1026" s="4">
        <f>CHOOSE( CONTROL!$C$29, 16.8768, 16.8702) * CHOOSE(CONTROL!$C$12, $D$4, 100%, $F$4)</f>
        <v>16.870200000000001</v>
      </c>
      <c r="K1026" s="4"/>
      <c r="L1026" s="9">
        <v>28.568200000000001</v>
      </c>
      <c r="M1026" s="9">
        <v>11.6745</v>
      </c>
      <c r="N1026" s="9">
        <v>4.7850000000000001</v>
      </c>
      <c r="O1026" s="9">
        <v>0.36249999999999999</v>
      </c>
      <c r="P1026" s="9">
        <v>1.1798</v>
      </c>
      <c r="Q1026" s="9">
        <v>19.053000000000001</v>
      </c>
      <c r="R1026" s="9"/>
      <c r="S1026" s="11"/>
    </row>
    <row r="1027" spans="1:19" ht="15.6">
      <c r="A1027" s="13">
        <v>73354</v>
      </c>
      <c r="B1027" s="8">
        <f>18.1843 * CHOOSE(CONTROL!$C$12, $D$4, 100%, $F$4)</f>
        <v>18.1843</v>
      </c>
      <c r="C1027" s="8">
        <f>18.1946 * CHOOSE(CONTROL!$C$12, $D$4, 100%, $F$4)</f>
        <v>18.194600000000001</v>
      </c>
      <c r="D1027" s="8">
        <f>18.1897 * CHOOSE( CONTROL!$C$12, $D$4, 100%, $F$4)</f>
        <v>18.189699999999998</v>
      </c>
      <c r="E1027" s="12">
        <f>18.1902 * CHOOSE( CONTROL!$C$12, $D$4, 100%, $F$4)</f>
        <v>18.190200000000001</v>
      </c>
      <c r="F1027" s="4">
        <f>19.1752 * CHOOSE(CONTROL!$C$12, $D$4, 100%, $F$4)</f>
        <v>19.1752</v>
      </c>
      <c r="G1027" s="8">
        <f>17.9193 * CHOOSE( CONTROL!$C$12, $D$4, 100%, $F$4)</f>
        <v>17.9193</v>
      </c>
      <c r="H1027" s="4">
        <f>18.8195 * CHOOSE(CONTROL!$C$12, $D$4, 100%, $F$4)</f>
        <v>18.819500000000001</v>
      </c>
      <c r="I1027" s="8">
        <f>17.7054 * CHOOSE(CONTROL!$C$12, $D$4, 100%, $F$4)</f>
        <v>17.705400000000001</v>
      </c>
      <c r="J1027" s="4">
        <f>17.6196 * CHOOSE(CONTROL!$C$12, $D$4, 100%, $F$4)</f>
        <v>17.619599999999998</v>
      </c>
      <c r="K1027" s="4"/>
      <c r="L1027" s="9">
        <v>28.921800000000001</v>
      </c>
      <c r="M1027" s="9">
        <v>12.063700000000001</v>
      </c>
      <c r="N1027" s="9">
        <v>4.9444999999999997</v>
      </c>
      <c r="O1027" s="9">
        <v>0.37459999999999999</v>
      </c>
      <c r="P1027" s="9">
        <v>1.2192000000000001</v>
      </c>
      <c r="Q1027" s="9">
        <v>19.688099999999999</v>
      </c>
      <c r="R1027" s="9"/>
      <c r="S1027" s="11"/>
    </row>
    <row r="1028" spans="1:19" ht="15.6">
      <c r="A1028" s="13">
        <v>73384</v>
      </c>
      <c r="B1028" s="8">
        <f>19.6118 * CHOOSE(CONTROL!$C$12, $D$4, 100%, $F$4)</f>
        <v>19.611799999999999</v>
      </c>
      <c r="C1028" s="8">
        <f>19.6222 * CHOOSE(CONTROL!$C$12, $D$4, 100%, $F$4)</f>
        <v>19.622199999999999</v>
      </c>
      <c r="D1028" s="8">
        <f>19.5815 * CHOOSE( CONTROL!$C$12, $D$4, 100%, $F$4)</f>
        <v>19.581499999999998</v>
      </c>
      <c r="E1028" s="12">
        <f>19.5953 * CHOOSE( CONTROL!$C$12, $D$4, 100%, $F$4)</f>
        <v>19.595300000000002</v>
      </c>
      <c r="F1028" s="4">
        <f>20.5889 * CHOOSE(CONTROL!$C$12, $D$4, 100%, $F$4)</f>
        <v>20.588899999999999</v>
      </c>
      <c r="G1028" s="8">
        <f>19.3205 * CHOOSE( CONTROL!$C$12, $D$4, 100%, $F$4)</f>
        <v>19.320499999999999</v>
      </c>
      <c r="H1028" s="4">
        <f>20.213 * CHOOSE(CONTROL!$C$12, $D$4, 100%, $F$4)</f>
        <v>20.213000000000001</v>
      </c>
      <c r="I1028" s="8">
        <f>19.0736 * CHOOSE(CONTROL!$C$12, $D$4, 100%, $F$4)</f>
        <v>19.073599999999999</v>
      </c>
      <c r="J1028" s="4">
        <f>19.0029 * CHOOSE(CONTROL!$C$12, $D$4, 100%, $F$4)</f>
        <v>19.0029</v>
      </c>
      <c r="K1028" s="4"/>
      <c r="L1028" s="9">
        <v>26.515499999999999</v>
      </c>
      <c r="M1028" s="9">
        <v>11.6745</v>
      </c>
      <c r="N1028" s="9">
        <v>4.7850000000000001</v>
      </c>
      <c r="O1028" s="9">
        <v>0.36249999999999999</v>
      </c>
      <c r="P1028" s="9">
        <v>1.2522</v>
      </c>
      <c r="Q1028" s="9">
        <v>19.053000000000001</v>
      </c>
      <c r="R1028" s="9"/>
      <c r="S1028" s="11"/>
    </row>
    <row r="1029" spans="1:19" ht="15.6">
      <c r="A1029" s="13">
        <v>73415</v>
      </c>
      <c r="B1029" s="8">
        <f>19.5762 * CHOOSE(CONTROL!$C$12, $D$4, 100%, $F$4)</f>
        <v>19.5762</v>
      </c>
      <c r="C1029" s="8">
        <f>19.5865 * CHOOSE(CONTROL!$C$12, $D$4, 100%, $F$4)</f>
        <v>19.586500000000001</v>
      </c>
      <c r="D1029" s="8">
        <f>19.5477 * CHOOSE( CONTROL!$C$12, $D$4, 100%, $F$4)</f>
        <v>19.547699999999999</v>
      </c>
      <c r="E1029" s="12">
        <f>19.5608 * CHOOSE( CONTROL!$C$12, $D$4, 100%, $F$4)</f>
        <v>19.5608</v>
      </c>
      <c r="F1029" s="4">
        <f>20.5465 * CHOOSE(CONTROL!$C$12, $D$4, 100%, $F$4)</f>
        <v>20.546500000000002</v>
      </c>
      <c r="G1029" s="8">
        <f>19.2877 * CHOOSE( CONTROL!$C$12, $D$4, 100%, $F$4)</f>
        <v>19.287700000000001</v>
      </c>
      <c r="H1029" s="4">
        <f>20.1712 * CHOOSE(CONTROL!$C$12, $D$4, 100%, $F$4)</f>
        <v>20.171199999999999</v>
      </c>
      <c r="I1029" s="8">
        <f>19.0498 * CHOOSE(CONTROL!$C$12, $D$4, 100%, $F$4)</f>
        <v>19.049800000000001</v>
      </c>
      <c r="J1029" s="4">
        <f>18.9684 * CHOOSE(CONTROL!$C$12, $D$4, 100%, $F$4)</f>
        <v>18.968399999999999</v>
      </c>
      <c r="K1029" s="4"/>
      <c r="L1029" s="9">
        <v>27.3993</v>
      </c>
      <c r="M1029" s="9">
        <v>12.063700000000001</v>
      </c>
      <c r="N1029" s="9">
        <v>4.9444999999999997</v>
      </c>
      <c r="O1029" s="9">
        <v>0.37459999999999999</v>
      </c>
      <c r="P1029" s="9">
        <v>1.2939000000000001</v>
      </c>
      <c r="Q1029" s="9">
        <v>19.688099999999999</v>
      </c>
      <c r="R1029" s="9"/>
      <c r="S1029" s="11"/>
    </row>
    <row r="1030" spans="1:19">
      <c r="A1030" s="10"/>
      <c r="F1030" s="1"/>
      <c r="H1030" s="1"/>
      <c r="Q1030" s="9"/>
    </row>
    <row r="1031" spans="1:19" ht="15" customHeight="1">
      <c r="A1031" s="3">
        <v>2016</v>
      </c>
      <c r="B1031" s="8">
        <f t="shared" ref="B1031:H1031" si="3">AVERAGE(B10:B21)</f>
        <v>2.504175</v>
      </c>
      <c r="C1031" s="8">
        <f t="shared" si="3"/>
        <v>2.5144750000000005</v>
      </c>
      <c r="D1031" s="8">
        <f t="shared" si="3"/>
        <v>2.4985333333333331</v>
      </c>
      <c r="E1031" s="8">
        <f t="shared" si="3"/>
        <v>2.5028083333333329</v>
      </c>
      <c r="F1031" s="4">
        <f t="shared" si="3"/>
        <v>3.4995583333333333</v>
      </c>
      <c r="G1031" s="8">
        <f t="shared" si="3"/>
        <v>2.4687000000000001</v>
      </c>
      <c r="H1031" s="4">
        <f t="shared" si="3"/>
        <v>3.367058333333333</v>
      </c>
      <c r="I1031" s="8"/>
      <c r="J1031" s="4">
        <f>AVERAGE(J10:J21)</f>
        <v>2.4255833333333334</v>
      </c>
      <c r="K1031" s="5"/>
      <c r="L1031" s="5">
        <f>SUM(L10:L21)</f>
        <v>376.69149999999996</v>
      </c>
      <c r="M1031" s="5">
        <f>SUM(M10:M21)</f>
        <v>142.42920000000001</v>
      </c>
      <c r="N1031" s="5">
        <f>SUM(N10:N21)</f>
        <v>58.377000000000002</v>
      </c>
      <c r="O1031" s="5">
        <f>SUM(O10:O21)</f>
        <v>5.3671999999999995</v>
      </c>
      <c r="P1031" s="5">
        <f>SUM(P10:P21)</f>
        <v>16.520199999999999</v>
      </c>
      <c r="Q1031" s="5"/>
      <c r="R1031" s="5">
        <f>SUM(R10:R21)</f>
        <v>4.8</v>
      </c>
      <c r="S1031" s="5"/>
    </row>
    <row r="1032" spans="1:19" ht="15" customHeight="1">
      <c r="A1032" s="3">
        <v>2017</v>
      </c>
      <c r="B1032" s="8">
        <f t="shared" ref="B1032:J1032" si="4">AVERAGE(B22:B33)</f>
        <v>3.1193250000000003</v>
      </c>
      <c r="C1032" s="8">
        <f t="shared" si="4"/>
        <v>3.1296250000000003</v>
      </c>
      <c r="D1032" s="8">
        <f t="shared" si="4"/>
        <v>3.1144250000000002</v>
      </c>
      <c r="E1032" s="8">
        <f t="shared" si="4"/>
        <v>3.1185000000000005</v>
      </c>
      <c r="F1032" s="4">
        <f t="shared" si="4"/>
        <v>4.1146916666666664</v>
      </c>
      <c r="G1032" s="8">
        <f t="shared" si="4"/>
        <v>3.0749333333333335</v>
      </c>
      <c r="H1032" s="4">
        <f t="shared" si="4"/>
        <v>3.9734500000000001</v>
      </c>
      <c r="I1032" s="8">
        <f t="shared" si="4"/>
        <v>3.104425</v>
      </c>
      <c r="J1032" s="4">
        <f t="shared" si="4"/>
        <v>3.0216666666666665</v>
      </c>
      <c r="K1032" s="4"/>
      <c r="L1032" s="5">
        <f t="shared" ref="L1032:R1032" si="5">SUM(L22:L33)</f>
        <v>375.87939999999998</v>
      </c>
      <c r="M1032" s="5">
        <f t="shared" si="5"/>
        <v>142.0401</v>
      </c>
      <c r="N1032" s="5">
        <f t="shared" si="5"/>
        <v>58.217499999999994</v>
      </c>
      <c r="O1032" s="5">
        <f t="shared" si="5"/>
        <v>4.4104999999999999</v>
      </c>
      <c r="P1032" s="5">
        <f t="shared" si="5"/>
        <v>20.8202</v>
      </c>
      <c r="Q1032" s="5">
        <f t="shared" si="5"/>
        <v>198.18529999999998</v>
      </c>
      <c r="R1032" s="5">
        <f t="shared" si="5"/>
        <v>4.8</v>
      </c>
      <c r="S1032" s="4"/>
    </row>
    <row r="1033" spans="1:19" ht="15" customHeight="1">
      <c r="A1033" s="3">
        <v>2018</v>
      </c>
      <c r="B1033" s="8">
        <f t="shared" ref="B1033:J1033" si="6">AVERAGE(B34:B45)</f>
        <v>3.0601500000000001</v>
      </c>
      <c r="C1033" s="8">
        <f t="shared" si="6"/>
        <v>3.0704666666666669</v>
      </c>
      <c r="D1033" s="8">
        <f t="shared" si="6"/>
        <v>3.0599500000000002</v>
      </c>
      <c r="E1033" s="8">
        <f t="shared" si="6"/>
        <v>3.0624833333333332</v>
      </c>
      <c r="F1033" s="4">
        <f t="shared" si="6"/>
        <v>4.055533333333333</v>
      </c>
      <c r="G1033" s="8">
        <f t="shared" si="6"/>
        <v>3.0166000000000004</v>
      </c>
      <c r="H1033" s="4">
        <f t="shared" si="6"/>
        <v>3.9151500000000001</v>
      </c>
      <c r="I1033" s="8">
        <f t="shared" si="6"/>
        <v>3.0325500000000001</v>
      </c>
      <c r="J1033" s="4">
        <f t="shared" si="6"/>
        <v>2.9643333333333328</v>
      </c>
      <c r="K1033" s="4"/>
      <c r="L1033" s="5">
        <f t="shared" ref="L1033:R1033" si="7">SUM(L34:L45)</f>
        <v>353.74759999999998</v>
      </c>
      <c r="M1033" s="5">
        <f t="shared" si="7"/>
        <v>142.0401</v>
      </c>
      <c r="N1033" s="5">
        <f t="shared" si="7"/>
        <v>58.217499999999994</v>
      </c>
      <c r="O1033" s="5">
        <f t="shared" si="7"/>
        <v>4.4104999999999999</v>
      </c>
      <c r="P1033" s="5">
        <f t="shared" si="7"/>
        <v>14.718800000000003</v>
      </c>
      <c r="Q1033" s="5">
        <f t="shared" si="7"/>
        <v>293.19730000000004</v>
      </c>
      <c r="R1033" s="5">
        <f t="shared" si="7"/>
        <v>4.8</v>
      </c>
      <c r="S1033" s="4"/>
    </row>
    <row r="1034" spans="1:19" ht="15" customHeight="1">
      <c r="A1034" s="3">
        <v>2019</v>
      </c>
      <c r="B1034" s="8">
        <f t="shared" ref="B1034:J1034" si="8">AVERAGE(B46:B57)</f>
        <v>3.5953166666666667</v>
      </c>
      <c r="C1034" s="8">
        <f t="shared" si="8"/>
        <v>3.6056333333333335</v>
      </c>
      <c r="D1034" s="8">
        <f t="shared" si="8"/>
        <v>3.5951249999999999</v>
      </c>
      <c r="E1034" s="8">
        <f t="shared" si="8"/>
        <v>3.5976666666666666</v>
      </c>
      <c r="F1034" s="4">
        <f t="shared" si="8"/>
        <v>4.5906999999999991</v>
      </c>
      <c r="G1034" s="8">
        <f t="shared" si="8"/>
        <v>3.5441333333333342</v>
      </c>
      <c r="H1034" s="4">
        <f t="shared" si="8"/>
        <v>4.4426833333333331</v>
      </c>
      <c r="I1034" s="8">
        <f t="shared" si="8"/>
        <v>3.551366666666667</v>
      </c>
      <c r="J1034" s="4">
        <f t="shared" si="8"/>
        <v>3.4829000000000008</v>
      </c>
      <c r="K1034" s="4"/>
      <c r="L1034" s="5">
        <f t="shared" ref="L1034:R1034" si="9">SUM(L46:L57)</f>
        <v>353.74759999999998</v>
      </c>
      <c r="M1034" s="5">
        <f t="shared" si="9"/>
        <v>142.0401</v>
      </c>
      <c r="N1034" s="5">
        <f t="shared" si="9"/>
        <v>58.217499999999994</v>
      </c>
      <c r="O1034" s="5">
        <f t="shared" si="9"/>
        <v>4.4104999999999999</v>
      </c>
      <c r="P1034" s="5">
        <f t="shared" si="9"/>
        <v>14.718800000000003</v>
      </c>
      <c r="Q1034" s="5">
        <f t="shared" si="9"/>
        <v>290.24799999999999</v>
      </c>
      <c r="R1034" s="5">
        <f t="shared" si="9"/>
        <v>4.8</v>
      </c>
      <c r="S1034" s="4"/>
    </row>
    <row r="1035" spans="1:19" ht="15" customHeight="1">
      <c r="A1035" s="3">
        <v>2020</v>
      </c>
      <c r="B1035" s="8">
        <f t="shared" ref="B1035:J1035" si="10">AVERAGE(B58:B69)</f>
        <v>3.5866166666666675</v>
      </c>
      <c r="C1035" s="8">
        <f t="shared" si="10"/>
        <v>3.5969250000000001</v>
      </c>
      <c r="D1035" s="8">
        <f t="shared" si="10"/>
        <v>3.5864250000000002</v>
      </c>
      <c r="E1035" s="8">
        <f t="shared" si="10"/>
        <v>3.5889583333333328</v>
      </c>
      <c r="F1035" s="4">
        <f t="shared" si="10"/>
        <v>4.5819916666666662</v>
      </c>
      <c r="G1035" s="8">
        <f t="shared" si="10"/>
        <v>3.5355666666666665</v>
      </c>
      <c r="H1035" s="4">
        <f t="shared" si="10"/>
        <v>4.4341083333333335</v>
      </c>
      <c r="I1035" s="8">
        <f t="shared" si="10"/>
        <v>3.5429333333333335</v>
      </c>
      <c r="J1035" s="4">
        <f t="shared" si="10"/>
        <v>3.4744833333333331</v>
      </c>
      <c r="K1035" s="4"/>
      <c r="L1035" s="5">
        <f t="shared" ref="L1035:R1035" si="11">SUM(L58:L69)</f>
        <v>354.68099999999998</v>
      </c>
      <c r="M1035" s="5">
        <f t="shared" si="11"/>
        <v>142.42920000000001</v>
      </c>
      <c r="N1035" s="5">
        <f t="shared" si="11"/>
        <v>58.377000000000002</v>
      </c>
      <c r="O1035" s="5">
        <f t="shared" si="11"/>
        <v>4.4226000000000001</v>
      </c>
      <c r="P1035" s="5">
        <f t="shared" si="11"/>
        <v>14.760600000000004</v>
      </c>
      <c r="Q1035" s="5">
        <f t="shared" si="11"/>
        <v>349.04309999999998</v>
      </c>
      <c r="R1035" s="5">
        <f t="shared" si="11"/>
        <v>4.8</v>
      </c>
      <c r="S1035" s="4"/>
    </row>
    <row r="1036" spans="1:19" ht="15" customHeight="1">
      <c r="A1036" s="3">
        <v>2021</v>
      </c>
      <c r="B1036" s="8">
        <f t="shared" ref="B1036:J1036" si="12">AVERAGE(B70:B81)</f>
        <v>3.9495166666666663</v>
      </c>
      <c r="C1036" s="8">
        <f t="shared" si="12"/>
        <v>3.959858333333333</v>
      </c>
      <c r="D1036" s="8">
        <f t="shared" si="12"/>
        <v>3.9493583333333326</v>
      </c>
      <c r="E1036" s="8">
        <f t="shared" si="12"/>
        <v>3.951883333333333</v>
      </c>
      <c r="F1036" s="4">
        <f t="shared" si="12"/>
        <v>4.9449166666666668</v>
      </c>
      <c r="G1036" s="8">
        <f t="shared" si="12"/>
        <v>3.8933249999999995</v>
      </c>
      <c r="H1036" s="4">
        <f t="shared" si="12"/>
        <v>4.7918666666666665</v>
      </c>
      <c r="I1036" s="8">
        <f t="shared" si="12"/>
        <v>3.8947916666666664</v>
      </c>
      <c r="J1036" s="4">
        <f t="shared" si="12"/>
        <v>3.8261499999999997</v>
      </c>
      <c r="K1036" s="4"/>
      <c r="L1036" s="5">
        <f t="shared" ref="L1036:R1036" si="13">SUM(L70:L81)</f>
        <v>353.74759999999998</v>
      </c>
      <c r="M1036" s="5">
        <f t="shared" si="13"/>
        <v>142.0401</v>
      </c>
      <c r="N1036" s="5">
        <f t="shared" si="13"/>
        <v>58.217499999999994</v>
      </c>
      <c r="O1036" s="5">
        <f t="shared" si="13"/>
        <v>4.4104999999999999</v>
      </c>
      <c r="P1036" s="5">
        <f t="shared" si="13"/>
        <v>14.718800000000003</v>
      </c>
      <c r="Q1036" s="5">
        <f t="shared" si="13"/>
        <v>388.68129999999996</v>
      </c>
      <c r="R1036" s="5">
        <f t="shared" si="13"/>
        <v>4.8</v>
      </c>
      <c r="S1036" s="4"/>
    </row>
    <row r="1037" spans="1:19" ht="15" customHeight="1">
      <c r="A1037" s="3">
        <v>2022</v>
      </c>
      <c r="B1037" s="8">
        <f t="shared" ref="B1037:J1037" si="14">AVERAGE(B82:B93)</f>
        <v>3.7366500000000005</v>
      </c>
      <c r="C1037" s="8">
        <f t="shared" si="14"/>
        <v>3.7469750000000004</v>
      </c>
      <c r="D1037" s="8">
        <f t="shared" si="14"/>
        <v>3.7364666666666664</v>
      </c>
      <c r="E1037" s="8">
        <f t="shared" si="14"/>
        <v>3.7390083333333339</v>
      </c>
      <c r="F1037" s="4">
        <f t="shared" si="14"/>
        <v>4.7320500000000001</v>
      </c>
      <c r="G1037" s="8">
        <f t="shared" si="14"/>
        <v>3.6834750000000001</v>
      </c>
      <c r="H1037" s="4">
        <f t="shared" si="14"/>
        <v>4.5820166666666653</v>
      </c>
      <c r="I1037" s="8">
        <f t="shared" si="14"/>
        <v>3.6884000000000001</v>
      </c>
      <c r="J1037" s="4">
        <f t="shared" si="14"/>
        <v>3.619875</v>
      </c>
      <c r="K1037" s="4"/>
      <c r="L1037" s="5">
        <f t="shared" ref="L1037:Q1037" si="15">SUM(L82:L93)</f>
        <v>346.2867</v>
      </c>
      <c r="M1037" s="5">
        <f t="shared" si="15"/>
        <v>142.0401</v>
      </c>
      <c r="N1037" s="5">
        <f t="shared" si="15"/>
        <v>58.217499999999994</v>
      </c>
      <c r="O1037" s="5">
        <f t="shared" si="15"/>
        <v>4.4104999999999999</v>
      </c>
      <c r="P1037" s="5">
        <f t="shared" si="15"/>
        <v>14.718800000000003</v>
      </c>
      <c r="Q1037" s="5">
        <f t="shared" si="15"/>
        <v>386.33820000000003</v>
      </c>
      <c r="R1037" s="5">
        <f>SUM(R82:R84)</f>
        <v>1.2000000000000002</v>
      </c>
      <c r="S1037" s="4"/>
    </row>
    <row r="1038" spans="1:19" ht="15" customHeight="1">
      <c r="A1038" s="3">
        <v>2023</v>
      </c>
      <c r="B1038" s="8">
        <f t="shared" ref="B1038:J1038" si="16">AVERAGE(B94:B105)</f>
        <v>3.9735916666666662</v>
      </c>
      <c r="C1038" s="8">
        <f t="shared" si="16"/>
        <v>3.9839333333333329</v>
      </c>
      <c r="D1038" s="8">
        <f t="shared" si="16"/>
        <v>3.9734333333333329</v>
      </c>
      <c r="E1038" s="8">
        <f t="shared" si="16"/>
        <v>3.975975</v>
      </c>
      <c r="F1038" s="4">
        <f t="shared" si="16"/>
        <v>4.9690000000000003</v>
      </c>
      <c r="G1038" s="8">
        <f t="shared" si="16"/>
        <v>3.9170416666666674</v>
      </c>
      <c r="H1038" s="4">
        <f t="shared" si="16"/>
        <v>4.8155916666666672</v>
      </c>
      <c r="I1038" s="8">
        <f t="shared" si="16"/>
        <v>3.9181166666666667</v>
      </c>
      <c r="J1038" s="4">
        <f t="shared" si="16"/>
        <v>3.8494666666666668</v>
      </c>
      <c r="K1038" s="4"/>
      <c r="L1038" s="5">
        <f t="shared" ref="L1038:Q1038" si="17">SUM(L94:L105)</f>
        <v>336.06969999999995</v>
      </c>
      <c r="M1038" s="5">
        <f t="shared" si="17"/>
        <v>142.0401</v>
      </c>
      <c r="N1038" s="5">
        <f t="shared" si="17"/>
        <v>58.217499999999994</v>
      </c>
      <c r="O1038" s="5">
        <f t="shared" si="17"/>
        <v>4.4104999999999999</v>
      </c>
      <c r="P1038" s="5">
        <f t="shared" si="17"/>
        <v>14.718800000000003</v>
      </c>
      <c r="Q1038" s="5">
        <f t="shared" si="17"/>
        <v>384.12599999999998</v>
      </c>
      <c r="R1038" s="5"/>
      <c r="S1038" s="4"/>
    </row>
    <row r="1039" spans="1:19" ht="15" customHeight="1">
      <c r="A1039" s="3">
        <v>2024</v>
      </c>
      <c r="B1039" s="8">
        <f t="shared" ref="B1039:J1039" si="18">AVERAGE(B106:B117)</f>
        <v>4.1883583333333334</v>
      </c>
      <c r="C1039" s="8">
        <f t="shared" si="18"/>
        <v>4.1986749999999997</v>
      </c>
      <c r="D1039" s="8">
        <f t="shared" si="18"/>
        <v>4.1881666666666666</v>
      </c>
      <c r="E1039" s="8">
        <f t="shared" si="18"/>
        <v>4.1907000000000005</v>
      </c>
      <c r="F1039" s="4">
        <f t="shared" si="18"/>
        <v>5.1837416666666671</v>
      </c>
      <c r="G1039" s="8">
        <f t="shared" si="18"/>
        <v>4.1287249999999993</v>
      </c>
      <c r="H1039" s="4">
        <f t="shared" si="18"/>
        <v>5.0272666666666668</v>
      </c>
      <c r="I1039" s="8">
        <f t="shared" si="18"/>
        <v>4.1263083333333341</v>
      </c>
      <c r="J1039" s="4">
        <f t="shared" si="18"/>
        <v>4.0575583333333336</v>
      </c>
      <c r="K1039" s="4"/>
      <c r="L1039" s="5">
        <f t="shared" ref="L1039:Q1039" si="19">SUM(L106:L117)</f>
        <v>336.95349999999996</v>
      </c>
      <c r="M1039" s="5">
        <f t="shared" si="19"/>
        <v>142.42920000000001</v>
      </c>
      <c r="N1039" s="5">
        <f t="shared" si="19"/>
        <v>58.377000000000002</v>
      </c>
      <c r="O1039" s="5">
        <f t="shared" si="19"/>
        <v>4.4226000000000001</v>
      </c>
      <c r="P1039" s="5">
        <f t="shared" si="19"/>
        <v>14.760600000000004</v>
      </c>
      <c r="Q1039" s="5">
        <f t="shared" si="19"/>
        <v>383.00459999999998</v>
      </c>
      <c r="R1039" s="5"/>
      <c r="S1039" s="4"/>
    </row>
    <row r="1040" spans="1:19" ht="15" customHeight="1">
      <c r="A1040" s="3">
        <v>2025</v>
      </c>
      <c r="B1040" s="8">
        <f t="shared" ref="B1040:J1040" si="20">AVERAGE(B118:B129)</f>
        <v>4.3848999999999991</v>
      </c>
      <c r="C1040" s="8">
        <f t="shared" si="20"/>
        <v>4.3952166666666663</v>
      </c>
      <c r="D1040" s="8">
        <f t="shared" si="20"/>
        <v>4.3847083333333332</v>
      </c>
      <c r="E1040" s="8">
        <f t="shared" si="20"/>
        <v>4.3872416666666672</v>
      </c>
      <c r="F1040" s="4">
        <f t="shared" si="20"/>
        <v>5.380300000000001</v>
      </c>
      <c r="G1040" s="8">
        <f t="shared" si="20"/>
        <v>4.3224666666666662</v>
      </c>
      <c r="H1040" s="4">
        <f t="shared" si="20"/>
        <v>5.221025</v>
      </c>
      <c r="I1040" s="8">
        <f t="shared" si="20"/>
        <v>4.3168583333333341</v>
      </c>
      <c r="J1040" s="4">
        <f t="shared" si="20"/>
        <v>4.2480166666666674</v>
      </c>
      <c r="K1040" s="4"/>
      <c r="L1040" s="5">
        <f t="shared" ref="L1040:Q1040" si="21">SUM(L118:L129)</f>
        <v>336.06969999999995</v>
      </c>
      <c r="M1040" s="5">
        <f t="shared" si="21"/>
        <v>142.0401</v>
      </c>
      <c r="N1040" s="5">
        <f t="shared" si="21"/>
        <v>58.217499999999994</v>
      </c>
      <c r="O1040" s="5">
        <f t="shared" si="21"/>
        <v>4.4104999999999999</v>
      </c>
      <c r="P1040" s="5">
        <f t="shared" si="21"/>
        <v>14.718800000000003</v>
      </c>
      <c r="Q1040" s="5">
        <f t="shared" si="21"/>
        <v>379.76819999999998</v>
      </c>
      <c r="R1040" s="5"/>
      <c r="S1040" s="4"/>
    </row>
    <row r="1041" spans="1:19" ht="15" customHeight="1">
      <c r="A1041" s="3">
        <v>2026</v>
      </c>
      <c r="B1041" s="8">
        <f t="shared" ref="B1041:J1041" si="22">AVERAGE(B130:B141)</f>
        <v>4.5666333333333329</v>
      </c>
      <c r="C1041" s="8">
        <f t="shared" si="22"/>
        <v>4.576975</v>
      </c>
      <c r="D1041" s="8">
        <f t="shared" si="22"/>
        <v>4.5664416666666661</v>
      </c>
      <c r="E1041" s="8">
        <f t="shared" si="22"/>
        <v>4.5689833333333327</v>
      </c>
      <c r="F1041" s="4">
        <f t="shared" si="22"/>
        <v>5.5620249999999984</v>
      </c>
      <c r="G1041" s="8">
        <f t="shared" si="22"/>
        <v>4.5016333333333334</v>
      </c>
      <c r="H1041" s="4">
        <f t="shared" si="22"/>
        <v>5.4001833333333336</v>
      </c>
      <c r="I1041" s="8">
        <f t="shared" si="22"/>
        <v>4.4930666666666674</v>
      </c>
      <c r="J1041" s="4">
        <f t="shared" si="22"/>
        <v>4.4241083333333329</v>
      </c>
      <c r="K1041" s="4"/>
      <c r="L1041" s="5">
        <f t="shared" ref="L1041:Q1041" si="23">SUM(L130:L141)</f>
        <v>336.06969999999995</v>
      </c>
      <c r="M1041" s="5">
        <f t="shared" si="23"/>
        <v>142.0401</v>
      </c>
      <c r="N1041" s="5">
        <f t="shared" si="23"/>
        <v>58.217499999999994</v>
      </c>
      <c r="O1041" s="5">
        <f t="shared" si="23"/>
        <v>4.4104999999999999</v>
      </c>
      <c r="P1041" s="5">
        <f t="shared" si="23"/>
        <v>14.718800000000003</v>
      </c>
      <c r="Q1041" s="5">
        <f t="shared" si="23"/>
        <v>377.59969999999987</v>
      </c>
      <c r="R1041" s="5"/>
      <c r="S1041" s="4"/>
    </row>
    <row r="1042" spans="1:19" ht="15" customHeight="1">
      <c r="A1042" s="3">
        <v>2027</v>
      </c>
      <c r="B1042" s="8">
        <f t="shared" ref="B1042:J1042" si="24">AVERAGE(B142:B153)</f>
        <v>4.7363833333333334</v>
      </c>
      <c r="C1042" s="8">
        <f t="shared" si="24"/>
        <v>4.7467083333333333</v>
      </c>
      <c r="D1042" s="8">
        <f t="shared" si="24"/>
        <v>4.7361916666666675</v>
      </c>
      <c r="E1042" s="8">
        <f t="shared" si="24"/>
        <v>4.7387249999999987</v>
      </c>
      <c r="F1042" s="4">
        <f t="shared" si="24"/>
        <v>5.7317666666666662</v>
      </c>
      <c r="G1042" s="8">
        <f t="shared" si="24"/>
        <v>4.6689583333333333</v>
      </c>
      <c r="H1042" s="4">
        <f t="shared" si="24"/>
        <v>5.567499999999999</v>
      </c>
      <c r="I1042" s="8">
        <f t="shared" si="24"/>
        <v>4.6576166666666667</v>
      </c>
      <c r="J1042" s="4">
        <f t="shared" si="24"/>
        <v>4.5886000000000005</v>
      </c>
      <c r="K1042" s="4"/>
      <c r="L1042" s="5">
        <f t="shared" ref="L1042:Q1042" si="25">SUM(L142:L153)</f>
        <v>336.06969999999995</v>
      </c>
      <c r="M1042" s="5">
        <f t="shared" si="25"/>
        <v>142.0401</v>
      </c>
      <c r="N1042" s="5">
        <f t="shared" si="25"/>
        <v>58.217499999999994</v>
      </c>
      <c r="O1042" s="5">
        <f t="shared" si="25"/>
        <v>4.4104999999999999</v>
      </c>
      <c r="P1042" s="5">
        <f t="shared" si="25"/>
        <v>14.718800000000003</v>
      </c>
      <c r="Q1042" s="5">
        <f t="shared" si="25"/>
        <v>375.43180000000001</v>
      </c>
      <c r="R1042" s="5"/>
      <c r="S1042" s="4"/>
    </row>
    <row r="1043" spans="1:19" ht="15" customHeight="1">
      <c r="A1043" s="3">
        <v>2028</v>
      </c>
      <c r="B1043" s="8">
        <f t="shared" ref="B1043:J1043" si="26">AVERAGE(B154:B165)</f>
        <v>4.896491666666666</v>
      </c>
      <c r="C1043" s="8">
        <f t="shared" si="26"/>
        <v>4.9068166666666668</v>
      </c>
      <c r="D1043" s="8">
        <f t="shared" si="26"/>
        <v>4.8963083333333328</v>
      </c>
      <c r="E1043" s="8">
        <f t="shared" si="26"/>
        <v>4.8988333333333332</v>
      </c>
      <c r="F1043" s="4">
        <f t="shared" si="26"/>
        <v>5.8918833333333334</v>
      </c>
      <c r="G1043" s="8">
        <f t="shared" si="26"/>
        <v>4.8267916666666668</v>
      </c>
      <c r="H1043" s="4">
        <f t="shared" si="26"/>
        <v>5.7253333333333325</v>
      </c>
      <c r="I1043" s="8">
        <f t="shared" si="26"/>
        <v>4.8128583333333337</v>
      </c>
      <c r="J1043" s="4">
        <f t="shared" si="26"/>
        <v>4.7437499999999995</v>
      </c>
      <c r="K1043" s="4"/>
      <c r="L1043" s="5">
        <f t="shared" ref="L1043:Q1043" si="27">SUM(L154:L165)</f>
        <v>336.95349999999996</v>
      </c>
      <c r="M1043" s="5">
        <f t="shared" si="27"/>
        <v>142.42920000000001</v>
      </c>
      <c r="N1043" s="5">
        <f t="shared" si="27"/>
        <v>58.377000000000002</v>
      </c>
      <c r="O1043" s="5">
        <f t="shared" si="27"/>
        <v>4.4226000000000001</v>
      </c>
      <c r="P1043" s="5">
        <f t="shared" si="27"/>
        <v>14.760600000000004</v>
      </c>
      <c r="Q1043" s="5">
        <f t="shared" si="27"/>
        <v>374.28599999999994</v>
      </c>
      <c r="R1043" s="5"/>
      <c r="S1043" s="4"/>
    </row>
    <row r="1044" spans="1:19" ht="15" customHeight="1">
      <c r="A1044" s="3">
        <v>2029</v>
      </c>
      <c r="B1044" s="8">
        <f t="shared" ref="B1044:J1044" si="28">AVERAGE(B166:B177)</f>
        <v>5.0489333333333333</v>
      </c>
      <c r="C1044" s="8">
        <f t="shared" si="28"/>
        <v>5.0592583333333332</v>
      </c>
      <c r="D1044" s="8">
        <f t="shared" si="28"/>
        <v>5.0487583333333337</v>
      </c>
      <c r="E1044" s="8">
        <f t="shared" si="28"/>
        <v>5.0513000000000003</v>
      </c>
      <c r="F1044" s="4">
        <f t="shared" si="28"/>
        <v>6.0443250000000006</v>
      </c>
      <c r="G1044" s="8">
        <f t="shared" si="28"/>
        <v>4.9770750000000001</v>
      </c>
      <c r="H1044" s="4">
        <f t="shared" si="28"/>
        <v>5.8756166666666667</v>
      </c>
      <c r="I1044" s="8">
        <f t="shared" si="28"/>
        <v>4.9606416666666666</v>
      </c>
      <c r="J1044" s="4">
        <f t="shared" si="28"/>
        <v>4.8914999999999997</v>
      </c>
      <c r="K1044" s="4"/>
      <c r="L1044" s="5">
        <f t="shared" ref="L1044:Q1044" si="29">SUM(L166:L177)</f>
        <v>336.06969999999995</v>
      </c>
      <c r="M1044" s="5">
        <f t="shared" si="29"/>
        <v>142.0401</v>
      </c>
      <c r="N1044" s="5">
        <f t="shared" si="29"/>
        <v>58.217499999999994</v>
      </c>
      <c r="O1044" s="5">
        <f t="shared" si="29"/>
        <v>4.4104999999999999</v>
      </c>
      <c r="P1044" s="5">
        <f t="shared" si="29"/>
        <v>14.718800000000003</v>
      </c>
      <c r="Q1044" s="5">
        <f t="shared" si="29"/>
        <v>371.09549999999996</v>
      </c>
      <c r="R1044" s="5"/>
      <c r="S1044" s="4"/>
    </row>
    <row r="1045" spans="1:19" ht="15" customHeight="1">
      <c r="A1045" s="3">
        <v>2030</v>
      </c>
      <c r="B1045" s="8">
        <f t="shared" ref="B1045:J1045" si="30">AVERAGE(B178:B189)</f>
        <v>5.1953749999999994</v>
      </c>
      <c r="C1045" s="8">
        <f t="shared" si="30"/>
        <v>5.2056916666666666</v>
      </c>
      <c r="D1045" s="8">
        <f t="shared" si="30"/>
        <v>5.1951999999999989</v>
      </c>
      <c r="E1045" s="8">
        <f t="shared" si="30"/>
        <v>5.1977249999999993</v>
      </c>
      <c r="F1045" s="4">
        <f t="shared" si="30"/>
        <v>6.1907749999999995</v>
      </c>
      <c r="G1045" s="8">
        <f t="shared" si="30"/>
        <v>5.1214166666666658</v>
      </c>
      <c r="H1045" s="4">
        <f t="shared" si="30"/>
        <v>6.0199583333333324</v>
      </c>
      <c r="I1045" s="8">
        <f t="shared" si="30"/>
        <v>5.1026083333333334</v>
      </c>
      <c r="J1045" s="4">
        <f t="shared" si="30"/>
        <v>5.0333583333333332</v>
      </c>
      <c r="K1045" s="4"/>
      <c r="L1045" s="5">
        <f t="shared" ref="L1045:Q1045" si="31">SUM(L178:L189)</f>
        <v>336.06969999999995</v>
      </c>
      <c r="M1045" s="5">
        <f t="shared" si="31"/>
        <v>142.0401</v>
      </c>
      <c r="N1045" s="5">
        <f t="shared" si="31"/>
        <v>58.217499999999994</v>
      </c>
      <c r="O1045" s="5">
        <f t="shared" si="31"/>
        <v>4.4104999999999999</v>
      </c>
      <c r="P1045" s="5">
        <f t="shared" si="31"/>
        <v>14.718800000000003</v>
      </c>
      <c r="Q1045" s="5">
        <f t="shared" si="31"/>
        <v>368.9276999999999</v>
      </c>
      <c r="R1045" s="5"/>
      <c r="S1045" s="4"/>
    </row>
    <row r="1046" spans="1:19" ht="15" customHeight="1">
      <c r="A1046" s="3">
        <v>2031</v>
      </c>
      <c r="B1046" s="8">
        <f t="shared" ref="B1046:J1046" si="32">AVERAGE(B190:B201)</f>
        <v>5.3371916666666666</v>
      </c>
      <c r="C1046" s="8">
        <f t="shared" si="32"/>
        <v>5.3475083333333329</v>
      </c>
      <c r="D1046" s="8">
        <f t="shared" si="32"/>
        <v>5.3369999999999997</v>
      </c>
      <c r="E1046" s="8">
        <f t="shared" si="32"/>
        <v>5.3395333333333328</v>
      </c>
      <c r="F1046" s="4">
        <f t="shared" si="32"/>
        <v>6.3325833333333321</v>
      </c>
      <c r="G1046" s="8">
        <f t="shared" si="32"/>
        <v>5.2612083333333333</v>
      </c>
      <c r="H1046" s="4">
        <f t="shared" si="32"/>
        <v>6.1597499999999998</v>
      </c>
      <c r="I1046" s="8">
        <f t="shared" si="32"/>
        <v>5.2400999999999991</v>
      </c>
      <c r="J1046" s="4">
        <f t="shared" si="32"/>
        <v>5.170799999999999</v>
      </c>
      <c r="K1046" s="4"/>
      <c r="L1046" s="5">
        <f t="shared" ref="L1046:Q1046" si="33">SUM(L190:L201)</f>
        <v>336.06969999999995</v>
      </c>
      <c r="M1046" s="5">
        <f t="shared" si="33"/>
        <v>142.0401</v>
      </c>
      <c r="N1046" s="5">
        <f t="shared" si="33"/>
        <v>58.217499999999994</v>
      </c>
      <c r="O1046" s="5">
        <f t="shared" si="33"/>
        <v>4.4104999999999999</v>
      </c>
      <c r="P1046" s="5">
        <f t="shared" si="33"/>
        <v>14.718800000000003</v>
      </c>
      <c r="Q1046" s="5">
        <f t="shared" si="33"/>
        <v>365.31420000000003</v>
      </c>
      <c r="R1046" s="5"/>
      <c r="S1046" s="4"/>
    </row>
    <row r="1047" spans="1:19" ht="15" customHeight="1">
      <c r="A1047" s="3">
        <v>2032</v>
      </c>
      <c r="B1047" s="8">
        <f t="shared" ref="B1047:J1047" si="34">AVERAGE(B202:B213)</f>
        <v>5.4755250000000002</v>
      </c>
      <c r="C1047" s="8">
        <f t="shared" si="34"/>
        <v>5.4858416666666665</v>
      </c>
      <c r="D1047" s="8">
        <f t="shared" si="34"/>
        <v>5.4753416666666661</v>
      </c>
      <c r="E1047" s="8">
        <f t="shared" si="34"/>
        <v>5.4778750000000009</v>
      </c>
      <c r="F1047" s="4">
        <f t="shared" si="34"/>
        <v>6.4709166666666649</v>
      </c>
      <c r="G1047" s="8">
        <f t="shared" si="34"/>
        <v>5.3975749999999998</v>
      </c>
      <c r="H1047" s="4">
        <f t="shared" si="34"/>
        <v>6.2961333333333336</v>
      </c>
      <c r="I1047" s="8">
        <f t="shared" si="34"/>
        <v>5.3742166666666664</v>
      </c>
      <c r="J1047" s="4">
        <f t="shared" si="34"/>
        <v>5.3048416666666656</v>
      </c>
      <c r="K1047" s="4"/>
      <c r="L1047" s="5">
        <f t="shared" ref="L1047:Q1047" si="35">SUM(L202:L213)</f>
        <v>336.95349999999996</v>
      </c>
      <c r="M1047" s="5">
        <f t="shared" si="35"/>
        <v>142.42920000000001</v>
      </c>
      <c r="N1047" s="5">
        <f t="shared" si="35"/>
        <v>58.377000000000002</v>
      </c>
      <c r="O1047" s="5">
        <f t="shared" si="35"/>
        <v>4.4226000000000001</v>
      </c>
      <c r="P1047" s="5">
        <f t="shared" si="35"/>
        <v>14.760600000000004</v>
      </c>
      <c r="Q1047" s="5">
        <f t="shared" si="35"/>
        <v>364.46999999999997</v>
      </c>
      <c r="R1047" s="5"/>
      <c r="S1047" s="4"/>
    </row>
    <row r="1048" spans="1:19" ht="15" customHeight="1">
      <c r="A1048" s="3">
        <v>2033</v>
      </c>
      <c r="B1048" s="8">
        <f t="shared" ref="B1048:J1048" si="36">AVERAGE(B214:B225)</f>
        <v>5.6113833333333334</v>
      </c>
      <c r="C1048" s="8">
        <f t="shared" si="36"/>
        <v>5.6217083333333333</v>
      </c>
      <c r="D1048" s="8">
        <f t="shared" si="36"/>
        <v>5.6111916666666666</v>
      </c>
      <c r="E1048" s="8">
        <f t="shared" si="36"/>
        <v>5.6137166666666678</v>
      </c>
      <c r="F1048" s="4">
        <f t="shared" si="36"/>
        <v>6.6067666666666662</v>
      </c>
      <c r="G1048" s="8">
        <f t="shared" si="36"/>
        <v>5.5314916666666667</v>
      </c>
      <c r="H1048" s="4">
        <f t="shared" si="36"/>
        <v>6.4300416666666651</v>
      </c>
      <c r="I1048" s="8">
        <f t="shared" si="36"/>
        <v>5.5059083333333332</v>
      </c>
      <c r="J1048" s="4">
        <f t="shared" si="36"/>
        <v>5.4364916666666661</v>
      </c>
      <c r="K1048" s="4"/>
      <c r="L1048" s="5">
        <f t="shared" ref="L1048:Q1048" si="37">SUM(L214:L225)</f>
        <v>336.06969999999995</v>
      </c>
      <c r="M1048" s="5">
        <f t="shared" si="37"/>
        <v>142.0401</v>
      </c>
      <c r="N1048" s="5">
        <f t="shared" si="37"/>
        <v>58.217499999999994</v>
      </c>
      <c r="O1048" s="5">
        <f t="shared" si="37"/>
        <v>4.4104999999999999</v>
      </c>
      <c r="P1048" s="5">
        <f t="shared" si="37"/>
        <v>14.718800000000003</v>
      </c>
      <c r="Q1048" s="5">
        <f t="shared" si="37"/>
        <v>362.33550000000002</v>
      </c>
      <c r="R1048" s="5"/>
      <c r="S1048" s="4"/>
    </row>
    <row r="1049" spans="1:19" ht="15" customHeight="1">
      <c r="A1049" s="3">
        <v>2034</v>
      </c>
      <c r="B1049" s="8">
        <f t="shared" ref="B1049:J1049" si="38">AVERAGE(B226:B237)</f>
        <v>5.7455749999999997</v>
      </c>
      <c r="C1049" s="8">
        <f t="shared" si="38"/>
        <v>5.7558916666666669</v>
      </c>
      <c r="D1049" s="8">
        <f t="shared" si="38"/>
        <v>5.7453833333333328</v>
      </c>
      <c r="E1049" s="8">
        <f t="shared" si="38"/>
        <v>5.7479166666666659</v>
      </c>
      <c r="F1049" s="4">
        <f t="shared" si="38"/>
        <v>6.7409583333333343</v>
      </c>
      <c r="G1049" s="8">
        <f t="shared" si="38"/>
        <v>5.6637750000000002</v>
      </c>
      <c r="H1049" s="4">
        <f t="shared" si="38"/>
        <v>6.5623250000000013</v>
      </c>
      <c r="I1049" s="8">
        <f t="shared" si="38"/>
        <v>5.6360166666666665</v>
      </c>
      <c r="J1049" s="4">
        <f t="shared" si="38"/>
        <v>5.5665166666666659</v>
      </c>
      <c r="K1049" s="4"/>
      <c r="L1049" s="5">
        <f t="shared" ref="L1049:Q1049" si="39">SUM(L226:L237)</f>
        <v>336.06969999999995</v>
      </c>
      <c r="M1049" s="5">
        <f t="shared" si="39"/>
        <v>142.0401</v>
      </c>
      <c r="N1049" s="5">
        <f t="shared" si="39"/>
        <v>58.217499999999994</v>
      </c>
      <c r="O1049" s="5">
        <f t="shared" si="39"/>
        <v>4.4104999999999999</v>
      </c>
      <c r="P1049" s="5">
        <f t="shared" si="39"/>
        <v>14.718800000000003</v>
      </c>
      <c r="Q1049" s="5">
        <f t="shared" si="39"/>
        <v>361.59120000000007</v>
      </c>
      <c r="R1049" s="5"/>
      <c r="S1049" s="4"/>
    </row>
    <row r="1050" spans="1:19" ht="15" customHeight="1">
      <c r="A1050" s="3">
        <v>2035</v>
      </c>
      <c r="B1050" s="8">
        <f t="shared" ref="B1050:J1050" si="40">AVERAGE(B238:B249)</f>
        <v>5.8787916666666655</v>
      </c>
      <c r="C1050" s="8">
        <f t="shared" si="40"/>
        <v>5.8891333333333336</v>
      </c>
      <c r="D1050" s="8">
        <f t="shared" si="40"/>
        <v>5.878608333333335</v>
      </c>
      <c r="E1050" s="8">
        <f t="shared" si="40"/>
        <v>5.8811416666666672</v>
      </c>
      <c r="F1050" s="4">
        <f t="shared" si="40"/>
        <v>6.8741916666666656</v>
      </c>
      <c r="G1050" s="8">
        <f t="shared" si="40"/>
        <v>5.7951083333333324</v>
      </c>
      <c r="H1050" s="4">
        <f t="shared" si="40"/>
        <v>6.6936583333333326</v>
      </c>
      <c r="I1050" s="8">
        <f t="shared" si="40"/>
        <v>5.7651916666666674</v>
      </c>
      <c r="J1050" s="4">
        <f t="shared" si="40"/>
        <v>5.6955999999999998</v>
      </c>
      <c r="K1050" s="4"/>
      <c r="L1050" s="5">
        <f t="shared" ref="L1050:Q1050" si="41">SUM(L238:L249)</f>
        <v>336.06969999999995</v>
      </c>
      <c r="M1050" s="5">
        <f t="shared" si="41"/>
        <v>142.0401</v>
      </c>
      <c r="N1050" s="5">
        <f t="shared" si="41"/>
        <v>58.217499999999994</v>
      </c>
      <c r="O1050" s="5">
        <f t="shared" si="41"/>
        <v>4.4104999999999999</v>
      </c>
      <c r="P1050" s="5">
        <f t="shared" si="41"/>
        <v>14.718800000000003</v>
      </c>
      <c r="Q1050" s="5">
        <f t="shared" si="41"/>
        <v>360.82469999999995</v>
      </c>
      <c r="R1050" s="5"/>
      <c r="S1050" s="4"/>
    </row>
    <row r="1051" spans="1:19" ht="15" customHeight="1">
      <c r="A1051" s="3">
        <v>2036</v>
      </c>
      <c r="B1051" s="8">
        <f t="shared" ref="B1051:J1051" si="42">AVERAGE(B250:B261)</f>
        <v>5.9840166666666663</v>
      </c>
      <c r="C1051" s="8">
        <f t="shared" si="42"/>
        <v>5.9943416666666662</v>
      </c>
      <c r="D1051" s="8">
        <f t="shared" si="42"/>
        <v>5.9838333333333331</v>
      </c>
      <c r="E1051" s="8">
        <f t="shared" si="42"/>
        <v>5.9863666666666679</v>
      </c>
      <c r="F1051" s="4">
        <f t="shared" si="42"/>
        <v>6.9794083333333328</v>
      </c>
      <c r="G1051" s="8">
        <f t="shared" si="42"/>
        <v>5.8988166666666677</v>
      </c>
      <c r="H1051" s="4">
        <f t="shared" si="42"/>
        <v>6.7973666666666679</v>
      </c>
      <c r="I1051" s="8">
        <f t="shared" si="42"/>
        <v>5.8671833333333332</v>
      </c>
      <c r="J1051" s="4">
        <f t="shared" si="42"/>
        <v>5.7975666666666656</v>
      </c>
      <c r="K1051" s="4"/>
      <c r="L1051" s="5">
        <f t="shared" ref="L1051:Q1051" si="43">SUM(L250:L261)</f>
        <v>336.95349999999996</v>
      </c>
      <c r="M1051" s="5">
        <f t="shared" si="43"/>
        <v>142.42920000000001</v>
      </c>
      <c r="N1051" s="5">
        <f t="shared" si="43"/>
        <v>58.377000000000002</v>
      </c>
      <c r="O1051" s="5">
        <f t="shared" si="43"/>
        <v>4.4226000000000001</v>
      </c>
      <c r="P1051" s="5">
        <f t="shared" si="43"/>
        <v>14.760600000000004</v>
      </c>
      <c r="Q1051" s="5">
        <f t="shared" si="43"/>
        <v>361.0446</v>
      </c>
      <c r="R1051" s="5"/>
      <c r="S1051" s="4"/>
    </row>
    <row r="1052" spans="1:19" ht="15" customHeight="1">
      <c r="A1052" s="3">
        <v>2037</v>
      </c>
      <c r="B1052" s="8">
        <f t="shared" ref="B1052:J1052" si="44">AVERAGE(B262:B273)</f>
        <v>6.0911000000000008</v>
      </c>
      <c r="C1052" s="8">
        <f t="shared" si="44"/>
        <v>6.1014250000000017</v>
      </c>
      <c r="D1052" s="8">
        <f t="shared" si="44"/>
        <v>6.090908333333334</v>
      </c>
      <c r="E1052" s="8">
        <f t="shared" si="44"/>
        <v>6.0934500000000007</v>
      </c>
      <c r="F1052" s="4">
        <f t="shared" si="44"/>
        <v>7.0865</v>
      </c>
      <c r="G1052" s="8">
        <f t="shared" si="44"/>
        <v>6.0043916666666659</v>
      </c>
      <c r="H1052" s="4">
        <f t="shared" si="44"/>
        <v>6.9029416666666661</v>
      </c>
      <c r="I1052" s="8">
        <f t="shared" si="44"/>
        <v>5.9710083333333337</v>
      </c>
      <c r="J1052" s="4">
        <f t="shared" si="44"/>
        <v>5.9013416666666672</v>
      </c>
      <c r="K1052" s="4"/>
      <c r="L1052" s="5">
        <f t="shared" ref="L1052:Q1052" si="45">SUM(L262:L273)</f>
        <v>336.06969999999995</v>
      </c>
      <c r="M1052" s="5">
        <f t="shared" si="45"/>
        <v>142.0401</v>
      </c>
      <c r="N1052" s="5">
        <f t="shared" si="45"/>
        <v>58.217499999999994</v>
      </c>
      <c r="O1052" s="5">
        <f t="shared" si="45"/>
        <v>4.4104999999999999</v>
      </c>
      <c r="P1052" s="5">
        <f t="shared" si="45"/>
        <v>14.718800000000003</v>
      </c>
      <c r="Q1052" s="5">
        <f t="shared" si="45"/>
        <v>359.29169999999999</v>
      </c>
      <c r="R1052" s="5"/>
      <c r="S1052" s="4"/>
    </row>
    <row r="1053" spans="1:19" ht="15" customHeight="1">
      <c r="A1053" s="3">
        <f t="shared" ref="A1053:A1084" si="46">A1052+1</f>
        <v>2038</v>
      </c>
      <c r="B1053" s="8">
        <f t="shared" ref="B1053:J1053" si="47">AVERAGE(B274:B285)</f>
        <v>6.2001249999999999</v>
      </c>
      <c r="C1053" s="8">
        <f t="shared" si="47"/>
        <v>6.2104333333333335</v>
      </c>
      <c r="D1053" s="8">
        <f t="shared" si="47"/>
        <v>6.199933333333334</v>
      </c>
      <c r="E1053" s="8">
        <f t="shared" si="47"/>
        <v>6.202466666666667</v>
      </c>
      <c r="F1053" s="4">
        <f t="shared" si="47"/>
        <v>7.1955083333333336</v>
      </c>
      <c r="G1053" s="8">
        <f t="shared" si="47"/>
        <v>6.1118666666666668</v>
      </c>
      <c r="H1053" s="4">
        <f t="shared" si="47"/>
        <v>7.0104000000000006</v>
      </c>
      <c r="I1053" s="8">
        <f t="shared" si="47"/>
        <v>6.0767083333333334</v>
      </c>
      <c r="J1053" s="4">
        <f t="shared" si="47"/>
        <v>6.0069666666666661</v>
      </c>
      <c r="K1053" s="4"/>
      <c r="L1053" s="5">
        <f t="shared" ref="L1053:Q1053" si="48">SUM(L274:L285)</f>
        <v>336.06969999999995</v>
      </c>
      <c r="M1053" s="5">
        <f t="shared" si="48"/>
        <v>142.0401</v>
      </c>
      <c r="N1053" s="5">
        <f t="shared" si="48"/>
        <v>58.217499999999994</v>
      </c>
      <c r="O1053" s="5">
        <f t="shared" si="48"/>
        <v>4.4104999999999999</v>
      </c>
      <c r="P1053" s="5">
        <f t="shared" si="48"/>
        <v>14.718800000000003</v>
      </c>
      <c r="Q1053" s="5">
        <f t="shared" si="48"/>
        <v>358.54670000000004</v>
      </c>
      <c r="R1053" s="5"/>
      <c r="S1053" s="4"/>
    </row>
    <row r="1054" spans="1:19" ht="15" customHeight="1">
      <c r="A1054" s="3">
        <f t="shared" si="46"/>
        <v>2039</v>
      </c>
      <c r="B1054" s="8">
        <f t="shared" ref="B1054:J1054" si="49">AVERAGE(B286:B297)</f>
        <v>6.311091666666667</v>
      </c>
      <c r="C1054" s="8">
        <f t="shared" si="49"/>
        <v>6.3213999999999997</v>
      </c>
      <c r="D1054" s="8">
        <f t="shared" si="49"/>
        <v>6.3109166666666665</v>
      </c>
      <c r="E1054" s="8">
        <f t="shared" si="49"/>
        <v>6.3134416666666668</v>
      </c>
      <c r="F1054" s="4">
        <f t="shared" si="49"/>
        <v>7.3064916666666662</v>
      </c>
      <c r="G1054" s="8">
        <f t="shared" si="49"/>
        <v>6.2212333333333341</v>
      </c>
      <c r="H1054" s="4">
        <f t="shared" si="49"/>
        <v>7.1197833333333334</v>
      </c>
      <c r="I1054" s="8">
        <f t="shared" si="49"/>
        <v>6.184283333333334</v>
      </c>
      <c r="J1054" s="4">
        <f t="shared" si="49"/>
        <v>6.1144916666666669</v>
      </c>
      <c r="K1054" s="7"/>
      <c r="L1054" s="5">
        <f t="shared" ref="L1054:Q1054" si="50">SUM(L286:L297)</f>
        <v>336.06969999999995</v>
      </c>
      <c r="M1054" s="5">
        <f t="shared" si="50"/>
        <v>142.0401</v>
      </c>
      <c r="N1054" s="5">
        <f t="shared" si="50"/>
        <v>58.217499999999994</v>
      </c>
      <c r="O1054" s="5">
        <f t="shared" si="50"/>
        <v>4.4104999999999999</v>
      </c>
      <c r="P1054" s="5">
        <f t="shared" si="50"/>
        <v>14.718800000000003</v>
      </c>
      <c r="Q1054" s="5">
        <f t="shared" si="50"/>
        <v>357.78019999999998</v>
      </c>
      <c r="R1054" s="5"/>
      <c r="S1054" s="6"/>
    </row>
    <row r="1055" spans="1:19" ht="15" customHeight="1">
      <c r="A1055" s="3">
        <f t="shared" si="46"/>
        <v>2040</v>
      </c>
      <c r="B1055" s="8">
        <f t="shared" ref="B1055:J1055" si="51">AVERAGE(B298:B309)</f>
        <v>6.4240499999999985</v>
      </c>
      <c r="C1055" s="8">
        <f t="shared" si="51"/>
        <v>6.4343499999999985</v>
      </c>
      <c r="D1055" s="8">
        <f t="shared" si="51"/>
        <v>6.4238583333333326</v>
      </c>
      <c r="E1055" s="8">
        <f t="shared" si="51"/>
        <v>6.4263833333333338</v>
      </c>
      <c r="F1055" s="4">
        <f t="shared" si="51"/>
        <v>7.4194416666666676</v>
      </c>
      <c r="G1055" s="8">
        <f t="shared" si="51"/>
        <v>6.3325833333333348</v>
      </c>
      <c r="H1055" s="4">
        <f t="shared" si="51"/>
        <v>7.2311333333333323</v>
      </c>
      <c r="I1055" s="8">
        <f t="shared" si="51"/>
        <v>6.2937833333333346</v>
      </c>
      <c r="J1055" s="4">
        <f t="shared" si="51"/>
        <v>6.2239416666666658</v>
      </c>
      <c r="K1055" s="7"/>
      <c r="L1055" s="5">
        <f t="shared" ref="L1055:Q1055" si="52">SUM(L298:L309)</f>
        <v>336.95349999999996</v>
      </c>
      <c r="M1055" s="5">
        <f t="shared" si="52"/>
        <v>142.42920000000001</v>
      </c>
      <c r="N1055" s="5">
        <f t="shared" si="52"/>
        <v>58.377000000000002</v>
      </c>
      <c r="O1055" s="5">
        <f t="shared" si="52"/>
        <v>4.4226000000000001</v>
      </c>
      <c r="P1055" s="5">
        <f t="shared" si="52"/>
        <v>14.760600000000004</v>
      </c>
      <c r="Q1055" s="5">
        <f t="shared" si="52"/>
        <v>357.99180000000001</v>
      </c>
      <c r="R1055" s="5"/>
      <c r="S1055" s="6"/>
    </row>
    <row r="1056" spans="1:19" ht="15" customHeight="1">
      <c r="A1056" s="3">
        <f t="shared" si="46"/>
        <v>2041</v>
      </c>
      <c r="B1056" s="8">
        <f t="shared" ref="B1056:J1056" si="53">AVERAGE(B310:B321)</f>
        <v>6.5390000000000006</v>
      </c>
      <c r="C1056" s="8">
        <f t="shared" si="53"/>
        <v>6.5493250000000005</v>
      </c>
      <c r="D1056" s="8">
        <f t="shared" si="53"/>
        <v>6.5388250000000001</v>
      </c>
      <c r="E1056" s="8">
        <f t="shared" si="53"/>
        <v>6.5413583333333323</v>
      </c>
      <c r="F1056" s="4">
        <f t="shared" si="53"/>
        <v>7.534391666666667</v>
      </c>
      <c r="G1056" s="8">
        <f t="shared" si="53"/>
        <v>6.4459166666666654</v>
      </c>
      <c r="H1056" s="4">
        <f t="shared" si="53"/>
        <v>7.3444499999999993</v>
      </c>
      <c r="I1056" s="8">
        <f t="shared" si="53"/>
        <v>6.4052583333333324</v>
      </c>
      <c r="J1056" s="4">
        <f t="shared" si="53"/>
        <v>6.3353583333333328</v>
      </c>
      <c r="K1056" s="7"/>
      <c r="L1056" s="5">
        <f t="shared" ref="L1056:Q1056" si="54">SUM(L310:L321)</f>
        <v>336.06969999999995</v>
      </c>
      <c r="M1056" s="5">
        <f t="shared" si="54"/>
        <v>142.0401</v>
      </c>
      <c r="N1056" s="5">
        <f t="shared" si="54"/>
        <v>58.217499999999994</v>
      </c>
      <c r="O1056" s="5">
        <f t="shared" si="54"/>
        <v>4.4104999999999999</v>
      </c>
      <c r="P1056" s="5">
        <f t="shared" si="54"/>
        <v>14.718800000000003</v>
      </c>
      <c r="Q1056" s="5">
        <f t="shared" si="54"/>
        <v>356.26930000000004</v>
      </c>
      <c r="R1056" s="5"/>
      <c r="S1056" s="6"/>
    </row>
    <row r="1057" spans="1:19" ht="15" customHeight="1">
      <c r="A1057" s="3">
        <f t="shared" si="46"/>
        <v>2042</v>
      </c>
      <c r="B1057" s="8">
        <f t="shared" ref="B1057:J1057" si="55">AVERAGE(B322:B333)</f>
        <v>6.6560333333333341</v>
      </c>
      <c r="C1057" s="8">
        <f t="shared" si="55"/>
        <v>6.6663666666666677</v>
      </c>
      <c r="D1057" s="8">
        <f t="shared" si="55"/>
        <v>6.6558583333333337</v>
      </c>
      <c r="E1057" s="8">
        <f t="shared" si="55"/>
        <v>6.6584000000000003</v>
      </c>
      <c r="F1057" s="4">
        <f t="shared" si="55"/>
        <v>7.6514333333333342</v>
      </c>
      <c r="G1057" s="8">
        <f t="shared" si="55"/>
        <v>6.5612916666666683</v>
      </c>
      <c r="H1057" s="4">
        <f t="shared" si="55"/>
        <v>7.4598249999999995</v>
      </c>
      <c r="I1057" s="8">
        <f t="shared" si="55"/>
        <v>6.5187249999999999</v>
      </c>
      <c r="J1057" s="4">
        <f t="shared" si="55"/>
        <v>6.448758333333334</v>
      </c>
      <c r="K1057" s="7"/>
      <c r="L1057" s="5">
        <f t="shared" ref="L1057:Q1057" si="56">SUM(L322:L333)</f>
        <v>336.06969999999995</v>
      </c>
      <c r="M1057" s="5">
        <f t="shared" si="56"/>
        <v>142.0401</v>
      </c>
      <c r="N1057" s="5">
        <f t="shared" si="56"/>
        <v>58.217499999999994</v>
      </c>
      <c r="O1057" s="5">
        <f t="shared" si="56"/>
        <v>4.4104999999999999</v>
      </c>
      <c r="P1057" s="5">
        <f t="shared" si="56"/>
        <v>14.718800000000003</v>
      </c>
      <c r="Q1057" s="5">
        <f t="shared" si="56"/>
        <v>242.47669999999997</v>
      </c>
      <c r="R1057" s="5"/>
      <c r="S1057" s="6"/>
    </row>
    <row r="1058" spans="1:19" ht="15" customHeight="1">
      <c r="A1058" s="3">
        <f t="shared" si="46"/>
        <v>2043</v>
      </c>
      <c r="B1058" s="8">
        <f t="shared" ref="B1058:J1058" si="57">AVERAGE(B334:B345)</f>
        <v>6.7751666666666663</v>
      </c>
      <c r="C1058" s="8">
        <f t="shared" si="57"/>
        <v>6.7854833333333344</v>
      </c>
      <c r="D1058" s="8">
        <f t="shared" si="57"/>
        <v>6.7749916666666676</v>
      </c>
      <c r="E1058" s="8">
        <f t="shared" si="57"/>
        <v>6.7775166666666671</v>
      </c>
      <c r="F1058" s="4">
        <f t="shared" si="57"/>
        <v>7.7705583333333328</v>
      </c>
      <c r="G1058" s="8">
        <f t="shared" si="57"/>
        <v>6.6786999999999992</v>
      </c>
      <c r="H1058" s="4">
        <f t="shared" si="57"/>
        <v>7.5772499999999994</v>
      </c>
      <c r="I1058" s="8">
        <f t="shared" si="57"/>
        <v>6.6341916666666689</v>
      </c>
      <c r="J1058" s="4">
        <f t="shared" si="57"/>
        <v>6.5641750000000014</v>
      </c>
      <c r="K1058" s="7"/>
      <c r="L1058" s="5">
        <f t="shared" ref="L1058:Q1058" si="58">SUM(L334:L345)</f>
        <v>336.06969999999995</v>
      </c>
      <c r="M1058" s="5">
        <f t="shared" si="58"/>
        <v>142.0401</v>
      </c>
      <c r="N1058" s="5">
        <f t="shared" si="58"/>
        <v>58.217499999999994</v>
      </c>
      <c r="O1058" s="5">
        <f t="shared" si="58"/>
        <v>4.4104999999999999</v>
      </c>
      <c r="P1058" s="5">
        <f t="shared" si="58"/>
        <v>14.718800000000003</v>
      </c>
      <c r="Q1058" s="5">
        <f t="shared" si="58"/>
        <v>241.71019999999996</v>
      </c>
      <c r="R1058" s="5"/>
      <c r="S1058" s="6"/>
    </row>
    <row r="1059" spans="1:19" ht="15" customHeight="1">
      <c r="A1059" s="3">
        <f t="shared" si="46"/>
        <v>2044</v>
      </c>
      <c r="B1059" s="8">
        <f t="shared" ref="B1059:J1059" si="59">AVERAGE(B346:B357)</f>
        <v>6.8964250000000007</v>
      </c>
      <c r="C1059" s="8">
        <f t="shared" si="59"/>
        <v>6.9067499999999988</v>
      </c>
      <c r="D1059" s="8">
        <f t="shared" si="59"/>
        <v>6.8962333333333339</v>
      </c>
      <c r="E1059" s="8">
        <f t="shared" si="59"/>
        <v>6.8987750000000005</v>
      </c>
      <c r="F1059" s="4">
        <f t="shared" si="59"/>
        <v>7.8917999999999999</v>
      </c>
      <c r="G1059" s="8">
        <f t="shared" si="59"/>
        <v>6.7982333333333322</v>
      </c>
      <c r="H1059" s="4">
        <f t="shared" si="59"/>
        <v>7.6967833333333333</v>
      </c>
      <c r="I1059" s="8">
        <f t="shared" si="59"/>
        <v>6.7517416666666668</v>
      </c>
      <c r="J1059" s="4">
        <f t="shared" si="59"/>
        <v>6.6816833333333348</v>
      </c>
      <c r="K1059" s="7"/>
      <c r="L1059" s="5">
        <f t="shared" ref="L1059:Q1059" si="60">SUM(L346:L357)</f>
        <v>336.95349999999996</v>
      </c>
      <c r="M1059" s="5">
        <f t="shared" si="60"/>
        <v>142.42920000000001</v>
      </c>
      <c r="N1059" s="5">
        <f t="shared" si="60"/>
        <v>58.377000000000002</v>
      </c>
      <c r="O1059" s="5">
        <f t="shared" si="60"/>
        <v>4.4226000000000001</v>
      </c>
      <c r="P1059" s="5">
        <f t="shared" si="60"/>
        <v>14.760600000000004</v>
      </c>
      <c r="Q1059" s="5">
        <f t="shared" si="60"/>
        <v>241.58220000000006</v>
      </c>
      <c r="R1059" s="5"/>
      <c r="S1059" s="6"/>
    </row>
    <row r="1060" spans="1:19" ht="15" customHeight="1">
      <c r="A1060" s="3">
        <f t="shared" si="46"/>
        <v>2045</v>
      </c>
      <c r="B1060" s="8">
        <f t="shared" ref="B1060:J1060" si="61">AVERAGE(B358:B369)</f>
        <v>7.0198666666666663</v>
      </c>
      <c r="C1060" s="8">
        <f t="shared" si="61"/>
        <v>7.0301916666666671</v>
      </c>
      <c r="D1060" s="8">
        <f t="shared" si="61"/>
        <v>7.0196666666666685</v>
      </c>
      <c r="E1060" s="8">
        <f t="shared" si="61"/>
        <v>7.0222166666666661</v>
      </c>
      <c r="F1060" s="4">
        <f t="shared" si="61"/>
        <v>8.01525</v>
      </c>
      <c r="G1060" s="8">
        <f t="shared" si="61"/>
        <v>6.9199083333333347</v>
      </c>
      <c r="H1060" s="4">
        <f t="shared" si="61"/>
        <v>7.8184500000000012</v>
      </c>
      <c r="I1060" s="8">
        <f t="shared" si="61"/>
        <v>6.8714249999999995</v>
      </c>
      <c r="J1060" s="4">
        <f t="shared" si="61"/>
        <v>6.8013000000000003</v>
      </c>
      <c r="K1060" s="7"/>
      <c r="L1060" s="5">
        <f t="shared" ref="L1060:Q1060" si="62">SUM(L358:L369)</f>
        <v>336.06969999999995</v>
      </c>
      <c r="M1060" s="5">
        <f t="shared" si="62"/>
        <v>142.0401</v>
      </c>
      <c r="N1060" s="5">
        <f t="shared" si="62"/>
        <v>58.217499999999994</v>
      </c>
      <c r="O1060" s="5">
        <f t="shared" si="62"/>
        <v>4.4104999999999999</v>
      </c>
      <c r="P1060" s="5">
        <f t="shared" si="62"/>
        <v>14.718800000000003</v>
      </c>
      <c r="Q1060" s="5">
        <f t="shared" si="62"/>
        <v>240.15570000000002</v>
      </c>
      <c r="R1060" s="5"/>
      <c r="S1060" s="6"/>
    </row>
    <row r="1061" spans="1:19" ht="15" customHeight="1">
      <c r="A1061" s="3">
        <f t="shared" si="46"/>
        <v>2046</v>
      </c>
      <c r="B1061" s="8">
        <f t="shared" ref="B1061:J1061" si="63">AVERAGE(B370:B381)</f>
        <v>7.1454833333333347</v>
      </c>
      <c r="C1061" s="8">
        <f t="shared" si="63"/>
        <v>7.1557916666666666</v>
      </c>
      <c r="D1061" s="8">
        <f t="shared" si="63"/>
        <v>7.1452916666666679</v>
      </c>
      <c r="E1061" s="8">
        <f t="shared" si="63"/>
        <v>7.147825000000001</v>
      </c>
      <c r="F1061" s="4">
        <f t="shared" si="63"/>
        <v>8.140883333333333</v>
      </c>
      <c r="G1061" s="8">
        <f t="shared" si="63"/>
        <v>7.043758333333332</v>
      </c>
      <c r="H1061" s="4">
        <f t="shared" si="63"/>
        <v>7.9422999999999986</v>
      </c>
      <c r="I1061" s="8">
        <f t="shared" si="63"/>
        <v>6.9932249999999998</v>
      </c>
      <c r="J1061" s="4">
        <f t="shared" si="63"/>
        <v>6.9230416666666663</v>
      </c>
      <c r="K1061" s="7"/>
      <c r="L1061" s="5">
        <f t="shared" ref="L1061:Q1061" si="64">SUM(L370:L381)</f>
        <v>336.06969999999995</v>
      </c>
      <c r="M1061" s="5">
        <f t="shared" si="64"/>
        <v>142.0401</v>
      </c>
      <c r="N1061" s="5">
        <f t="shared" si="64"/>
        <v>58.217499999999994</v>
      </c>
      <c r="O1061" s="5">
        <f t="shared" si="64"/>
        <v>4.4104999999999999</v>
      </c>
      <c r="P1061" s="5">
        <f t="shared" si="64"/>
        <v>14.718800000000003</v>
      </c>
      <c r="Q1061" s="5">
        <f t="shared" si="64"/>
        <v>239.38920000000005</v>
      </c>
      <c r="R1061" s="5"/>
      <c r="S1061" s="6"/>
    </row>
    <row r="1062" spans="1:19" ht="15" customHeight="1">
      <c r="A1062" s="3">
        <f t="shared" si="46"/>
        <v>2047</v>
      </c>
      <c r="B1062" s="8">
        <f t="shared" ref="B1062:J1062" si="65">AVERAGE(B382:B393)</f>
        <v>7.2733749999999988</v>
      </c>
      <c r="C1062" s="8">
        <f t="shared" si="65"/>
        <v>7.2837083333333323</v>
      </c>
      <c r="D1062" s="8">
        <f t="shared" si="65"/>
        <v>7.2731999999999992</v>
      </c>
      <c r="E1062" s="8">
        <f t="shared" si="65"/>
        <v>7.2757416666666677</v>
      </c>
      <c r="F1062" s="4">
        <f t="shared" si="65"/>
        <v>8.2687833333333334</v>
      </c>
      <c r="G1062" s="8">
        <f t="shared" si="65"/>
        <v>7.1698249999999994</v>
      </c>
      <c r="H1062" s="4">
        <f t="shared" si="65"/>
        <v>8.0683666666666678</v>
      </c>
      <c r="I1062" s="8">
        <f t="shared" si="65"/>
        <v>7.1172250000000004</v>
      </c>
      <c r="J1062" s="4">
        <f t="shared" si="65"/>
        <v>7.0469499999999998</v>
      </c>
      <c r="K1062" s="7"/>
      <c r="L1062" s="5">
        <f t="shared" ref="L1062:Q1062" si="66">SUM(L382:L393)</f>
        <v>336.06969999999995</v>
      </c>
      <c r="M1062" s="5">
        <f t="shared" si="66"/>
        <v>142.0401</v>
      </c>
      <c r="N1062" s="5">
        <f t="shared" si="66"/>
        <v>58.217499999999994</v>
      </c>
      <c r="O1062" s="5">
        <f t="shared" si="66"/>
        <v>4.4104999999999999</v>
      </c>
      <c r="P1062" s="5">
        <f t="shared" si="66"/>
        <v>14.718800000000003</v>
      </c>
      <c r="Q1062" s="5">
        <f t="shared" si="66"/>
        <v>238.62270000000004</v>
      </c>
      <c r="R1062" s="5"/>
      <c r="S1062" s="6"/>
    </row>
    <row r="1063" spans="1:19" ht="15" customHeight="1">
      <c r="A1063" s="3">
        <f t="shared" si="46"/>
        <v>2048</v>
      </c>
      <c r="B1063" s="8">
        <f t="shared" ref="B1063:J1063" si="67">AVERAGE(B394:B405)</f>
        <v>7.4035499999999992</v>
      </c>
      <c r="C1063" s="8">
        <f t="shared" si="67"/>
        <v>7.4138666666666664</v>
      </c>
      <c r="D1063" s="8">
        <f t="shared" si="67"/>
        <v>7.4033666666666678</v>
      </c>
      <c r="E1063" s="8">
        <f t="shared" si="67"/>
        <v>7.4058999999999999</v>
      </c>
      <c r="F1063" s="4">
        <f t="shared" si="67"/>
        <v>8.3989416666666656</v>
      </c>
      <c r="G1063" s="8">
        <f t="shared" si="67"/>
        <v>7.2981500000000006</v>
      </c>
      <c r="H1063" s="4">
        <f t="shared" si="67"/>
        <v>8.196691666666668</v>
      </c>
      <c r="I1063" s="8">
        <f t="shared" si="67"/>
        <v>7.2434083333333321</v>
      </c>
      <c r="J1063" s="4">
        <f t="shared" si="67"/>
        <v>7.1731000000000007</v>
      </c>
      <c r="K1063" s="7"/>
      <c r="L1063" s="5">
        <f t="shared" ref="L1063:Q1063" si="68">SUM(L394:L405)</f>
        <v>336.95349999999996</v>
      </c>
      <c r="M1063" s="5">
        <f t="shared" si="68"/>
        <v>142.42920000000001</v>
      </c>
      <c r="N1063" s="5">
        <f t="shared" si="68"/>
        <v>58.377000000000002</v>
      </c>
      <c r="O1063" s="5">
        <f t="shared" si="68"/>
        <v>4.4226000000000001</v>
      </c>
      <c r="P1063" s="5">
        <f t="shared" si="68"/>
        <v>14.760600000000004</v>
      </c>
      <c r="Q1063" s="5">
        <f t="shared" si="68"/>
        <v>238.50780000000003</v>
      </c>
      <c r="R1063" s="5"/>
      <c r="S1063" s="6"/>
    </row>
    <row r="1064" spans="1:19" ht="15" customHeight="1">
      <c r="A1064" s="3">
        <f t="shared" si="46"/>
        <v>2049</v>
      </c>
      <c r="B1064" s="8">
        <f t="shared" ref="B1064:J1064" si="69">AVERAGE(B406:B417)</f>
        <v>7.5360666666666667</v>
      </c>
      <c r="C1064" s="8">
        <f t="shared" si="69"/>
        <v>7.5463833333333339</v>
      </c>
      <c r="D1064" s="8">
        <f t="shared" si="69"/>
        <v>7.5358833333333335</v>
      </c>
      <c r="E1064" s="8">
        <f t="shared" si="69"/>
        <v>7.5384166666666665</v>
      </c>
      <c r="F1064" s="4">
        <f t="shared" si="69"/>
        <v>8.5314500000000013</v>
      </c>
      <c r="G1064" s="8">
        <f t="shared" si="69"/>
        <v>7.4287666666666672</v>
      </c>
      <c r="H1064" s="4">
        <f t="shared" si="69"/>
        <v>8.3273083333333329</v>
      </c>
      <c r="I1064" s="8">
        <f t="shared" si="69"/>
        <v>7.3718916666666656</v>
      </c>
      <c r="J1064" s="4">
        <f t="shared" si="69"/>
        <v>7.3014749999999999</v>
      </c>
      <c r="K1064" s="7"/>
      <c r="L1064" s="5">
        <f t="shared" ref="L1064:Q1064" si="70">SUM(L406:L417)</f>
        <v>336.06969999999995</v>
      </c>
      <c r="M1064" s="5">
        <f t="shared" si="70"/>
        <v>142.0401</v>
      </c>
      <c r="N1064" s="5">
        <f t="shared" si="70"/>
        <v>58.217499999999994</v>
      </c>
      <c r="O1064" s="5">
        <f t="shared" si="70"/>
        <v>4.4104999999999999</v>
      </c>
      <c r="P1064" s="5">
        <f t="shared" si="70"/>
        <v>14.718800000000003</v>
      </c>
      <c r="Q1064" s="5">
        <f t="shared" si="70"/>
        <v>237.08969999999999</v>
      </c>
      <c r="R1064" s="5"/>
      <c r="S1064" s="6"/>
    </row>
    <row r="1065" spans="1:19" ht="15" customHeight="1">
      <c r="A1065" s="3">
        <f t="shared" si="46"/>
        <v>2050</v>
      </c>
      <c r="B1065" s="8">
        <f t="shared" ref="B1065:J1065" si="71">AVERAGE(B418:B429)</f>
        <v>7.6709416666666668</v>
      </c>
      <c r="C1065" s="8">
        <f t="shared" si="71"/>
        <v>7.6812583333333349</v>
      </c>
      <c r="D1065" s="8">
        <f t="shared" si="71"/>
        <v>7.6707333333333336</v>
      </c>
      <c r="E1065" s="8">
        <f t="shared" si="71"/>
        <v>7.6732750000000012</v>
      </c>
      <c r="F1065" s="4">
        <f t="shared" si="71"/>
        <v>8.6663166666666669</v>
      </c>
      <c r="G1065" s="8">
        <f t="shared" si="71"/>
        <v>7.5617333333333328</v>
      </c>
      <c r="H1065" s="4">
        <f t="shared" si="71"/>
        <v>8.4602749999999993</v>
      </c>
      <c r="I1065" s="8">
        <f t="shared" si="71"/>
        <v>7.5026499999999992</v>
      </c>
      <c r="J1065" s="4">
        <f t="shared" si="71"/>
        <v>7.4321916666666654</v>
      </c>
      <c r="K1065" s="7"/>
      <c r="L1065" s="5">
        <f t="shared" ref="L1065:Q1065" si="72">SUM(L418:L429)</f>
        <v>336.06969999999995</v>
      </c>
      <c r="M1065" s="5">
        <f t="shared" si="72"/>
        <v>142.0401</v>
      </c>
      <c r="N1065" s="5">
        <f t="shared" si="72"/>
        <v>58.217499999999994</v>
      </c>
      <c r="O1065" s="5">
        <f t="shared" si="72"/>
        <v>4.4104999999999999</v>
      </c>
      <c r="P1065" s="5">
        <f t="shared" si="72"/>
        <v>14.718800000000003</v>
      </c>
      <c r="Q1065" s="5">
        <f t="shared" si="72"/>
        <v>236.32320000000004</v>
      </c>
      <c r="R1065" s="5"/>
      <c r="S1065" s="6"/>
    </row>
    <row r="1066" spans="1:19" ht="15" customHeight="1">
      <c r="A1066" s="3">
        <f t="shared" si="46"/>
        <v>2051</v>
      </c>
      <c r="B1066" s="8">
        <f t="shared" ref="B1066:J1066" si="73">AVERAGE(B430:B441)</f>
        <v>7.8082250000000029</v>
      </c>
      <c r="C1066" s="8">
        <f t="shared" si="73"/>
        <v>7.818550000000001</v>
      </c>
      <c r="D1066" s="8">
        <f t="shared" si="73"/>
        <v>7.8080499999999988</v>
      </c>
      <c r="E1066" s="8">
        <f t="shared" si="73"/>
        <v>7.810575</v>
      </c>
      <c r="F1066" s="4">
        <f t="shared" si="73"/>
        <v>8.8036416666666675</v>
      </c>
      <c r="G1066" s="8">
        <f t="shared" si="73"/>
        <v>7.6970583333333318</v>
      </c>
      <c r="H1066" s="4">
        <f t="shared" si="73"/>
        <v>8.5956083333333329</v>
      </c>
      <c r="I1066" s="8">
        <f t="shared" si="73"/>
        <v>7.6357250000000008</v>
      </c>
      <c r="J1066" s="4">
        <f t="shared" si="73"/>
        <v>7.5652166666666671</v>
      </c>
      <c r="K1066" s="7"/>
      <c r="L1066" s="5">
        <f t="shared" ref="L1066:Q1066" si="74">SUM(L430:L441)</f>
        <v>336.06969999999995</v>
      </c>
      <c r="M1066" s="5">
        <f t="shared" si="74"/>
        <v>142.0401</v>
      </c>
      <c r="N1066" s="5">
        <f t="shared" si="74"/>
        <v>58.217499999999994</v>
      </c>
      <c r="O1066" s="5">
        <f t="shared" si="74"/>
        <v>4.4104999999999999</v>
      </c>
      <c r="P1066" s="5">
        <f t="shared" si="74"/>
        <v>14.718800000000003</v>
      </c>
      <c r="Q1066" s="5">
        <f t="shared" si="74"/>
        <v>235.57820000000007</v>
      </c>
      <c r="R1066" s="5"/>
      <c r="S1066" s="6"/>
    </row>
    <row r="1067" spans="1:19" ht="15" customHeight="1">
      <c r="A1067" s="3">
        <f t="shared" si="46"/>
        <v>2052</v>
      </c>
      <c r="B1067" s="8">
        <f t="shared" ref="B1067:J1067" si="75">AVERAGE(B442:B453)</f>
        <v>7.9479750000000005</v>
      </c>
      <c r="C1067" s="8">
        <f t="shared" si="75"/>
        <v>7.9583083333333349</v>
      </c>
      <c r="D1067" s="8">
        <f t="shared" si="75"/>
        <v>7.9477916666666673</v>
      </c>
      <c r="E1067" s="8">
        <f t="shared" si="75"/>
        <v>7.9503416666666658</v>
      </c>
      <c r="F1067" s="4">
        <f t="shared" si="75"/>
        <v>8.9433750000000014</v>
      </c>
      <c r="G1067" s="8">
        <f t="shared" si="75"/>
        <v>7.8348166666666659</v>
      </c>
      <c r="H1067" s="4">
        <f t="shared" si="75"/>
        <v>8.7333666666666669</v>
      </c>
      <c r="I1067" s="8">
        <f t="shared" si="75"/>
        <v>7.7712250000000003</v>
      </c>
      <c r="J1067" s="4">
        <f t="shared" si="75"/>
        <v>7.7006249999999996</v>
      </c>
      <c r="K1067" s="7"/>
      <c r="L1067" s="5">
        <f t="shared" ref="L1067:Q1067" si="76">SUM(L442:L453)</f>
        <v>336.95349999999996</v>
      </c>
      <c r="M1067" s="5">
        <f t="shared" si="76"/>
        <v>142.42920000000001</v>
      </c>
      <c r="N1067" s="5">
        <f t="shared" si="76"/>
        <v>58.377000000000002</v>
      </c>
      <c r="O1067" s="5">
        <f t="shared" si="76"/>
        <v>4.4226000000000001</v>
      </c>
      <c r="P1067" s="5">
        <f t="shared" si="76"/>
        <v>14.760600000000004</v>
      </c>
      <c r="Q1067" s="5">
        <f t="shared" si="76"/>
        <v>235.45500000000004</v>
      </c>
      <c r="R1067" s="5"/>
      <c r="S1067" s="6"/>
    </row>
    <row r="1068" spans="1:19" ht="15" customHeight="1">
      <c r="A1068" s="3">
        <f t="shared" si="46"/>
        <v>2053</v>
      </c>
      <c r="B1068" s="8">
        <f t="shared" ref="B1068:J1068" si="77">AVERAGE(B454:B465)</f>
        <v>8.0902250000000002</v>
      </c>
      <c r="C1068" s="8">
        <f t="shared" si="77"/>
        <v>8.1005583333333337</v>
      </c>
      <c r="D1068" s="8">
        <f t="shared" si="77"/>
        <v>8.0900416666666661</v>
      </c>
      <c r="E1068" s="8">
        <f t="shared" si="77"/>
        <v>8.0925916666666673</v>
      </c>
      <c r="F1068" s="4">
        <f t="shared" si="77"/>
        <v>9.0856250000000003</v>
      </c>
      <c r="G1068" s="8">
        <f t="shared" si="77"/>
        <v>7.9750416666666659</v>
      </c>
      <c r="H1068" s="4">
        <f t="shared" si="77"/>
        <v>8.8735916666666679</v>
      </c>
      <c r="I1068" s="8">
        <f t="shared" si="77"/>
        <v>7.9091333333333322</v>
      </c>
      <c r="J1068" s="4">
        <f t="shared" si="77"/>
        <v>7.8384916666666671</v>
      </c>
      <c r="K1068" s="7"/>
      <c r="L1068" s="5">
        <f t="shared" ref="L1068:Q1068" si="78">SUM(L454:L465)</f>
        <v>336.06969999999995</v>
      </c>
      <c r="M1068" s="5">
        <f t="shared" si="78"/>
        <v>142.0401</v>
      </c>
      <c r="N1068" s="5">
        <f t="shared" si="78"/>
        <v>58.217499999999994</v>
      </c>
      <c r="O1068" s="5">
        <f t="shared" si="78"/>
        <v>4.4104999999999999</v>
      </c>
      <c r="P1068" s="5">
        <f t="shared" si="78"/>
        <v>14.718800000000003</v>
      </c>
      <c r="Q1068" s="5">
        <f t="shared" si="78"/>
        <v>234.04520000000002</v>
      </c>
      <c r="R1068" s="5"/>
      <c r="S1068" s="6"/>
    </row>
    <row r="1069" spans="1:19" ht="15" customHeight="1">
      <c r="A1069" s="3">
        <f t="shared" si="46"/>
        <v>2054</v>
      </c>
      <c r="B1069" s="8">
        <f t="shared" ref="B1069:J1069" si="79">AVERAGE(B466:B477)</f>
        <v>8.2350416666666675</v>
      </c>
      <c r="C1069" s="8">
        <f t="shared" si="79"/>
        <v>8.2453583333333338</v>
      </c>
      <c r="D1069" s="8">
        <f t="shared" si="79"/>
        <v>8.2348500000000016</v>
      </c>
      <c r="E1069" s="8">
        <f t="shared" si="79"/>
        <v>8.2373749999999983</v>
      </c>
      <c r="F1069" s="4">
        <f t="shared" si="79"/>
        <v>9.2304249999999985</v>
      </c>
      <c r="G1069" s="8">
        <f t="shared" si="79"/>
        <v>8.1177833333333336</v>
      </c>
      <c r="H1069" s="4">
        <f t="shared" si="79"/>
        <v>9.0163250000000001</v>
      </c>
      <c r="I1069" s="8">
        <f t="shared" si="79"/>
        <v>8.0495166666666673</v>
      </c>
      <c r="J1069" s="4">
        <f t="shared" si="79"/>
        <v>7.9788166666666669</v>
      </c>
      <c r="K1069" s="7"/>
      <c r="L1069" s="5">
        <f t="shared" ref="L1069:Q1069" si="80">SUM(L466:L477)</f>
        <v>336.06969999999995</v>
      </c>
      <c r="M1069" s="5">
        <f t="shared" si="80"/>
        <v>142.0401</v>
      </c>
      <c r="N1069" s="5">
        <f t="shared" si="80"/>
        <v>58.217499999999994</v>
      </c>
      <c r="O1069" s="5">
        <f t="shared" si="80"/>
        <v>4.4104999999999999</v>
      </c>
      <c r="P1069" s="5">
        <f t="shared" si="80"/>
        <v>14.718800000000003</v>
      </c>
      <c r="Q1069" s="5">
        <f t="shared" si="80"/>
        <v>233.30079999999998</v>
      </c>
      <c r="R1069" s="5"/>
      <c r="S1069" s="6"/>
    </row>
    <row r="1070" spans="1:19" ht="15" customHeight="1">
      <c r="A1070" s="3">
        <f t="shared" si="46"/>
        <v>2055</v>
      </c>
      <c r="B1070" s="8">
        <f t="shared" ref="B1070:J1070" si="81">AVERAGE(B478:B489)</f>
        <v>8.3824083333333324</v>
      </c>
      <c r="C1070" s="8">
        <f t="shared" si="81"/>
        <v>8.3927500000000013</v>
      </c>
      <c r="D1070" s="8">
        <f t="shared" si="81"/>
        <v>8.3822333333333336</v>
      </c>
      <c r="E1070" s="8">
        <f t="shared" si="81"/>
        <v>8.3847666666666658</v>
      </c>
      <c r="F1070" s="4">
        <f t="shared" si="81"/>
        <v>9.3778249999999996</v>
      </c>
      <c r="G1070" s="8">
        <f t="shared" si="81"/>
        <v>8.2630833333333324</v>
      </c>
      <c r="H1070" s="4">
        <f t="shared" si="81"/>
        <v>9.1616083333333318</v>
      </c>
      <c r="I1070" s="8">
        <f t="shared" si="81"/>
        <v>8.192400000000001</v>
      </c>
      <c r="J1070" s="4">
        <f t="shared" si="81"/>
        <v>8.1216083333333344</v>
      </c>
      <c r="K1070" s="7"/>
      <c r="L1070" s="5">
        <f t="shared" ref="L1070:Q1070" si="82">SUM(L478:L489)</f>
        <v>336.06969999999995</v>
      </c>
      <c r="M1070" s="5">
        <f t="shared" si="82"/>
        <v>142.0401</v>
      </c>
      <c r="N1070" s="5">
        <f t="shared" si="82"/>
        <v>58.217499999999994</v>
      </c>
      <c r="O1070" s="5">
        <f t="shared" si="82"/>
        <v>4.4104999999999999</v>
      </c>
      <c r="P1070" s="5">
        <f t="shared" si="82"/>
        <v>14.718800000000003</v>
      </c>
      <c r="Q1070" s="5">
        <f t="shared" si="82"/>
        <v>232.55579999999998</v>
      </c>
      <c r="R1070" s="5"/>
      <c r="S1070" s="6"/>
    </row>
    <row r="1071" spans="1:19" ht="15" customHeight="1">
      <c r="A1071" s="3">
        <f t="shared" si="46"/>
        <v>2056</v>
      </c>
      <c r="B1071" s="8">
        <f t="shared" ref="B1071:J1071" si="83">AVERAGE(B490:B501)</f>
        <v>8.5324416666666654</v>
      </c>
      <c r="C1071" s="8">
        <f t="shared" si="83"/>
        <v>8.5427583333333335</v>
      </c>
      <c r="D1071" s="8">
        <f t="shared" si="83"/>
        <v>8.5322666666666667</v>
      </c>
      <c r="E1071" s="8">
        <f t="shared" si="83"/>
        <v>8.5347999999999988</v>
      </c>
      <c r="F1071" s="4">
        <f t="shared" si="83"/>
        <v>9.527825</v>
      </c>
      <c r="G1071" s="8">
        <f t="shared" si="83"/>
        <v>8.4109583333333315</v>
      </c>
      <c r="H1071" s="4">
        <f t="shared" si="83"/>
        <v>9.3094999999999981</v>
      </c>
      <c r="I1071" s="8">
        <f t="shared" si="83"/>
        <v>8.3378416666666677</v>
      </c>
      <c r="J1071" s="4">
        <f t="shared" si="83"/>
        <v>8.266983333333334</v>
      </c>
      <c r="K1071" s="7"/>
      <c r="L1071" s="5">
        <f t="shared" ref="L1071:Q1071" si="84">SUM(L490:L501)</f>
        <v>336.95349999999996</v>
      </c>
      <c r="M1071" s="5">
        <f t="shared" si="84"/>
        <v>142.42920000000001</v>
      </c>
      <c r="N1071" s="5">
        <f t="shared" si="84"/>
        <v>58.377000000000002</v>
      </c>
      <c r="O1071" s="5">
        <f t="shared" si="84"/>
        <v>4.4226000000000001</v>
      </c>
      <c r="P1071" s="5">
        <f t="shared" si="84"/>
        <v>14.760600000000004</v>
      </c>
      <c r="Q1071" s="5">
        <f t="shared" si="84"/>
        <v>232.44659999999996</v>
      </c>
      <c r="R1071" s="5"/>
      <c r="S1071" s="6"/>
    </row>
    <row r="1072" spans="1:19" ht="15" customHeight="1">
      <c r="A1072" s="3">
        <f t="shared" si="46"/>
        <v>2057</v>
      </c>
      <c r="B1072" s="8">
        <f t="shared" ref="B1072:J1072" si="85">AVERAGE(B502:B513)</f>
        <v>8.685158333333332</v>
      </c>
      <c r="C1072" s="8">
        <f t="shared" si="85"/>
        <v>8.6954833333333337</v>
      </c>
      <c r="D1072" s="8">
        <f t="shared" si="85"/>
        <v>8.6849916666666669</v>
      </c>
      <c r="E1072" s="8">
        <f t="shared" si="85"/>
        <v>8.6875249999999991</v>
      </c>
      <c r="F1072" s="4">
        <f t="shared" si="85"/>
        <v>9.6805416666666666</v>
      </c>
      <c r="G1072" s="8">
        <f t="shared" si="85"/>
        <v>8.5615000000000006</v>
      </c>
      <c r="H1072" s="4">
        <f t="shared" si="85"/>
        <v>9.4600500000000025</v>
      </c>
      <c r="I1072" s="8">
        <f t="shared" si="85"/>
        <v>8.4858916666666655</v>
      </c>
      <c r="J1072" s="4">
        <f t="shared" si="85"/>
        <v>8.4149666666666683</v>
      </c>
      <c r="K1072" s="7"/>
      <c r="L1072" s="5">
        <f t="shared" ref="L1072:Q1072" si="86">SUM(L502:L513)</f>
        <v>336.06969999999995</v>
      </c>
      <c r="M1072" s="5">
        <f t="shared" si="86"/>
        <v>142.0401</v>
      </c>
      <c r="N1072" s="5">
        <f t="shared" si="86"/>
        <v>58.217499999999994</v>
      </c>
      <c r="O1072" s="5">
        <f t="shared" si="86"/>
        <v>4.4104999999999999</v>
      </c>
      <c r="P1072" s="5">
        <f t="shared" si="86"/>
        <v>14.718800000000003</v>
      </c>
      <c r="Q1072" s="5">
        <f t="shared" si="86"/>
        <v>231.81149999999997</v>
      </c>
      <c r="R1072" s="5"/>
      <c r="S1072" s="6"/>
    </row>
    <row r="1073" spans="1:19" ht="15" customHeight="1">
      <c r="A1073" s="3">
        <f t="shared" si="46"/>
        <v>2058</v>
      </c>
      <c r="B1073" s="8">
        <f t="shared" ref="B1073:J1073" si="87">AVERAGE(B514:B525)</f>
        <v>8.8405916666666666</v>
      </c>
      <c r="C1073" s="8">
        <f t="shared" si="87"/>
        <v>8.8508999999999993</v>
      </c>
      <c r="D1073" s="8">
        <f t="shared" si="87"/>
        <v>8.8404166666666661</v>
      </c>
      <c r="E1073" s="8">
        <f t="shared" si="87"/>
        <v>8.8429333333333346</v>
      </c>
      <c r="F1073" s="4">
        <f t="shared" si="87"/>
        <v>9.8360000000000003</v>
      </c>
      <c r="G1073" s="8">
        <f t="shared" si="87"/>
        <v>8.7147416666666668</v>
      </c>
      <c r="H1073" s="4">
        <f t="shared" si="87"/>
        <v>9.6132833333333334</v>
      </c>
      <c r="I1073" s="8">
        <f t="shared" si="87"/>
        <v>8.6366083333333332</v>
      </c>
      <c r="J1073" s="4">
        <f t="shared" si="87"/>
        <v>8.5656166666666671</v>
      </c>
      <c r="K1073" s="7"/>
      <c r="L1073" s="5">
        <f t="shared" ref="L1073:Q1073" si="88">SUM(L514:L525)</f>
        <v>336.06969999999995</v>
      </c>
      <c r="M1073" s="5">
        <f t="shared" si="88"/>
        <v>142.0401</v>
      </c>
      <c r="N1073" s="5">
        <f t="shared" si="88"/>
        <v>58.217499999999994</v>
      </c>
      <c r="O1073" s="5">
        <f t="shared" si="88"/>
        <v>4.4104999999999999</v>
      </c>
      <c r="P1073" s="5">
        <f t="shared" si="88"/>
        <v>14.718800000000003</v>
      </c>
      <c r="Q1073" s="5">
        <f t="shared" si="88"/>
        <v>231.81149999999997</v>
      </c>
      <c r="R1073" s="5"/>
      <c r="S1073" s="6"/>
    </row>
    <row r="1074" spans="1:19" ht="15" customHeight="1">
      <c r="A1074" s="3">
        <f t="shared" si="46"/>
        <v>2059</v>
      </c>
      <c r="B1074" s="8">
        <f t="shared" ref="B1074:J1074" si="89">AVERAGE(B526:B537)</f>
        <v>8.9988333333333337</v>
      </c>
      <c r="C1074" s="8">
        <f t="shared" si="89"/>
        <v>9.00915</v>
      </c>
      <c r="D1074" s="8">
        <f t="shared" si="89"/>
        <v>8.9986416666666678</v>
      </c>
      <c r="E1074" s="8">
        <f t="shared" si="89"/>
        <v>9.0011749999999999</v>
      </c>
      <c r="F1074" s="4">
        <f t="shared" si="89"/>
        <v>9.9942166666666648</v>
      </c>
      <c r="G1074" s="8">
        <f t="shared" si="89"/>
        <v>8.8707249999999984</v>
      </c>
      <c r="H1074" s="4">
        <f t="shared" si="89"/>
        <v>9.7692583333333314</v>
      </c>
      <c r="I1074" s="8">
        <f t="shared" si="89"/>
        <v>8.7900083333333328</v>
      </c>
      <c r="J1074" s="4">
        <f t="shared" si="89"/>
        <v>8.7189166666666651</v>
      </c>
      <c r="K1074" s="4"/>
      <c r="L1074" s="5">
        <f>SUM(L526:L537)</f>
        <v>336.06969999999995</v>
      </c>
      <c r="M1074" s="5">
        <f>SUM(M526:M537)</f>
        <v>142.0401</v>
      </c>
      <c r="N1074" s="5">
        <f>SUM(N526:N537)</f>
        <v>58.217499999999994</v>
      </c>
      <c r="O1074" s="5">
        <f>SUM(O515:O526)</f>
        <v>4.4104999999999999</v>
      </c>
      <c r="P1074" s="5">
        <f>SUM(P526:P537)</f>
        <v>14.718800000000003</v>
      </c>
      <c r="Q1074" s="5">
        <f>SUM(Q526:Q537)</f>
        <v>231.81149999999997</v>
      </c>
      <c r="R1074" s="5"/>
      <c r="S1074" s="4"/>
    </row>
    <row r="1075" spans="1:19" ht="15" customHeight="1">
      <c r="A1075" s="3">
        <f t="shared" si="46"/>
        <v>2060</v>
      </c>
      <c r="B1075" s="8">
        <f t="shared" ref="B1075:J1075" si="90">AVERAGE(B538:B549)</f>
        <v>9.159908333333334</v>
      </c>
      <c r="C1075" s="8">
        <f t="shared" si="90"/>
        <v>9.1702166666666667</v>
      </c>
      <c r="D1075" s="8">
        <f t="shared" si="90"/>
        <v>9.1596999999999991</v>
      </c>
      <c r="E1075" s="8">
        <f t="shared" si="90"/>
        <v>9.1622416666666684</v>
      </c>
      <c r="F1075" s="4">
        <f t="shared" si="90"/>
        <v>10.155283333333333</v>
      </c>
      <c r="G1075" s="8">
        <f t="shared" si="90"/>
        <v>9.0294749999999997</v>
      </c>
      <c r="H1075" s="4">
        <f t="shared" si="90"/>
        <v>9.9280249999999999</v>
      </c>
      <c r="I1075" s="8">
        <f t="shared" si="90"/>
        <v>8.9461499999999994</v>
      </c>
      <c r="J1075" s="4">
        <f t="shared" si="90"/>
        <v>8.8750000000000018</v>
      </c>
      <c r="K1075" s="7"/>
      <c r="L1075" s="5">
        <f>SUM(L538:L549)</f>
        <v>336.95349999999996</v>
      </c>
      <c r="M1075" s="5">
        <f>SUM(M538:M549)</f>
        <v>142.42920000000001</v>
      </c>
      <c r="N1075" s="5">
        <f>SUM(N538:N549)</f>
        <v>58.377000000000002</v>
      </c>
      <c r="O1075" s="5">
        <f>SUM(O516:O527)</f>
        <v>4.4104999999999999</v>
      </c>
      <c r="P1075" s="5">
        <f>SUM(P538:P549)</f>
        <v>14.760600000000004</v>
      </c>
      <c r="Q1075" s="5">
        <f>SUM(Q538:Q549)</f>
        <v>232.44659999999996</v>
      </c>
      <c r="R1075" s="5"/>
      <c r="S1075" s="6"/>
    </row>
    <row r="1076" spans="1:19" ht="15" customHeight="1">
      <c r="A1076" s="3">
        <f t="shared" si="46"/>
        <v>2061</v>
      </c>
      <c r="B1076" s="8">
        <f t="shared" ref="B1076:J1076" si="91">AVERAGE(B550:B561)</f>
        <v>9.3238333333333347</v>
      </c>
      <c r="C1076" s="8">
        <f t="shared" si="91"/>
        <v>9.3341666666666665</v>
      </c>
      <c r="D1076" s="8">
        <f t="shared" si="91"/>
        <v>9.3236583333333325</v>
      </c>
      <c r="E1076" s="8">
        <f t="shared" si="91"/>
        <v>9.3261916666666664</v>
      </c>
      <c r="F1076" s="4">
        <f t="shared" si="91"/>
        <v>10.319233333333331</v>
      </c>
      <c r="G1076" s="8">
        <f t="shared" si="91"/>
        <v>9.1910833333333333</v>
      </c>
      <c r="H1076" s="4">
        <f t="shared" si="91"/>
        <v>10.089616666666668</v>
      </c>
      <c r="I1076" s="8">
        <f t="shared" si="91"/>
        <v>9.1050999999999984</v>
      </c>
      <c r="J1076" s="4">
        <f t="shared" si="91"/>
        <v>9.0338583333333329</v>
      </c>
      <c r="K1076" s="7"/>
      <c r="L1076" s="5">
        <f>SUM(L550:L561)</f>
        <v>336.06969999999995</v>
      </c>
      <c r="M1076" s="5">
        <f>SUM(M550:M561)</f>
        <v>142.0401</v>
      </c>
      <c r="N1076" s="5">
        <f>SUM(N550:N561)</f>
        <v>58.217499999999994</v>
      </c>
      <c r="O1076" s="5">
        <f>SUM(O517:O528)</f>
        <v>4.4104999999999999</v>
      </c>
      <c r="P1076" s="5">
        <f>SUM(P550:P561)</f>
        <v>14.718800000000003</v>
      </c>
      <c r="Q1076" s="5">
        <f>SUM(Q550:Q561)</f>
        <v>231.81149999999997</v>
      </c>
      <c r="R1076" s="5"/>
      <c r="S1076" s="6"/>
    </row>
    <row r="1077" spans="1:19" ht="15" customHeight="1">
      <c r="A1077" s="3">
        <f t="shared" si="46"/>
        <v>2062</v>
      </c>
      <c r="B1077" s="4">
        <f t="shared" ref="B1077:J1086" ca="1" si="92">AVERAGE(OFFSET(B$562,($A1077-$A$1077)*12,0,12,1))</f>
        <v>9.4907250000000012</v>
      </c>
      <c r="C1077" s="4">
        <f t="shared" ca="1" si="92"/>
        <v>9.5010499999999993</v>
      </c>
      <c r="D1077" s="4">
        <f t="shared" ca="1" si="92"/>
        <v>9.4905500000000007</v>
      </c>
      <c r="E1077" s="4">
        <f t="shared" ca="1" si="92"/>
        <v>9.4930833333333329</v>
      </c>
      <c r="F1077" s="4">
        <f t="shared" ca="1" si="92"/>
        <v>10.486116666666666</v>
      </c>
      <c r="G1077" s="4">
        <f t="shared" ca="1" si="92"/>
        <v>9.3555916666666654</v>
      </c>
      <c r="H1077" s="4">
        <f t="shared" ca="1" si="92"/>
        <v>10.254125</v>
      </c>
      <c r="I1077" s="4">
        <f t="shared" ca="1" si="92"/>
        <v>9.2668833333333325</v>
      </c>
      <c r="J1077" s="4">
        <f t="shared" ca="1" si="92"/>
        <v>9.1955833333333334</v>
      </c>
      <c r="K1077" s="4"/>
      <c r="L1077" s="5">
        <f t="shared" ref="L1077:Q1086" ca="1" si="93">SUM(OFFSET(L$562,($A1077-$A$1077)*12,0,12,1))</f>
        <v>336.06969999999995</v>
      </c>
      <c r="M1077" s="5">
        <f t="shared" ca="1" si="93"/>
        <v>142.0401</v>
      </c>
      <c r="N1077" s="5">
        <f t="shared" ca="1" si="93"/>
        <v>58.217499999999994</v>
      </c>
      <c r="O1077" s="5">
        <f t="shared" ca="1" si="93"/>
        <v>4.4104999999999999</v>
      </c>
      <c r="P1077" s="5">
        <f t="shared" ca="1" si="93"/>
        <v>14.718800000000003</v>
      </c>
      <c r="Q1077" s="5">
        <f t="shared" ca="1" si="93"/>
        <v>231.81149999999997</v>
      </c>
      <c r="R1077" s="4"/>
      <c r="S1077" s="4"/>
    </row>
    <row r="1078" spans="1:19" ht="15" customHeight="1">
      <c r="A1078" s="3">
        <f t="shared" si="46"/>
        <v>2063</v>
      </c>
      <c r="B1078" s="4">
        <f t="shared" ca="1" si="92"/>
        <v>9.6605833333333333</v>
      </c>
      <c r="C1078" s="4">
        <f t="shared" ca="1" si="92"/>
        <v>9.6709083333333332</v>
      </c>
      <c r="D1078" s="4">
        <f t="shared" ca="1" si="92"/>
        <v>9.660400000000001</v>
      </c>
      <c r="E1078" s="4">
        <f t="shared" ca="1" si="92"/>
        <v>9.6629249999999995</v>
      </c>
      <c r="F1078" s="4">
        <f t="shared" ca="1" si="92"/>
        <v>10.655975</v>
      </c>
      <c r="G1078" s="4">
        <f t="shared" ca="1" si="92"/>
        <v>9.5230249999999987</v>
      </c>
      <c r="H1078" s="4">
        <f t="shared" ca="1" si="92"/>
        <v>10.421583333333336</v>
      </c>
      <c r="I1078" s="4">
        <f t="shared" ca="1" si="92"/>
        <v>9.4315833333333323</v>
      </c>
      <c r="J1078" s="4">
        <f t="shared" ca="1" si="92"/>
        <v>9.3601666666666663</v>
      </c>
      <c r="K1078" s="4"/>
      <c r="L1078" s="5">
        <f t="shared" ca="1" si="93"/>
        <v>336.06969999999995</v>
      </c>
      <c r="M1078" s="5">
        <f t="shared" ca="1" si="93"/>
        <v>142.0401</v>
      </c>
      <c r="N1078" s="5">
        <f t="shared" ca="1" si="93"/>
        <v>58.217499999999994</v>
      </c>
      <c r="O1078" s="5">
        <f t="shared" ca="1" si="93"/>
        <v>4.4104999999999999</v>
      </c>
      <c r="P1078" s="5">
        <f t="shared" ca="1" si="93"/>
        <v>14.718800000000003</v>
      </c>
      <c r="Q1078" s="5">
        <f t="shared" ca="1" si="93"/>
        <v>231.81149999999997</v>
      </c>
      <c r="R1078" s="4"/>
      <c r="S1078" s="4"/>
    </row>
    <row r="1079" spans="1:19" ht="15" customHeight="1">
      <c r="A1079" s="3">
        <f t="shared" si="46"/>
        <v>2064</v>
      </c>
      <c r="B1079" s="4">
        <f t="shared" ca="1" si="92"/>
        <v>9.833499999999999</v>
      </c>
      <c r="C1079" s="4">
        <f t="shared" ca="1" si="92"/>
        <v>9.8438083333333317</v>
      </c>
      <c r="D1079" s="4">
        <f t="shared" ca="1" si="92"/>
        <v>9.8333083333333331</v>
      </c>
      <c r="E1079" s="4">
        <f t="shared" ca="1" si="92"/>
        <v>9.8358416666666653</v>
      </c>
      <c r="F1079" s="4">
        <f t="shared" ca="1" si="92"/>
        <v>10.828874999999998</v>
      </c>
      <c r="G1079" s="4">
        <f t="shared" ca="1" si="92"/>
        <v>9.6934749999999976</v>
      </c>
      <c r="H1079" s="4">
        <f t="shared" ca="1" si="92"/>
        <v>10.592016666666668</v>
      </c>
      <c r="I1079" s="4">
        <f t="shared" ca="1" si="92"/>
        <v>9.5992083333333333</v>
      </c>
      <c r="J1079" s="4">
        <f t="shared" ca="1" si="92"/>
        <v>9.527725000000002</v>
      </c>
      <c r="K1079" s="4"/>
      <c r="L1079" s="5">
        <f t="shared" ca="1" si="93"/>
        <v>336.95349999999996</v>
      </c>
      <c r="M1079" s="5">
        <f t="shared" ca="1" si="93"/>
        <v>142.42920000000001</v>
      </c>
      <c r="N1079" s="5">
        <f t="shared" ca="1" si="93"/>
        <v>58.377000000000002</v>
      </c>
      <c r="O1079" s="5">
        <f t="shared" ca="1" si="93"/>
        <v>4.4226000000000001</v>
      </c>
      <c r="P1079" s="5">
        <f t="shared" ca="1" si="93"/>
        <v>14.760600000000004</v>
      </c>
      <c r="Q1079" s="5">
        <f t="shared" ca="1" si="93"/>
        <v>232.44659999999996</v>
      </c>
      <c r="R1079" s="4"/>
      <c r="S1079" s="4"/>
    </row>
    <row r="1080" spans="1:19" ht="15" customHeight="1">
      <c r="A1080" s="3">
        <f t="shared" si="46"/>
        <v>2065</v>
      </c>
      <c r="B1080" s="4">
        <f t="shared" ca="1" si="92"/>
        <v>10.009500000000001</v>
      </c>
      <c r="C1080" s="4">
        <f t="shared" ca="1" si="92"/>
        <v>10.019816666666669</v>
      </c>
      <c r="D1080" s="4">
        <f t="shared" ca="1" si="92"/>
        <v>10.009316666666667</v>
      </c>
      <c r="E1080" s="4">
        <f t="shared" ca="1" si="92"/>
        <v>10.011841666666665</v>
      </c>
      <c r="F1080" s="4">
        <f t="shared" ca="1" si="92"/>
        <v>11.004908333333335</v>
      </c>
      <c r="G1080" s="4">
        <f t="shared" ca="1" si="92"/>
        <v>9.8669750000000001</v>
      </c>
      <c r="H1080" s="4">
        <f t="shared" ca="1" si="92"/>
        <v>10.765516666666665</v>
      </c>
      <c r="I1080" s="4">
        <f t="shared" ca="1" si="92"/>
        <v>9.7698249999999991</v>
      </c>
      <c r="J1080" s="4">
        <f t="shared" ca="1" si="92"/>
        <v>9.6982416666666662</v>
      </c>
      <c r="K1080" s="4"/>
      <c r="L1080" s="5">
        <f t="shared" ca="1" si="93"/>
        <v>336.06969999999995</v>
      </c>
      <c r="M1080" s="5">
        <f t="shared" ca="1" si="93"/>
        <v>142.0401</v>
      </c>
      <c r="N1080" s="5">
        <f t="shared" ca="1" si="93"/>
        <v>58.217499999999994</v>
      </c>
      <c r="O1080" s="5">
        <f t="shared" ca="1" si="93"/>
        <v>4.4104999999999999</v>
      </c>
      <c r="P1080" s="5">
        <f t="shared" ca="1" si="93"/>
        <v>14.718800000000003</v>
      </c>
      <c r="Q1080" s="5">
        <f t="shared" ca="1" si="93"/>
        <v>231.81149999999997</v>
      </c>
      <c r="R1080" s="4"/>
      <c r="S1080" s="4"/>
    </row>
    <row r="1081" spans="1:19" ht="15" customHeight="1">
      <c r="A1081" s="3">
        <f t="shared" si="46"/>
        <v>2066</v>
      </c>
      <c r="B1081" s="4">
        <f t="shared" ca="1" si="92"/>
        <v>10.188650000000001</v>
      </c>
      <c r="C1081" s="4">
        <f t="shared" ca="1" si="92"/>
        <v>10.198974999999999</v>
      </c>
      <c r="D1081" s="4">
        <f t="shared" ca="1" si="92"/>
        <v>10.188466666666669</v>
      </c>
      <c r="E1081" s="4">
        <f t="shared" ca="1" si="92"/>
        <v>10.190991666666667</v>
      </c>
      <c r="F1081" s="4">
        <f t="shared" ca="1" si="92"/>
        <v>11.184041666666666</v>
      </c>
      <c r="G1081" s="4">
        <f t="shared" ca="1" si="92"/>
        <v>10.043583333333332</v>
      </c>
      <c r="H1081" s="4">
        <f t="shared" ca="1" si="92"/>
        <v>10.942125000000003</v>
      </c>
      <c r="I1081" s="4">
        <f t="shared" ca="1" si="92"/>
        <v>9.9435000000000002</v>
      </c>
      <c r="J1081" s="4">
        <f t="shared" ca="1" si="92"/>
        <v>9.8718500000000002</v>
      </c>
      <c r="K1081" s="4"/>
      <c r="L1081" s="5">
        <f t="shared" ca="1" si="93"/>
        <v>336.06969999999995</v>
      </c>
      <c r="M1081" s="5">
        <f t="shared" ca="1" si="93"/>
        <v>142.0401</v>
      </c>
      <c r="N1081" s="5">
        <f t="shared" ca="1" si="93"/>
        <v>58.217499999999994</v>
      </c>
      <c r="O1081" s="5">
        <f t="shared" ca="1" si="93"/>
        <v>4.4104999999999999</v>
      </c>
      <c r="P1081" s="5">
        <f t="shared" ca="1" si="93"/>
        <v>14.718800000000003</v>
      </c>
      <c r="Q1081" s="5">
        <f t="shared" ca="1" si="93"/>
        <v>231.81149999999997</v>
      </c>
      <c r="R1081" s="4"/>
      <c r="S1081" s="4"/>
    </row>
    <row r="1082" spans="1:19" ht="15" customHeight="1">
      <c r="A1082" s="3">
        <f t="shared" si="46"/>
        <v>2067</v>
      </c>
      <c r="B1082" s="4">
        <f t="shared" ca="1" si="92"/>
        <v>10.371008333333332</v>
      </c>
      <c r="C1082" s="4">
        <f t="shared" ca="1" si="92"/>
        <v>10.381324999999999</v>
      </c>
      <c r="D1082" s="4">
        <f t="shared" ca="1" si="92"/>
        <v>10.370816666666666</v>
      </c>
      <c r="E1082" s="4">
        <f t="shared" ca="1" si="92"/>
        <v>10.373341666666667</v>
      </c>
      <c r="F1082" s="4">
        <f t="shared" ca="1" si="92"/>
        <v>11.366400000000001</v>
      </c>
      <c r="G1082" s="4">
        <f t="shared" ca="1" si="92"/>
        <v>10.223333333333334</v>
      </c>
      <c r="H1082" s="4">
        <f t="shared" ca="1" si="92"/>
        <v>11.121891666666665</v>
      </c>
      <c r="I1082" s="4">
        <f t="shared" ca="1" si="92"/>
        <v>10.120324999999999</v>
      </c>
      <c r="J1082" s="4">
        <f t="shared" ca="1" si="92"/>
        <v>10.048566666666666</v>
      </c>
      <c r="K1082" s="4"/>
      <c r="L1082" s="5">
        <f t="shared" ca="1" si="93"/>
        <v>336.06969999999995</v>
      </c>
      <c r="M1082" s="5">
        <f t="shared" ca="1" si="93"/>
        <v>142.0401</v>
      </c>
      <c r="N1082" s="5">
        <f t="shared" ca="1" si="93"/>
        <v>58.217499999999994</v>
      </c>
      <c r="O1082" s="5">
        <f t="shared" ca="1" si="93"/>
        <v>4.4104999999999999</v>
      </c>
      <c r="P1082" s="5">
        <f t="shared" ca="1" si="93"/>
        <v>14.718800000000003</v>
      </c>
      <c r="Q1082" s="5">
        <f t="shared" ca="1" si="93"/>
        <v>231.81149999999997</v>
      </c>
      <c r="R1082" s="4"/>
      <c r="S1082" s="4"/>
    </row>
    <row r="1083" spans="1:19" ht="15" customHeight="1">
      <c r="A1083" s="3">
        <f t="shared" si="46"/>
        <v>2068</v>
      </c>
      <c r="B1083" s="4">
        <f t="shared" ca="1" si="92"/>
        <v>10.556633333333336</v>
      </c>
      <c r="C1083" s="4">
        <f t="shared" ca="1" si="92"/>
        <v>10.566941666666668</v>
      </c>
      <c r="D1083" s="4">
        <f t="shared" ca="1" si="92"/>
        <v>10.556458333333333</v>
      </c>
      <c r="E1083" s="4">
        <f t="shared" ca="1" si="92"/>
        <v>10.558983333333334</v>
      </c>
      <c r="F1083" s="4">
        <f t="shared" ca="1" si="92"/>
        <v>11.552016666666667</v>
      </c>
      <c r="G1083" s="4">
        <f t="shared" ca="1" si="92"/>
        <v>10.406316666666667</v>
      </c>
      <c r="H1083" s="4">
        <f t="shared" ca="1" si="92"/>
        <v>11.304866666666667</v>
      </c>
      <c r="I1083" s="4">
        <f t="shared" ca="1" si="92"/>
        <v>10.300274999999999</v>
      </c>
      <c r="J1083" s="4">
        <f t="shared" ca="1" si="92"/>
        <v>10.228441666666667</v>
      </c>
      <c r="K1083" s="4"/>
      <c r="L1083" s="5">
        <f t="shared" ca="1" si="93"/>
        <v>336.95349999999996</v>
      </c>
      <c r="M1083" s="5">
        <f t="shared" ca="1" si="93"/>
        <v>142.42920000000001</v>
      </c>
      <c r="N1083" s="5">
        <f t="shared" ca="1" si="93"/>
        <v>58.377000000000002</v>
      </c>
      <c r="O1083" s="5">
        <f t="shared" ca="1" si="93"/>
        <v>4.4226000000000001</v>
      </c>
      <c r="P1083" s="5">
        <f t="shared" ca="1" si="93"/>
        <v>14.760600000000004</v>
      </c>
      <c r="Q1083" s="5">
        <f t="shared" ca="1" si="93"/>
        <v>232.44659999999996</v>
      </c>
      <c r="R1083" s="4"/>
      <c r="S1083" s="4"/>
    </row>
    <row r="1084" spans="1:19" ht="15" customHeight="1">
      <c r="A1084" s="3">
        <f t="shared" si="46"/>
        <v>2069</v>
      </c>
      <c r="B1084" s="4">
        <f t="shared" ca="1" si="92"/>
        <v>10.745591666666664</v>
      </c>
      <c r="C1084" s="4">
        <f t="shared" ca="1" si="92"/>
        <v>10.755891666666665</v>
      </c>
      <c r="D1084" s="4">
        <f t="shared" ca="1" si="92"/>
        <v>10.745399999999998</v>
      </c>
      <c r="E1084" s="4">
        <f t="shared" ca="1" si="92"/>
        <v>10.747933333333334</v>
      </c>
      <c r="F1084" s="4">
        <f t="shared" ca="1" si="92"/>
        <v>11.740966666666665</v>
      </c>
      <c r="G1084" s="4">
        <f t="shared" ca="1" si="92"/>
        <v>10.592566666666666</v>
      </c>
      <c r="H1084" s="4">
        <f t="shared" ca="1" si="92"/>
        <v>11.491125000000002</v>
      </c>
      <c r="I1084" s="4">
        <f t="shared" ca="1" si="92"/>
        <v>10.483441666666666</v>
      </c>
      <c r="J1084" s="4">
        <f t="shared" ca="1" si="92"/>
        <v>10.411516666666666</v>
      </c>
      <c r="K1084" s="4"/>
      <c r="L1084" s="5">
        <f t="shared" ca="1" si="93"/>
        <v>336.06969999999995</v>
      </c>
      <c r="M1084" s="5">
        <f t="shared" ca="1" si="93"/>
        <v>142.0401</v>
      </c>
      <c r="N1084" s="5">
        <f t="shared" ca="1" si="93"/>
        <v>58.217499999999994</v>
      </c>
      <c r="O1084" s="5">
        <f t="shared" ca="1" si="93"/>
        <v>4.4104999999999999</v>
      </c>
      <c r="P1084" s="5">
        <f t="shared" ca="1" si="93"/>
        <v>14.718800000000003</v>
      </c>
      <c r="Q1084" s="5">
        <f t="shared" ca="1" si="93"/>
        <v>231.81149999999997</v>
      </c>
      <c r="R1084" s="4"/>
      <c r="S1084" s="4"/>
    </row>
    <row r="1085" spans="1:19" ht="15" customHeight="1">
      <c r="A1085" s="3">
        <f t="shared" ref="A1085:A1115" si="94">A1084+1</f>
        <v>2070</v>
      </c>
      <c r="B1085" s="4">
        <f t="shared" ca="1" si="92"/>
        <v>10.937899999999999</v>
      </c>
      <c r="C1085" s="4">
        <f t="shared" ca="1" si="92"/>
        <v>10.94825</v>
      </c>
      <c r="D1085" s="4">
        <f t="shared" ca="1" si="92"/>
        <v>10.937733333333334</v>
      </c>
      <c r="E1085" s="4">
        <f t="shared" ca="1" si="92"/>
        <v>10.940266666666664</v>
      </c>
      <c r="F1085" s="4">
        <f t="shared" ca="1" si="92"/>
        <v>11.933308333333331</v>
      </c>
      <c r="G1085" s="4">
        <f t="shared" ca="1" si="92"/>
        <v>10.782175000000001</v>
      </c>
      <c r="H1085" s="4">
        <f t="shared" ca="1" si="92"/>
        <v>11.680716666666667</v>
      </c>
      <c r="I1085" s="4">
        <f t="shared" ca="1" si="92"/>
        <v>10.669916666666667</v>
      </c>
      <c r="J1085" s="4">
        <f t="shared" ca="1" si="92"/>
        <v>10.597891666666666</v>
      </c>
      <c r="K1085" s="4"/>
      <c r="L1085" s="5">
        <f t="shared" ca="1" si="93"/>
        <v>336.06969999999995</v>
      </c>
      <c r="M1085" s="5">
        <f t="shared" ca="1" si="93"/>
        <v>142.0401</v>
      </c>
      <c r="N1085" s="5">
        <f t="shared" ca="1" si="93"/>
        <v>58.217499999999994</v>
      </c>
      <c r="O1085" s="5">
        <f t="shared" ca="1" si="93"/>
        <v>4.4104999999999999</v>
      </c>
      <c r="P1085" s="5">
        <f t="shared" ca="1" si="93"/>
        <v>14.718800000000003</v>
      </c>
      <c r="Q1085" s="5">
        <f t="shared" ca="1" si="93"/>
        <v>231.81149999999997</v>
      </c>
      <c r="R1085" s="4"/>
      <c r="S1085" s="4"/>
    </row>
    <row r="1086" spans="1:19" ht="15" customHeight="1">
      <c r="A1086" s="3">
        <f t="shared" si="94"/>
        <v>2071</v>
      </c>
      <c r="B1086" s="4">
        <f t="shared" ca="1" si="92"/>
        <v>11.133674999999998</v>
      </c>
      <c r="C1086" s="4">
        <f t="shared" ca="1" si="92"/>
        <v>11.143991666666667</v>
      </c>
      <c r="D1086" s="4">
        <f t="shared" ca="1" si="92"/>
        <v>11.133491666666666</v>
      </c>
      <c r="E1086" s="4">
        <f t="shared" ca="1" si="92"/>
        <v>11.136025000000002</v>
      </c>
      <c r="F1086" s="4">
        <f t="shared" ca="1" si="92"/>
        <v>12.129050000000001</v>
      </c>
      <c r="G1086" s="4">
        <f t="shared" ca="1" si="92"/>
        <v>10.975150000000001</v>
      </c>
      <c r="H1086" s="4">
        <f t="shared" ca="1" si="92"/>
        <v>11.873675</v>
      </c>
      <c r="I1086" s="4">
        <f t="shared" ca="1" si="92"/>
        <v>10.859699999999998</v>
      </c>
      <c r="J1086" s="4">
        <f t="shared" ca="1" si="92"/>
        <v>10.787583333333336</v>
      </c>
      <c r="K1086" s="4"/>
      <c r="L1086" s="5">
        <f t="shared" ca="1" si="93"/>
        <v>336.06969999999995</v>
      </c>
      <c r="M1086" s="5">
        <f t="shared" ca="1" si="93"/>
        <v>142.0401</v>
      </c>
      <c r="N1086" s="5">
        <f t="shared" ca="1" si="93"/>
        <v>58.217499999999994</v>
      </c>
      <c r="O1086" s="5">
        <f t="shared" ca="1" si="93"/>
        <v>4.4104999999999999</v>
      </c>
      <c r="P1086" s="5">
        <f t="shared" ca="1" si="93"/>
        <v>14.718800000000003</v>
      </c>
      <c r="Q1086" s="5">
        <f t="shared" ca="1" si="93"/>
        <v>231.81149999999997</v>
      </c>
      <c r="R1086" s="4"/>
      <c r="S1086" s="4"/>
    </row>
    <row r="1087" spans="1:19" ht="15" customHeight="1">
      <c r="A1087" s="3">
        <f t="shared" si="94"/>
        <v>2072</v>
      </c>
      <c r="B1087" s="4">
        <f t="shared" ref="B1087:J1096" ca="1" si="95">AVERAGE(OFFSET(B$562,($A1087-$A$1077)*12,0,12,1))</f>
        <v>11.332958333333336</v>
      </c>
      <c r="C1087" s="4">
        <f t="shared" ca="1" si="95"/>
        <v>11.343266666666667</v>
      </c>
      <c r="D1087" s="4">
        <f t="shared" ca="1" si="95"/>
        <v>11.332766666666666</v>
      </c>
      <c r="E1087" s="4">
        <f t="shared" ca="1" si="95"/>
        <v>11.335299999999998</v>
      </c>
      <c r="F1087" s="4">
        <f t="shared" ca="1" si="95"/>
        <v>12.328341666666667</v>
      </c>
      <c r="G1087" s="4">
        <f t="shared" ca="1" si="95"/>
        <v>11.171583333333333</v>
      </c>
      <c r="H1087" s="4">
        <f t="shared" ca="1" si="95"/>
        <v>12.070133333333333</v>
      </c>
      <c r="I1087" s="4">
        <f t="shared" ca="1" si="95"/>
        <v>11.052899999999999</v>
      </c>
      <c r="J1087" s="4">
        <f t="shared" ca="1" si="95"/>
        <v>10.980683333333333</v>
      </c>
      <c r="K1087" s="4"/>
      <c r="L1087" s="5">
        <f t="shared" ref="L1087:Q1096" ca="1" si="96">SUM(OFFSET(L$562,($A1087-$A$1077)*12,0,12,1))</f>
        <v>336.95349999999996</v>
      </c>
      <c r="M1087" s="5">
        <f t="shared" ca="1" si="96"/>
        <v>142.42920000000001</v>
      </c>
      <c r="N1087" s="5">
        <f t="shared" ca="1" si="96"/>
        <v>58.377000000000002</v>
      </c>
      <c r="O1087" s="5">
        <f t="shared" ca="1" si="96"/>
        <v>4.4226000000000001</v>
      </c>
      <c r="P1087" s="5">
        <f t="shared" ca="1" si="96"/>
        <v>14.760600000000004</v>
      </c>
      <c r="Q1087" s="5">
        <f t="shared" ca="1" si="96"/>
        <v>232.44659999999996</v>
      </c>
      <c r="R1087" s="4"/>
      <c r="S1087" s="4"/>
    </row>
    <row r="1088" spans="1:19" ht="15" customHeight="1">
      <c r="A1088" s="3">
        <f t="shared" si="94"/>
        <v>2073</v>
      </c>
      <c r="B1088" s="4">
        <f t="shared" ca="1" si="95"/>
        <v>11.5358</v>
      </c>
      <c r="C1088" s="4">
        <f t="shared" ca="1" si="95"/>
        <v>11.546116666666665</v>
      </c>
      <c r="D1088" s="4">
        <f t="shared" ca="1" si="95"/>
        <v>11.535600000000002</v>
      </c>
      <c r="E1088" s="4">
        <f t="shared" ca="1" si="95"/>
        <v>11.538133333333334</v>
      </c>
      <c r="F1088" s="4">
        <f t="shared" ca="1" si="95"/>
        <v>12.531174999999998</v>
      </c>
      <c r="G1088" s="4">
        <f t="shared" ca="1" si="95"/>
        <v>11.371541666666666</v>
      </c>
      <c r="H1088" s="4">
        <f t="shared" ca="1" si="95"/>
        <v>12.270083333333334</v>
      </c>
      <c r="I1088" s="4">
        <f t="shared" ca="1" si="95"/>
        <v>11.249549999999999</v>
      </c>
      <c r="J1088" s="4">
        <f t="shared" ca="1" si="95"/>
        <v>11.177250000000001</v>
      </c>
      <c r="K1088" s="4"/>
      <c r="L1088" s="5">
        <f t="shared" ca="1" si="96"/>
        <v>336.06969999999995</v>
      </c>
      <c r="M1088" s="5">
        <f t="shared" ca="1" si="96"/>
        <v>142.0401</v>
      </c>
      <c r="N1088" s="5">
        <f t="shared" ca="1" si="96"/>
        <v>58.217499999999994</v>
      </c>
      <c r="O1088" s="5">
        <f t="shared" ca="1" si="96"/>
        <v>4.4104999999999999</v>
      </c>
      <c r="P1088" s="5">
        <f t="shared" ca="1" si="96"/>
        <v>14.718800000000003</v>
      </c>
      <c r="Q1088" s="5">
        <f t="shared" ca="1" si="96"/>
        <v>231.81149999999997</v>
      </c>
      <c r="R1088" s="4"/>
      <c r="S1088" s="4"/>
    </row>
    <row r="1089" spans="1:19" ht="15" customHeight="1">
      <c r="A1089" s="3">
        <f t="shared" si="94"/>
        <v>2074</v>
      </c>
      <c r="B1089" s="4">
        <f t="shared" ca="1" si="95"/>
        <v>11.742266666666668</v>
      </c>
      <c r="C1089" s="4">
        <f t="shared" ca="1" si="95"/>
        <v>11.752583333333336</v>
      </c>
      <c r="D1089" s="4">
        <f t="shared" ca="1" si="95"/>
        <v>11.742108333333332</v>
      </c>
      <c r="E1089" s="4">
        <f t="shared" ca="1" si="95"/>
        <v>11.744624999999999</v>
      </c>
      <c r="F1089" s="4">
        <f t="shared" ca="1" si="95"/>
        <v>12.737641666666669</v>
      </c>
      <c r="G1089" s="4">
        <f t="shared" ca="1" si="95"/>
        <v>11.575066666666666</v>
      </c>
      <c r="H1089" s="4">
        <f t="shared" ca="1" si="95"/>
        <v>12.473616666666665</v>
      </c>
      <c r="I1089" s="4">
        <f t="shared" ca="1" si="95"/>
        <v>11.449733333333334</v>
      </c>
      <c r="J1089" s="4">
        <f t="shared" ca="1" si="95"/>
        <v>11.377316666666665</v>
      </c>
      <c r="K1089" s="4"/>
      <c r="L1089" s="5">
        <f t="shared" ca="1" si="96"/>
        <v>336.06969999999995</v>
      </c>
      <c r="M1089" s="5">
        <f t="shared" ca="1" si="96"/>
        <v>142.0401</v>
      </c>
      <c r="N1089" s="5">
        <f t="shared" ca="1" si="96"/>
        <v>58.217499999999994</v>
      </c>
      <c r="O1089" s="5">
        <f t="shared" ca="1" si="96"/>
        <v>4.4104999999999999</v>
      </c>
      <c r="P1089" s="5">
        <f t="shared" ca="1" si="96"/>
        <v>14.718800000000003</v>
      </c>
      <c r="Q1089" s="5">
        <f t="shared" ca="1" si="96"/>
        <v>231.81149999999997</v>
      </c>
      <c r="R1089" s="4"/>
      <c r="S1089" s="4"/>
    </row>
    <row r="1090" spans="1:19" ht="15" customHeight="1">
      <c r="A1090" s="3">
        <f t="shared" si="94"/>
        <v>2075</v>
      </c>
      <c r="B1090" s="4">
        <f t="shared" ca="1" si="95"/>
        <v>11.952433333333333</v>
      </c>
      <c r="C1090" s="4">
        <f t="shared" ca="1" si="95"/>
        <v>11.962766666666667</v>
      </c>
      <c r="D1090" s="4">
        <f t="shared" ca="1" si="95"/>
        <v>11.952275</v>
      </c>
      <c r="E1090" s="4">
        <f t="shared" ca="1" si="95"/>
        <v>11.954800000000001</v>
      </c>
      <c r="F1090" s="4">
        <f t="shared" ca="1" si="95"/>
        <v>12.947816666666666</v>
      </c>
      <c r="G1090" s="4">
        <f t="shared" ca="1" si="95"/>
        <v>11.782241666666666</v>
      </c>
      <c r="H1090" s="4">
        <f t="shared" ca="1" si="95"/>
        <v>12.680799999999998</v>
      </c>
      <c r="I1090" s="4">
        <f t="shared" ca="1" si="95"/>
        <v>11.653475000000002</v>
      </c>
      <c r="J1090" s="4">
        <f t="shared" ca="1" si="95"/>
        <v>11.580966666666667</v>
      </c>
      <c r="K1090" s="4"/>
      <c r="L1090" s="5">
        <f t="shared" ca="1" si="96"/>
        <v>336.06969999999995</v>
      </c>
      <c r="M1090" s="5">
        <f t="shared" ca="1" si="96"/>
        <v>142.0401</v>
      </c>
      <c r="N1090" s="5">
        <f t="shared" ca="1" si="96"/>
        <v>58.217499999999994</v>
      </c>
      <c r="O1090" s="5">
        <f t="shared" ca="1" si="96"/>
        <v>4.4104999999999999</v>
      </c>
      <c r="P1090" s="5">
        <f t="shared" ca="1" si="96"/>
        <v>14.718800000000003</v>
      </c>
      <c r="Q1090" s="5">
        <f t="shared" ca="1" si="96"/>
        <v>231.81149999999997</v>
      </c>
      <c r="R1090" s="4"/>
      <c r="S1090" s="4"/>
    </row>
    <row r="1091" spans="1:19" ht="15" customHeight="1">
      <c r="A1091" s="3">
        <f t="shared" si="94"/>
        <v>2076</v>
      </c>
      <c r="B1091" s="4">
        <f t="shared" ca="1" si="95"/>
        <v>12.166366666666667</v>
      </c>
      <c r="C1091" s="4">
        <f t="shared" ca="1" si="95"/>
        <v>12.176691666666665</v>
      </c>
      <c r="D1091" s="4">
        <f t="shared" ca="1" si="95"/>
        <v>12.166174999999997</v>
      </c>
      <c r="E1091" s="4">
        <f t="shared" ca="1" si="95"/>
        <v>12.168699999999999</v>
      </c>
      <c r="F1091" s="4">
        <f t="shared" ca="1" si="95"/>
        <v>13.16174166666667</v>
      </c>
      <c r="G1091" s="4">
        <f t="shared" ca="1" si="95"/>
        <v>11.993133333333333</v>
      </c>
      <c r="H1091" s="4">
        <f t="shared" ca="1" si="95"/>
        <v>12.891658333333332</v>
      </c>
      <c r="I1091" s="4">
        <f t="shared" ca="1" si="95"/>
        <v>11.860891666666667</v>
      </c>
      <c r="J1091" s="4">
        <f t="shared" ca="1" si="95"/>
        <v>11.788266666666665</v>
      </c>
      <c r="K1091" s="4"/>
      <c r="L1091" s="5">
        <f t="shared" ca="1" si="96"/>
        <v>336.95349999999996</v>
      </c>
      <c r="M1091" s="5">
        <f t="shared" ca="1" si="96"/>
        <v>142.42920000000001</v>
      </c>
      <c r="N1091" s="5">
        <f t="shared" ca="1" si="96"/>
        <v>58.377000000000002</v>
      </c>
      <c r="O1091" s="5">
        <f t="shared" ca="1" si="96"/>
        <v>4.4226000000000001</v>
      </c>
      <c r="P1091" s="5">
        <f t="shared" ca="1" si="96"/>
        <v>14.760600000000004</v>
      </c>
      <c r="Q1091" s="5">
        <f t="shared" ca="1" si="96"/>
        <v>232.44659999999996</v>
      </c>
      <c r="R1091" s="4"/>
      <c r="S1091" s="4"/>
    </row>
    <row r="1092" spans="1:19" ht="15" customHeight="1">
      <c r="A1092" s="3">
        <f t="shared" si="94"/>
        <v>2077</v>
      </c>
      <c r="B1092" s="4">
        <f t="shared" ca="1" si="95"/>
        <v>12.384133333333333</v>
      </c>
      <c r="C1092" s="4">
        <f t="shared" ca="1" si="95"/>
        <v>12.394441666666665</v>
      </c>
      <c r="D1092" s="4">
        <f t="shared" ca="1" si="95"/>
        <v>12.383958333333334</v>
      </c>
      <c r="E1092" s="4">
        <f t="shared" ca="1" si="95"/>
        <v>12.386483333333333</v>
      </c>
      <c r="F1092" s="4">
        <f t="shared" ca="1" si="95"/>
        <v>13.379508333333334</v>
      </c>
      <c r="G1092" s="4">
        <f t="shared" ca="1" si="95"/>
        <v>12.207791666666667</v>
      </c>
      <c r="H1092" s="4">
        <f t="shared" ca="1" si="95"/>
        <v>13.106341666666667</v>
      </c>
      <c r="I1092" s="4">
        <f t="shared" ca="1" si="95"/>
        <v>12.071991666666667</v>
      </c>
      <c r="J1092" s="4">
        <f t="shared" ca="1" si="95"/>
        <v>11.999283333333333</v>
      </c>
      <c r="K1092" s="4"/>
      <c r="L1092" s="5">
        <f t="shared" ca="1" si="96"/>
        <v>336.06969999999995</v>
      </c>
      <c r="M1092" s="5">
        <f t="shared" ca="1" si="96"/>
        <v>142.0401</v>
      </c>
      <c r="N1092" s="5">
        <f t="shared" ca="1" si="96"/>
        <v>58.217499999999994</v>
      </c>
      <c r="O1092" s="5">
        <f t="shared" ca="1" si="96"/>
        <v>4.4104999999999999</v>
      </c>
      <c r="P1092" s="5">
        <f t="shared" ca="1" si="96"/>
        <v>14.718800000000003</v>
      </c>
      <c r="Q1092" s="5">
        <f t="shared" ca="1" si="96"/>
        <v>231.81149999999997</v>
      </c>
      <c r="R1092" s="4"/>
      <c r="S1092" s="4"/>
    </row>
    <row r="1093" spans="1:19" ht="15" customHeight="1">
      <c r="A1093" s="3">
        <f t="shared" si="94"/>
        <v>2078</v>
      </c>
      <c r="B1093" s="4">
        <f t="shared" ca="1" si="95"/>
        <v>12.605791666666669</v>
      </c>
      <c r="C1093" s="4">
        <f t="shared" ca="1" si="95"/>
        <v>12.616116666666668</v>
      </c>
      <c r="D1093" s="4">
        <f t="shared" ca="1" si="95"/>
        <v>12.605600000000001</v>
      </c>
      <c r="E1093" s="4">
        <f t="shared" ca="1" si="95"/>
        <v>12.608141666666667</v>
      </c>
      <c r="F1093" s="4">
        <f t="shared" ca="1" si="95"/>
        <v>13.601183333333333</v>
      </c>
      <c r="G1093" s="4">
        <f t="shared" ca="1" si="95"/>
        <v>12.426291666666666</v>
      </c>
      <c r="H1093" s="4">
        <f t="shared" ca="1" si="95"/>
        <v>13.324841666666664</v>
      </c>
      <c r="I1093" s="4">
        <f t="shared" ca="1" si="95"/>
        <v>12.286891666666667</v>
      </c>
      <c r="J1093" s="4">
        <f t="shared" ca="1" si="95"/>
        <v>12.214058333333336</v>
      </c>
      <c r="K1093" s="4"/>
      <c r="L1093" s="5">
        <f t="shared" ca="1" si="96"/>
        <v>336.06969999999995</v>
      </c>
      <c r="M1093" s="5">
        <f t="shared" ca="1" si="96"/>
        <v>142.0401</v>
      </c>
      <c r="N1093" s="5">
        <f t="shared" ca="1" si="96"/>
        <v>58.217499999999994</v>
      </c>
      <c r="O1093" s="5">
        <f t="shared" ca="1" si="96"/>
        <v>4.4104999999999999</v>
      </c>
      <c r="P1093" s="5">
        <f t="shared" ca="1" si="96"/>
        <v>14.718800000000003</v>
      </c>
      <c r="Q1093" s="5">
        <f t="shared" ca="1" si="96"/>
        <v>231.81149999999997</v>
      </c>
      <c r="R1093" s="4"/>
      <c r="S1093" s="4"/>
    </row>
    <row r="1094" spans="1:19" ht="15" customHeight="1">
      <c r="A1094" s="3">
        <f t="shared" si="94"/>
        <v>2079</v>
      </c>
      <c r="B1094" s="4">
        <f t="shared" ca="1" si="95"/>
        <v>12.831416666666669</v>
      </c>
      <c r="C1094" s="4">
        <f t="shared" ca="1" si="95"/>
        <v>12.841733333333336</v>
      </c>
      <c r="D1094" s="4">
        <f t="shared" ca="1" si="95"/>
        <v>12.831241666666669</v>
      </c>
      <c r="E1094" s="4">
        <f t="shared" ca="1" si="95"/>
        <v>12.833775000000001</v>
      </c>
      <c r="F1094" s="4">
        <f t="shared" ca="1" si="95"/>
        <v>13.8268</v>
      </c>
      <c r="G1094" s="4">
        <f t="shared" ca="1" si="95"/>
        <v>12.648691666666666</v>
      </c>
      <c r="H1094" s="4">
        <f t="shared" ca="1" si="95"/>
        <v>13.547241666666665</v>
      </c>
      <c r="I1094" s="4">
        <f t="shared" ca="1" si="95"/>
        <v>12.505650000000001</v>
      </c>
      <c r="J1094" s="4">
        <f t="shared" ca="1" si="95"/>
        <v>12.432683333333332</v>
      </c>
      <c r="K1094" s="4"/>
      <c r="L1094" s="5">
        <f t="shared" ca="1" si="96"/>
        <v>336.06969999999995</v>
      </c>
      <c r="M1094" s="5">
        <f t="shared" ca="1" si="96"/>
        <v>142.0401</v>
      </c>
      <c r="N1094" s="5">
        <f t="shared" ca="1" si="96"/>
        <v>58.217499999999994</v>
      </c>
      <c r="O1094" s="5">
        <f t="shared" ca="1" si="96"/>
        <v>4.4104999999999999</v>
      </c>
      <c r="P1094" s="5">
        <f t="shared" ca="1" si="96"/>
        <v>14.718800000000003</v>
      </c>
      <c r="Q1094" s="5">
        <f t="shared" ca="1" si="96"/>
        <v>231.81149999999997</v>
      </c>
      <c r="R1094" s="4"/>
      <c r="S1094" s="4"/>
    </row>
    <row r="1095" spans="1:19" ht="15" customHeight="1">
      <c r="A1095" s="3">
        <f t="shared" si="94"/>
        <v>2080</v>
      </c>
      <c r="B1095" s="4">
        <f t="shared" ca="1" si="95"/>
        <v>13.061099999999998</v>
      </c>
      <c r="C1095" s="4">
        <f t="shared" ca="1" si="95"/>
        <v>13.071408333333332</v>
      </c>
      <c r="D1095" s="4">
        <f t="shared" ca="1" si="95"/>
        <v>13.060891666666668</v>
      </c>
      <c r="E1095" s="4">
        <f t="shared" ca="1" si="95"/>
        <v>13.063433333333334</v>
      </c>
      <c r="F1095" s="4">
        <f t="shared" ca="1" si="95"/>
        <v>14.056466666666664</v>
      </c>
      <c r="G1095" s="4">
        <f t="shared" ca="1" si="95"/>
        <v>12.875083333333331</v>
      </c>
      <c r="H1095" s="4">
        <f t="shared" ca="1" si="95"/>
        <v>13.773633333333335</v>
      </c>
      <c r="I1095" s="4">
        <f t="shared" ca="1" si="95"/>
        <v>12.728299999999999</v>
      </c>
      <c r="J1095" s="4">
        <f t="shared" ca="1" si="95"/>
        <v>12.655233333333333</v>
      </c>
      <c r="K1095" s="4"/>
      <c r="L1095" s="5">
        <f t="shared" ca="1" si="96"/>
        <v>336.95349999999996</v>
      </c>
      <c r="M1095" s="5">
        <f t="shared" ca="1" si="96"/>
        <v>142.42920000000001</v>
      </c>
      <c r="N1095" s="5">
        <f t="shared" ca="1" si="96"/>
        <v>58.377000000000002</v>
      </c>
      <c r="O1095" s="5">
        <f t="shared" ca="1" si="96"/>
        <v>4.4226000000000001</v>
      </c>
      <c r="P1095" s="5">
        <f t="shared" ca="1" si="96"/>
        <v>14.760600000000004</v>
      </c>
      <c r="Q1095" s="5">
        <f t="shared" ca="1" si="96"/>
        <v>232.44659999999996</v>
      </c>
      <c r="R1095" s="4"/>
      <c r="S1095" s="4"/>
    </row>
    <row r="1096" spans="1:19" ht="15" customHeight="1">
      <c r="A1096" s="3">
        <f t="shared" si="94"/>
        <v>2081</v>
      </c>
      <c r="B1096" s="4">
        <f t="shared" ca="1" si="95"/>
        <v>13.294858333333336</v>
      </c>
      <c r="C1096" s="4">
        <f t="shared" ca="1" si="95"/>
        <v>13.305175</v>
      </c>
      <c r="D1096" s="4">
        <f t="shared" ca="1" si="95"/>
        <v>13.294658333333331</v>
      </c>
      <c r="E1096" s="4">
        <f t="shared" ca="1" si="95"/>
        <v>13.297199999999998</v>
      </c>
      <c r="F1096" s="4">
        <f t="shared" ca="1" si="95"/>
        <v>14.29025</v>
      </c>
      <c r="G1096" s="4">
        <f t="shared" ca="1" si="95"/>
        <v>13.105541666666666</v>
      </c>
      <c r="H1096" s="4">
        <f t="shared" ca="1" si="95"/>
        <v>14.004091666666667</v>
      </c>
      <c r="I1096" s="4">
        <f t="shared" ca="1" si="95"/>
        <v>12.954933333333337</v>
      </c>
      <c r="J1096" s="4">
        <f t="shared" ca="1" si="95"/>
        <v>12.881766666666666</v>
      </c>
      <c r="K1096" s="4"/>
      <c r="L1096" s="5">
        <f t="shared" ca="1" si="96"/>
        <v>336.06969999999995</v>
      </c>
      <c r="M1096" s="5">
        <f t="shared" ca="1" si="96"/>
        <v>142.0401</v>
      </c>
      <c r="N1096" s="5">
        <f t="shared" ca="1" si="96"/>
        <v>58.217499999999994</v>
      </c>
      <c r="O1096" s="5">
        <f t="shared" ca="1" si="96"/>
        <v>4.4104999999999999</v>
      </c>
      <c r="P1096" s="5">
        <f t="shared" ca="1" si="96"/>
        <v>14.718800000000003</v>
      </c>
      <c r="Q1096" s="5">
        <f t="shared" ca="1" si="96"/>
        <v>231.81149999999997</v>
      </c>
      <c r="R1096" s="4"/>
      <c r="S1096" s="4"/>
    </row>
    <row r="1097" spans="1:19" ht="15" customHeight="1">
      <c r="A1097" s="3">
        <f t="shared" si="94"/>
        <v>2082</v>
      </c>
      <c r="B1097" s="4">
        <f t="shared" ref="B1097:J1106" ca="1" si="97">AVERAGE(OFFSET(B$562,($A1097-$A$1077)*12,0,12,1))</f>
        <v>13.532808333333334</v>
      </c>
      <c r="C1097" s="4">
        <f t="shared" ca="1" si="97"/>
        <v>13.543149999999999</v>
      </c>
      <c r="D1097" s="4">
        <f t="shared" ca="1" si="97"/>
        <v>13.532633333333337</v>
      </c>
      <c r="E1097" s="4">
        <f t="shared" ca="1" si="97"/>
        <v>13.535175000000001</v>
      </c>
      <c r="F1097" s="4">
        <f t="shared" ca="1" si="97"/>
        <v>14.528208333333332</v>
      </c>
      <c r="G1097" s="4">
        <f t="shared" ca="1" si="97"/>
        <v>13.340108333333333</v>
      </c>
      <c r="H1097" s="4">
        <f t="shared" ca="1" si="97"/>
        <v>14.238675000000001</v>
      </c>
      <c r="I1097" s="4">
        <f t="shared" ca="1" si="97"/>
        <v>13.185633333333335</v>
      </c>
      <c r="J1097" s="4">
        <f t="shared" ca="1" si="97"/>
        <v>13.112333333333332</v>
      </c>
      <c r="K1097" s="4"/>
      <c r="L1097" s="5">
        <f t="shared" ref="L1097:Q1106" ca="1" si="98">SUM(OFFSET(L$562,($A1097-$A$1077)*12,0,12,1))</f>
        <v>336.06969999999995</v>
      </c>
      <c r="M1097" s="5">
        <f t="shared" ca="1" si="98"/>
        <v>142.0401</v>
      </c>
      <c r="N1097" s="5">
        <f t="shared" ca="1" si="98"/>
        <v>58.217499999999994</v>
      </c>
      <c r="O1097" s="5">
        <f t="shared" ca="1" si="98"/>
        <v>4.4104999999999999</v>
      </c>
      <c r="P1097" s="5">
        <f t="shared" ca="1" si="98"/>
        <v>14.718800000000003</v>
      </c>
      <c r="Q1097" s="5">
        <f t="shared" ca="1" si="98"/>
        <v>231.81149999999997</v>
      </c>
      <c r="R1097" s="4"/>
      <c r="S1097" s="4"/>
    </row>
    <row r="1098" spans="1:19" ht="15" customHeight="1">
      <c r="A1098" s="3">
        <f t="shared" si="94"/>
        <v>2083</v>
      </c>
      <c r="B1098" s="4">
        <f t="shared" ca="1" si="97"/>
        <v>13.775033333333333</v>
      </c>
      <c r="C1098" s="4">
        <f t="shared" ca="1" si="97"/>
        <v>13.785349999999999</v>
      </c>
      <c r="D1098" s="4">
        <f t="shared" ca="1" si="97"/>
        <v>13.774858333333333</v>
      </c>
      <c r="E1098" s="4">
        <f t="shared" ca="1" si="97"/>
        <v>13.777391666666668</v>
      </c>
      <c r="F1098" s="4">
        <f t="shared" ca="1" si="97"/>
        <v>14.770425000000001</v>
      </c>
      <c r="G1098" s="4">
        <f t="shared" ca="1" si="97"/>
        <v>13.578883333333332</v>
      </c>
      <c r="H1098" s="4">
        <f t="shared" ca="1" si="97"/>
        <v>14.477433333333332</v>
      </c>
      <c r="I1098" s="4">
        <f t="shared" ca="1" si="97"/>
        <v>13.420449999999997</v>
      </c>
      <c r="J1098" s="4">
        <f t="shared" ca="1" si="97"/>
        <v>13.347058333333337</v>
      </c>
      <c r="K1098" s="4"/>
      <c r="L1098" s="5">
        <f t="shared" ca="1" si="98"/>
        <v>336.06969999999995</v>
      </c>
      <c r="M1098" s="5">
        <f t="shared" ca="1" si="98"/>
        <v>142.0401</v>
      </c>
      <c r="N1098" s="5">
        <f t="shared" ca="1" si="98"/>
        <v>58.217499999999994</v>
      </c>
      <c r="O1098" s="5">
        <f t="shared" ca="1" si="98"/>
        <v>4.4104999999999999</v>
      </c>
      <c r="P1098" s="5">
        <f t="shared" ca="1" si="98"/>
        <v>14.718800000000003</v>
      </c>
      <c r="Q1098" s="5">
        <f t="shared" ca="1" si="98"/>
        <v>231.81149999999997</v>
      </c>
      <c r="R1098" s="4"/>
      <c r="S1098" s="4"/>
    </row>
    <row r="1099" spans="1:19" ht="15" customHeight="1">
      <c r="A1099" s="3">
        <f t="shared" si="94"/>
        <v>2084</v>
      </c>
      <c r="B1099" s="4">
        <f t="shared" ca="1" si="97"/>
        <v>14.021591666666666</v>
      </c>
      <c r="C1099" s="4">
        <f t="shared" ca="1" si="97"/>
        <v>14.031908333333334</v>
      </c>
      <c r="D1099" s="4">
        <f t="shared" ca="1" si="97"/>
        <v>14.021416666666669</v>
      </c>
      <c r="E1099" s="4">
        <f t="shared" ca="1" si="97"/>
        <v>14.023941666666666</v>
      </c>
      <c r="F1099" s="4">
        <f t="shared" ca="1" si="97"/>
        <v>15.016966666666667</v>
      </c>
      <c r="G1099" s="4">
        <f t="shared" ca="1" si="97"/>
        <v>13.821925000000002</v>
      </c>
      <c r="H1099" s="4">
        <f t="shared" ca="1" si="97"/>
        <v>14.720475</v>
      </c>
      <c r="I1099" s="4">
        <f t="shared" ca="1" si="97"/>
        <v>13.659491666666668</v>
      </c>
      <c r="J1099" s="4">
        <f t="shared" ca="1" si="97"/>
        <v>13.585974999999999</v>
      </c>
      <c r="K1099" s="4"/>
      <c r="L1099" s="5">
        <f t="shared" ca="1" si="98"/>
        <v>336.95349999999996</v>
      </c>
      <c r="M1099" s="5">
        <f t="shared" ca="1" si="98"/>
        <v>142.42920000000001</v>
      </c>
      <c r="N1099" s="5">
        <f t="shared" ca="1" si="98"/>
        <v>58.377000000000002</v>
      </c>
      <c r="O1099" s="5">
        <f t="shared" ca="1" si="98"/>
        <v>4.4226000000000001</v>
      </c>
      <c r="P1099" s="5">
        <f t="shared" ca="1" si="98"/>
        <v>14.760600000000004</v>
      </c>
      <c r="Q1099" s="5">
        <f t="shared" ca="1" si="98"/>
        <v>232.44659999999996</v>
      </c>
      <c r="R1099" s="4"/>
      <c r="S1099" s="4"/>
    </row>
    <row r="1100" spans="1:19" ht="15" customHeight="1">
      <c r="A1100" s="3">
        <f t="shared" si="94"/>
        <v>2085</v>
      </c>
      <c r="B1100" s="4">
        <f t="shared" ca="1" si="97"/>
        <v>14.272541666666664</v>
      </c>
      <c r="C1100" s="4">
        <f t="shared" ca="1" si="97"/>
        <v>14.282891666666666</v>
      </c>
      <c r="D1100" s="4">
        <f t="shared" ca="1" si="97"/>
        <v>14.272358333333335</v>
      </c>
      <c r="E1100" s="4">
        <f t="shared" ca="1" si="97"/>
        <v>14.274900000000001</v>
      </c>
      <c r="F1100" s="4">
        <f t="shared" ca="1" si="97"/>
        <v>15.267933333333332</v>
      </c>
      <c r="G1100" s="4">
        <f t="shared" ca="1" si="97"/>
        <v>14.069324999999999</v>
      </c>
      <c r="H1100" s="4">
        <f t="shared" ca="1" si="97"/>
        <v>14.967866666666668</v>
      </c>
      <c r="I1100" s="4">
        <f t="shared" ca="1" si="97"/>
        <v>13.902808333333333</v>
      </c>
      <c r="J1100" s="4">
        <f t="shared" ca="1" si="97"/>
        <v>13.829183333333335</v>
      </c>
      <c r="K1100" s="4"/>
      <c r="L1100" s="5">
        <f t="shared" ca="1" si="98"/>
        <v>336.06969999999995</v>
      </c>
      <c r="M1100" s="5">
        <f t="shared" ca="1" si="98"/>
        <v>142.0401</v>
      </c>
      <c r="N1100" s="5">
        <f t="shared" ca="1" si="98"/>
        <v>58.217499999999994</v>
      </c>
      <c r="O1100" s="5">
        <f t="shared" ca="1" si="98"/>
        <v>4.4104999999999999</v>
      </c>
      <c r="P1100" s="5">
        <f t="shared" ca="1" si="98"/>
        <v>14.718800000000003</v>
      </c>
      <c r="Q1100" s="5">
        <f t="shared" ca="1" si="98"/>
        <v>231.81149999999997</v>
      </c>
      <c r="R1100" s="4"/>
      <c r="S1100" s="4"/>
    </row>
    <row r="1101" spans="1:19" ht="15" customHeight="1">
      <c r="A1101" s="3">
        <f t="shared" si="94"/>
        <v>2086</v>
      </c>
      <c r="B1101" s="4">
        <f t="shared" ca="1" si="97"/>
        <v>14.528025</v>
      </c>
      <c r="C1101" s="4">
        <f t="shared" ca="1" si="97"/>
        <v>14.538341666666666</v>
      </c>
      <c r="D1101" s="4">
        <f t="shared" ca="1" si="97"/>
        <v>14.527833333333335</v>
      </c>
      <c r="E1101" s="4">
        <f t="shared" ca="1" si="97"/>
        <v>14.530383333333333</v>
      </c>
      <c r="F1101" s="4">
        <f t="shared" ca="1" si="97"/>
        <v>15.523424999999998</v>
      </c>
      <c r="G1101" s="4">
        <f t="shared" ca="1" si="97"/>
        <v>14.321141666666668</v>
      </c>
      <c r="H1101" s="4">
        <f t="shared" ca="1" si="97"/>
        <v>15.219683333333331</v>
      </c>
      <c r="I1101" s="4">
        <f t="shared" ca="1" si="97"/>
        <v>14.150475</v>
      </c>
      <c r="J1101" s="4">
        <f t="shared" ca="1" si="97"/>
        <v>14.076700000000001</v>
      </c>
      <c r="K1101" s="4"/>
      <c r="L1101" s="5">
        <f t="shared" ca="1" si="98"/>
        <v>336.06969999999995</v>
      </c>
      <c r="M1101" s="5">
        <f t="shared" ca="1" si="98"/>
        <v>142.0401</v>
      </c>
      <c r="N1101" s="5">
        <f t="shared" ca="1" si="98"/>
        <v>58.217499999999994</v>
      </c>
      <c r="O1101" s="5">
        <f t="shared" ca="1" si="98"/>
        <v>4.4104999999999999</v>
      </c>
      <c r="P1101" s="5">
        <f t="shared" ca="1" si="98"/>
        <v>14.718800000000003</v>
      </c>
      <c r="Q1101" s="5">
        <f t="shared" ca="1" si="98"/>
        <v>231.81149999999997</v>
      </c>
      <c r="R1101" s="4"/>
      <c r="S1101" s="4"/>
    </row>
    <row r="1102" spans="1:19" ht="15" customHeight="1">
      <c r="A1102" s="3">
        <f t="shared" si="94"/>
        <v>2087</v>
      </c>
      <c r="B1102" s="4">
        <f t="shared" ca="1" si="97"/>
        <v>14.788066666666664</v>
      </c>
      <c r="C1102" s="4">
        <f t="shared" ca="1" si="97"/>
        <v>14.798374999999998</v>
      </c>
      <c r="D1102" s="4">
        <f t="shared" ca="1" si="97"/>
        <v>14.787875000000001</v>
      </c>
      <c r="E1102" s="4">
        <f t="shared" ca="1" si="97"/>
        <v>14.790416666666665</v>
      </c>
      <c r="F1102" s="4">
        <f t="shared" ca="1" si="97"/>
        <v>15.783441666666667</v>
      </c>
      <c r="G1102" s="4">
        <f t="shared" ca="1" si="97"/>
        <v>14.577491666666667</v>
      </c>
      <c r="H1102" s="4">
        <f t="shared" ca="1" si="97"/>
        <v>15.476016666666666</v>
      </c>
      <c r="I1102" s="4">
        <f t="shared" ca="1" si="97"/>
        <v>14.402558333333333</v>
      </c>
      <c r="J1102" s="4">
        <f t="shared" ca="1" si="97"/>
        <v>14.328674999999997</v>
      </c>
      <c r="K1102" s="4"/>
      <c r="L1102" s="5">
        <f t="shared" ca="1" si="98"/>
        <v>336.06969999999995</v>
      </c>
      <c r="M1102" s="5">
        <f t="shared" ca="1" si="98"/>
        <v>142.0401</v>
      </c>
      <c r="N1102" s="5">
        <f t="shared" ca="1" si="98"/>
        <v>58.217499999999994</v>
      </c>
      <c r="O1102" s="5">
        <f t="shared" ca="1" si="98"/>
        <v>4.4104999999999999</v>
      </c>
      <c r="P1102" s="5">
        <f t="shared" ca="1" si="98"/>
        <v>14.718800000000003</v>
      </c>
      <c r="Q1102" s="5">
        <f t="shared" ca="1" si="98"/>
        <v>231.81149999999997</v>
      </c>
      <c r="R1102" s="4"/>
      <c r="S1102" s="4"/>
    </row>
    <row r="1103" spans="1:19" ht="15" customHeight="1">
      <c r="A1103" s="3">
        <f t="shared" si="94"/>
        <v>2088</v>
      </c>
      <c r="B1103" s="4">
        <f t="shared" ca="1" si="97"/>
        <v>15.052758333333331</v>
      </c>
      <c r="C1103" s="4">
        <f t="shared" ca="1" si="97"/>
        <v>15.063058333333332</v>
      </c>
      <c r="D1103" s="4">
        <f t="shared" ca="1" si="97"/>
        <v>15.052558333333332</v>
      </c>
      <c r="E1103" s="4">
        <f t="shared" ca="1" si="97"/>
        <v>15.055091666666668</v>
      </c>
      <c r="F1103" s="4">
        <f t="shared" ca="1" si="97"/>
        <v>16.048133333333332</v>
      </c>
      <c r="G1103" s="4">
        <f t="shared" ca="1" si="97"/>
        <v>14.8384</v>
      </c>
      <c r="H1103" s="4">
        <f t="shared" ca="1" si="97"/>
        <v>15.736941666666665</v>
      </c>
      <c r="I1103" s="4">
        <f t="shared" ca="1" si="97"/>
        <v>14.659199999999998</v>
      </c>
      <c r="J1103" s="4">
        <f t="shared" ca="1" si="97"/>
        <v>14.585150000000004</v>
      </c>
      <c r="K1103" s="4"/>
      <c r="L1103" s="5">
        <f t="shared" ca="1" si="98"/>
        <v>336.95349999999996</v>
      </c>
      <c r="M1103" s="5">
        <f t="shared" ca="1" si="98"/>
        <v>142.42920000000001</v>
      </c>
      <c r="N1103" s="5">
        <f t="shared" ca="1" si="98"/>
        <v>58.377000000000002</v>
      </c>
      <c r="O1103" s="5">
        <f t="shared" ca="1" si="98"/>
        <v>4.4226000000000001</v>
      </c>
      <c r="P1103" s="5">
        <f t="shared" ca="1" si="98"/>
        <v>14.760600000000004</v>
      </c>
      <c r="Q1103" s="5">
        <f t="shared" ca="1" si="98"/>
        <v>232.44659999999996</v>
      </c>
      <c r="R1103" s="4"/>
      <c r="S1103" s="4"/>
    </row>
    <row r="1104" spans="1:19" ht="15" customHeight="1">
      <c r="A1104" s="3">
        <f t="shared" si="94"/>
        <v>2089</v>
      </c>
      <c r="B1104" s="4">
        <f t="shared" ca="1" si="97"/>
        <v>15.322175</v>
      </c>
      <c r="C1104" s="4">
        <f t="shared" ca="1" si="97"/>
        <v>15.332475000000001</v>
      </c>
      <c r="D1104" s="4">
        <f t="shared" ca="1" si="97"/>
        <v>15.321983333333334</v>
      </c>
      <c r="E1104" s="4">
        <f t="shared" ca="1" si="97"/>
        <v>15.324516666666668</v>
      </c>
      <c r="F1104" s="4">
        <f t="shared" ca="1" si="97"/>
        <v>16.317566666666668</v>
      </c>
      <c r="G1104" s="4">
        <f t="shared" ca="1" si="97"/>
        <v>15.104000000000001</v>
      </c>
      <c r="H1104" s="4">
        <f t="shared" ca="1" si="97"/>
        <v>16.002516666666668</v>
      </c>
      <c r="I1104" s="4">
        <f t="shared" ca="1" si="97"/>
        <v>14.920375000000002</v>
      </c>
      <c r="J1104" s="4">
        <f t="shared" ca="1" si="97"/>
        <v>14.84625</v>
      </c>
      <c r="K1104" s="4"/>
      <c r="L1104" s="5">
        <f t="shared" ca="1" si="98"/>
        <v>336.06969999999995</v>
      </c>
      <c r="M1104" s="5">
        <f t="shared" ca="1" si="98"/>
        <v>142.0401</v>
      </c>
      <c r="N1104" s="5">
        <f t="shared" ca="1" si="98"/>
        <v>58.217499999999994</v>
      </c>
      <c r="O1104" s="5">
        <f t="shared" ca="1" si="98"/>
        <v>4.4104999999999999</v>
      </c>
      <c r="P1104" s="5">
        <f t="shared" ca="1" si="98"/>
        <v>14.718800000000003</v>
      </c>
      <c r="Q1104" s="5">
        <f t="shared" ca="1" si="98"/>
        <v>231.81149999999997</v>
      </c>
      <c r="R1104" s="4"/>
      <c r="S1104" s="4"/>
    </row>
    <row r="1105" spans="1:19" ht="15" customHeight="1">
      <c r="A1105" s="3">
        <f t="shared" si="94"/>
        <v>2090</v>
      </c>
      <c r="B1105" s="4">
        <f t="shared" ca="1" si="97"/>
        <v>15.596416666666665</v>
      </c>
      <c r="C1105" s="4">
        <f t="shared" ca="1" si="97"/>
        <v>15.606733333333333</v>
      </c>
      <c r="D1105" s="4">
        <f t="shared" ca="1" si="97"/>
        <v>15.596241666666664</v>
      </c>
      <c r="E1105" s="4">
        <f t="shared" ca="1" si="97"/>
        <v>15.598758333333334</v>
      </c>
      <c r="F1105" s="4">
        <f t="shared" ca="1" si="97"/>
        <v>16.591816666666666</v>
      </c>
      <c r="G1105" s="4">
        <f t="shared" ca="1" si="97"/>
        <v>15.374325000000001</v>
      </c>
      <c r="H1105" s="4">
        <f t="shared" ca="1" si="97"/>
        <v>16.272874999999999</v>
      </c>
      <c r="I1105" s="4">
        <f t="shared" ca="1" si="97"/>
        <v>15.186258333333329</v>
      </c>
      <c r="J1105" s="4">
        <f t="shared" ca="1" si="97"/>
        <v>15.111966666666667</v>
      </c>
      <c r="K1105" s="4"/>
      <c r="L1105" s="5">
        <f t="shared" ca="1" si="98"/>
        <v>336.06969999999995</v>
      </c>
      <c r="M1105" s="5">
        <f t="shared" ca="1" si="98"/>
        <v>142.0401</v>
      </c>
      <c r="N1105" s="5">
        <f t="shared" ca="1" si="98"/>
        <v>58.217499999999994</v>
      </c>
      <c r="O1105" s="5">
        <f t="shared" ca="1" si="98"/>
        <v>4.4104999999999999</v>
      </c>
      <c r="P1105" s="5">
        <f t="shared" ca="1" si="98"/>
        <v>14.718800000000003</v>
      </c>
      <c r="Q1105" s="5">
        <f t="shared" ca="1" si="98"/>
        <v>231.81149999999997</v>
      </c>
      <c r="R1105" s="4"/>
      <c r="S1105" s="4"/>
    </row>
    <row r="1106" spans="1:19" ht="15" customHeight="1">
      <c r="A1106" s="3">
        <f t="shared" si="94"/>
        <v>2091</v>
      </c>
      <c r="B1106" s="4">
        <f t="shared" ca="1" si="97"/>
        <v>15.875583333333331</v>
      </c>
      <c r="C1106" s="4">
        <f t="shared" ca="1" si="97"/>
        <v>15.885891666666666</v>
      </c>
      <c r="D1106" s="4">
        <f t="shared" ca="1" si="97"/>
        <v>15.875391666666667</v>
      </c>
      <c r="E1106" s="4">
        <f t="shared" ca="1" si="97"/>
        <v>15.877924999999999</v>
      </c>
      <c r="F1106" s="4">
        <f t="shared" ca="1" si="97"/>
        <v>16.870958333333338</v>
      </c>
      <c r="G1106" s="4">
        <f t="shared" ca="1" si="97"/>
        <v>15.649499999999998</v>
      </c>
      <c r="H1106" s="4">
        <f t="shared" ca="1" si="97"/>
        <v>16.54805833333333</v>
      </c>
      <c r="I1106" s="4">
        <f t="shared" ca="1" si="97"/>
        <v>15.456908333333333</v>
      </c>
      <c r="J1106" s="4">
        <f t="shared" ca="1" si="97"/>
        <v>15.382474999999999</v>
      </c>
      <c r="K1106" s="4"/>
      <c r="L1106" s="5">
        <f t="shared" ca="1" si="98"/>
        <v>336.06969999999995</v>
      </c>
      <c r="M1106" s="5">
        <f t="shared" ca="1" si="98"/>
        <v>142.0401</v>
      </c>
      <c r="N1106" s="5">
        <f t="shared" ca="1" si="98"/>
        <v>58.217499999999994</v>
      </c>
      <c r="O1106" s="5">
        <f t="shared" ca="1" si="98"/>
        <v>4.4104999999999999</v>
      </c>
      <c r="P1106" s="5">
        <f t="shared" ca="1" si="98"/>
        <v>14.718800000000003</v>
      </c>
      <c r="Q1106" s="5">
        <f t="shared" ca="1" si="98"/>
        <v>231.81149999999997</v>
      </c>
      <c r="R1106" s="4"/>
      <c r="S1106" s="4"/>
    </row>
    <row r="1107" spans="1:19" ht="15" customHeight="1">
      <c r="A1107" s="3">
        <f t="shared" si="94"/>
        <v>2092</v>
      </c>
      <c r="B1107" s="4">
        <f t="shared" ref="B1107:J1115" ca="1" si="99">AVERAGE(OFFSET(B$562,($A1107-$A$1077)*12,0,12,1))</f>
        <v>16.159758333333333</v>
      </c>
      <c r="C1107" s="4">
        <f t="shared" ca="1" si="99"/>
        <v>16.170058333333333</v>
      </c>
      <c r="D1107" s="4">
        <f t="shared" ca="1" si="99"/>
        <v>16.159558333333333</v>
      </c>
      <c r="E1107" s="4">
        <f t="shared" ca="1" si="99"/>
        <v>16.162091666666665</v>
      </c>
      <c r="F1107" s="4">
        <f t="shared" ca="1" si="99"/>
        <v>17.155125000000002</v>
      </c>
      <c r="G1107" s="4">
        <f t="shared" ca="1" si="99"/>
        <v>15.929616666666663</v>
      </c>
      <c r="H1107" s="4">
        <f t="shared" ca="1" si="99"/>
        <v>16.828166666666664</v>
      </c>
      <c r="I1107" s="4">
        <f t="shared" ca="1" si="99"/>
        <v>15.732408333333334</v>
      </c>
      <c r="J1107" s="4">
        <f t="shared" ca="1" si="99"/>
        <v>15.657833333333334</v>
      </c>
      <c r="K1107" s="4"/>
      <c r="L1107" s="5">
        <f t="shared" ref="L1107:Q1115" ca="1" si="100">SUM(OFFSET(L$562,($A1107-$A$1077)*12,0,12,1))</f>
        <v>336.95349999999996</v>
      </c>
      <c r="M1107" s="5">
        <f t="shared" ca="1" si="100"/>
        <v>142.42920000000001</v>
      </c>
      <c r="N1107" s="5">
        <f t="shared" ca="1" si="100"/>
        <v>58.377000000000002</v>
      </c>
      <c r="O1107" s="5">
        <f t="shared" ca="1" si="100"/>
        <v>4.4226000000000001</v>
      </c>
      <c r="P1107" s="5">
        <f t="shared" ca="1" si="100"/>
        <v>14.760600000000004</v>
      </c>
      <c r="Q1107" s="5">
        <f t="shared" ca="1" si="100"/>
        <v>232.44659999999996</v>
      </c>
      <c r="R1107" s="4"/>
      <c r="S1107" s="4"/>
    </row>
    <row r="1108" spans="1:19" ht="15" customHeight="1">
      <c r="A1108" s="3">
        <f t="shared" si="94"/>
        <v>2093</v>
      </c>
      <c r="B1108" s="4">
        <f t="shared" ca="1" si="99"/>
        <v>16.448975000000001</v>
      </c>
      <c r="C1108" s="4">
        <f t="shared" ca="1" si="99"/>
        <v>16.459299999999999</v>
      </c>
      <c r="D1108" s="4">
        <f t="shared" ca="1" si="99"/>
        <v>16.448791666666668</v>
      </c>
      <c r="E1108" s="4">
        <f t="shared" ca="1" si="99"/>
        <v>16.451325000000001</v>
      </c>
      <c r="F1108" s="4">
        <f t="shared" ca="1" si="99"/>
        <v>17.444366666666664</v>
      </c>
      <c r="G1108" s="4">
        <f t="shared" ca="1" si="99"/>
        <v>16.214733333333331</v>
      </c>
      <c r="H1108" s="4">
        <f t="shared" ca="1" si="99"/>
        <v>17.113274999999998</v>
      </c>
      <c r="I1108" s="4">
        <f t="shared" ca="1" si="99"/>
        <v>16.012800000000002</v>
      </c>
      <c r="J1108" s="4">
        <f t="shared" ca="1" si="99"/>
        <v>15.938108333333334</v>
      </c>
      <c r="K1108" s="4"/>
      <c r="L1108" s="5">
        <f t="shared" ca="1" si="100"/>
        <v>336.06969999999995</v>
      </c>
      <c r="M1108" s="5">
        <f t="shared" ca="1" si="100"/>
        <v>142.0401</v>
      </c>
      <c r="N1108" s="5">
        <f t="shared" ca="1" si="100"/>
        <v>58.217499999999994</v>
      </c>
      <c r="O1108" s="5">
        <f t="shared" ca="1" si="100"/>
        <v>4.4104999999999999</v>
      </c>
      <c r="P1108" s="5">
        <f t="shared" ca="1" si="100"/>
        <v>14.718800000000003</v>
      </c>
      <c r="Q1108" s="5">
        <f t="shared" ca="1" si="100"/>
        <v>231.81149999999997</v>
      </c>
      <c r="R1108" s="4"/>
      <c r="S1108" s="4"/>
    </row>
    <row r="1109" spans="1:19" ht="15" customHeight="1">
      <c r="A1109" s="3">
        <f t="shared" si="94"/>
        <v>2094</v>
      </c>
      <c r="B1109" s="4">
        <f t="shared" ca="1" si="99"/>
        <v>16.743399999999998</v>
      </c>
      <c r="C1109" s="4">
        <f t="shared" ca="1" si="99"/>
        <v>16.753716666666666</v>
      </c>
      <c r="D1109" s="4">
        <f t="shared" ca="1" si="99"/>
        <v>16.743208333333335</v>
      </c>
      <c r="E1109" s="4">
        <f t="shared" ca="1" si="99"/>
        <v>16.745741666666667</v>
      </c>
      <c r="F1109" s="4">
        <f t="shared" ca="1" si="99"/>
        <v>17.73878333333333</v>
      </c>
      <c r="G1109" s="4">
        <f t="shared" ca="1" si="99"/>
        <v>16.504958333333331</v>
      </c>
      <c r="H1109" s="4">
        <f t="shared" ca="1" si="99"/>
        <v>17.403516666666668</v>
      </c>
      <c r="I1109" s="4">
        <f t="shared" ca="1" si="99"/>
        <v>16.298241666666662</v>
      </c>
      <c r="J1109" s="4">
        <f t="shared" ca="1" si="99"/>
        <v>16.223391666666664</v>
      </c>
      <c r="K1109" s="4"/>
      <c r="L1109" s="5">
        <f t="shared" ca="1" si="100"/>
        <v>336.06969999999995</v>
      </c>
      <c r="M1109" s="5">
        <f t="shared" ca="1" si="100"/>
        <v>142.0401</v>
      </c>
      <c r="N1109" s="5">
        <f t="shared" ca="1" si="100"/>
        <v>58.217499999999994</v>
      </c>
      <c r="O1109" s="5">
        <f t="shared" ca="1" si="100"/>
        <v>4.4104999999999999</v>
      </c>
      <c r="P1109" s="5">
        <f t="shared" ca="1" si="100"/>
        <v>14.718800000000003</v>
      </c>
      <c r="Q1109" s="5">
        <f t="shared" ca="1" si="100"/>
        <v>231.81149999999997</v>
      </c>
      <c r="R1109" s="4"/>
      <c r="S1109" s="4"/>
    </row>
    <row r="1110" spans="1:19" ht="15" customHeight="1">
      <c r="A1110" s="3">
        <f t="shared" si="94"/>
        <v>2095</v>
      </c>
      <c r="B1110" s="4">
        <f t="shared" ca="1" si="99"/>
        <v>17.043099999999999</v>
      </c>
      <c r="C1110" s="4">
        <f t="shared" ca="1" si="99"/>
        <v>17.0534</v>
      </c>
      <c r="D1110" s="4">
        <f t="shared" ca="1" si="99"/>
        <v>17.042891666666666</v>
      </c>
      <c r="E1110" s="4">
        <f t="shared" ca="1" si="99"/>
        <v>17.045425000000002</v>
      </c>
      <c r="F1110" s="4">
        <f t="shared" ca="1" si="99"/>
        <v>18.038475000000002</v>
      </c>
      <c r="G1110" s="4">
        <f t="shared" ca="1" si="99"/>
        <v>16.800374999999999</v>
      </c>
      <c r="H1110" s="4">
        <f t="shared" ca="1" si="99"/>
        <v>17.698941666666666</v>
      </c>
      <c r="I1110" s="4">
        <f t="shared" ca="1" si="99"/>
        <v>16.588774999999998</v>
      </c>
      <c r="J1110" s="4">
        <f t="shared" ca="1" si="99"/>
        <v>16.513791666666666</v>
      </c>
      <c r="K1110" s="4"/>
      <c r="L1110" s="5">
        <f t="shared" ca="1" si="100"/>
        <v>336.06969999999995</v>
      </c>
      <c r="M1110" s="5">
        <f t="shared" ca="1" si="100"/>
        <v>142.0401</v>
      </c>
      <c r="N1110" s="5">
        <f t="shared" ca="1" si="100"/>
        <v>58.217499999999994</v>
      </c>
      <c r="O1110" s="5">
        <f t="shared" ca="1" si="100"/>
        <v>4.4104999999999999</v>
      </c>
      <c r="P1110" s="5">
        <f t="shared" ca="1" si="100"/>
        <v>14.718800000000003</v>
      </c>
      <c r="Q1110" s="5">
        <f t="shared" ca="1" si="100"/>
        <v>231.81149999999997</v>
      </c>
      <c r="R1110" s="4"/>
      <c r="S1110" s="4"/>
    </row>
    <row r="1111" spans="1:19" ht="15" customHeight="1">
      <c r="A1111" s="3">
        <f t="shared" si="94"/>
        <v>2096</v>
      </c>
      <c r="B1111" s="4">
        <f t="shared" ca="1" si="99"/>
        <v>17.348125</v>
      </c>
      <c r="C1111" s="4">
        <f t="shared" ca="1" si="99"/>
        <v>17.358450000000001</v>
      </c>
      <c r="D1111" s="4">
        <f t="shared" ca="1" si="99"/>
        <v>17.347958333333334</v>
      </c>
      <c r="E1111" s="4">
        <f t="shared" ca="1" si="99"/>
        <v>17.350483333333333</v>
      </c>
      <c r="F1111" s="4">
        <f t="shared" ca="1" si="99"/>
        <v>18.34353333333333</v>
      </c>
      <c r="G1111" s="4">
        <f t="shared" ca="1" si="99"/>
        <v>17.101083333333332</v>
      </c>
      <c r="H1111" s="4">
        <f t="shared" ca="1" si="99"/>
        <v>17.999649999999999</v>
      </c>
      <c r="I1111" s="4">
        <f t="shared" ca="1" si="99"/>
        <v>16.884550000000001</v>
      </c>
      <c r="J1111" s="4">
        <f t="shared" ca="1" si="99"/>
        <v>16.80940833333333</v>
      </c>
      <c r="K1111" s="4"/>
      <c r="L1111" s="5">
        <f t="shared" ca="1" si="100"/>
        <v>336.95349999999996</v>
      </c>
      <c r="M1111" s="5">
        <f t="shared" ca="1" si="100"/>
        <v>142.42920000000001</v>
      </c>
      <c r="N1111" s="5">
        <f t="shared" ca="1" si="100"/>
        <v>58.377000000000002</v>
      </c>
      <c r="O1111" s="5">
        <f t="shared" ca="1" si="100"/>
        <v>4.4226000000000001</v>
      </c>
      <c r="P1111" s="5">
        <f t="shared" ca="1" si="100"/>
        <v>14.760600000000004</v>
      </c>
      <c r="Q1111" s="5">
        <f t="shared" ca="1" si="100"/>
        <v>232.44659999999996</v>
      </c>
      <c r="R1111" s="4"/>
      <c r="S1111" s="4"/>
    </row>
    <row r="1112" spans="1:19" ht="15" customHeight="1">
      <c r="A1112" s="3">
        <f t="shared" si="94"/>
        <v>2097</v>
      </c>
      <c r="B1112" s="4">
        <f t="shared" ca="1" si="99"/>
        <v>17.658641666666668</v>
      </c>
      <c r="C1112" s="4">
        <f t="shared" ca="1" si="99"/>
        <v>17.668983333333333</v>
      </c>
      <c r="D1112" s="4">
        <f t="shared" ca="1" si="99"/>
        <v>17.658474999999999</v>
      </c>
      <c r="E1112" s="4">
        <f t="shared" ca="1" si="99"/>
        <v>17.661008333333331</v>
      </c>
      <c r="F1112" s="4">
        <f t="shared" ca="1" si="99"/>
        <v>18.654058333333335</v>
      </c>
      <c r="G1112" s="4">
        <f t="shared" ca="1" si="99"/>
        <v>17.407183333333332</v>
      </c>
      <c r="H1112" s="4">
        <f t="shared" ca="1" si="99"/>
        <v>18.305724999999999</v>
      </c>
      <c r="I1112" s="4">
        <f t="shared" ca="1" si="99"/>
        <v>17.185566666666663</v>
      </c>
      <c r="J1112" s="4">
        <f t="shared" ca="1" si="99"/>
        <v>17.110283333333332</v>
      </c>
      <c r="K1112" s="4"/>
      <c r="L1112" s="5">
        <f t="shared" ca="1" si="100"/>
        <v>336.06969999999995</v>
      </c>
      <c r="M1112" s="5">
        <f t="shared" ca="1" si="100"/>
        <v>142.0401</v>
      </c>
      <c r="N1112" s="5">
        <f t="shared" ca="1" si="100"/>
        <v>58.217499999999994</v>
      </c>
      <c r="O1112" s="5">
        <f t="shared" ca="1" si="100"/>
        <v>4.4104999999999999</v>
      </c>
      <c r="P1112" s="5">
        <f t="shared" ca="1" si="100"/>
        <v>14.718800000000003</v>
      </c>
      <c r="Q1112" s="5">
        <f t="shared" ca="1" si="100"/>
        <v>231.81149999999997</v>
      </c>
      <c r="R1112" s="4"/>
      <c r="S1112" s="4"/>
    </row>
    <row r="1113" spans="1:19" ht="15" customHeight="1">
      <c r="A1113" s="3">
        <f t="shared" si="94"/>
        <v>2098</v>
      </c>
      <c r="B1113" s="4">
        <f t="shared" ca="1" si="99"/>
        <v>17.974741666666667</v>
      </c>
      <c r="C1113" s="4">
        <f t="shared" ca="1" si="99"/>
        <v>17.985050000000001</v>
      </c>
      <c r="D1113" s="4">
        <f t="shared" ca="1" si="99"/>
        <v>17.974558333333331</v>
      </c>
      <c r="E1113" s="4">
        <f t="shared" ca="1" si="99"/>
        <v>17.977091666666663</v>
      </c>
      <c r="F1113" s="4">
        <f t="shared" ca="1" si="99"/>
        <v>18.970124999999999</v>
      </c>
      <c r="G1113" s="4">
        <f t="shared" ca="1" si="99"/>
        <v>17.718766666666667</v>
      </c>
      <c r="H1113" s="4">
        <f t="shared" ca="1" si="99"/>
        <v>18.617308333333334</v>
      </c>
      <c r="I1113" s="4">
        <f t="shared" ca="1" si="99"/>
        <v>17.491991666666667</v>
      </c>
      <c r="J1113" s="4">
        <f t="shared" ca="1" si="99"/>
        <v>17.416566666666665</v>
      </c>
      <c r="K1113" s="4"/>
      <c r="L1113" s="5">
        <f t="shared" ca="1" si="100"/>
        <v>336.06969999999995</v>
      </c>
      <c r="M1113" s="5">
        <f t="shared" ca="1" si="100"/>
        <v>142.0401</v>
      </c>
      <c r="N1113" s="5">
        <f t="shared" ca="1" si="100"/>
        <v>58.217499999999994</v>
      </c>
      <c r="O1113" s="5">
        <f t="shared" ca="1" si="100"/>
        <v>4.4104999999999999</v>
      </c>
      <c r="P1113" s="5">
        <f t="shared" ca="1" si="100"/>
        <v>14.718800000000003</v>
      </c>
      <c r="Q1113" s="5">
        <f t="shared" ca="1" si="100"/>
        <v>231.81149999999997</v>
      </c>
      <c r="R1113" s="4"/>
      <c r="S1113" s="4"/>
    </row>
    <row r="1114" spans="1:19" ht="15" customHeight="1">
      <c r="A1114" s="3">
        <f t="shared" si="94"/>
        <v>2099</v>
      </c>
      <c r="B1114" s="4">
        <f t="shared" ca="1" si="99"/>
        <v>18.29645833333333</v>
      </c>
      <c r="C1114" s="4">
        <f t="shared" ca="1" si="99"/>
        <v>18.306774999999998</v>
      </c>
      <c r="D1114" s="4">
        <f t="shared" ca="1" si="99"/>
        <v>18.296275000000001</v>
      </c>
      <c r="E1114" s="4">
        <f t="shared" ca="1" si="99"/>
        <v>18.298799999999996</v>
      </c>
      <c r="F1114" s="4">
        <f t="shared" ca="1" si="99"/>
        <v>19.291833333333333</v>
      </c>
      <c r="G1114" s="4">
        <f t="shared" ca="1" si="99"/>
        <v>18.035908333333328</v>
      </c>
      <c r="H1114" s="4">
        <f t="shared" ca="1" si="99"/>
        <v>18.934458333333335</v>
      </c>
      <c r="I1114" s="4">
        <f t="shared" ca="1" si="99"/>
        <v>17.803916666666662</v>
      </c>
      <c r="J1114" s="4">
        <f t="shared" ca="1" si="99"/>
        <v>17.728316666666668</v>
      </c>
      <c r="K1114" s="4"/>
      <c r="L1114" s="5">
        <f t="shared" ca="1" si="100"/>
        <v>336.06969999999995</v>
      </c>
      <c r="M1114" s="5">
        <f t="shared" ca="1" si="100"/>
        <v>142.0401</v>
      </c>
      <c r="N1114" s="5">
        <f t="shared" ca="1" si="100"/>
        <v>58.217499999999994</v>
      </c>
      <c r="O1114" s="5">
        <f t="shared" ca="1" si="100"/>
        <v>4.4104999999999999</v>
      </c>
      <c r="P1114" s="5">
        <f t="shared" ca="1" si="100"/>
        <v>14.718800000000003</v>
      </c>
      <c r="Q1114" s="5">
        <f t="shared" ca="1" si="100"/>
        <v>231.81149999999997</v>
      </c>
      <c r="R1114" s="4"/>
      <c r="S1114" s="4"/>
    </row>
    <row r="1115" spans="1:19" ht="15" customHeight="1">
      <c r="A1115" s="3">
        <f t="shared" si="94"/>
        <v>2100</v>
      </c>
      <c r="B1115" s="4">
        <f t="shared" ca="1" si="99"/>
        <v>18.623950000000001</v>
      </c>
      <c r="C1115" s="4">
        <f t="shared" ca="1" si="99"/>
        <v>18.634274999999999</v>
      </c>
      <c r="D1115" s="4">
        <f t="shared" ca="1" si="99"/>
        <v>18.623766666666665</v>
      </c>
      <c r="E1115" s="4">
        <f t="shared" ca="1" si="99"/>
        <v>18.626300000000001</v>
      </c>
      <c r="F1115" s="4">
        <f t="shared" ca="1" si="99"/>
        <v>19.619325</v>
      </c>
      <c r="G1115" s="4">
        <f t="shared" ca="1" si="99"/>
        <v>18.358741666666671</v>
      </c>
      <c r="H1115" s="4">
        <f t="shared" ca="1" si="99"/>
        <v>19.25728333333333</v>
      </c>
      <c r="I1115" s="4">
        <f t="shared" ca="1" si="99"/>
        <v>18.121399999999998</v>
      </c>
      <c r="J1115" s="4">
        <f t="shared" ca="1" si="99"/>
        <v>18.045658333333336</v>
      </c>
      <c r="K1115" s="4"/>
      <c r="L1115" s="5">
        <f t="shared" ca="1" si="100"/>
        <v>336.06969999999995</v>
      </c>
      <c r="M1115" s="5">
        <f t="shared" ca="1" si="100"/>
        <v>142.0401</v>
      </c>
      <c r="N1115" s="5">
        <f t="shared" ca="1" si="100"/>
        <v>58.217499999999994</v>
      </c>
      <c r="O1115" s="5">
        <f t="shared" ca="1" si="100"/>
        <v>4.4104999999999999</v>
      </c>
      <c r="P1115" s="5">
        <f t="shared" ca="1" si="100"/>
        <v>14.718800000000003</v>
      </c>
      <c r="Q1115" s="5">
        <f t="shared" ca="1" si="100"/>
        <v>231.81149999999997</v>
      </c>
      <c r="R1115" s="4"/>
      <c r="S1115" s="4"/>
    </row>
    <row r="1116" spans="1:19">
      <c r="A1116" s="3"/>
    </row>
    <row r="1117" spans="1:19">
      <c r="A1117" s="3"/>
    </row>
    <row r="1118" spans="1:19">
      <c r="A1118" s="3"/>
    </row>
    <row r="1119" spans="1:19">
      <c r="A1119" s="3"/>
    </row>
    <row r="1120" spans="1:19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</sheetData>
  <mergeCells count="2">
    <mergeCell ref="L6:S6"/>
    <mergeCell ref="L7:S7"/>
  </mergeCells>
  <pageMargins left="0.75" right="0.75" top="1" bottom="1" header="0.5" footer="0.5"/>
  <pageSetup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locked="0" defaultSize="0" autoLine="0" autoPict="0">
                <anchor moveWithCells="1">
                  <from>
                    <xdr:col>3</xdr:col>
                    <xdr:colOff>0</xdr:colOff>
                    <xdr:row>4</xdr:row>
                    <xdr:rowOff>144780</xdr:rowOff>
                  </from>
                  <to>
                    <xdr:col>4</xdr:col>
                    <xdr:colOff>533400</xdr:colOff>
                    <xdr:row>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locked="0" defaultSize="0" autoLine="0" autoPict="0">
                <anchor moveWithCells="1">
                  <from>
                    <xdr:col>4</xdr:col>
                    <xdr:colOff>533400</xdr:colOff>
                    <xdr:row>4</xdr:row>
                    <xdr:rowOff>144780</xdr:rowOff>
                  </from>
                  <to>
                    <xdr:col>6</xdr:col>
                    <xdr:colOff>259080</xdr:colOff>
                    <xdr:row>6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T1135"/>
  <sheetViews>
    <sheetView zoomScale="70" zoomScaleNormal="70" workbookViewId="0">
      <pane xSplit="1" ySplit="9" topLeftCell="B10" activePane="bottomRight" state="frozen"/>
      <selection activeCell="S136" sqref="S136"/>
      <selection pane="topRight" activeCell="S136" sqref="S136"/>
      <selection pane="bottomLeft" activeCell="S136" sqref="S136"/>
      <selection pane="bottomRight" activeCell="I1" sqref="I1"/>
    </sheetView>
  </sheetViews>
  <sheetFormatPr defaultColWidth="7.08984375" defaultRowHeight="13.2"/>
  <cols>
    <col min="1" max="1" width="7.54296875" style="30" bestFit="1" customWidth="1"/>
    <col min="2" max="2" width="7.90625" style="30" customWidth="1"/>
    <col min="3" max="7" width="11.36328125" style="29" customWidth="1"/>
    <col min="8" max="8" width="12.81640625" style="29" bestFit="1" customWidth="1"/>
    <col min="9" max="9" width="13.1796875" style="29" customWidth="1"/>
    <col min="10" max="10" width="12.81640625" style="29" customWidth="1"/>
    <col min="11" max="11" width="7.81640625" style="29" customWidth="1"/>
    <col min="12" max="16384" width="7.08984375" style="29"/>
  </cols>
  <sheetData>
    <row r="1" spans="1:20" ht="21">
      <c r="A1" s="28" t="s">
        <v>35</v>
      </c>
      <c r="I1" s="92" t="s">
        <v>65</v>
      </c>
    </row>
    <row r="2" spans="1:20" ht="15.6">
      <c r="A2" s="27" t="s">
        <v>25</v>
      </c>
    </row>
    <row r="4" spans="1:20">
      <c r="A4" s="29"/>
    </row>
    <row r="5" spans="1:20" ht="15.6">
      <c r="A5" s="29"/>
      <c r="B5" s="27"/>
      <c r="C5" s="50"/>
      <c r="I5" s="21"/>
    </row>
    <row r="6" spans="1:20" ht="15.6">
      <c r="A6" s="27"/>
      <c r="B6" s="27"/>
      <c r="C6" s="50"/>
      <c r="I6" s="21"/>
    </row>
    <row r="7" spans="1:20" ht="15.6">
      <c r="A7" s="27"/>
      <c r="C7" s="82" t="s">
        <v>34</v>
      </c>
      <c r="D7" s="82"/>
      <c r="E7" s="82"/>
      <c r="F7" s="49"/>
      <c r="G7" s="48"/>
      <c r="H7" s="47"/>
      <c r="I7" s="46"/>
    </row>
    <row r="8" spans="1:20" ht="97.95" customHeight="1">
      <c r="A8" s="15"/>
      <c r="B8" s="15"/>
      <c r="C8" s="18" t="s">
        <v>20</v>
      </c>
      <c r="D8" s="45" t="s">
        <v>19</v>
      </c>
      <c r="E8" s="18" t="s">
        <v>33</v>
      </c>
      <c r="F8" s="18" t="s">
        <v>32</v>
      </c>
      <c r="G8" s="18" t="s">
        <v>16</v>
      </c>
      <c r="H8" s="44" t="s">
        <v>31</v>
      </c>
      <c r="I8" s="18" t="s">
        <v>30</v>
      </c>
      <c r="J8" s="18" t="s">
        <v>29</v>
      </c>
    </row>
    <row r="9" spans="1:20" ht="15.6">
      <c r="A9" s="17" t="s">
        <v>2</v>
      </c>
      <c r="B9" s="17" t="s">
        <v>28</v>
      </c>
      <c r="C9" s="17" t="s">
        <v>27</v>
      </c>
      <c r="D9" s="17" t="s">
        <v>27</v>
      </c>
      <c r="E9" s="17" t="s">
        <v>27</v>
      </c>
      <c r="F9" s="17" t="s">
        <v>27</v>
      </c>
      <c r="G9" s="17" t="s">
        <v>27</v>
      </c>
      <c r="H9" s="43" t="s">
        <v>27</v>
      </c>
      <c r="I9" s="17" t="s">
        <v>27</v>
      </c>
      <c r="J9" s="17" t="s">
        <v>27</v>
      </c>
    </row>
    <row r="10" spans="1:20" ht="15.6">
      <c r="A10" s="13">
        <v>42370</v>
      </c>
      <c r="B10" s="41">
        <v>31</v>
      </c>
      <c r="C10" s="32">
        <v>122.58</v>
      </c>
      <c r="D10" s="32">
        <v>297.94099999999997</v>
      </c>
      <c r="E10" s="38">
        <v>729.47900000000004</v>
      </c>
      <c r="F10" s="32">
        <v>1150</v>
      </c>
      <c r="G10" s="32">
        <v>100</v>
      </c>
      <c r="H10" s="40"/>
      <c r="I10" s="32">
        <v>695</v>
      </c>
      <c r="J10" s="32">
        <v>50</v>
      </c>
      <c r="K10" s="33"/>
      <c r="L10" s="42"/>
      <c r="M10" s="33"/>
      <c r="N10" s="33"/>
      <c r="O10" s="33"/>
      <c r="P10" s="33"/>
      <c r="Q10" s="33"/>
      <c r="R10" s="33"/>
      <c r="S10" s="33"/>
      <c r="T10" s="33"/>
    </row>
    <row r="11" spans="1:20" ht="15.6">
      <c r="A11" s="13">
        <v>42401</v>
      </c>
      <c r="B11" s="41">
        <v>29</v>
      </c>
      <c r="C11" s="32">
        <v>122.58</v>
      </c>
      <c r="D11" s="32">
        <v>297.94099999999997</v>
      </c>
      <c r="E11" s="38">
        <v>729.47900000000004</v>
      </c>
      <c r="F11" s="32">
        <v>1150</v>
      </c>
      <c r="G11" s="32">
        <v>100</v>
      </c>
      <c r="H11" s="40"/>
      <c r="I11" s="32">
        <v>695</v>
      </c>
      <c r="J11" s="32">
        <v>50</v>
      </c>
      <c r="K11" s="33"/>
      <c r="L11" s="42"/>
      <c r="M11" s="33"/>
      <c r="N11" s="33"/>
      <c r="O11" s="33"/>
      <c r="P11" s="33"/>
      <c r="Q11" s="33"/>
      <c r="R11" s="33"/>
      <c r="S11" s="33"/>
      <c r="T11" s="33"/>
    </row>
    <row r="12" spans="1:20" ht="15.6">
      <c r="A12" s="13">
        <v>42430</v>
      </c>
      <c r="B12" s="41">
        <v>31</v>
      </c>
      <c r="C12" s="32">
        <v>122.58</v>
      </c>
      <c r="D12" s="32">
        <v>297.94099999999997</v>
      </c>
      <c r="E12" s="38">
        <v>729.47900000000004</v>
      </c>
      <c r="F12" s="32">
        <v>1150</v>
      </c>
      <c r="G12" s="32">
        <v>100</v>
      </c>
      <c r="H12" s="40"/>
      <c r="I12" s="32">
        <v>695</v>
      </c>
      <c r="J12" s="32">
        <v>50</v>
      </c>
      <c r="K12" s="33"/>
      <c r="L12" s="42"/>
      <c r="M12" s="33"/>
      <c r="N12" s="33"/>
      <c r="O12" s="33"/>
      <c r="P12" s="33"/>
      <c r="Q12" s="33"/>
      <c r="R12" s="33"/>
      <c r="S12" s="33"/>
      <c r="T12" s="33"/>
    </row>
    <row r="13" spans="1:20" ht="15.6">
      <c r="A13" s="13">
        <v>42461</v>
      </c>
      <c r="B13" s="41">
        <v>30</v>
      </c>
      <c r="C13" s="32">
        <v>141.29300000000001</v>
      </c>
      <c r="D13" s="32">
        <v>267.99299999999999</v>
      </c>
      <c r="E13" s="38">
        <v>829.71400000000006</v>
      </c>
      <c r="F13" s="32">
        <v>1239</v>
      </c>
      <c r="G13" s="32">
        <v>100</v>
      </c>
      <c r="H13" s="40"/>
      <c r="I13" s="32">
        <v>695</v>
      </c>
      <c r="J13" s="32">
        <v>50</v>
      </c>
      <c r="K13" s="33"/>
      <c r="L13" s="42"/>
      <c r="M13" s="33"/>
      <c r="N13" s="33"/>
      <c r="O13" s="33"/>
      <c r="P13" s="33"/>
      <c r="Q13" s="33"/>
      <c r="R13" s="33"/>
      <c r="S13" s="33"/>
      <c r="T13" s="33"/>
    </row>
    <row r="14" spans="1:20" ht="15.6">
      <c r="A14" s="13">
        <v>42491</v>
      </c>
      <c r="B14" s="41">
        <v>31</v>
      </c>
      <c r="C14" s="32">
        <v>194.20500000000001</v>
      </c>
      <c r="D14" s="32">
        <v>267.46600000000001</v>
      </c>
      <c r="E14" s="38">
        <v>932.32899999999995</v>
      </c>
      <c r="F14" s="32">
        <v>1394</v>
      </c>
      <c r="G14" s="32">
        <v>75</v>
      </c>
      <c r="H14" s="40"/>
      <c r="I14" s="32">
        <v>695</v>
      </c>
      <c r="J14" s="32">
        <v>50</v>
      </c>
      <c r="K14" s="33"/>
      <c r="L14" s="42"/>
      <c r="M14" s="33"/>
      <c r="N14" s="33"/>
      <c r="O14" s="33"/>
      <c r="P14" s="33"/>
      <c r="Q14" s="33"/>
      <c r="R14" s="33"/>
      <c r="S14" s="33"/>
      <c r="T14" s="33"/>
    </row>
    <row r="15" spans="1:20" ht="15.6">
      <c r="A15" s="13">
        <v>42522</v>
      </c>
      <c r="B15" s="41">
        <v>30</v>
      </c>
      <c r="C15" s="32">
        <v>194.20500000000001</v>
      </c>
      <c r="D15" s="32">
        <v>267.46600000000001</v>
      </c>
      <c r="E15" s="38">
        <v>932.32899999999995</v>
      </c>
      <c r="F15" s="32">
        <v>1394</v>
      </c>
      <c r="G15" s="32">
        <v>50</v>
      </c>
      <c r="H15" s="40"/>
      <c r="I15" s="32">
        <v>695</v>
      </c>
      <c r="J15" s="32">
        <v>50</v>
      </c>
      <c r="K15" s="33"/>
      <c r="L15" s="42"/>
      <c r="M15" s="33"/>
      <c r="N15" s="33"/>
      <c r="O15" s="33"/>
      <c r="P15" s="33"/>
      <c r="Q15" s="33"/>
      <c r="R15" s="33"/>
      <c r="S15" s="33"/>
      <c r="T15" s="33"/>
    </row>
    <row r="16" spans="1:20" ht="15.6">
      <c r="A16" s="13">
        <v>42552</v>
      </c>
      <c r="B16" s="41">
        <v>31</v>
      </c>
      <c r="C16" s="32">
        <v>194.20500000000001</v>
      </c>
      <c r="D16" s="32">
        <v>267.46600000000001</v>
      </c>
      <c r="E16" s="38">
        <v>932.32899999999995</v>
      </c>
      <c r="F16" s="32">
        <v>1394</v>
      </c>
      <c r="G16" s="32">
        <v>50</v>
      </c>
      <c r="H16" s="40"/>
      <c r="I16" s="32">
        <v>695</v>
      </c>
      <c r="J16" s="32">
        <v>0</v>
      </c>
      <c r="K16" s="33"/>
      <c r="L16" s="42"/>
      <c r="M16" s="33"/>
      <c r="N16" s="33"/>
      <c r="O16" s="33"/>
      <c r="P16" s="33"/>
      <c r="Q16" s="33"/>
      <c r="R16" s="33"/>
      <c r="S16" s="33"/>
      <c r="T16" s="33"/>
    </row>
    <row r="17" spans="1:20" ht="15.6">
      <c r="A17" s="13">
        <v>42583</v>
      </c>
      <c r="B17" s="41">
        <v>31</v>
      </c>
      <c r="C17" s="32">
        <v>194.20500000000001</v>
      </c>
      <c r="D17" s="32">
        <v>267.46600000000001</v>
      </c>
      <c r="E17" s="38">
        <v>932.32899999999995</v>
      </c>
      <c r="F17" s="32">
        <v>1394</v>
      </c>
      <c r="G17" s="32">
        <v>50</v>
      </c>
      <c r="H17" s="40"/>
      <c r="I17" s="32">
        <v>695</v>
      </c>
      <c r="J17" s="32">
        <v>0</v>
      </c>
      <c r="K17" s="33"/>
      <c r="L17" s="42"/>
      <c r="M17" s="33"/>
      <c r="N17" s="33"/>
      <c r="O17" s="33"/>
      <c r="P17" s="33"/>
      <c r="Q17" s="33"/>
      <c r="R17" s="33"/>
      <c r="S17" s="33"/>
      <c r="T17" s="33"/>
    </row>
    <row r="18" spans="1:20" ht="15.6">
      <c r="A18" s="13">
        <v>42614</v>
      </c>
      <c r="B18" s="41">
        <v>30</v>
      </c>
      <c r="C18" s="32">
        <v>194.20500000000001</v>
      </c>
      <c r="D18" s="32">
        <v>267.46600000000001</v>
      </c>
      <c r="E18" s="38">
        <v>932.32899999999995</v>
      </c>
      <c r="F18" s="32">
        <v>1394</v>
      </c>
      <c r="G18" s="32">
        <v>50</v>
      </c>
      <c r="H18" s="40"/>
      <c r="I18" s="32">
        <v>695</v>
      </c>
      <c r="J18" s="32">
        <v>0</v>
      </c>
      <c r="K18" s="33"/>
      <c r="L18" s="42"/>
      <c r="M18" s="33"/>
      <c r="N18" s="33"/>
      <c r="O18" s="33"/>
      <c r="P18" s="33"/>
      <c r="Q18" s="33"/>
      <c r="R18" s="33"/>
      <c r="S18" s="33"/>
      <c r="T18" s="33"/>
    </row>
    <row r="19" spans="1:20" ht="15.6">
      <c r="A19" s="13">
        <v>42644</v>
      </c>
      <c r="B19" s="41">
        <v>31</v>
      </c>
      <c r="C19" s="32">
        <v>131.881</v>
      </c>
      <c r="D19" s="32">
        <v>277.16699999999997</v>
      </c>
      <c r="E19" s="38">
        <v>949.952</v>
      </c>
      <c r="F19" s="32">
        <v>1359</v>
      </c>
      <c r="G19" s="32">
        <v>75</v>
      </c>
      <c r="H19" s="40"/>
      <c r="I19" s="32">
        <v>695</v>
      </c>
      <c r="J19" s="32">
        <v>0</v>
      </c>
      <c r="K19" s="33"/>
      <c r="L19" s="42"/>
      <c r="M19" s="33"/>
      <c r="N19" s="33"/>
      <c r="O19" s="33"/>
      <c r="P19" s="33"/>
      <c r="Q19" s="33"/>
      <c r="R19" s="33"/>
      <c r="S19" s="33"/>
      <c r="T19" s="33"/>
    </row>
    <row r="20" spans="1:20" ht="15.6">
      <c r="A20" s="13">
        <v>42675</v>
      </c>
      <c r="B20" s="41">
        <v>30</v>
      </c>
      <c r="C20" s="32">
        <v>122.58</v>
      </c>
      <c r="D20" s="32">
        <v>297.94099999999997</v>
      </c>
      <c r="E20" s="38">
        <v>729.47900000000004</v>
      </c>
      <c r="F20" s="32">
        <v>1150</v>
      </c>
      <c r="G20" s="32">
        <v>100</v>
      </c>
      <c r="H20" s="40"/>
      <c r="I20" s="32">
        <v>695</v>
      </c>
      <c r="J20" s="32">
        <v>50</v>
      </c>
      <c r="K20" s="33"/>
      <c r="L20" s="42"/>
      <c r="M20" s="33"/>
      <c r="N20" s="33"/>
      <c r="O20" s="33"/>
      <c r="P20" s="33"/>
      <c r="Q20" s="33"/>
      <c r="R20" s="33"/>
      <c r="S20" s="33"/>
      <c r="T20" s="33"/>
    </row>
    <row r="21" spans="1:20" ht="15.6">
      <c r="A21" s="13">
        <v>42705</v>
      </c>
      <c r="B21" s="41">
        <v>31</v>
      </c>
      <c r="C21" s="32">
        <v>122.58</v>
      </c>
      <c r="D21" s="32">
        <v>297.94099999999997</v>
      </c>
      <c r="E21" s="38">
        <v>729.47900000000004</v>
      </c>
      <c r="F21" s="32">
        <v>1150</v>
      </c>
      <c r="G21" s="32">
        <v>100</v>
      </c>
      <c r="H21" s="40"/>
      <c r="I21" s="32">
        <v>695</v>
      </c>
      <c r="J21" s="32">
        <v>50</v>
      </c>
      <c r="K21" s="33"/>
      <c r="L21" s="42"/>
      <c r="M21" s="33"/>
      <c r="N21" s="33"/>
      <c r="O21" s="33"/>
      <c r="P21" s="33"/>
      <c r="Q21" s="33"/>
      <c r="R21" s="33"/>
      <c r="S21" s="33"/>
      <c r="T21" s="33"/>
    </row>
    <row r="22" spans="1:20" ht="15.6">
      <c r="A22" s="13">
        <v>42736</v>
      </c>
      <c r="B22" s="41">
        <v>31</v>
      </c>
      <c r="C22" s="32">
        <v>122.58</v>
      </c>
      <c r="D22" s="32">
        <v>297.94099999999997</v>
      </c>
      <c r="E22" s="38">
        <v>729.47900000000004</v>
      </c>
      <c r="F22" s="32">
        <v>1150</v>
      </c>
      <c r="G22" s="32">
        <v>100</v>
      </c>
      <c r="H22" s="40"/>
      <c r="I22" s="32">
        <v>695</v>
      </c>
      <c r="J22" s="32">
        <v>50</v>
      </c>
      <c r="K22" s="33"/>
      <c r="L22" s="42"/>
      <c r="M22" s="33"/>
      <c r="N22" s="33"/>
      <c r="O22" s="33"/>
      <c r="P22" s="33"/>
      <c r="Q22" s="33"/>
      <c r="R22" s="33"/>
      <c r="S22" s="33"/>
      <c r="T22" s="33"/>
    </row>
    <row r="23" spans="1:20" ht="15.6">
      <c r="A23" s="13">
        <v>42767</v>
      </c>
      <c r="B23" s="41">
        <v>28</v>
      </c>
      <c r="C23" s="32">
        <v>122.58</v>
      </c>
      <c r="D23" s="32">
        <v>297.94099999999997</v>
      </c>
      <c r="E23" s="38">
        <v>729.47900000000004</v>
      </c>
      <c r="F23" s="32">
        <v>1150</v>
      </c>
      <c r="G23" s="32">
        <v>100</v>
      </c>
      <c r="H23" s="40"/>
      <c r="I23" s="32">
        <v>695</v>
      </c>
      <c r="J23" s="32">
        <v>50</v>
      </c>
      <c r="K23" s="33"/>
      <c r="L23" s="42"/>
      <c r="M23" s="33"/>
      <c r="N23" s="33"/>
      <c r="O23" s="33"/>
      <c r="P23" s="33"/>
      <c r="Q23" s="33"/>
      <c r="R23" s="33"/>
      <c r="S23" s="33"/>
      <c r="T23" s="33"/>
    </row>
    <row r="24" spans="1:20" ht="15.6">
      <c r="A24" s="13">
        <v>42795</v>
      </c>
      <c r="B24" s="41">
        <v>31</v>
      </c>
      <c r="C24" s="32">
        <v>122.58</v>
      </c>
      <c r="D24" s="32">
        <v>297.94099999999997</v>
      </c>
      <c r="E24" s="38">
        <v>729.47900000000004</v>
      </c>
      <c r="F24" s="32">
        <v>1150</v>
      </c>
      <c r="G24" s="32">
        <v>100</v>
      </c>
      <c r="H24" s="40"/>
      <c r="I24" s="32">
        <v>695</v>
      </c>
      <c r="J24" s="32">
        <v>50</v>
      </c>
      <c r="K24" s="33"/>
      <c r="L24" s="42"/>
      <c r="M24" s="33"/>
      <c r="N24" s="33"/>
      <c r="O24" s="33"/>
      <c r="P24" s="33"/>
      <c r="Q24" s="33"/>
      <c r="R24" s="33"/>
      <c r="S24" s="33"/>
      <c r="T24" s="33"/>
    </row>
    <row r="25" spans="1:20" ht="15.6">
      <c r="A25" s="13">
        <v>42826</v>
      </c>
      <c r="B25" s="41">
        <v>30</v>
      </c>
      <c r="C25" s="32">
        <v>141.29300000000001</v>
      </c>
      <c r="D25" s="32">
        <v>267.99299999999999</v>
      </c>
      <c r="E25" s="38">
        <v>929.71400000000006</v>
      </c>
      <c r="F25" s="32">
        <v>1339</v>
      </c>
      <c r="G25" s="32">
        <v>100</v>
      </c>
      <c r="H25" s="40"/>
      <c r="I25" s="32">
        <v>695</v>
      </c>
      <c r="J25" s="32">
        <v>50</v>
      </c>
      <c r="K25" s="33"/>
      <c r="L25" s="42"/>
      <c r="M25" s="33"/>
      <c r="N25" s="33"/>
      <c r="O25" s="33"/>
      <c r="P25" s="33"/>
      <c r="Q25" s="33"/>
      <c r="R25" s="33"/>
      <c r="S25" s="33"/>
      <c r="T25" s="33"/>
    </row>
    <row r="26" spans="1:20" ht="15.6">
      <c r="A26" s="13">
        <v>42856</v>
      </c>
      <c r="B26" s="41">
        <v>31</v>
      </c>
      <c r="C26" s="32">
        <v>194.20500000000001</v>
      </c>
      <c r="D26" s="32">
        <v>267.46600000000001</v>
      </c>
      <c r="E26" s="38">
        <v>915.82899999999995</v>
      </c>
      <c r="F26" s="32">
        <v>1377.5</v>
      </c>
      <c r="G26" s="32">
        <v>75</v>
      </c>
      <c r="H26" s="40">
        <v>400</v>
      </c>
      <c r="I26" s="32">
        <v>695</v>
      </c>
      <c r="J26" s="32">
        <v>50</v>
      </c>
      <c r="K26" s="33"/>
      <c r="L26" s="42"/>
      <c r="M26" s="33"/>
      <c r="N26" s="33"/>
      <c r="O26" s="33"/>
      <c r="P26" s="33"/>
      <c r="Q26" s="33"/>
      <c r="R26" s="33"/>
      <c r="S26" s="33"/>
      <c r="T26" s="33"/>
    </row>
    <row r="27" spans="1:20" ht="15.6">
      <c r="A27" s="13">
        <v>42887</v>
      </c>
      <c r="B27" s="41">
        <v>30</v>
      </c>
      <c r="C27" s="32">
        <v>194.20500000000001</v>
      </c>
      <c r="D27" s="32">
        <v>267.46600000000001</v>
      </c>
      <c r="E27" s="38">
        <v>915.82899999999995</v>
      </c>
      <c r="F27" s="32">
        <v>1377.5</v>
      </c>
      <c r="G27" s="32">
        <v>50</v>
      </c>
      <c r="H27" s="40">
        <v>400</v>
      </c>
      <c r="I27" s="32">
        <v>695</v>
      </c>
      <c r="J27" s="32">
        <v>50</v>
      </c>
      <c r="K27" s="33"/>
      <c r="L27" s="42"/>
      <c r="M27" s="33"/>
      <c r="N27" s="33"/>
      <c r="O27" s="33"/>
      <c r="P27" s="33"/>
      <c r="Q27" s="33"/>
      <c r="R27" s="33"/>
      <c r="S27" s="33"/>
      <c r="T27" s="33"/>
    </row>
    <row r="28" spans="1:20" ht="15.6">
      <c r="A28" s="13">
        <v>42917</v>
      </c>
      <c r="B28" s="41">
        <v>31</v>
      </c>
      <c r="C28" s="32">
        <v>194.20500000000001</v>
      </c>
      <c r="D28" s="32">
        <v>267.46600000000001</v>
      </c>
      <c r="E28" s="38">
        <v>915.82899999999995</v>
      </c>
      <c r="F28" s="32">
        <v>1377.5</v>
      </c>
      <c r="G28" s="32">
        <v>50</v>
      </c>
      <c r="H28" s="40">
        <v>400</v>
      </c>
      <c r="I28" s="32">
        <v>695</v>
      </c>
      <c r="J28" s="32">
        <v>0</v>
      </c>
      <c r="K28" s="33"/>
      <c r="L28" s="42"/>
      <c r="M28" s="33"/>
      <c r="N28" s="33"/>
      <c r="O28" s="33"/>
      <c r="P28" s="33"/>
      <c r="Q28" s="33"/>
      <c r="R28" s="33"/>
      <c r="S28" s="33"/>
      <c r="T28" s="33"/>
    </row>
    <row r="29" spans="1:20" ht="15.6">
      <c r="A29" s="13">
        <v>42948</v>
      </c>
      <c r="B29" s="41">
        <v>31</v>
      </c>
      <c r="C29" s="32">
        <v>194.20500000000001</v>
      </c>
      <c r="D29" s="32">
        <v>267.46600000000001</v>
      </c>
      <c r="E29" s="38">
        <v>915.82899999999995</v>
      </c>
      <c r="F29" s="32">
        <v>1377.5</v>
      </c>
      <c r="G29" s="32">
        <v>50</v>
      </c>
      <c r="H29" s="40">
        <v>400</v>
      </c>
      <c r="I29" s="32">
        <v>695</v>
      </c>
      <c r="J29" s="32">
        <v>0</v>
      </c>
      <c r="K29" s="33"/>
      <c r="L29" s="42"/>
      <c r="M29" s="33"/>
      <c r="N29" s="33"/>
      <c r="O29" s="33"/>
      <c r="P29" s="33"/>
      <c r="Q29" s="33"/>
      <c r="R29" s="33"/>
      <c r="S29" s="33"/>
      <c r="T29" s="33"/>
    </row>
    <row r="30" spans="1:20" ht="15.6">
      <c r="A30" s="13">
        <v>42979</v>
      </c>
      <c r="B30" s="41">
        <v>30</v>
      </c>
      <c r="C30" s="32">
        <v>194.20500000000001</v>
      </c>
      <c r="D30" s="32">
        <v>267.46600000000001</v>
      </c>
      <c r="E30" s="38">
        <v>915.82899999999995</v>
      </c>
      <c r="F30" s="32">
        <v>1377.5</v>
      </c>
      <c r="G30" s="32">
        <v>50</v>
      </c>
      <c r="H30" s="40">
        <v>400</v>
      </c>
      <c r="I30" s="32">
        <v>695</v>
      </c>
      <c r="J30" s="32">
        <v>0</v>
      </c>
      <c r="K30" s="33"/>
      <c r="L30" s="42"/>
      <c r="M30" s="33"/>
      <c r="N30" s="33"/>
      <c r="O30" s="33"/>
      <c r="P30" s="33"/>
      <c r="Q30" s="33"/>
      <c r="R30" s="33"/>
      <c r="S30" s="33"/>
      <c r="T30" s="33"/>
    </row>
    <row r="31" spans="1:20" ht="15.6">
      <c r="A31" s="13">
        <v>43009</v>
      </c>
      <c r="B31" s="41">
        <v>31</v>
      </c>
      <c r="C31" s="32">
        <v>131.881</v>
      </c>
      <c r="D31" s="32">
        <v>277.16699999999997</v>
      </c>
      <c r="E31" s="38">
        <v>829.952</v>
      </c>
      <c r="F31" s="32">
        <v>1239</v>
      </c>
      <c r="G31" s="32">
        <v>75</v>
      </c>
      <c r="H31" s="40">
        <v>400</v>
      </c>
      <c r="I31" s="32">
        <v>695</v>
      </c>
      <c r="J31" s="32">
        <v>0</v>
      </c>
      <c r="K31" s="33"/>
      <c r="L31" s="42"/>
      <c r="M31" s="33"/>
      <c r="N31" s="33"/>
      <c r="O31" s="33"/>
      <c r="P31" s="33"/>
      <c r="Q31" s="33"/>
      <c r="R31" s="33"/>
      <c r="S31" s="33"/>
      <c r="T31" s="33"/>
    </row>
    <row r="32" spans="1:20" ht="15.6">
      <c r="A32" s="13">
        <v>43040</v>
      </c>
      <c r="B32" s="41">
        <v>30</v>
      </c>
      <c r="C32" s="32">
        <v>122.58</v>
      </c>
      <c r="D32" s="32">
        <v>297.94099999999997</v>
      </c>
      <c r="E32" s="38">
        <v>729.47900000000004</v>
      </c>
      <c r="F32" s="32">
        <v>1150</v>
      </c>
      <c r="G32" s="32">
        <v>100</v>
      </c>
      <c r="H32" s="40">
        <v>400</v>
      </c>
      <c r="I32" s="32">
        <v>695</v>
      </c>
      <c r="J32" s="32">
        <v>50</v>
      </c>
      <c r="K32" s="33"/>
      <c r="L32" s="42"/>
      <c r="M32" s="33"/>
      <c r="N32" s="33"/>
      <c r="O32" s="33"/>
      <c r="P32" s="33"/>
      <c r="Q32" s="33"/>
      <c r="R32" s="33"/>
      <c r="S32" s="33"/>
      <c r="T32" s="33"/>
    </row>
    <row r="33" spans="1:20" ht="15.6">
      <c r="A33" s="13">
        <v>43070</v>
      </c>
      <c r="B33" s="41">
        <v>31</v>
      </c>
      <c r="C33" s="32">
        <v>122.58</v>
      </c>
      <c r="D33" s="32">
        <v>297.94099999999997</v>
      </c>
      <c r="E33" s="38">
        <v>729.47900000000004</v>
      </c>
      <c r="F33" s="32">
        <v>1150</v>
      </c>
      <c r="G33" s="32">
        <v>100</v>
      </c>
      <c r="H33" s="40">
        <v>400</v>
      </c>
      <c r="I33" s="32">
        <v>695</v>
      </c>
      <c r="J33" s="32">
        <v>50</v>
      </c>
      <c r="K33" s="33"/>
      <c r="L33" s="42"/>
      <c r="M33" s="33"/>
      <c r="N33" s="33"/>
      <c r="O33" s="33"/>
      <c r="P33" s="33"/>
      <c r="Q33" s="33"/>
      <c r="R33" s="33"/>
      <c r="S33" s="33"/>
      <c r="T33" s="33"/>
    </row>
    <row r="34" spans="1:20" ht="15.6">
      <c r="A34" s="13">
        <v>43101</v>
      </c>
      <c r="B34" s="41">
        <v>31</v>
      </c>
      <c r="C34" s="32">
        <v>122.58</v>
      </c>
      <c r="D34" s="32">
        <v>297.94099999999997</v>
      </c>
      <c r="E34" s="38">
        <v>729.47900000000004</v>
      </c>
      <c r="F34" s="32">
        <v>1150</v>
      </c>
      <c r="G34" s="32">
        <v>100</v>
      </c>
      <c r="H34" s="40">
        <v>400</v>
      </c>
      <c r="I34" s="32">
        <v>695</v>
      </c>
      <c r="J34" s="32">
        <v>50</v>
      </c>
      <c r="K34" s="33"/>
      <c r="L34" s="42"/>
      <c r="M34" s="33"/>
      <c r="N34" s="33"/>
      <c r="O34" s="33"/>
      <c r="P34" s="33"/>
      <c r="Q34" s="33"/>
      <c r="R34" s="33"/>
      <c r="S34" s="33"/>
      <c r="T34" s="33"/>
    </row>
    <row r="35" spans="1:20" ht="15.6">
      <c r="A35" s="13">
        <v>43132</v>
      </c>
      <c r="B35" s="41">
        <v>28</v>
      </c>
      <c r="C35" s="32">
        <v>122.58</v>
      </c>
      <c r="D35" s="32">
        <v>297.94099999999997</v>
      </c>
      <c r="E35" s="38">
        <v>729.47900000000004</v>
      </c>
      <c r="F35" s="32">
        <v>1150</v>
      </c>
      <c r="G35" s="32">
        <v>100</v>
      </c>
      <c r="H35" s="40">
        <v>400</v>
      </c>
      <c r="I35" s="32">
        <v>695</v>
      </c>
      <c r="J35" s="32">
        <v>50</v>
      </c>
      <c r="K35" s="33"/>
      <c r="L35" s="42"/>
      <c r="M35" s="33"/>
      <c r="N35" s="33"/>
      <c r="O35" s="33"/>
      <c r="P35" s="33"/>
      <c r="Q35" s="33"/>
      <c r="R35" s="33"/>
      <c r="S35" s="33"/>
      <c r="T35" s="33"/>
    </row>
    <row r="36" spans="1:20" ht="15.6">
      <c r="A36" s="13">
        <v>43160</v>
      </c>
      <c r="B36" s="41">
        <v>31</v>
      </c>
      <c r="C36" s="32">
        <v>122.58</v>
      </c>
      <c r="D36" s="32">
        <v>297.94099999999997</v>
      </c>
      <c r="E36" s="38">
        <v>729.47900000000004</v>
      </c>
      <c r="F36" s="32">
        <v>1150</v>
      </c>
      <c r="G36" s="32">
        <v>100</v>
      </c>
      <c r="H36" s="40">
        <v>400</v>
      </c>
      <c r="I36" s="32">
        <v>695</v>
      </c>
      <c r="J36" s="32">
        <v>50</v>
      </c>
      <c r="K36" s="33"/>
      <c r="L36" s="42"/>
      <c r="M36" s="33"/>
      <c r="N36" s="33"/>
      <c r="O36" s="33"/>
      <c r="P36" s="33"/>
      <c r="Q36" s="33"/>
      <c r="R36" s="33"/>
      <c r="S36" s="33"/>
      <c r="T36" s="33"/>
    </row>
    <row r="37" spans="1:20" ht="15.6">
      <c r="A37" s="13">
        <v>43191</v>
      </c>
      <c r="B37" s="41">
        <v>30</v>
      </c>
      <c r="C37" s="32">
        <v>141.29300000000001</v>
      </c>
      <c r="D37" s="32">
        <v>267.99299999999999</v>
      </c>
      <c r="E37" s="38">
        <v>829.71400000000006</v>
      </c>
      <c r="F37" s="32">
        <v>1239</v>
      </c>
      <c r="G37" s="32">
        <v>100</v>
      </c>
      <c r="H37" s="40">
        <v>400</v>
      </c>
      <c r="I37" s="32">
        <v>695</v>
      </c>
      <c r="J37" s="32">
        <v>50</v>
      </c>
      <c r="K37" s="33"/>
      <c r="L37" s="42"/>
      <c r="M37" s="33"/>
      <c r="N37" s="33"/>
      <c r="O37" s="33"/>
      <c r="P37" s="33"/>
      <c r="Q37" s="33"/>
      <c r="R37" s="33"/>
      <c r="S37" s="33"/>
      <c r="T37" s="33"/>
    </row>
    <row r="38" spans="1:20" ht="15.6">
      <c r="A38" s="13">
        <v>43221</v>
      </c>
      <c r="B38" s="41">
        <v>31</v>
      </c>
      <c r="C38" s="32">
        <v>194.20500000000001</v>
      </c>
      <c r="D38" s="32">
        <v>267.46600000000001</v>
      </c>
      <c r="E38" s="38">
        <v>812.32899999999995</v>
      </c>
      <c r="F38" s="32">
        <v>1274</v>
      </c>
      <c r="G38" s="32">
        <v>75</v>
      </c>
      <c r="H38" s="40">
        <v>400</v>
      </c>
      <c r="I38" s="32">
        <v>695</v>
      </c>
      <c r="J38" s="32">
        <v>50</v>
      </c>
      <c r="K38" s="33"/>
      <c r="L38" s="42"/>
      <c r="M38" s="33"/>
      <c r="N38" s="33"/>
      <c r="O38" s="33"/>
      <c r="P38" s="33"/>
      <c r="Q38" s="33"/>
      <c r="R38" s="33"/>
      <c r="S38" s="33"/>
      <c r="T38" s="33"/>
    </row>
    <row r="39" spans="1:20" ht="15.6">
      <c r="A39" s="13">
        <v>43252</v>
      </c>
      <c r="B39" s="41">
        <v>30</v>
      </c>
      <c r="C39" s="32">
        <v>194.20500000000001</v>
      </c>
      <c r="D39" s="32">
        <v>267.46600000000001</v>
      </c>
      <c r="E39" s="38">
        <v>812.32899999999995</v>
      </c>
      <c r="F39" s="32">
        <v>1274</v>
      </c>
      <c r="G39" s="32">
        <v>50</v>
      </c>
      <c r="H39" s="40">
        <v>400</v>
      </c>
      <c r="I39" s="32">
        <v>695</v>
      </c>
      <c r="J39" s="32">
        <v>50</v>
      </c>
      <c r="K39" s="33"/>
      <c r="L39" s="42"/>
      <c r="M39" s="33"/>
      <c r="N39" s="33"/>
      <c r="O39" s="33"/>
      <c r="P39" s="33"/>
      <c r="Q39" s="33"/>
      <c r="R39" s="33"/>
      <c r="S39" s="33"/>
      <c r="T39" s="33"/>
    </row>
    <row r="40" spans="1:20" ht="15.6">
      <c r="A40" s="13">
        <v>43282</v>
      </c>
      <c r="B40" s="41">
        <v>31</v>
      </c>
      <c r="C40" s="32">
        <v>194.20500000000001</v>
      </c>
      <c r="D40" s="32">
        <v>267.46600000000001</v>
      </c>
      <c r="E40" s="38">
        <v>812.32899999999995</v>
      </c>
      <c r="F40" s="32">
        <v>1274</v>
      </c>
      <c r="G40" s="32">
        <v>50</v>
      </c>
      <c r="H40" s="40">
        <v>400</v>
      </c>
      <c r="I40" s="32">
        <v>695</v>
      </c>
      <c r="J40" s="32">
        <v>0</v>
      </c>
      <c r="K40" s="33"/>
      <c r="L40" s="42"/>
      <c r="M40" s="33"/>
      <c r="N40" s="33"/>
      <c r="O40" s="33"/>
      <c r="P40" s="33"/>
      <c r="Q40" s="33"/>
      <c r="R40" s="33"/>
      <c r="S40" s="33"/>
      <c r="T40" s="33"/>
    </row>
    <row r="41" spans="1:20" ht="15.6">
      <c r="A41" s="13">
        <v>43313</v>
      </c>
      <c r="B41" s="41">
        <v>31</v>
      </c>
      <c r="C41" s="32">
        <v>194.20500000000001</v>
      </c>
      <c r="D41" s="32">
        <v>267.46600000000001</v>
      </c>
      <c r="E41" s="38">
        <v>812.32899999999995</v>
      </c>
      <c r="F41" s="32">
        <v>1274</v>
      </c>
      <c r="G41" s="32">
        <v>50</v>
      </c>
      <c r="H41" s="40">
        <v>400</v>
      </c>
      <c r="I41" s="32">
        <v>695</v>
      </c>
      <c r="J41" s="32">
        <v>0</v>
      </c>
      <c r="K41" s="33"/>
      <c r="L41" s="42"/>
      <c r="M41" s="33"/>
      <c r="N41" s="33"/>
      <c r="O41" s="33"/>
      <c r="P41" s="33"/>
      <c r="Q41" s="33"/>
      <c r="R41" s="33"/>
      <c r="S41" s="33"/>
      <c r="T41" s="33"/>
    </row>
    <row r="42" spans="1:20" ht="15.6">
      <c r="A42" s="13">
        <v>43344</v>
      </c>
      <c r="B42" s="41">
        <v>30</v>
      </c>
      <c r="C42" s="32">
        <v>194.20500000000001</v>
      </c>
      <c r="D42" s="32">
        <v>267.46600000000001</v>
      </c>
      <c r="E42" s="38">
        <v>812.32899999999995</v>
      </c>
      <c r="F42" s="32">
        <v>1274</v>
      </c>
      <c r="G42" s="32">
        <v>50</v>
      </c>
      <c r="H42" s="40">
        <v>400</v>
      </c>
      <c r="I42" s="32">
        <v>695</v>
      </c>
      <c r="J42" s="32">
        <v>0</v>
      </c>
      <c r="K42" s="33"/>
      <c r="L42" s="42"/>
      <c r="M42" s="33"/>
      <c r="N42" s="33"/>
      <c r="O42" s="33"/>
      <c r="P42" s="33"/>
      <c r="Q42" s="33"/>
      <c r="R42" s="33"/>
      <c r="S42" s="33"/>
      <c r="T42" s="33"/>
    </row>
    <row r="43" spans="1:20" ht="15.6">
      <c r="A43" s="13">
        <v>43374</v>
      </c>
      <c r="B43" s="41">
        <v>31</v>
      </c>
      <c r="C43" s="32">
        <v>131.881</v>
      </c>
      <c r="D43" s="32">
        <v>277.16699999999997</v>
      </c>
      <c r="E43" s="38">
        <v>829.952</v>
      </c>
      <c r="F43" s="32">
        <v>1239</v>
      </c>
      <c r="G43" s="32">
        <v>75</v>
      </c>
      <c r="H43" s="40">
        <v>400</v>
      </c>
      <c r="I43" s="32">
        <v>695</v>
      </c>
      <c r="J43" s="32">
        <v>0</v>
      </c>
      <c r="K43" s="33"/>
      <c r="L43" s="42"/>
      <c r="M43" s="33"/>
      <c r="N43" s="33"/>
      <c r="O43" s="33"/>
      <c r="P43" s="33"/>
      <c r="Q43" s="33"/>
      <c r="R43" s="33"/>
      <c r="S43" s="33"/>
      <c r="T43" s="33"/>
    </row>
    <row r="44" spans="1:20" ht="15.6">
      <c r="A44" s="13">
        <v>43405</v>
      </c>
      <c r="B44" s="41">
        <v>30</v>
      </c>
      <c r="C44" s="32">
        <v>122.58</v>
      </c>
      <c r="D44" s="32">
        <v>297.94099999999997</v>
      </c>
      <c r="E44" s="38">
        <v>729.47900000000004</v>
      </c>
      <c r="F44" s="32">
        <v>1150</v>
      </c>
      <c r="G44" s="32">
        <v>100</v>
      </c>
      <c r="H44" s="40">
        <v>400</v>
      </c>
      <c r="I44" s="32">
        <v>695</v>
      </c>
      <c r="J44" s="32">
        <v>50</v>
      </c>
      <c r="K44" s="33"/>
      <c r="L44" s="42"/>
      <c r="M44" s="33"/>
      <c r="N44" s="33"/>
      <c r="O44" s="33"/>
      <c r="P44" s="33"/>
      <c r="Q44" s="33"/>
      <c r="R44" s="33"/>
      <c r="S44" s="33"/>
      <c r="T44" s="33"/>
    </row>
    <row r="45" spans="1:20" ht="15.6">
      <c r="A45" s="13">
        <v>43435</v>
      </c>
      <c r="B45" s="41">
        <v>31</v>
      </c>
      <c r="C45" s="32">
        <v>122.58</v>
      </c>
      <c r="D45" s="32">
        <v>297.94099999999997</v>
      </c>
      <c r="E45" s="38">
        <v>729.47900000000004</v>
      </c>
      <c r="F45" s="32">
        <v>1150</v>
      </c>
      <c r="G45" s="32">
        <v>100</v>
      </c>
      <c r="H45" s="40">
        <v>400</v>
      </c>
      <c r="I45" s="32">
        <v>695</v>
      </c>
      <c r="J45" s="32">
        <v>50</v>
      </c>
      <c r="K45" s="33"/>
      <c r="L45" s="42"/>
      <c r="M45" s="33"/>
      <c r="N45" s="33"/>
      <c r="O45" s="33"/>
      <c r="P45" s="33"/>
      <c r="Q45" s="33"/>
      <c r="R45" s="33"/>
      <c r="S45" s="33"/>
      <c r="T45" s="33"/>
    </row>
    <row r="46" spans="1:20" ht="15.6">
      <c r="A46" s="13">
        <v>43466</v>
      </c>
      <c r="B46" s="41">
        <v>31</v>
      </c>
      <c r="C46" s="32">
        <v>122.58</v>
      </c>
      <c r="D46" s="32">
        <v>297.94099999999997</v>
      </c>
      <c r="E46" s="38">
        <v>729.47900000000004</v>
      </c>
      <c r="F46" s="32">
        <v>1150</v>
      </c>
      <c r="G46" s="32">
        <v>100</v>
      </c>
      <c r="H46" s="40">
        <v>400</v>
      </c>
      <c r="I46" s="32">
        <v>695</v>
      </c>
      <c r="J46" s="32">
        <v>50</v>
      </c>
      <c r="K46" s="33"/>
      <c r="L46" s="33"/>
      <c r="M46" s="33"/>
      <c r="N46" s="33"/>
      <c r="O46" s="33"/>
      <c r="P46" s="33"/>
      <c r="Q46" s="33"/>
      <c r="R46" s="33"/>
      <c r="S46" s="33"/>
      <c r="T46" s="33"/>
    </row>
    <row r="47" spans="1:20" ht="15.6">
      <c r="A47" s="13">
        <v>43497</v>
      </c>
      <c r="B47" s="41">
        <v>28</v>
      </c>
      <c r="C47" s="32">
        <v>122.58</v>
      </c>
      <c r="D47" s="32">
        <v>297.94099999999997</v>
      </c>
      <c r="E47" s="38">
        <v>729.47900000000004</v>
      </c>
      <c r="F47" s="32">
        <v>1150</v>
      </c>
      <c r="G47" s="32">
        <v>100</v>
      </c>
      <c r="H47" s="40">
        <v>400</v>
      </c>
      <c r="I47" s="32">
        <v>695</v>
      </c>
      <c r="J47" s="32">
        <v>50</v>
      </c>
      <c r="K47" s="33"/>
      <c r="L47" s="33"/>
      <c r="M47" s="33"/>
      <c r="N47" s="33"/>
      <c r="O47" s="33"/>
      <c r="P47" s="33"/>
      <c r="Q47" s="33"/>
      <c r="R47" s="33"/>
      <c r="S47" s="33"/>
      <c r="T47" s="33"/>
    </row>
    <row r="48" spans="1:20" ht="15.6">
      <c r="A48" s="13">
        <v>43525</v>
      </c>
      <c r="B48" s="41">
        <v>31</v>
      </c>
      <c r="C48" s="32">
        <v>122.58</v>
      </c>
      <c r="D48" s="32">
        <v>297.94099999999997</v>
      </c>
      <c r="E48" s="38">
        <v>729.47900000000004</v>
      </c>
      <c r="F48" s="32">
        <v>1150</v>
      </c>
      <c r="G48" s="32">
        <v>100</v>
      </c>
      <c r="H48" s="40">
        <v>400</v>
      </c>
      <c r="I48" s="32">
        <v>695</v>
      </c>
      <c r="J48" s="32">
        <v>50</v>
      </c>
      <c r="K48" s="33"/>
      <c r="L48" s="33"/>
      <c r="M48" s="33"/>
      <c r="N48" s="33"/>
      <c r="O48" s="33"/>
      <c r="P48" s="33"/>
      <c r="Q48" s="33"/>
      <c r="R48" s="33"/>
      <c r="S48" s="33"/>
      <c r="T48" s="33"/>
    </row>
    <row r="49" spans="1:20" ht="15.6">
      <c r="A49" s="13">
        <v>43556</v>
      </c>
      <c r="B49" s="41">
        <v>30</v>
      </c>
      <c r="C49" s="32">
        <v>141.29300000000001</v>
      </c>
      <c r="D49" s="32">
        <v>267.99299999999999</v>
      </c>
      <c r="E49" s="38">
        <v>829.71400000000006</v>
      </c>
      <c r="F49" s="32">
        <v>1239</v>
      </c>
      <c r="G49" s="32">
        <v>100</v>
      </c>
      <c r="H49" s="40">
        <v>400</v>
      </c>
      <c r="I49" s="32">
        <v>695</v>
      </c>
      <c r="J49" s="32">
        <v>50</v>
      </c>
      <c r="K49" s="33"/>
      <c r="L49" s="33"/>
      <c r="M49" s="33"/>
      <c r="N49" s="33"/>
      <c r="O49" s="33"/>
      <c r="P49" s="33"/>
      <c r="Q49" s="33"/>
      <c r="R49" s="33"/>
      <c r="S49" s="33"/>
      <c r="T49" s="33"/>
    </row>
    <row r="50" spans="1:20" ht="15.6">
      <c r="A50" s="13">
        <v>43586</v>
      </c>
      <c r="B50" s="41">
        <v>31</v>
      </c>
      <c r="C50" s="32">
        <v>194.20500000000001</v>
      </c>
      <c r="D50" s="32">
        <v>267.46600000000001</v>
      </c>
      <c r="E50" s="38">
        <v>812.32899999999995</v>
      </c>
      <c r="F50" s="32">
        <v>1274</v>
      </c>
      <c r="G50" s="32">
        <v>75</v>
      </c>
      <c r="H50" s="40">
        <v>400</v>
      </c>
      <c r="I50" s="32">
        <v>695</v>
      </c>
      <c r="J50" s="32">
        <v>50</v>
      </c>
      <c r="K50" s="33"/>
      <c r="L50" s="33"/>
      <c r="M50" s="33"/>
      <c r="N50" s="33"/>
      <c r="O50" s="33"/>
      <c r="P50" s="33"/>
      <c r="Q50" s="33"/>
      <c r="R50" s="33"/>
      <c r="S50" s="33"/>
      <c r="T50" s="33"/>
    </row>
    <row r="51" spans="1:20" ht="15.6">
      <c r="A51" s="13">
        <v>43617</v>
      </c>
      <c r="B51" s="41">
        <v>30</v>
      </c>
      <c r="C51" s="32">
        <v>194.20500000000001</v>
      </c>
      <c r="D51" s="32">
        <v>267.46600000000001</v>
      </c>
      <c r="E51" s="38">
        <v>812.32899999999995</v>
      </c>
      <c r="F51" s="32">
        <v>1274</v>
      </c>
      <c r="G51" s="32">
        <v>50</v>
      </c>
      <c r="H51" s="40">
        <v>400</v>
      </c>
      <c r="I51" s="32">
        <v>695</v>
      </c>
      <c r="J51" s="32">
        <v>50</v>
      </c>
      <c r="K51" s="33"/>
      <c r="L51" s="33"/>
      <c r="M51" s="33"/>
      <c r="N51" s="33"/>
      <c r="O51" s="33"/>
      <c r="P51" s="33"/>
      <c r="Q51" s="33"/>
      <c r="R51" s="33"/>
      <c r="S51" s="33"/>
      <c r="T51" s="33"/>
    </row>
    <row r="52" spans="1:20" ht="15.6">
      <c r="A52" s="13">
        <v>43647</v>
      </c>
      <c r="B52" s="41">
        <v>31</v>
      </c>
      <c r="C52" s="32">
        <v>194.20500000000001</v>
      </c>
      <c r="D52" s="32">
        <v>267.46600000000001</v>
      </c>
      <c r="E52" s="38">
        <v>812.32899999999995</v>
      </c>
      <c r="F52" s="32">
        <v>1274</v>
      </c>
      <c r="G52" s="32">
        <v>50</v>
      </c>
      <c r="H52" s="40">
        <v>400</v>
      </c>
      <c r="I52" s="32">
        <v>695</v>
      </c>
      <c r="J52" s="32">
        <v>0</v>
      </c>
      <c r="K52" s="33"/>
      <c r="L52" s="33"/>
      <c r="M52" s="33"/>
      <c r="N52" s="33"/>
      <c r="O52" s="33"/>
      <c r="P52" s="33"/>
      <c r="Q52" s="33"/>
      <c r="R52" s="33"/>
      <c r="S52" s="33"/>
      <c r="T52" s="33"/>
    </row>
    <row r="53" spans="1:20" ht="15.6">
      <c r="A53" s="13">
        <v>43678</v>
      </c>
      <c r="B53" s="41">
        <v>31</v>
      </c>
      <c r="C53" s="32">
        <v>194.20500000000001</v>
      </c>
      <c r="D53" s="32">
        <v>267.46600000000001</v>
      </c>
      <c r="E53" s="38">
        <v>812.32899999999995</v>
      </c>
      <c r="F53" s="32">
        <v>1274</v>
      </c>
      <c r="G53" s="32">
        <v>50</v>
      </c>
      <c r="H53" s="40">
        <v>400</v>
      </c>
      <c r="I53" s="32">
        <v>695</v>
      </c>
      <c r="J53" s="32">
        <v>0</v>
      </c>
      <c r="K53" s="33"/>
      <c r="L53" s="33"/>
      <c r="M53" s="33"/>
      <c r="N53" s="33"/>
      <c r="O53" s="33"/>
      <c r="P53" s="33"/>
      <c r="Q53" s="33"/>
      <c r="R53" s="33"/>
      <c r="S53" s="33"/>
      <c r="T53" s="33"/>
    </row>
    <row r="54" spans="1:20" ht="15.6">
      <c r="A54" s="13">
        <v>43709</v>
      </c>
      <c r="B54" s="41">
        <v>30</v>
      </c>
      <c r="C54" s="32">
        <v>194.20500000000001</v>
      </c>
      <c r="D54" s="32">
        <v>267.46600000000001</v>
      </c>
      <c r="E54" s="38">
        <v>812.32899999999995</v>
      </c>
      <c r="F54" s="32">
        <v>1274</v>
      </c>
      <c r="G54" s="32">
        <v>50</v>
      </c>
      <c r="H54" s="40">
        <v>400</v>
      </c>
      <c r="I54" s="32">
        <v>695</v>
      </c>
      <c r="J54" s="32">
        <v>0</v>
      </c>
      <c r="K54" s="33"/>
      <c r="L54" s="33"/>
      <c r="M54" s="33"/>
      <c r="N54" s="33"/>
      <c r="O54" s="33"/>
      <c r="P54" s="33"/>
      <c r="Q54" s="33"/>
      <c r="R54" s="33"/>
      <c r="S54" s="33"/>
      <c r="T54" s="33"/>
    </row>
    <row r="55" spans="1:20" ht="15.6">
      <c r="A55" s="13">
        <v>43739</v>
      </c>
      <c r="B55" s="41">
        <v>31</v>
      </c>
      <c r="C55" s="32">
        <v>131.881</v>
      </c>
      <c r="D55" s="32">
        <v>277.16699999999997</v>
      </c>
      <c r="E55" s="38">
        <v>829.952</v>
      </c>
      <c r="F55" s="32">
        <v>1239</v>
      </c>
      <c r="G55" s="32">
        <v>75</v>
      </c>
      <c r="H55" s="40">
        <v>400</v>
      </c>
      <c r="I55" s="32">
        <v>695</v>
      </c>
      <c r="J55" s="32">
        <v>0</v>
      </c>
      <c r="K55" s="33"/>
      <c r="L55" s="33"/>
      <c r="M55" s="33"/>
      <c r="N55" s="33"/>
      <c r="O55" s="33"/>
      <c r="P55" s="33"/>
      <c r="Q55" s="33"/>
      <c r="R55" s="33"/>
      <c r="S55" s="33"/>
      <c r="T55" s="33"/>
    </row>
    <row r="56" spans="1:20" ht="15.6">
      <c r="A56" s="13">
        <v>43770</v>
      </c>
      <c r="B56" s="41">
        <v>30</v>
      </c>
      <c r="C56" s="32">
        <v>122.58</v>
      </c>
      <c r="D56" s="32">
        <v>297.94099999999997</v>
      </c>
      <c r="E56" s="38">
        <v>729.47900000000004</v>
      </c>
      <c r="F56" s="32">
        <v>1150</v>
      </c>
      <c r="G56" s="32">
        <v>100</v>
      </c>
      <c r="H56" s="40">
        <v>400</v>
      </c>
      <c r="I56" s="32">
        <v>695</v>
      </c>
      <c r="J56" s="32">
        <v>50</v>
      </c>
      <c r="K56" s="33"/>
      <c r="L56" s="33"/>
      <c r="M56" s="33"/>
      <c r="N56" s="33"/>
      <c r="O56" s="33"/>
      <c r="P56" s="33"/>
      <c r="Q56" s="33"/>
      <c r="R56" s="33"/>
      <c r="S56" s="33"/>
      <c r="T56" s="33"/>
    </row>
    <row r="57" spans="1:20" ht="15.6">
      <c r="A57" s="13">
        <v>43800</v>
      </c>
      <c r="B57" s="41">
        <v>31</v>
      </c>
      <c r="C57" s="32">
        <v>122.58</v>
      </c>
      <c r="D57" s="32">
        <v>297.94099999999997</v>
      </c>
      <c r="E57" s="38">
        <v>729.47900000000004</v>
      </c>
      <c r="F57" s="32">
        <v>1150</v>
      </c>
      <c r="G57" s="32">
        <v>100</v>
      </c>
      <c r="H57" s="40">
        <v>400</v>
      </c>
      <c r="I57" s="32">
        <v>695</v>
      </c>
      <c r="J57" s="32">
        <v>50</v>
      </c>
      <c r="K57" s="33"/>
      <c r="L57" s="33"/>
      <c r="M57" s="33"/>
      <c r="N57" s="33"/>
      <c r="O57" s="33"/>
      <c r="P57" s="33"/>
      <c r="Q57" s="33"/>
      <c r="R57" s="33"/>
      <c r="S57" s="33"/>
      <c r="T57" s="33"/>
    </row>
    <row r="58" spans="1:20" ht="15.6">
      <c r="A58" s="13">
        <v>43831</v>
      </c>
      <c r="B58" s="41">
        <v>31</v>
      </c>
      <c r="C58" s="32">
        <v>122.58</v>
      </c>
      <c r="D58" s="32">
        <v>297.94099999999997</v>
      </c>
      <c r="E58" s="38">
        <v>729.47900000000004</v>
      </c>
      <c r="F58" s="32">
        <v>1150</v>
      </c>
      <c r="G58" s="32">
        <v>100</v>
      </c>
      <c r="H58" s="40">
        <v>400</v>
      </c>
      <c r="I58" s="32">
        <v>695</v>
      </c>
      <c r="J58" s="32">
        <v>50</v>
      </c>
      <c r="K58" s="33"/>
      <c r="L58" s="33"/>
      <c r="M58" s="33"/>
      <c r="N58" s="33"/>
      <c r="O58" s="33"/>
      <c r="P58" s="33"/>
      <c r="Q58" s="33"/>
      <c r="R58" s="33"/>
      <c r="S58" s="33"/>
      <c r="T58" s="33"/>
    </row>
    <row r="59" spans="1:20" ht="15.6">
      <c r="A59" s="13">
        <v>43862</v>
      </c>
      <c r="B59" s="41">
        <v>29</v>
      </c>
      <c r="C59" s="32">
        <v>122.58</v>
      </c>
      <c r="D59" s="32">
        <v>297.94099999999997</v>
      </c>
      <c r="E59" s="38">
        <v>729.47900000000004</v>
      </c>
      <c r="F59" s="32">
        <v>1150</v>
      </c>
      <c r="G59" s="32">
        <v>100</v>
      </c>
      <c r="H59" s="40">
        <v>400</v>
      </c>
      <c r="I59" s="32">
        <v>695</v>
      </c>
      <c r="J59" s="32">
        <v>50</v>
      </c>
      <c r="K59" s="33"/>
      <c r="L59" s="33"/>
      <c r="M59" s="33"/>
      <c r="N59" s="33"/>
      <c r="O59" s="33"/>
      <c r="P59" s="33"/>
      <c r="Q59" s="33"/>
      <c r="R59" s="33"/>
      <c r="S59" s="33"/>
      <c r="T59" s="33"/>
    </row>
    <row r="60" spans="1:20" ht="15.6">
      <c r="A60" s="13">
        <v>43891</v>
      </c>
      <c r="B60" s="41">
        <v>31</v>
      </c>
      <c r="C60" s="32">
        <v>122.58</v>
      </c>
      <c r="D60" s="32">
        <v>297.94099999999997</v>
      </c>
      <c r="E60" s="38">
        <v>729.47900000000004</v>
      </c>
      <c r="F60" s="32">
        <v>1150</v>
      </c>
      <c r="G60" s="32">
        <v>100</v>
      </c>
      <c r="H60" s="40">
        <v>400</v>
      </c>
      <c r="I60" s="32">
        <v>695</v>
      </c>
      <c r="J60" s="32">
        <v>50</v>
      </c>
      <c r="K60" s="33"/>
      <c r="L60" s="33"/>
      <c r="M60" s="33"/>
      <c r="N60" s="33"/>
      <c r="O60" s="33"/>
      <c r="P60" s="33"/>
      <c r="Q60" s="33"/>
      <c r="R60" s="33"/>
      <c r="S60" s="33"/>
      <c r="T60" s="33"/>
    </row>
    <row r="61" spans="1:20" ht="15.6">
      <c r="A61" s="13">
        <v>43922</v>
      </c>
      <c r="B61" s="41">
        <v>30</v>
      </c>
      <c r="C61" s="32">
        <v>141.29300000000001</v>
      </c>
      <c r="D61" s="32">
        <v>267.99299999999999</v>
      </c>
      <c r="E61" s="38">
        <v>829.71400000000006</v>
      </c>
      <c r="F61" s="32">
        <v>1239</v>
      </c>
      <c r="G61" s="32">
        <v>100</v>
      </c>
      <c r="H61" s="40">
        <v>400</v>
      </c>
      <c r="I61" s="32">
        <v>695</v>
      </c>
      <c r="J61" s="32">
        <v>50</v>
      </c>
      <c r="K61" s="33"/>
      <c r="L61" s="33"/>
      <c r="M61" s="33"/>
      <c r="N61" s="33"/>
      <c r="O61" s="33"/>
      <c r="P61" s="33"/>
      <c r="Q61" s="33"/>
      <c r="R61" s="33"/>
      <c r="S61" s="33"/>
      <c r="T61" s="33"/>
    </row>
    <row r="62" spans="1:20" ht="15.6">
      <c r="A62" s="13">
        <v>43952</v>
      </c>
      <c r="B62" s="41">
        <v>31</v>
      </c>
      <c r="C62" s="32">
        <v>194.20500000000001</v>
      </c>
      <c r="D62" s="32">
        <v>267.46600000000001</v>
      </c>
      <c r="E62" s="38">
        <v>812.32899999999995</v>
      </c>
      <c r="F62" s="32">
        <v>1274</v>
      </c>
      <c r="G62" s="32">
        <v>75</v>
      </c>
      <c r="H62" s="40">
        <v>600</v>
      </c>
      <c r="I62" s="32">
        <v>695</v>
      </c>
      <c r="J62" s="32">
        <v>50</v>
      </c>
      <c r="K62" s="33"/>
      <c r="L62" s="33"/>
      <c r="M62" s="33"/>
      <c r="N62" s="33"/>
      <c r="O62" s="33"/>
      <c r="P62" s="33"/>
      <c r="Q62" s="33"/>
      <c r="R62" s="33"/>
      <c r="S62" s="33"/>
      <c r="T62" s="33"/>
    </row>
    <row r="63" spans="1:20" ht="15.6">
      <c r="A63" s="13">
        <v>43983</v>
      </c>
      <c r="B63" s="41">
        <v>30</v>
      </c>
      <c r="C63" s="32">
        <v>194.20500000000001</v>
      </c>
      <c r="D63" s="32">
        <v>267.46600000000001</v>
      </c>
      <c r="E63" s="38">
        <v>812.32899999999995</v>
      </c>
      <c r="F63" s="32">
        <v>1274</v>
      </c>
      <c r="G63" s="32">
        <v>50</v>
      </c>
      <c r="H63" s="40">
        <v>600</v>
      </c>
      <c r="I63" s="32">
        <v>695</v>
      </c>
      <c r="J63" s="32">
        <v>50</v>
      </c>
      <c r="K63" s="33"/>
      <c r="L63" s="33"/>
      <c r="M63" s="33"/>
      <c r="N63" s="33"/>
      <c r="O63" s="33"/>
      <c r="P63" s="33"/>
      <c r="Q63" s="33"/>
      <c r="R63" s="33"/>
      <c r="S63" s="33"/>
      <c r="T63" s="33"/>
    </row>
    <row r="64" spans="1:20" ht="15.6">
      <c r="A64" s="13">
        <v>44013</v>
      </c>
      <c r="B64" s="41">
        <v>31</v>
      </c>
      <c r="C64" s="32">
        <v>194.20500000000001</v>
      </c>
      <c r="D64" s="32">
        <v>267.46600000000001</v>
      </c>
      <c r="E64" s="38">
        <v>812.32899999999995</v>
      </c>
      <c r="F64" s="32">
        <v>1274</v>
      </c>
      <c r="G64" s="32">
        <v>50</v>
      </c>
      <c r="H64" s="40">
        <v>600</v>
      </c>
      <c r="I64" s="32">
        <v>695</v>
      </c>
      <c r="J64" s="32">
        <v>0</v>
      </c>
      <c r="K64" s="33"/>
      <c r="L64" s="33"/>
      <c r="M64" s="33"/>
      <c r="N64" s="33"/>
      <c r="O64" s="33"/>
      <c r="P64" s="33"/>
      <c r="Q64" s="33"/>
      <c r="R64" s="33"/>
      <c r="S64" s="33"/>
      <c r="T64" s="33"/>
    </row>
    <row r="65" spans="1:20" ht="15.6">
      <c r="A65" s="13">
        <v>44044</v>
      </c>
      <c r="B65" s="41">
        <v>31</v>
      </c>
      <c r="C65" s="32">
        <v>194.20500000000001</v>
      </c>
      <c r="D65" s="32">
        <v>267.46600000000001</v>
      </c>
      <c r="E65" s="38">
        <v>812.32899999999995</v>
      </c>
      <c r="F65" s="32">
        <v>1274</v>
      </c>
      <c r="G65" s="32">
        <v>50</v>
      </c>
      <c r="H65" s="40">
        <v>600</v>
      </c>
      <c r="I65" s="32">
        <v>695</v>
      </c>
      <c r="J65" s="32">
        <v>0</v>
      </c>
      <c r="K65" s="33"/>
      <c r="L65" s="33"/>
      <c r="M65" s="33"/>
      <c r="N65" s="33"/>
      <c r="O65" s="33"/>
      <c r="P65" s="33"/>
      <c r="Q65" s="33"/>
      <c r="R65" s="33"/>
      <c r="S65" s="33"/>
      <c r="T65" s="33"/>
    </row>
    <row r="66" spans="1:20" ht="15.6">
      <c r="A66" s="13">
        <v>44075</v>
      </c>
      <c r="B66" s="41">
        <v>30</v>
      </c>
      <c r="C66" s="32">
        <v>194.20500000000001</v>
      </c>
      <c r="D66" s="32">
        <v>267.46600000000001</v>
      </c>
      <c r="E66" s="38">
        <v>812.32899999999995</v>
      </c>
      <c r="F66" s="32">
        <v>1274</v>
      </c>
      <c r="G66" s="32">
        <v>50</v>
      </c>
      <c r="H66" s="40">
        <v>600</v>
      </c>
      <c r="I66" s="32">
        <v>695</v>
      </c>
      <c r="J66" s="32">
        <v>0</v>
      </c>
      <c r="K66" s="33"/>
      <c r="L66" s="33"/>
      <c r="M66" s="33"/>
      <c r="N66" s="33"/>
      <c r="O66" s="33"/>
      <c r="P66" s="33"/>
      <c r="Q66" s="33"/>
      <c r="R66" s="33"/>
      <c r="S66" s="33"/>
      <c r="T66" s="33"/>
    </row>
    <row r="67" spans="1:20" ht="15.6">
      <c r="A67" s="13">
        <v>44105</v>
      </c>
      <c r="B67" s="41">
        <v>31</v>
      </c>
      <c r="C67" s="32">
        <v>131.881</v>
      </c>
      <c r="D67" s="32">
        <v>277.16699999999997</v>
      </c>
      <c r="E67" s="38">
        <v>829.952</v>
      </c>
      <c r="F67" s="32">
        <v>1239</v>
      </c>
      <c r="G67" s="32">
        <v>75</v>
      </c>
      <c r="H67" s="40">
        <v>600</v>
      </c>
      <c r="I67" s="32">
        <v>695</v>
      </c>
      <c r="J67" s="32">
        <v>0</v>
      </c>
      <c r="K67" s="33"/>
      <c r="L67" s="33"/>
      <c r="M67" s="33"/>
      <c r="N67" s="33"/>
      <c r="O67" s="33"/>
      <c r="P67" s="33"/>
      <c r="Q67" s="33"/>
      <c r="R67" s="33"/>
      <c r="S67" s="33"/>
      <c r="T67" s="33"/>
    </row>
    <row r="68" spans="1:20" ht="15.6">
      <c r="A68" s="13">
        <v>44136</v>
      </c>
      <c r="B68" s="41">
        <v>30</v>
      </c>
      <c r="C68" s="32">
        <v>122.58</v>
      </c>
      <c r="D68" s="32">
        <v>297.94099999999997</v>
      </c>
      <c r="E68" s="38">
        <v>729.47900000000004</v>
      </c>
      <c r="F68" s="32">
        <v>1150</v>
      </c>
      <c r="G68" s="32">
        <v>100</v>
      </c>
      <c r="H68" s="40">
        <v>600</v>
      </c>
      <c r="I68" s="32">
        <v>695</v>
      </c>
      <c r="J68" s="32">
        <v>50</v>
      </c>
      <c r="K68" s="33"/>
      <c r="L68" s="33"/>
      <c r="M68" s="33"/>
      <c r="N68" s="33"/>
      <c r="O68" s="33"/>
      <c r="P68" s="33"/>
      <c r="Q68" s="33"/>
      <c r="R68" s="33"/>
      <c r="S68" s="33"/>
      <c r="T68" s="33"/>
    </row>
    <row r="69" spans="1:20" ht="15.6">
      <c r="A69" s="13">
        <v>44166</v>
      </c>
      <c r="B69" s="41">
        <v>31</v>
      </c>
      <c r="C69" s="32">
        <v>122.58</v>
      </c>
      <c r="D69" s="32">
        <v>297.94099999999997</v>
      </c>
      <c r="E69" s="38">
        <v>729.47900000000004</v>
      </c>
      <c r="F69" s="32">
        <v>1150</v>
      </c>
      <c r="G69" s="32">
        <v>100</v>
      </c>
      <c r="H69" s="40">
        <v>600</v>
      </c>
      <c r="I69" s="32">
        <v>695</v>
      </c>
      <c r="J69" s="32">
        <v>50</v>
      </c>
      <c r="K69" s="33"/>
      <c r="L69" s="33"/>
      <c r="M69" s="33"/>
      <c r="N69" s="33"/>
      <c r="O69" s="33"/>
      <c r="P69" s="33"/>
      <c r="Q69" s="33"/>
      <c r="R69" s="33"/>
      <c r="S69" s="33"/>
      <c r="T69" s="33"/>
    </row>
    <row r="70" spans="1:20" ht="15.6">
      <c r="A70" s="13">
        <v>44197</v>
      </c>
      <c r="B70" s="41">
        <v>31</v>
      </c>
      <c r="C70" s="32">
        <v>122.58</v>
      </c>
      <c r="D70" s="32">
        <v>297.94099999999997</v>
      </c>
      <c r="E70" s="38">
        <v>729.47900000000004</v>
      </c>
      <c r="F70" s="32">
        <v>1150</v>
      </c>
      <c r="G70" s="32">
        <v>100</v>
      </c>
      <c r="H70" s="40">
        <v>600</v>
      </c>
      <c r="I70" s="32">
        <v>695</v>
      </c>
      <c r="J70" s="32">
        <v>50</v>
      </c>
      <c r="K70" s="33"/>
      <c r="L70" s="33"/>
      <c r="M70" s="33"/>
      <c r="N70" s="33"/>
      <c r="O70" s="33"/>
      <c r="P70" s="33"/>
      <c r="Q70" s="33"/>
      <c r="R70" s="33"/>
      <c r="S70" s="33"/>
      <c r="T70" s="33"/>
    </row>
    <row r="71" spans="1:20" ht="15.6">
      <c r="A71" s="13">
        <v>44228</v>
      </c>
      <c r="B71" s="41">
        <v>28</v>
      </c>
      <c r="C71" s="32">
        <v>122.58</v>
      </c>
      <c r="D71" s="32">
        <v>297.94099999999997</v>
      </c>
      <c r="E71" s="38">
        <v>729.47900000000004</v>
      </c>
      <c r="F71" s="32">
        <v>1150</v>
      </c>
      <c r="G71" s="32">
        <v>100</v>
      </c>
      <c r="H71" s="40">
        <v>600</v>
      </c>
      <c r="I71" s="32">
        <v>695</v>
      </c>
      <c r="J71" s="32">
        <v>50</v>
      </c>
      <c r="K71" s="33"/>
      <c r="L71" s="33"/>
      <c r="M71" s="33"/>
      <c r="N71" s="33"/>
      <c r="O71" s="33"/>
      <c r="P71" s="33"/>
      <c r="Q71" s="33"/>
      <c r="R71" s="33"/>
      <c r="S71" s="33"/>
      <c r="T71" s="33"/>
    </row>
    <row r="72" spans="1:20" ht="15.6">
      <c r="A72" s="13">
        <v>44256</v>
      </c>
      <c r="B72" s="41">
        <v>31</v>
      </c>
      <c r="C72" s="32">
        <v>122.58</v>
      </c>
      <c r="D72" s="32">
        <v>297.94099999999997</v>
      </c>
      <c r="E72" s="38">
        <v>729.47900000000004</v>
      </c>
      <c r="F72" s="32">
        <v>1150</v>
      </c>
      <c r="G72" s="32">
        <v>100</v>
      </c>
      <c r="H72" s="40">
        <v>600</v>
      </c>
      <c r="I72" s="32">
        <v>695</v>
      </c>
      <c r="J72" s="32">
        <v>50</v>
      </c>
      <c r="K72" s="33"/>
      <c r="L72" s="33"/>
      <c r="M72" s="33"/>
      <c r="N72" s="33"/>
      <c r="O72" s="33"/>
      <c r="P72" s="33"/>
      <c r="Q72" s="33"/>
      <c r="R72" s="33"/>
      <c r="S72" s="33"/>
      <c r="T72" s="33"/>
    </row>
    <row r="73" spans="1:20" ht="15.6">
      <c r="A73" s="13">
        <v>44287</v>
      </c>
      <c r="B73" s="41">
        <v>30</v>
      </c>
      <c r="C73" s="32">
        <v>141.29300000000001</v>
      </c>
      <c r="D73" s="32">
        <v>267.99299999999999</v>
      </c>
      <c r="E73" s="38">
        <v>829.71400000000006</v>
      </c>
      <c r="F73" s="32">
        <v>1239</v>
      </c>
      <c r="G73" s="32">
        <v>100</v>
      </c>
      <c r="H73" s="40">
        <v>600</v>
      </c>
      <c r="I73" s="32">
        <v>695</v>
      </c>
      <c r="J73" s="32">
        <v>50</v>
      </c>
      <c r="K73" s="33"/>
      <c r="L73" s="33"/>
      <c r="M73" s="33"/>
      <c r="N73" s="33"/>
      <c r="O73" s="33"/>
      <c r="P73" s="33"/>
      <c r="Q73" s="33"/>
      <c r="R73" s="33"/>
      <c r="S73" s="33"/>
      <c r="T73" s="33"/>
    </row>
    <row r="74" spans="1:20" ht="15.6">
      <c r="A74" s="13">
        <v>44317</v>
      </c>
      <c r="B74" s="41">
        <v>31</v>
      </c>
      <c r="C74" s="32">
        <v>194.20500000000001</v>
      </c>
      <c r="D74" s="32">
        <v>267.46600000000001</v>
      </c>
      <c r="E74" s="38">
        <v>812.32899999999995</v>
      </c>
      <c r="F74" s="32">
        <v>1274</v>
      </c>
      <c r="G74" s="32">
        <v>75</v>
      </c>
      <c r="H74" s="40">
        <v>600</v>
      </c>
      <c r="I74" s="32">
        <v>695</v>
      </c>
      <c r="J74" s="32">
        <v>50</v>
      </c>
      <c r="K74" s="33"/>
      <c r="L74" s="33"/>
      <c r="M74" s="33"/>
      <c r="N74" s="33"/>
      <c r="O74" s="33"/>
      <c r="P74" s="33"/>
      <c r="Q74" s="33"/>
      <c r="R74" s="33"/>
      <c r="S74" s="33"/>
      <c r="T74" s="33"/>
    </row>
    <row r="75" spans="1:20" ht="15.6">
      <c r="A75" s="13">
        <v>44348</v>
      </c>
      <c r="B75" s="41">
        <v>30</v>
      </c>
      <c r="C75" s="32">
        <v>194.20500000000001</v>
      </c>
      <c r="D75" s="32">
        <v>267.46600000000001</v>
      </c>
      <c r="E75" s="38">
        <v>812.32899999999995</v>
      </c>
      <c r="F75" s="32">
        <v>1274</v>
      </c>
      <c r="G75" s="32">
        <v>50</v>
      </c>
      <c r="H75" s="40">
        <v>600</v>
      </c>
      <c r="I75" s="32">
        <v>695</v>
      </c>
      <c r="J75" s="32">
        <v>50</v>
      </c>
      <c r="K75" s="33"/>
      <c r="L75" s="33"/>
      <c r="M75" s="33"/>
      <c r="N75" s="33"/>
      <c r="O75" s="33"/>
      <c r="P75" s="33"/>
      <c r="Q75" s="33"/>
      <c r="R75" s="33"/>
      <c r="S75" s="33"/>
      <c r="T75" s="33"/>
    </row>
    <row r="76" spans="1:20" ht="15.6">
      <c r="A76" s="13">
        <v>44378</v>
      </c>
      <c r="B76" s="41">
        <v>31</v>
      </c>
      <c r="C76" s="32">
        <v>194.20500000000001</v>
      </c>
      <c r="D76" s="32">
        <v>267.46600000000001</v>
      </c>
      <c r="E76" s="38">
        <v>812.32899999999995</v>
      </c>
      <c r="F76" s="32">
        <v>1274</v>
      </c>
      <c r="G76" s="32">
        <v>50</v>
      </c>
      <c r="H76" s="40">
        <v>600</v>
      </c>
      <c r="I76" s="32">
        <v>695</v>
      </c>
      <c r="J76" s="32">
        <v>0</v>
      </c>
      <c r="K76" s="33"/>
      <c r="L76" s="33"/>
      <c r="M76" s="33"/>
      <c r="N76" s="33"/>
      <c r="O76" s="33"/>
      <c r="P76" s="33"/>
      <c r="Q76" s="33"/>
      <c r="R76" s="33"/>
      <c r="S76" s="33"/>
      <c r="T76" s="33"/>
    </row>
    <row r="77" spans="1:20" ht="15.6">
      <c r="A77" s="13">
        <v>44409</v>
      </c>
      <c r="B77" s="41">
        <v>31</v>
      </c>
      <c r="C77" s="32">
        <v>194.20500000000001</v>
      </c>
      <c r="D77" s="32">
        <v>267.46600000000001</v>
      </c>
      <c r="E77" s="38">
        <v>812.32899999999995</v>
      </c>
      <c r="F77" s="32">
        <v>1274</v>
      </c>
      <c r="G77" s="32">
        <v>50</v>
      </c>
      <c r="H77" s="40">
        <v>600</v>
      </c>
      <c r="I77" s="32">
        <v>695</v>
      </c>
      <c r="J77" s="32">
        <v>0</v>
      </c>
      <c r="K77" s="33"/>
      <c r="L77" s="33"/>
      <c r="M77" s="33"/>
      <c r="N77" s="33"/>
      <c r="O77" s="33"/>
      <c r="P77" s="33"/>
      <c r="Q77" s="33"/>
      <c r="R77" s="33"/>
      <c r="S77" s="33"/>
      <c r="T77" s="33"/>
    </row>
    <row r="78" spans="1:20" ht="15.6">
      <c r="A78" s="13">
        <v>44440</v>
      </c>
      <c r="B78" s="41">
        <v>30</v>
      </c>
      <c r="C78" s="32">
        <v>194.20500000000001</v>
      </c>
      <c r="D78" s="32">
        <v>267.46600000000001</v>
      </c>
      <c r="E78" s="38">
        <v>812.32899999999995</v>
      </c>
      <c r="F78" s="32">
        <v>1274</v>
      </c>
      <c r="G78" s="32">
        <v>50</v>
      </c>
      <c r="H78" s="40">
        <v>600</v>
      </c>
      <c r="I78" s="32">
        <v>695</v>
      </c>
      <c r="J78" s="32">
        <v>0</v>
      </c>
      <c r="K78" s="33"/>
      <c r="L78" s="33"/>
      <c r="M78" s="33"/>
      <c r="N78" s="33"/>
      <c r="O78" s="33"/>
      <c r="P78" s="33"/>
      <c r="Q78" s="33"/>
      <c r="R78" s="33"/>
      <c r="S78" s="33"/>
      <c r="T78" s="33"/>
    </row>
    <row r="79" spans="1:20" ht="15.6">
      <c r="A79" s="13">
        <v>44470</v>
      </c>
      <c r="B79" s="41">
        <v>31</v>
      </c>
      <c r="C79" s="32">
        <v>131.881</v>
      </c>
      <c r="D79" s="32">
        <v>277.16699999999997</v>
      </c>
      <c r="E79" s="38">
        <v>829.952</v>
      </c>
      <c r="F79" s="32">
        <v>1239</v>
      </c>
      <c r="G79" s="32">
        <v>75</v>
      </c>
      <c r="H79" s="40">
        <v>600</v>
      </c>
      <c r="I79" s="32">
        <v>695</v>
      </c>
      <c r="J79" s="32">
        <v>0</v>
      </c>
      <c r="K79" s="33"/>
      <c r="L79" s="33"/>
      <c r="M79" s="33"/>
      <c r="N79" s="33"/>
      <c r="O79" s="33"/>
      <c r="P79" s="33"/>
      <c r="Q79" s="33"/>
      <c r="R79" s="33"/>
      <c r="S79" s="33"/>
      <c r="T79" s="33"/>
    </row>
    <row r="80" spans="1:20" ht="15.6">
      <c r="A80" s="13">
        <v>44501</v>
      </c>
      <c r="B80" s="41">
        <v>30</v>
      </c>
      <c r="C80" s="32">
        <v>122.58</v>
      </c>
      <c r="D80" s="32">
        <v>297.94099999999997</v>
      </c>
      <c r="E80" s="38">
        <v>729.47900000000004</v>
      </c>
      <c r="F80" s="32">
        <v>1150</v>
      </c>
      <c r="G80" s="32">
        <v>100</v>
      </c>
      <c r="H80" s="40">
        <v>600</v>
      </c>
      <c r="I80" s="32">
        <v>695</v>
      </c>
      <c r="J80" s="32">
        <v>50</v>
      </c>
      <c r="K80" s="33"/>
      <c r="L80" s="33"/>
      <c r="M80" s="33"/>
      <c r="N80" s="33"/>
      <c r="O80" s="33"/>
      <c r="P80" s="33"/>
      <c r="Q80" s="33"/>
      <c r="R80" s="33"/>
      <c r="S80" s="33"/>
      <c r="T80" s="33"/>
    </row>
    <row r="81" spans="1:20" ht="15.6">
      <c r="A81" s="13">
        <v>44531</v>
      </c>
      <c r="B81" s="41">
        <v>31</v>
      </c>
      <c r="C81" s="32">
        <v>122.58</v>
      </c>
      <c r="D81" s="32">
        <v>297.94099999999997</v>
      </c>
      <c r="E81" s="38">
        <v>729.47900000000004</v>
      </c>
      <c r="F81" s="32">
        <v>1150</v>
      </c>
      <c r="G81" s="32">
        <v>100</v>
      </c>
      <c r="H81" s="40">
        <v>600</v>
      </c>
      <c r="I81" s="32">
        <v>695</v>
      </c>
      <c r="J81" s="32">
        <v>50</v>
      </c>
      <c r="K81" s="33"/>
      <c r="L81" s="33"/>
      <c r="M81" s="33"/>
      <c r="N81" s="33"/>
      <c r="O81" s="33"/>
      <c r="P81" s="33"/>
      <c r="Q81" s="33"/>
      <c r="R81" s="33"/>
      <c r="S81" s="33"/>
      <c r="T81" s="33"/>
    </row>
    <row r="82" spans="1:20" ht="15.6">
      <c r="A82" s="13">
        <v>44562</v>
      </c>
      <c r="B82" s="41">
        <v>31</v>
      </c>
      <c r="C82" s="32">
        <v>122.58</v>
      </c>
      <c r="D82" s="32">
        <v>297.94099999999997</v>
      </c>
      <c r="E82" s="38">
        <v>729.47900000000004</v>
      </c>
      <c r="F82" s="32">
        <v>1150</v>
      </c>
      <c r="G82" s="32">
        <v>100</v>
      </c>
      <c r="H82" s="40">
        <v>600</v>
      </c>
      <c r="I82" s="32">
        <v>695</v>
      </c>
      <c r="J82" s="32">
        <v>50</v>
      </c>
      <c r="K82" s="33"/>
      <c r="L82" s="33"/>
      <c r="M82" s="33"/>
      <c r="N82" s="33"/>
      <c r="O82" s="33"/>
      <c r="P82" s="33"/>
      <c r="Q82" s="33"/>
      <c r="R82" s="33"/>
      <c r="S82" s="33"/>
      <c r="T82" s="33"/>
    </row>
    <row r="83" spans="1:20" ht="15.6">
      <c r="A83" s="13">
        <v>44593</v>
      </c>
      <c r="B83" s="41">
        <v>28</v>
      </c>
      <c r="C83" s="32">
        <v>122.58</v>
      </c>
      <c r="D83" s="32">
        <v>297.94099999999997</v>
      </c>
      <c r="E83" s="38">
        <v>729.47900000000004</v>
      </c>
      <c r="F83" s="32">
        <v>1150</v>
      </c>
      <c r="G83" s="32">
        <v>100</v>
      </c>
      <c r="H83" s="40">
        <v>600</v>
      </c>
      <c r="I83" s="32">
        <v>695</v>
      </c>
      <c r="J83" s="32">
        <v>50</v>
      </c>
      <c r="K83" s="33"/>
      <c r="L83" s="33"/>
      <c r="M83" s="33"/>
      <c r="N83" s="33"/>
      <c r="O83" s="33"/>
      <c r="P83" s="33"/>
      <c r="Q83" s="33"/>
      <c r="R83" s="33"/>
      <c r="S83" s="33"/>
      <c r="T83" s="33"/>
    </row>
    <row r="84" spans="1:20" ht="15.6">
      <c r="A84" s="13">
        <v>44621</v>
      </c>
      <c r="B84" s="41">
        <v>31</v>
      </c>
      <c r="C84" s="32">
        <v>122.58</v>
      </c>
      <c r="D84" s="32">
        <v>297.94099999999997</v>
      </c>
      <c r="E84" s="38">
        <v>729.47900000000004</v>
      </c>
      <c r="F84" s="32">
        <v>1150</v>
      </c>
      <c r="G84" s="32">
        <v>100</v>
      </c>
      <c r="H84" s="40">
        <v>600</v>
      </c>
      <c r="I84" s="32">
        <v>695</v>
      </c>
      <c r="J84" s="32">
        <v>50</v>
      </c>
      <c r="K84" s="33"/>
      <c r="L84" s="33"/>
      <c r="M84" s="33"/>
      <c r="N84" s="33"/>
      <c r="O84" s="33"/>
      <c r="P84" s="33"/>
      <c r="Q84" s="33"/>
      <c r="R84" s="33"/>
      <c r="S84" s="33"/>
      <c r="T84" s="33"/>
    </row>
    <row r="85" spans="1:20" ht="15.6">
      <c r="A85" s="13">
        <v>44652</v>
      </c>
      <c r="B85" s="41">
        <v>30</v>
      </c>
      <c r="C85" s="32">
        <v>141.29300000000001</v>
      </c>
      <c r="D85" s="32">
        <v>267.99299999999999</v>
      </c>
      <c r="E85" s="38">
        <v>829.71400000000006</v>
      </c>
      <c r="F85" s="32">
        <v>1239</v>
      </c>
      <c r="G85" s="32">
        <v>100</v>
      </c>
      <c r="H85" s="40">
        <v>600</v>
      </c>
      <c r="I85" s="32">
        <v>695</v>
      </c>
      <c r="J85" s="32">
        <v>50</v>
      </c>
      <c r="K85" s="33"/>
      <c r="L85" s="33"/>
      <c r="M85" s="33"/>
      <c r="N85" s="33"/>
      <c r="O85" s="33"/>
      <c r="P85" s="33"/>
      <c r="Q85" s="33"/>
      <c r="R85" s="33"/>
      <c r="S85" s="33"/>
      <c r="T85" s="33"/>
    </row>
    <row r="86" spans="1:20" ht="15.6">
      <c r="A86" s="13">
        <v>44682</v>
      </c>
      <c r="B86" s="41">
        <v>31</v>
      </c>
      <c r="C86" s="32">
        <v>194.20500000000001</v>
      </c>
      <c r="D86" s="32">
        <v>267.46600000000001</v>
      </c>
      <c r="E86" s="38">
        <v>812.32899999999995</v>
      </c>
      <c r="F86" s="32">
        <v>1274</v>
      </c>
      <c r="G86" s="32">
        <v>75</v>
      </c>
      <c r="H86" s="40">
        <v>600</v>
      </c>
      <c r="I86" s="32">
        <v>695</v>
      </c>
      <c r="J86" s="32">
        <v>50</v>
      </c>
      <c r="K86" s="33"/>
      <c r="L86" s="33"/>
      <c r="M86" s="33"/>
      <c r="N86" s="33"/>
      <c r="O86" s="33"/>
      <c r="P86" s="33"/>
      <c r="Q86" s="33"/>
      <c r="R86" s="33"/>
      <c r="S86" s="33"/>
      <c r="T86" s="33"/>
    </row>
    <row r="87" spans="1:20" ht="15.6">
      <c r="A87" s="13">
        <v>44713</v>
      </c>
      <c r="B87" s="41">
        <v>30</v>
      </c>
      <c r="C87" s="32">
        <v>194.20500000000001</v>
      </c>
      <c r="D87" s="32">
        <v>267.46600000000001</v>
      </c>
      <c r="E87" s="38">
        <v>812.32899999999995</v>
      </c>
      <c r="F87" s="32">
        <v>1274</v>
      </c>
      <c r="G87" s="32">
        <v>50</v>
      </c>
      <c r="H87" s="40">
        <v>600</v>
      </c>
      <c r="I87" s="32">
        <v>695</v>
      </c>
      <c r="J87" s="32">
        <v>50</v>
      </c>
      <c r="K87" s="33"/>
      <c r="L87" s="33"/>
      <c r="M87" s="33"/>
      <c r="N87" s="33"/>
      <c r="O87" s="33"/>
      <c r="P87" s="33"/>
      <c r="Q87" s="33"/>
      <c r="R87" s="33"/>
      <c r="S87" s="33"/>
      <c r="T87" s="33"/>
    </row>
    <row r="88" spans="1:20" ht="15.6">
      <c r="A88" s="13">
        <v>44743</v>
      </c>
      <c r="B88" s="41">
        <v>31</v>
      </c>
      <c r="C88" s="32">
        <v>194.20500000000001</v>
      </c>
      <c r="D88" s="32">
        <v>267.46600000000001</v>
      </c>
      <c r="E88" s="38">
        <v>812.32899999999995</v>
      </c>
      <c r="F88" s="32">
        <v>1274</v>
      </c>
      <c r="G88" s="32">
        <v>50</v>
      </c>
      <c r="H88" s="40">
        <v>600</v>
      </c>
      <c r="I88" s="32">
        <v>695</v>
      </c>
      <c r="J88" s="32">
        <v>0</v>
      </c>
      <c r="K88" s="33"/>
      <c r="L88" s="33"/>
      <c r="M88" s="33"/>
      <c r="N88" s="33"/>
      <c r="O88" s="33"/>
      <c r="P88" s="33"/>
      <c r="Q88" s="33"/>
      <c r="R88" s="33"/>
      <c r="S88" s="33"/>
      <c r="T88" s="33"/>
    </row>
    <row r="89" spans="1:20" ht="15.6">
      <c r="A89" s="13">
        <v>44774</v>
      </c>
      <c r="B89" s="41">
        <v>31</v>
      </c>
      <c r="C89" s="32">
        <v>194.20500000000001</v>
      </c>
      <c r="D89" s="32">
        <v>267.46600000000001</v>
      </c>
      <c r="E89" s="38">
        <v>812.32899999999995</v>
      </c>
      <c r="F89" s="32">
        <v>1274</v>
      </c>
      <c r="G89" s="32">
        <v>50</v>
      </c>
      <c r="H89" s="40">
        <v>600</v>
      </c>
      <c r="I89" s="32">
        <v>695</v>
      </c>
      <c r="J89" s="32">
        <v>0</v>
      </c>
      <c r="K89" s="33"/>
      <c r="L89" s="33"/>
      <c r="M89" s="33"/>
      <c r="N89" s="33"/>
      <c r="O89" s="33"/>
      <c r="P89" s="33"/>
      <c r="Q89" s="33"/>
      <c r="R89" s="33"/>
      <c r="S89" s="33"/>
      <c r="T89" s="33"/>
    </row>
    <row r="90" spans="1:20" ht="15.6">
      <c r="A90" s="13">
        <v>44805</v>
      </c>
      <c r="B90" s="41">
        <v>30</v>
      </c>
      <c r="C90" s="32">
        <v>194.20500000000001</v>
      </c>
      <c r="D90" s="32">
        <v>267.46600000000001</v>
      </c>
      <c r="E90" s="38">
        <v>812.32899999999995</v>
      </c>
      <c r="F90" s="32">
        <v>1274</v>
      </c>
      <c r="G90" s="32">
        <v>50</v>
      </c>
      <c r="H90" s="40">
        <v>600</v>
      </c>
      <c r="I90" s="32">
        <v>695</v>
      </c>
      <c r="J90" s="32">
        <v>0</v>
      </c>
      <c r="K90" s="33"/>
      <c r="L90" s="33"/>
      <c r="M90" s="33"/>
      <c r="N90" s="33"/>
      <c r="O90" s="33"/>
      <c r="P90" s="33"/>
      <c r="Q90" s="33"/>
      <c r="R90" s="33"/>
      <c r="S90" s="33"/>
      <c r="T90" s="33"/>
    </row>
    <row r="91" spans="1:20" ht="15.6">
      <c r="A91" s="13">
        <v>44835</v>
      </c>
      <c r="B91" s="41">
        <v>31</v>
      </c>
      <c r="C91" s="32">
        <v>131.881</v>
      </c>
      <c r="D91" s="32">
        <v>277.16699999999997</v>
      </c>
      <c r="E91" s="38">
        <v>829.952</v>
      </c>
      <c r="F91" s="32">
        <v>1239</v>
      </c>
      <c r="G91" s="32">
        <v>75</v>
      </c>
      <c r="H91" s="40">
        <v>600</v>
      </c>
      <c r="I91" s="32">
        <v>695</v>
      </c>
      <c r="J91" s="32">
        <v>0</v>
      </c>
      <c r="K91" s="33"/>
      <c r="L91" s="33"/>
      <c r="M91" s="33"/>
      <c r="N91" s="33"/>
      <c r="O91" s="33"/>
      <c r="P91" s="33"/>
      <c r="Q91" s="33"/>
      <c r="R91" s="33"/>
      <c r="S91" s="33"/>
      <c r="T91" s="33"/>
    </row>
    <row r="92" spans="1:20" ht="15.6">
      <c r="A92" s="13">
        <v>44866</v>
      </c>
      <c r="B92" s="41">
        <v>30</v>
      </c>
      <c r="C92" s="32">
        <v>122.58</v>
      </c>
      <c r="D92" s="32">
        <v>297.94099999999997</v>
      </c>
      <c r="E92" s="38">
        <v>729.47900000000004</v>
      </c>
      <c r="F92" s="32">
        <v>1150</v>
      </c>
      <c r="G92" s="32">
        <v>100</v>
      </c>
      <c r="H92" s="40">
        <v>600</v>
      </c>
      <c r="I92" s="32">
        <v>695</v>
      </c>
      <c r="J92" s="32">
        <v>50</v>
      </c>
      <c r="K92" s="33"/>
      <c r="L92" s="33"/>
      <c r="M92" s="33"/>
      <c r="N92" s="33"/>
      <c r="O92" s="33"/>
      <c r="P92" s="33"/>
      <c r="Q92" s="33"/>
      <c r="R92" s="33"/>
      <c r="S92" s="33"/>
      <c r="T92" s="33"/>
    </row>
    <row r="93" spans="1:20" ht="15.6">
      <c r="A93" s="13">
        <v>44896</v>
      </c>
      <c r="B93" s="41">
        <v>31</v>
      </c>
      <c r="C93" s="32">
        <v>122.58</v>
      </c>
      <c r="D93" s="32">
        <v>297.94099999999997</v>
      </c>
      <c r="E93" s="38">
        <v>729.47900000000004</v>
      </c>
      <c r="F93" s="32">
        <v>1150</v>
      </c>
      <c r="G93" s="32">
        <v>100</v>
      </c>
      <c r="H93" s="40">
        <v>600</v>
      </c>
      <c r="I93" s="32">
        <v>695</v>
      </c>
      <c r="J93" s="32">
        <v>50</v>
      </c>
      <c r="K93" s="33"/>
      <c r="L93" s="33"/>
      <c r="M93" s="33"/>
      <c r="N93" s="33"/>
      <c r="O93" s="33"/>
      <c r="P93" s="33"/>
      <c r="Q93" s="33"/>
      <c r="R93" s="33"/>
      <c r="S93" s="33"/>
      <c r="T93" s="33"/>
    </row>
    <row r="94" spans="1:20" ht="15.6">
      <c r="A94" s="13">
        <v>44927</v>
      </c>
      <c r="B94" s="41">
        <v>31</v>
      </c>
      <c r="C94" s="32">
        <v>122.58</v>
      </c>
      <c r="D94" s="32">
        <v>297.94099999999997</v>
      </c>
      <c r="E94" s="38">
        <v>729.47900000000004</v>
      </c>
      <c r="F94" s="32">
        <v>1150</v>
      </c>
      <c r="G94" s="32">
        <v>100</v>
      </c>
      <c r="H94" s="40">
        <v>600</v>
      </c>
      <c r="I94" s="32">
        <v>695</v>
      </c>
      <c r="J94" s="32">
        <v>50</v>
      </c>
      <c r="K94" s="33"/>
      <c r="L94" s="33"/>
      <c r="M94" s="33"/>
      <c r="N94" s="33"/>
      <c r="O94" s="33"/>
      <c r="P94" s="33"/>
      <c r="Q94" s="33"/>
      <c r="R94" s="33"/>
      <c r="S94" s="33"/>
      <c r="T94" s="33"/>
    </row>
    <row r="95" spans="1:20" ht="15.6">
      <c r="A95" s="13">
        <v>44958</v>
      </c>
      <c r="B95" s="41">
        <v>28</v>
      </c>
      <c r="C95" s="32">
        <v>122.58</v>
      </c>
      <c r="D95" s="32">
        <v>297.94099999999997</v>
      </c>
      <c r="E95" s="38">
        <v>729.47900000000004</v>
      </c>
      <c r="F95" s="32">
        <v>1150</v>
      </c>
      <c r="G95" s="32">
        <v>100</v>
      </c>
      <c r="H95" s="40">
        <v>600</v>
      </c>
      <c r="I95" s="32">
        <v>695</v>
      </c>
      <c r="J95" s="32">
        <v>50</v>
      </c>
      <c r="K95" s="33"/>
      <c r="L95" s="33"/>
      <c r="M95" s="33"/>
      <c r="N95" s="33"/>
      <c r="O95" s="33"/>
      <c r="P95" s="33"/>
      <c r="Q95" s="33"/>
      <c r="R95" s="33"/>
      <c r="S95" s="33"/>
      <c r="T95" s="33"/>
    </row>
    <row r="96" spans="1:20" ht="15.6">
      <c r="A96" s="13">
        <v>44986</v>
      </c>
      <c r="B96" s="41">
        <v>31</v>
      </c>
      <c r="C96" s="32">
        <v>122.58</v>
      </c>
      <c r="D96" s="32">
        <v>297.94099999999997</v>
      </c>
      <c r="E96" s="38">
        <v>729.47900000000004</v>
      </c>
      <c r="F96" s="32">
        <v>1150</v>
      </c>
      <c r="G96" s="32">
        <v>100</v>
      </c>
      <c r="H96" s="40">
        <v>600</v>
      </c>
      <c r="I96" s="32">
        <v>695</v>
      </c>
      <c r="J96" s="32">
        <v>50</v>
      </c>
      <c r="K96" s="33"/>
      <c r="L96" s="33"/>
      <c r="M96" s="33"/>
      <c r="N96" s="33"/>
      <c r="O96" s="33"/>
      <c r="P96" s="33"/>
      <c r="Q96" s="33"/>
      <c r="R96" s="33"/>
      <c r="S96" s="33"/>
      <c r="T96" s="33"/>
    </row>
    <row r="97" spans="1:20" ht="15.6">
      <c r="A97" s="13">
        <v>45017</v>
      </c>
      <c r="B97" s="41">
        <v>30</v>
      </c>
      <c r="C97" s="32">
        <v>141.29300000000001</v>
      </c>
      <c r="D97" s="32">
        <v>267.99299999999999</v>
      </c>
      <c r="E97" s="38">
        <v>829.71400000000006</v>
      </c>
      <c r="F97" s="32">
        <v>1239</v>
      </c>
      <c r="G97" s="32">
        <v>100</v>
      </c>
      <c r="H97" s="40">
        <v>600</v>
      </c>
      <c r="I97" s="32">
        <v>695</v>
      </c>
      <c r="J97" s="32">
        <v>50</v>
      </c>
      <c r="K97" s="33"/>
      <c r="L97" s="33"/>
      <c r="M97" s="33"/>
      <c r="N97" s="33"/>
      <c r="O97" s="33"/>
      <c r="P97" s="33"/>
      <c r="Q97" s="33"/>
      <c r="R97" s="33"/>
      <c r="S97" s="33"/>
      <c r="T97" s="33"/>
    </row>
    <row r="98" spans="1:20" ht="15.6">
      <c r="A98" s="13">
        <v>45047</v>
      </c>
      <c r="B98" s="41">
        <v>31</v>
      </c>
      <c r="C98" s="32">
        <v>194.20500000000001</v>
      </c>
      <c r="D98" s="32">
        <v>267.46600000000001</v>
      </c>
      <c r="E98" s="38">
        <v>812.32899999999995</v>
      </c>
      <c r="F98" s="32">
        <v>1274</v>
      </c>
      <c r="G98" s="32">
        <v>75</v>
      </c>
      <c r="H98" s="40">
        <v>600</v>
      </c>
      <c r="I98" s="32">
        <v>695</v>
      </c>
      <c r="J98" s="32">
        <v>50</v>
      </c>
      <c r="K98" s="33"/>
      <c r="L98" s="33"/>
      <c r="M98" s="33"/>
      <c r="N98" s="33"/>
      <c r="O98" s="33"/>
      <c r="P98" s="33"/>
      <c r="Q98" s="33"/>
      <c r="R98" s="33"/>
      <c r="S98" s="33"/>
      <c r="T98" s="33"/>
    </row>
    <row r="99" spans="1:20" ht="15.6">
      <c r="A99" s="13">
        <v>45078</v>
      </c>
      <c r="B99" s="41">
        <v>30</v>
      </c>
      <c r="C99" s="32">
        <v>194.20500000000001</v>
      </c>
      <c r="D99" s="32">
        <v>267.46600000000001</v>
      </c>
      <c r="E99" s="38">
        <v>812.32899999999995</v>
      </c>
      <c r="F99" s="32">
        <v>1274</v>
      </c>
      <c r="G99" s="32">
        <v>50</v>
      </c>
      <c r="H99" s="40">
        <v>600</v>
      </c>
      <c r="I99" s="32">
        <v>695</v>
      </c>
      <c r="J99" s="32">
        <v>50</v>
      </c>
      <c r="K99" s="33"/>
      <c r="L99" s="33"/>
      <c r="M99" s="33"/>
      <c r="N99" s="33"/>
      <c r="O99" s="33"/>
      <c r="P99" s="33"/>
      <c r="Q99" s="33"/>
      <c r="R99" s="33"/>
      <c r="S99" s="33"/>
      <c r="T99" s="33"/>
    </row>
    <row r="100" spans="1:20" ht="15.6">
      <c r="A100" s="13">
        <v>45108</v>
      </c>
      <c r="B100" s="41">
        <v>31</v>
      </c>
      <c r="C100" s="32">
        <v>194.20500000000001</v>
      </c>
      <c r="D100" s="32">
        <v>267.46600000000001</v>
      </c>
      <c r="E100" s="38">
        <v>812.32899999999995</v>
      </c>
      <c r="F100" s="32">
        <v>1274</v>
      </c>
      <c r="G100" s="32">
        <v>50</v>
      </c>
      <c r="H100" s="40">
        <v>600</v>
      </c>
      <c r="I100" s="32">
        <v>695</v>
      </c>
      <c r="J100" s="32">
        <v>0</v>
      </c>
      <c r="K100" s="33"/>
      <c r="L100" s="33"/>
      <c r="M100" s="33"/>
      <c r="N100" s="33"/>
      <c r="O100" s="33"/>
      <c r="P100" s="33"/>
      <c r="Q100" s="33"/>
      <c r="R100" s="33"/>
      <c r="S100" s="33"/>
      <c r="T100" s="33"/>
    </row>
    <row r="101" spans="1:20" ht="15.6">
      <c r="A101" s="13">
        <v>45139</v>
      </c>
      <c r="B101" s="41">
        <v>31</v>
      </c>
      <c r="C101" s="32">
        <v>194.20500000000001</v>
      </c>
      <c r="D101" s="32">
        <v>267.46600000000001</v>
      </c>
      <c r="E101" s="38">
        <v>812.32899999999995</v>
      </c>
      <c r="F101" s="32">
        <v>1274</v>
      </c>
      <c r="G101" s="32">
        <v>50</v>
      </c>
      <c r="H101" s="40">
        <v>600</v>
      </c>
      <c r="I101" s="32">
        <v>695</v>
      </c>
      <c r="J101" s="32">
        <v>0</v>
      </c>
      <c r="K101" s="33"/>
      <c r="L101" s="33"/>
      <c r="M101" s="33"/>
      <c r="N101" s="33"/>
      <c r="O101" s="33"/>
      <c r="P101" s="33"/>
      <c r="Q101" s="33"/>
      <c r="R101" s="33"/>
      <c r="S101" s="33"/>
      <c r="T101" s="33"/>
    </row>
    <row r="102" spans="1:20" ht="15.6">
      <c r="A102" s="13">
        <v>45170</v>
      </c>
      <c r="B102" s="41">
        <v>30</v>
      </c>
      <c r="C102" s="32">
        <v>194.20500000000001</v>
      </c>
      <c r="D102" s="32">
        <v>267.46600000000001</v>
      </c>
      <c r="E102" s="38">
        <v>812.32899999999995</v>
      </c>
      <c r="F102" s="32">
        <v>1274</v>
      </c>
      <c r="G102" s="32">
        <v>50</v>
      </c>
      <c r="H102" s="40">
        <v>600</v>
      </c>
      <c r="I102" s="32">
        <v>695</v>
      </c>
      <c r="J102" s="32">
        <v>0</v>
      </c>
      <c r="K102" s="33"/>
      <c r="L102" s="33"/>
      <c r="M102" s="33"/>
      <c r="N102" s="33"/>
      <c r="O102" s="33"/>
      <c r="P102" s="33"/>
      <c r="Q102" s="33"/>
      <c r="R102" s="33"/>
      <c r="S102" s="33"/>
      <c r="T102" s="33"/>
    </row>
    <row r="103" spans="1:20" ht="15.6">
      <c r="A103" s="13">
        <v>45200</v>
      </c>
      <c r="B103" s="41">
        <v>31</v>
      </c>
      <c r="C103" s="32">
        <v>131.881</v>
      </c>
      <c r="D103" s="32">
        <v>277.16699999999997</v>
      </c>
      <c r="E103" s="38">
        <v>829.952</v>
      </c>
      <c r="F103" s="32">
        <v>1239</v>
      </c>
      <c r="G103" s="32">
        <v>75</v>
      </c>
      <c r="H103" s="40">
        <v>600</v>
      </c>
      <c r="I103" s="32">
        <v>695</v>
      </c>
      <c r="J103" s="32">
        <v>0</v>
      </c>
      <c r="K103" s="33"/>
      <c r="L103" s="33"/>
      <c r="M103" s="33"/>
      <c r="N103" s="33"/>
      <c r="O103" s="33"/>
      <c r="P103" s="33"/>
      <c r="Q103" s="33"/>
      <c r="R103" s="33"/>
      <c r="S103" s="33"/>
      <c r="T103" s="33"/>
    </row>
    <row r="104" spans="1:20" ht="15.6">
      <c r="A104" s="13">
        <v>45231</v>
      </c>
      <c r="B104" s="41">
        <v>30</v>
      </c>
      <c r="C104" s="32">
        <v>122.58</v>
      </c>
      <c r="D104" s="32">
        <v>297.94099999999997</v>
      </c>
      <c r="E104" s="38">
        <v>729.47900000000004</v>
      </c>
      <c r="F104" s="32">
        <v>1150</v>
      </c>
      <c r="G104" s="32">
        <v>100</v>
      </c>
      <c r="H104" s="40">
        <v>600</v>
      </c>
      <c r="I104" s="32">
        <v>695</v>
      </c>
      <c r="J104" s="32">
        <v>50</v>
      </c>
      <c r="K104" s="33"/>
      <c r="L104" s="33"/>
      <c r="M104" s="33"/>
      <c r="N104" s="33"/>
      <c r="O104" s="33"/>
      <c r="P104" s="33"/>
      <c r="Q104" s="33"/>
      <c r="R104" s="33"/>
      <c r="S104" s="33"/>
      <c r="T104" s="33"/>
    </row>
    <row r="105" spans="1:20" ht="15.6">
      <c r="A105" s="13">
        <v>45261</v>
      </c>
      <c r="B105" s="41">
        <v>31</v>
      </c>
      <c r="C105" s="32">
        <v>122.58</v>
      </c>
      <c r="D105" s="32">
        <v>297.94099999999997</v>
      </c>
      <c r="E105" s="38">
        <v>729.47900000000004</v>
      </c>
      <c r="F105" s="32">
        <v>1150</v>
      </c>
      <c r="G105" s="32">
        <v>100</v>
      </c>
      <c r="H105" s="40">
        <v>600</v>
      </c>
      <c r="I105" s="32">
        <v>695</v>
      </c>
      <c r="J105" s="32">
        <v>50</v>
      </c>
      <c r="K105" s="33"/>
      <c r="L105" s="33"/>
      <c r="M105" s="33"/>
      <c r="N105" s="33"/>
      <c r="O105" s="33"/>
      <c r="P105" s="33"/>
      <c r="Q105" s="33"/>
      <c r="R105" s="33"/>
      <c r="S105" s="33"/>
      <c r="T105" s="33"/>
    </row>
    <row r="106" spans="1:20" ht="15.6">
      <c r="A106" s="13">
        <v>45292</v>
      </c>
      <c r="B106" s="41">
        <v>31</v>
      </c>
      <c r="C106" s="32">
        <v>122.58</v>
      </c>
      <c r="D106" s="32">
        <v>297.94099999999997</v>
      </c>
      <c r="E106" s="38">
        <v>729.47900000000004</v>
      </c>
      <c r="F106" s="32">
        <v>1150</v>
      </c>
      <c r="G106" s="32">
        <v>100</v>
      </c>
      <c r="H106" s="40">
        <v>600</v>
      </c>
      <c r="I106" s="32">
        <v>695</v>
      </c>
      <c r="J106" s="32">
        <v>50</v>
      </c>
      <c r="K106" s="33"/>
      <c r="L106" s="33"/>
      <c r="M106" s="33"/>
      <c r="N106" s="33"/>
      <c r="O106" s="33"/>
      <c r="P106" s="33"/>
      <c r="Q106" s="33"/>
      <c r="R106" s="33"/>
      <c r="S106" s="33"/>
      <c r="T106" s="33"/>
    </row>
    <row r="107" spans="1:20" ht="15.6">
      <c r="A107" s="13">
        <v>45323</v>
      </c>
      <c r="B107" s="41">
        <v>29</v>
      </c>
      <c r="C107" s="32">
        <v>122.58</v>
      </c>
      <c r="D107" s="32">
        <v>297.94099999999997</v>
      </c>
      <c r="E107" s="38">
        <v>729.47900000000004</v>
      </c>
      <c r="F107" s="32">
        <v>1150</v>
      </c>
      <c r="G107" s="32">
        <v>100</v>
      </c>
      <c r="H107" s="40">
        <v>600</v>
      </c>
      <c r="I107" s="32">
        <v>695</v>
      </c>
      <c r="J107" s="32">
        <v>50</v>
      </c>
      <c r="K107" s="33"/>
      <c r="L107" s="33"/>
      <c r="M107" s="33"/>
      <c r="N107" s="33"/>
      <c r="O107" s="33"/>
      <c r="P107" s="33"/>
      <c r="Q107" s="33"/>
      <c r="R107" s="33"/>
      <c r="S107" s="33"/>
      <c r="T107" s="33"/>
    </row>
    <row r="108" spans="1:20" ht="15.6">
      <c r="A108" s="13">
        <v>45352</v>
      </c>
      <c r="B108" s="41">
        <v>31</v>
      </c>
      <c r="C108" s="32">
        <v>122.58</v>
      </c>
      <c r="D108" s="32">
        <v>297.94099999999997</v>
      </c>
      <c r="E108" s="38">
        <v>729.47900000000004</v>
      </c>
      <c r="F108" s="32">
        <v>1150</v>
      </c>
      <c r="G108" s="32">
        <v>100</v>
      </c>
      <c r="H108" s="40">
        <v>600</v>
      </c>
      <c r="I108" s="32">
        <v>695</v>
      </c>
      <c r="J108" s="32">
        <v>50</v>
      </c>
      <c r="K108" s="33"/>
      <c r="L108" s="33"/>
      <c r="M108" s="33"/>
      <c r="N108" s="33"/>
      <c r="O108" s="33"/>
      <c r="P108" s="33"/>
      <c r="Q108" s="33"/>
      <c r="R108" s="33"/>
      <c r="S108" s="33"/>
      <c r="T108" s="33"/>
    </row>
    <row r="109" spans="1:20" ht="15.6">
      <c r="A109" s="13">
        <v>45383</v>
      </c>
      <c r="B109" s="41">
        <v>30</v>
      </c>
      <c r="C109" s="32">
        <v>141.29300000000001</v>
      </c>
      <c r="D109" s="32">
        <v>267.99299999999999</v>
      </c>
      <c r="E109" s="38">
        <v>829.71400000000006</v>
      </c>
      <c r="F109" s="32">
        <v>1239</v>
      </c>
      <c r="G109" s="32">
        <v>100</v>
      </c>
      <c r="H109" s="40">
        <v>600</v>
      </c>
      <c r="I109" s="32">
        <v>695</v>
      </c>
      <c r="J109" s="32">
        <v>50</v>
      </c>
      <c r="K109" s="33"/>
      <c r="L109" s="33"/>
      <c r="M109" s="33"/>
      <c r="N109" s="33"/>
      <c r="O109" s="33"/>
      <c r="P109" s="33"/>
      <c r="Q109" s="33"/>
      <c r="R109" s="33"/>
      <c r="S109" s="33"/>
      <c r="T109" s="33"/>
    </row>
    <row r="110" spans="1:20" ht="15.6">
      <c r="A110" s="13">
        <v>45413</v>
      </c>
      <c r="B110" s="41">
        <v>31</v>
      </c>
      <c r="C110" s="32">
        <v>194.20500000000001</v>
      </c>
      <c r="D110" s="32">
        <v>267.46600000000001</v>
      </c>
      <c r="E110" s="38">
        <v>812.32899999999995</v>
      </c>
      <c r="F110" s="32">
        <v>1274</v>
      </c>
      <c r="G110" s="32">
        <v>75</v>
      </c>
      <c r="H110" s="40">
        <v>600</v>
      </c>
      <c r="I110" s="32">
        <v>695</v>
      </c>
      <c r="J110" s="32">
        <v>50</v>
      </c>
      <c r="K110" s="33"/>
      <c r="L110" s="33"/>
      <c r="M110" s="33"/>
      <c r="N110" s="33"/>
      <c r="O110" s="33"/>
      <c r="P110" s="33"/>
      <c r="Q110" s="33"/>
      <c r="R110" s="33"/>
      <c r="S110" s="33"/>
      <c r="T110" s="33"/>
    </row>
    <row r="111" spans="1:20" ht="15.6">
      <c r="A111" s="13">
        <v>45444</v>
      </c>
      <c r="B111" s="41">
        <v>30</v>
      </c>
      <c r="C111" s="32">
        <v>194.20500000000001</v>
      </c>
      <c r="D111" s="32">
        <v>267.46600000000001</v>
      </c>
      <c r="E111" s="38">
        <v>812.32899999999995</v>
      </c>
      <c r="F111" s="32">
        <v>1274</v>
      </c>
      <c r="G111" s="32">
        <v>50</v>
      </c>
      <c r="H111" s="40">
        <v>600</v>
      </c>
      <c r="I111" s="32">
        <v>695</v>
      </c>
      <c r="J111" s="32">
        <v>50</v>
      </c>
      <c r="K111" s="33"/>
      <c r="L111" s="33"/>
      <c r="M111" s="33"/>
      <c r="N111" s="33"/>
      <c r="O111" s="33"/>
      <c r="P111" s="33"/>
      <c r="Q111" s="33"/>
      <c r="R111" s="33"/>
      <c r="S111" s="33"/>
      <c r="T111" s="33"/>
    </row>
    <row r="112" spans="1:20" ht="15.6">
      <c r="A112" s="13">
        <v>45474</v>
      </c>
      <c r="B112" s="41">
        <v>31</v>
      </c>
      <c r="C112" s="32">
        <v>194.20500000000001</v>
      </c>
      <c r="D112" s="32">
        <v>267.46600000000001</v>
      </c>
      <c r="E112" s="38">
        <v>812.32899999999995</v>
      </c>
      <c r="F112" s="32">
        <v>1274</v>
      </c>
      <c r="G112" s="32">
        <v>50</v>
      </c>
      <c r="H112" s="40">
        <v>600</v>
      </c>
      <c r="I112" s="32">
        <v>695</v>
      </c>
      <c r="J112" s="32">
        <v>0</v>
      </c>
      <c r="K112" s="33"/>
      <c r="L112" s="33"/>
      <c r="M112" s="33"/>
      <c r="N112" s="33"/>
      <c r="O112" s="33"/>
      <c r="P112" s="33"/>
      <c r="Q112" s="33"/>
      <c r="R112" s="33"/>
      <c r="S112" s="33"/>
      <c r="T112" s="33"/>
    </row>
    <row r="113" spans="1:20" ht="15.6">
      <c r="A113" s="13">
        <v>45505</v>
      </c>
      <c r="B113" s="41">
        <v>31</v>
      </c>
      <c r="C113" s="32">
        <v>194.20500000000001</v>
      </c>
      <c r="D113" s="32">
        <v>267.46600000000001</v>
      </c>
      <c r="E113" s="38">
        <v>812.32899999999995</v>
      </c>
      <c r="F113" s="32">
        <v>1274</v>
      </c>
      <c r="G113" s="32">
        <v>50</v>
      </c>
      <c r="H113" s="40">
        <v>600</v>
      </c>
      <c r="I113" s="32">
        <v>695</v>
      </c>
      <c r="J113" s="32">
        <v>0</v>
      </c>
      <c r="K113" s="33"/>
      <c r="L113" s="33"/>
      <c r="M113" s="33"/>
      <c r="N113" s="33"/>
      <c r="O113" s="33"/>
      <c r="P113" s="33"/>
      <c r="Q113" s="33"/>
      <c r="R113" s="33"/>
      <c r="S113" s="33"/>
      <c r="T113" s="33"/>
    </row>
    <row r="114" spans="1:20" ht="15.6">
      <c r="A114" s="13">
        <v>45536</v>
      </c>
      <c r="B114" s="41">
        <v>30</v>
      </c>
      <c r="C114" s="32">
        <v>194.20500000000001</v>
      </c>
      <c r="D114" s="32">
        <v>267.46600000000001</v>
      </c>
      <c r="E114" s="38">
        <v>812.32899999999995</v>
      </c>
      <c r="F114" s="32">
        <v>1274</v>
      </c>
      <c r="G114" s="32">
        <v>50</v>
      </c>
      <c r="H114" s="40">
        <v>600</v>
      </c>
      <c r="I114" s="32">
        <v>695</v>
      </c>
      <c r="J114" s="32">
        <v>0</v>
      </c>
      <c r="K114" s="33"/>
      <c r="L114" s="33"/>
      <c r="M114" s="33"/>
      <c r="N114" s="33"/>
      <c r="O114" s="33"/>
      <c r="P114" s="33"/>
      <c r="Q114" s="33"/>
      <c r="R114" s="33"/>
      <c r="S114" s="33"/>
      <c r="T114" s="33"/>
    </row>
    <row r="115" spans="1:20" ht="15.6">
      <c r="A115" s="13">
        <v>45566</v>
      </c>
      <c r="B115" s="41">
        <v>31</v>
      </c>
      <c r="C115" s="32">
        <v>131.881</v>
      </c>
      <c r="D115" s="32">
        <v>277.16699999999997</v>
      </c>
      <c r="E115" s="38">
        <v>829.952</v>
      </c>
      <c r="F115" s="32">
        <v>1239</v>
      </c>
      <c r="G115" s="32">
        <v>75</v>
      </c>
      <c r="H115" s="40">
        <v>600</v>
      </c>
      <c r="I115" s="32">
        <v>695</v>
      </c>
      <c r="J115" s="32">
        <v>0</v>
      </c>
      <c r="K115" s="33"/>
      <c r="L115" s="33"/>
      <c r="M115" s="33"/>
      <c r="N115" s="33"/>
      <c r="O115" s="33"/>
      <c r="P115" s="33"/>
      <c r="Q115" s="33"/>
      <c r="R115" s="33"/>
      <c r="S115" s="33"/>
      <c r="T115" s="33"/>
    </row>
    <row r="116" spans="1:20" ht="15.6">
      <c r="A116" s="13">
        <v>45597</v>
      </c>
      <c r="B116" s="41">
        <v>30</v>
      </c>
      <c r="C116" s="32">
        <v>122.58</v>
      </c>
      <c r="D116" s="32">
        <v>297.94099999999997</v>
      </c>
      <c r="E116" s="38">
        <v>729.47900000000004</v>
      </c>
      <c r="F116" s="32">
        <v>1150</v>
      </c>
      <c r="G116" s="32">
        <v>100</v>
      </c>
      <c r="H116" s="40">
        <v>600</v>
      </c>
      <c r="I116" s="32">
        <v>695</v>
      </c>
      <c r="J116" s="32">
        <v>50</v>
      </c>
      <c r="K116" s="33"/>
      <c r="L116" s="33"/>
      <c r="M116" s="33"/>
      <c r="N116" s="33"/>
      <c r="O116" s="33"/>
      <c r="P116" s="33"/>
      <c r="Q116" s="33"/>
      <c r="R116" s="33"/>
      <c r="S116" s="33"/>
      <c r="T116" s="33"/>
    </row>
    <row r="117" spans="1:20" ht="15.6">
      <c r="A117" s="13">
        <v>45627</v>
      </c>
      <c r="B117" s="41">
        <v>31</v>
      </c>
      <c r="C117" s="32">
        <v>122.58</v>
      </c>
      <c r="D117" s="32">
        <v>297.94099999999997</v>
      </c>
      <c r="E117" s="38">
        <v>729.47900000000004</v>
      </c>
      <c r="F117" s="32">
        <v>1150</v>
      </c>
      <c r="G117" s="32">
        <v>100</v>
      </c>
      <c r="H117" s="40">
        <v>600</v>
      </c>
      <c r="I117" s="32">
        <v>695</v>
      </c>
      <c r="J117" s="32">
        <v>50</v>
      </c>
      <c r="K117" s="33"/>
      <c r="L117" s="33"/>
      <c r="M117" s="33"/>
      <c r="N117" s="33"/>
      <c r="O117" s="33"/>
      <c r="P117" s="33"/>
      <c r="Q117" s="33"/>
      <c r="R117" s="33"/>
      <c r="S117" s="33"/>
      <c r="T117" s="33"/>
    </row>
    <row r="118" spans="1:20" ht="15.6">
      <c r="A118" s="13">
        <v>45658</v>
      </c>
      <c r="B118" s="41">
        <v>31</v>
      </c>
      <c r="C118" s="32">
        <v>122.58</v>
      </c>
      <c r="D118" s="32">
        <v>297.94099999999997</v>
      </c>
      <c r="E118" s="38">
        <v>729.47900000000004</v>
      </c>
      <c r="F118" s="32">
        <v>1150</v>
      </c>
      <c r="G118" s="32">
        <v>100</v>
      </c>
      <c r="H118" s="40">
        <v>600</v>
      </c>
      <c r="I118" s="32">
        <v>695</v>
      </c>
      <c r="J118" s="32">
        <v>50</v>
      </c>
      <c r="K118" s="33"/>
      <c r="L118" s="33"/>
      <c r="M118" s="33"/>
      <c r="N118" s="33"/>
      <c r="O118" s="33"/>
      <c r="P118" s="33"/>
      <c r="Q118" s="33"/>
      <c r="R118" s="33"/>
      <c r="S118" s="33"/>
      <c r="T118" s="33"/>
    </row>
    <row r="119" spans="1:20" ht="15.6">
      <c r="A119" s="13">
        <v>45689</v>
      </c>
      <c r="B119" s="41">
        <v>28</v>
      </c>
      <c r="C119" s="32">
        <v>122.58</v>
      </c>
      <c r="D119" s="32">
        <v>297.94099999999997</v>
      </c>
      <c r="E119" s="38">
        <v>729.47900000000004</v>
      </c>
      <c r="F119" s="32">
        <v>1150</v>
      </c>
      <c r="G119" s="32">
        <v>100</v>
      </c>
      <c r="H119" s="40">
        <v>600</v>
      </c>
      <c r="I119" s="32">
        <v>695</v>
      </c>
      <c r="J119" s="32">
        <v>50</v>
      </c>
      <c r="K119" s="33"/>
      <c r="L119" s="33"/>
      <c r="M119" s="33"/>
      <c r="N119" s="33"/>
      <c r="O119" s="33"/>
      <c r="P119" s="33"/>
      <c r="Q119" s="33"/>
      <c r="R119" s="33"/>
      <c r="S119" s="33"/>
      <c r="T119" s="33"/>
    </row>
    <row r="120" spans="1:20" ht="15.6">
      <c r="A120" s="13">
        <v>45717</v>
      </c>
      <c r="B120" s="41">
        <v>31</v>
      </c>
      <c r="C120" s="32">
        <v>122.58</v>
      </c>
      <c r="D120" s="32">
        <v>297.94099999999997</v>
      </c>
      <c r="E120" s="38">
        <v>729.47900000000004</v>
      </c>
      <c r="F120" s="32">
        <v>1150</v>
      </c>
      <c r="G120" s="32">
        <v>100</v>
      </c>
      <c r="H120" s="40">
        <v>600</v>
      </c>
      <c r="I120" s="32">
        <v>695</v>
      </c>
      <c r="J120" s="32">
        <v>50</v>
      </c>
      <c r="K120" s="33"/>
      <c r="L120" s="33"/>
      <c r="M120" s="33"/>
      <c r="N120" s="33"/>
      <c r="O120" s="33"/>
      <c r="P120" s="33"/>
      <c r="Q120" s="33"/>
      <c r="R120" s="33"/>
      <c r="S120" s="33"/>
      <c r="T120" s="33"/>
    </row>
    <row r="121" spans="1:20" ht="15.6">
      <c r="A121" s="13">
        <v>45748</v>
      </c>
      <c r="B121" s="41">
        <v>30</v>
      </c>
      <c r="C121" s="32">
        <v>141.29300000000001</v>
      </c>
      <c r="D121" s="32">
        <v>267.99299999999999</v>
      </c>
      <c r="E121" s="38">
        <v>829.71400000000006</v>
      </c>
      <c r="F121" s="32">
        <v>1239</v>
      </c>
      <c r="G121" s="32">
        <v>100</v>
      </c>
      <c r="H121" s="40">
        <v>600</v>
      </c>
      <c r="I121" s="32">
        <v>695</v>
      </c>
      <c r="J121" s="32">
        <v>50</v>
      </c>
      <c r="K121" s="33"/>
      <c r="L121" s="33"/>
      <c r="M121" s="33"/>
      <c r="N121" s="33"/>
      <c r="O121" s="33"/>
      <c r="P121" s="33"/>
      <c r="Q121" s="33"/>
      <c r="R121" s="33"/>
      <c r="S121" s="33"/>
      <c r="T121" s="33"/>
    </row>
    <row r="122" spans="1:20" ht="15.6">
      <c r="A122" s="13">
        <v>45778</v>
      </c>
      <c r="B122" s="41">
        <v>31</v>
      </c>
      <c r="C122" s="32">
        <v>194.20500000000001</v>
      </c>
      <c r="D122" s="32">
        <v>267.46600000000001</v>
      </c>
      <c r="E122" s="38">
        <v>812.32899999999995</v>
      </c>
      <c r="F122" s="32">
        <v>1274</v>
      </c>
      <c r="G122" s="32">
        <v>75</v>
      </c>
      <c r="H122" s="40">
        <v>600</v>
      </c>
      <c r="I122" s="32">
        <v>695</v>
      </c>
      <c r="J122" s="32">
        <v>50</v>
      </c>
      <c r="K122" s="33"/>
      <c r="L122" s="33"/>
      <c r="M122" s="33"/>
      <c r="N122" s="33"/>
      <c r="O122" s="33"/>
      <c r="P122" s="33"/>
      <c r="Q122" s="33"/>
      <c r="R122" s="33"/>
      <c r="S122" s="33"/>
      <c r="T122" s="33"/>
    </row>
    <row r="123" spans="1:20" ht="15.6">
      <c r="A123" s="13">
        <v>45809</v>
      </c>
      <c r="B123" s="41">
        <v>30</v>
      </c>
      <c r="C123" s="32">
        <v>194.20500000000001</v>
      </c>
      <c r="D123" s="32">
        <v>267.46600000000001</v>
      </c>
      <c r="E123" s="38">
        <v>812.32899999999995</v>
      </c>
      <c r="F123" s="32">
        <v>1274</v>
      </c>
      <c r="G123" s="32">
        <v>50</v>
      </c>
      <c r="H123" s="40">
        <v>600</v>
      </c>
      <c r="I123" s="32">
        <v>695</v>
      </c>
      <c r="J123" s="32">
        <v>50</v>
      </c>
      <c r="K123" s="33"/>
      <c r="L123" s="33"/>
      <c r="M123" s="33"/>
      <c r="N123" s="33"/>
      <c r="O123" s="33"/>
      <c r="P123" s="33"/>
      <c r="Q123" s="33"/>
      <c r="R123" s="33"/>
      <c r="S123" s="33"/>
      <c r="T123" s="33"/>
    </row>
    <row r="124" spans="1:20" ht="15.6">
      <c r="A124" s="13">
        <v>45839</v>
      </c>
      <c r="B124" s="41">
        <v>31</v>
      </c>
      <c r="C124" s="32">
        <v>194.20500000000001</v>
      </c>
      <c r="D124" s="32">
        <v>267.46600000000001</v>
      </c>
      <c r="E124" s="38">
        <v>812.32899999999995</v>
      </c>
      <c r="F124" s="32">
        <v>1274</v>
      </c>
      <c r="G124" s="32">
        <v>50</v>
      </c>
      <c r="H124" s="40">
        <v>600</v>
      </c>
      <c r="I124" s="32">
        <v>695</v>
      </c>
      <c r="J124" s="32">
        <v>0</v>
      </c>
      <c r="K124" s="33"/>
      <c r="L124" s="33"/>
      <c r="M124" s="33"/>
      <c r="N124" s="33"/>
      <c r="O124" s="33"/>
      <c r="P124" s="33"/>
      <c r="Q124" s="33"/>
      <c r="R124" s="33"/>
      <c r="S124" s="33"/>
      <c r="T124" s="33"/>
    </row>
    <row r="125" spans="1:20" ht="15.6">
      <c r="A125" s="13">
        <v>45870</v>
      </c>
      <c r="B125" s="41">
        <v>31</v>
      </c>
      <c r="C125" s="32">
        <v>194.20500000000001</v>
      </c>
      <c r="D125" s="32">
        <v>267.46600000000001</v>
      </c>
      <c r="E125" s="38">
        <v>812.32899999999995</v>
      </c>
      <c r="F125" s="32">
        <v>1274</v>
      </c>
      <c r="G125" s="32">
        <v>50</v>
      </c>
      <c r="H125" s="40">
        <v>600</v>
      </c>
      <c r="I125" s="32">
        <v>695</v>
      </c>
      <c r="J125" s="32">
        <v>0</v>
      </c>
      <c r="K125" s="33"/>
      <c r="L125" s="33"/>
      <c r="M125" s="33"/>
      <c r="N125" s="33"/>
      <c r="O125" s="33"/>
      <c r="P125" s="33"/>
      <c r="Q125" s="33"/>
      <c r="R125" s="33"/>
      <c r="S125" s="33"/>
      <c r="T125" s="33"/>
    </row>
    <row r="126" spans="1:20" ht="15.6">
      <c r="A126" s="13">
        <v>45901</v>
      </c>
      <c r="B126" s="41">
        <v>30</v>
      </c>
      <c r="C126" s="32">
        <v>194.20500000000001</v>
      </c>
      <c r="D126" s="32">
        <v>267.46600000000001</v>
      </c>
      <c r="E126" s="38">
        <v>812.32899999999995</v>
      </c>
      <c r="F126" s="32">
        <v>1274</v>
      </c>
      <c r="G126" s="32">
        <v>50</v>
      </c>
      <c r="H126" s="40">
        <v>600</v>
      </c>
      <c r="I126" s="32">
        <v>695</v>
      </c>
      <c r="J126" s="32">
        <v>0</v>
      </c>
      <c r="K126" s="33"/>
      <c r="L126" s="33"/>
      <c r="M126" s="33"/>
      <c r="N126" s="33"/>
      <c r="O126" s="33"/>
      <c r="P126" s="33"/>
      <c r="Q126" s="33"/>
      <c r="R126" s="33"/>
      <c r="S126" s="33"/>
      <c r="T126" s="33"/>
    </row>
    <row r="127" spans="1:20" ht="15.6">
      <c r="A127" s="13">
        <v>45931</v>
      </c>
      <c r="B127" s="41">
        <v>31</v>
      </c>
      <c r="C127" s="32">
        <v>131.881</v>
      </c>
      <c r="D127" s="32">
        <v>277.16699999999997</v>
      </c>
      <c r="E127" s="38">
        <v>829.952</v>
      </c>
      <c r="F127" s="32">
        <v>1239</v>
      </c>
      <c r="G127" s="32">
        <v>75</v>
      </c>
      <c r="H127" s="40">
        <v>600</v>
      </c>
      <c r="I127" s="32">
        <v>695</v>
      </c>
      <c r="J127" s="32">
        <v>0</v>
      </c>
      <c r="K127" s="33"/>
      <c r="L127" s="33"/>
      <c r="M127" s="33"/>
      <c r="N127" s="33"/>
      <c r="O127" s="33"/>
      <c r="P127" s="33"/>
      <c r="Q127" s="33"/>
      <c r="R127" s="33"/>
      <c r="S127" s="33"/>
      <c r="T127" s="33"/>
    </row>
    <row r="128" spans="1:20" ht="15.6">
      <c r="A128" s="13">
        <v>45962</v>
      </c>
      <c r="B128" s="41">
        <v>30</v>
      </c>
      <c r="C128" s="32">
        <v>122.58</v>
      </c>
      <c r="D128" s="32">
        <v>297.94099999999997</v>
      </c>
      <c r="E128" s="38">
        <v>729.47900000000004</v>
      </c>
      <c r="F128" s="32">
        <v>1150</v>
      </c>
      <c r="G128" s="32">
        <v>100</v>
      </c>
      <c r="H128" s="40">
        <v>600</v>
      </c>
      <c r="I128" s="32">
        <v>695</v>
      </c>
      <c r="J128" s="32">
        <v>50</v>
      </c>
      <c r="K128" s="33"/>
      <c r="L128" s="33"/>
      <c r="M128" s="33"/>
      <c r="N128" s="33"/>
      <c r="O128" s="33"/>
      <c r="P128" s="33"/>
      <c r="Q128" s="33"/>
      <c r="R128" s="33"/>
      <c r="S128" s="33"/>
      <c r="T128" s="33"/>
    </row>
    <row r="129" spans="1:20" ht="15.6">
      <c r="A129" s="13">
        <v>45992</v>
      </c>
      <c r="B129" s="41">
        <v>31</v>
      </c>
      <c r="C129" s="32">
        <v>122.58</v>
      </c>
      <c r="D129" s="32">
        <v>297.94099999999997</v>
      </c>
      <c r="E129" s="38">
        <v>729.47900000000004</v>
      </c>
      <c r="F129" s="32">
        <v>1150</v>
      </c>
      <c r="G129" s="32">
        <v>100</v>
      </c>
      <c r="H129" s="40">
        <v>600</v>
      </c>
      <c r="I129" s="32">
        <v>695</v>
      </c>
      <c r="J129" s="32">
        <v>50</v>
      </c>
      <c r="K129" s="33"/>
      <c r="L129" s="33"/>
      <c r="M129" s="33"/>
      <c r="N129" s="33"/>
      <c r="O129" s="33"/>
      <c r="P129" s="33"/>
      <c r="Q129" s="33"/>
      <c r="R129" s="33"/>
      <c r="S129" s="33"/>
      <c r="T129" s="33"/>
    </row>
    <row r="130" spans="1:20" ht="15.6">
      <c r="A130" s="13">
        <v>46023</v>
      </c>
      <c r="B130" s="41">
        <v>31</v>
      </c>
      <c r="C130" s="32">
        <v>122.58</v>
      </c>
      <c r="D130" s="32">
        <v>297.94099999999997</v>
      </c>
      <c r="E130" s="38">
        <v>729.47900000000004</v>
      </c>
      <c r="F130" s="32">
        <v>1150</v>
      </c>
      <c r="G130" s="32">
        <v>100</v>
      </c>
      <c r="H130" s="40">
        <v>600</v>
      </c>
      <c r="I130" s="32">
        <v>695</v>
      </c>
      <c r="J130" s="32">
        <v>50</v>
      </c>
      <c r="K130" s="33"/>
      <c r="L130" s="33"/>
      <c r="M130" s="33"/>
      <c r="N130" s="33"/>
      <c r="O130" s="33"/>
      <c r="P130" s="33"/>
      <c r="Q130" s="33"/>
      <c r="R130" s="33"/>
      <c r="S130" s="33"/>
      <c r="T130" s="33"/>
    </row>
    <row r="131" spans="1:20" ht="15.6">
      <c r="A131" s="13">
        <v>46054</v>
      </c>
      <c r="B131" s="41">
        <v>28</v>
      </c>
      <c r="C131" s="32">
        <v>122.58</v>
      </c>
      <c r="D131" s="32">
        <v>297.94099999999997</v>
      </c>
      <c r="E131" s="38">
        <v>729.47900000000004</v>
      </c>
      <c r="F131" s="32">
        <v>1150</v>
      </c>
      <c r="G131" s="32">
        <v>100</v>
      </c>
      <c r="H131" s="40">
        <v>600</v>
      </c>
      <c r="I131" s="32">
        <v>695</v>
      </c>
      <c r="J131" s="32">
        <v>50</v>
      </c>
      <c r="K131" s="33"/>
      <c r="L131" s="33"/>
      <c r="M131" s="33"/>
      <c r="N131" s="33"/>
      <c r="O131" s="33"/>
      <c r="P131" s="33"/>
      <c r="Q131" s="33"/>
      <c r="R131" s="33"/>
      <c r="S131" s="33"/>
      <c r="T131" s="33"/>
    </row>
    <row r="132" spans="1:20" ht="15.6">
      <c r="A132" s="13">
        <v>46082</v>
      </c>
      <c r="B132" s="41">
        <v>31</v>
      </c>
      <c r="C132" s="32">
        <v>122.58</v>
      </c>
      <c r="D132" s="32">
        <v>297.94099999999997</v>
      </c>
      <c r="E132" s="38">
        <v>729.47900000000004</v>
      </c>
      <c r="F132" s="32">
        <v>1150</v>
      </c>
      <c r="G132" s="32">
        <v>100</v>
      </c>
      <c r="H132" s="40">
        <v>600</v>
      </c>
      <c r="I132" s="32">
        <v>695</v>
      </c>
      <c r="J132" s="32">
        <v>50</v>
      </c>
      <c r="K132" s="33"/>
      <c r="L132" s="33"/>
      <c r="M132" s="33"/>
      <c r="N132" s="33"/>
      <c r="O132" s="33"/>
      <c r="P132" s="33"/>
      <c r="Q132" s="33"/>
      <c r="R132" s="33"/>
      <c r="S132" s="33"/>
      <c r="T132" s="33"/>
    </row>
    <row r="133" spans="1:20" ht="15.6">
      <c r="A133" s="13">
        <v>46113</v>
      </c>
      <c r="B133" s="41">
        <v>30</v>
      </c>
      <c r="C133" s="32">
        <v>141.29300000000001</v>
      </c>
      <c r="D133" s="32">
        <v>267.99299999999999</v>
      </c>
      <c r="E133" s="38">
        <v>829.71400000000006</v>
      </c>
      <c r="F133" s="32">
        <v>1239</v>
      </c>
      <c r="G133" s="32">
        <v>100</v>
      </c>
      <c r="H133" s="40">
        <v>600</v>
      </c>
      <c r="I133" s="32">
        <v>695</v>
      </c>
      <c r="J133" s="32">
        <v>50</v>
      </c>
      <c r="K133" s="33"/>
      <c r="L133" s="33"/>
      <c r="M133" s="33"/>
      <c r="N133" s="33"/>
      <c r="O133" s="33"/>
      <c r="P133" s="33"/>
      <c r="Q133" s="33"/>
      <c r="R133" s="33"/>
      <c r="S133" s="33"/>
      <c r="T133" s="33"/>
    </row>
    <row r="134" spans="1:20" ht="15.6">
      <c r="A134" s="13">
        <v>46143</v>
      </c>
      <c r="B134" s="41">
        <v>31</v>
      </c>
      <c r="C134" s="32">
        <v>194.20500000000001</v>
      </c>
      <c r="D134" s="32">
        <v>267.46600000000001</v>
      </c>
      <c r="E134" s="38">
        <v>812.32899999999995</v>
      </c>
      <c r="F134" s="32">
        <v>1274</v>
      </c>
      <c r="G134" s="32">
        <v>75</v>
      </c>
      <c r="H134" s="40">
        <v>600</v>
      </c>
      <c r="I134" s="32">
        <v>695</v>
      </c>
      <c r="J134" s="32">
        <v>50</v>
      </c>
      <c r="K134" s="33"/>
      <c r="L134" s="33"/>
      <c r="M134" s="33"/>
      <c r="N134" s="33"/>
      <c r="O134" s="33"/>
      <c r="P134" s="33"/>
      <c r="Q134" s="33"/>
      <c r="R134" s="33"/>
      <c r="S134" s="33"/>
      <c r="T134" s="33"/>
    </row>
    <row r="135" spans="1:20" ht="15.6">
      <c r="A135" s="13">
        <v>46174</v>
      </c>
      <c r="B135" s="41">
        <v>30</v>
      </c>
      <c r="C135" s="32">
        <v>194.20500000000001</v>
      </c>
      <c r="D135" s="32">
        <v>267.46600000000001</v>
      </c>
      <c r="E135" s="38">
        <v>812.32899999999995</v>
      </c>
      <c r="F135" s="32">
        <v>1274</v>
      </c>
      <c r="G135" s="32">
        <v>50</v>
      </c>
      <c r="H135" s="40">
        <v>600</v>
      </c>
      <c r="I135" s="32">
        <v>695</v>
      </c>
      <c r="J135" s="32">
        <v>50</v>
      </c>
      <c r="K135" s="33"/>
      <c r="L135" s="33"/>
      <c r="M135" s="33"/>
      <c r="N135" s="33"/>
      <c r="O135" s="33"/>
      <c r="P135" s="33"/>
      <c r="Q135" s="33"/>
      <c r="R135" s="33"/>
      <c r="S135" s="33"/>
      <c r="T135" s="33"/>
    </row>
    <row r="136" spans="1:20" ht="15.6">
      <c r="A136" s="13">
        <v>46204</v>
      </c>
      <c r="B136" s="41">
        <v>31</v>
      </c>
      <c r="C136" s="32">
        <v>194.20500000000001</v>
      </c>
      <c r="D136" s="32">
        <v>267.46600000000001</v>
      </c>
      <c r="E136" s="38">
        <v>812.32899999999995</v>
      </c>
      <c r="F136" s="32">
        <v>1274</v>
      </c>
      <c r="G136" s="32">
        <v>50</v>
      </c>
      <c r="H136" s="40">
        <v>600</v>
      </c>
      <c r="I136" s="32">
        <v>695</v>
      </c>
      <c r="J136" s="32">
        <v>0</v>
      </c>
      <c r="K136" s="33"/>
      <c r="L136" s="33"/>
      <c r="M136" s="33"/>
      <c r="N136" s="33"/>
      <c r="O136" s="33"/>
      <c r="P136" s="33"/>
      <c r="Q136" s="33"/>
      <c r="R136" s="33"/>
      <c r="S136" s="33"/>
      <c r="T136" s="33"/>
    </row>
    <row r="137" spans="1:20" ht="15.6">
      <c r="A137" s="13">
        <v>46235</v>
      </c>
      <c r="B137" s="41">
        <v>31</v>
      </c>
      <c r="C137" s="32">
        <v>194.20500000000001</v>
      </c>
      <c r="D137" s="32">
        <v>267.46600000000001</v>
      </c>
      <c r="E137" s="38">
        <v>812.32899999999995</v>
      </c>
      <c r="F137" s="32">
        <v>1274</v>
      </c>
      <c r="G137" s="32">
        <v>50</v>
      </c>
      <c r="H137" s="40">
        <v>600</v>
      </c>
      <c r="I137" s="32">
        <v>695</v>
      </c>
      <c r="J137" s="32">
        <v>0</v>
      </c>
      <c r="K137" s="33"/>
      <c r="L137" s="33"/>
      <c r="M137" s="33"/>
      <c r="N137" s="33"/>
      <c r="O137" s="33"/>
      <c r="P137" s="33"/>
      <c r="Q137" s="33"/>
      <c r="R137" s="33"/>
      <c r="S137" s="33"/>
      <c r="T137" s="33"/>
    </row>
    <row r="138" spans="1:20" ht="15.6">
      <c r="A138" s="13">
        <v>46266</v>
      </c>
      <c r="B138" s="41">
        <v>30</v>
      </c>
      <c r="C138" s="32">
        <v>194.20500000000001</v>
      </c>
      <c r="D138" s="32">
        <v>267.46600000000001</v>
      </c>
      <c r="E138" s="38">
        <v>812.32899999999995</v>
      </c>
      <c r="F138" s="32">
        <v>1274</v>
      </c>
      <c r="G138" s="32">
        <v>50</v>
      </c>
      <c r="H138" s="40">
        <v>600</v>
      </c>
      <c r="I138" s="32">
        <v>695</v>
      </c>
      <c r="J138" s="32">
        <v>0</v>
      </c>
      <c r="K138" s="33"/>
      <c r="L138" s="33"/>
      <c r="M138" s="33"/>
      <c r="N138" s="33"/>
      <c r="O138" s="33"/>
      <c r="P138" s="33"/>
      <c r="Q138" s="33"/>
      <c r="R138" s="33"/>
      <c r="S138" s="33"/>
      <c r="T138" s="33"/>
    </row>
    <row r="139" spans="1:20" ht="15.6">
      <c r="A139" s="13">
        <v>46296</v>
      </c>
      <c r="B139" s="41">
        <v>31</v>
      </c>
      <c r="C139" s="32">
        <v>131.881</v>
      </c>
      <c r="D139" s="32">
        <v>277.16699999999997</v>
      </c>
      <c r="E139" s="38">
        <v>829.952</v>
      </c>
      <c r="F139" s="32">
        <v>1239</v>
      </c>
      <c r="G139" s="32">
        <v>75</v>
      </c>
      <c r="H139" s="40">
        <v>600</v>
      </c>
      <c r="I139" s="32">
        <v>695</v>
      </c>
      <c r="J139" s="32">
        <v>0</v>
      </c>
      <c r="K139" s="33"/>
      <c r="L139" s="33"/>
      <c r="M139" s="33"/>
      <c r="N139" s="33"/>
      <c r="O139" s="33"/>
      <c r="P139" s="33"/>
      <c r="Q139" s="33"/>
      <c r="R139" s="33"/>
      <c r="S139" s="33"/>
      <c r="T139" s="33"/>
    </row>
    <row r="140" spans="1:20" ht="15.6">
      <c r="A140" s="13">
        <v>46327</v>
      </c>
      <c r="B140" s="41">
        <v>30</v>
      </c>
      <c r="C140" s="32">
        <v>122.58</v>
      </c>
      <c r="D140" s="32">
        <v>297.94099999999997</v>
      </c>
      <c r="E140" s="38">
        <v>729.47900000000004</v>
      </c>
      <c r="F140" s="32">
        <v>1150</v>
      </c>
      <c r="G140" s="32">
        <v>100</v>
      </c>
      <c r="H140" s="40">
        <v>600</v>
      </c>
      <c r="I140" s="32">
        <v>695</v>
      </c>
      <c r="J140" s="32">
        <v>50</v>
      </c>
      <c r="K140" s="33"/>
      <c r="L140" s="33"/>
      <c r="M140" s="33"/>
      <c r="N140" s="33"/>
      <c r="O140" s="33"/>
      <c r="P140" s="33"/>
      <c r="Q140" s="33"/>
      <c r="R140" s="33"/>
      <c r="S140" s="33"/>
      <c r="T140" s="33"/>
    </row>
    <row r="141" spans="1:20" ht="15.6">
      <c r="A141" s="13">
        <v>46357</v>
      </c>
      <c r="B141" s="41">
        <v>31</v>
      </c>
      <c r="C141" s="32">
        <v>122.58</v>
      </c>
      <c r="D141" s="32">
        <v>297.94099999999997</v>
      </c>
      <c r="E141" s="38">
        <v>729.47900000000004</v>
      </c>
      <c r="F141" s="32">
        <v>1150</v>
      </c>
      <c r="G141" s="32">
        <v>100</v>
      </c>
      <c r="H141" s="40">
        <v>600</v>
      </c>
      <c r="I141" s="32">
        <v>695</v>
      </c>
      <c r="J141" s="32">
        <v>50</v>
      </c>
      <c r="K141" s="33"/>
      <c r="L141" s="33"/>
      <c r="M141" s="33"/>
      <c r="N141" s="33"/>
      <c r="O141" s="33"/>
      <c r="P141" s="33"/>
      <c r="Q141" s="33"/>
      <c r="R141" s="33"/>
      <c r="S141" s="33"/>
      <c r="T141" s="33"/>
    </row>
    <row r="142" spans="1:20" ht="15.6">
      <c r="A142" s="13">
        <v>46388</v>
      </c>
      <c r="B142" s="41">
        <v>31</v>
      </c>
      <c r="C142" s="32">
        <v>122.58</v>
      </c>
      <c r="D142" s="32">
        <v>297.94099999999997</v>
      </c>
      <c r="E142" s="38">
        <v>729.47900000000004</v>
      </c>
      <c r="F142" s="32">
        <v>1150</v>
      </c>
      <c r="G142" s="32">
        <v>100</v>
      </c>
      <c r="H142" s="40">
        <v>600</v>
      </c>
      <c r="I142" s="32">
        <v>695</v>
      </c>
      <c r="J142" s="32">
        <v>50</v>
      </c>
      <c r="K142" s="33"/>
      <c r="L142" s="33"/>
      <c r="M142" s="33"/>
      <c r="N142" s="33"/>
      <c r="O142" s="33"/>
      <c r="P142" s="33"/>
      <c r="Q142" s="33"/>
      <c r="R142" s="33"/>
      <c r="S142" s="33"/>
      <c r="T142" s="33"/>
    </row>
    <row r="143" spans="1:20" ht="15.6">
      <c r="A143" s="13">
        <v>46419</v>
      </c>
      <c r="B143" s="41">
        <v>28</v>
      </c>
      <c r="C143" s="32">
        <v>122.58</v>
      </c>
      <c r="D143" s="32">
        <v>297.94099999999997</v>
      </c>
      <c r="E143" s="38">
        <v>729.47900000000004</v>
      </c>
      <c r="F143" s="32">
        <v>1150</v>
      </c>
      <c r="G143" s="32">
        <v>100</v>
      </c>
      <c r="H143" s="40">
        <v>600</v>
      </c>
      <c r="I143" s="32">
        <v>695</v>
      </c>
      <c r="J143" s="32">
        <v>50</v>
      </c>
      <c r="K143" s="33"/>
      <c r="L143" s="33"/>
      <c r="M143" s="33"/>
      <c r="N143" s="33"/>
      <c r="O143" s="33"/>
      <c r="P143" s="33"/>
      <c r="Q143" s="33"/>
      <c r="R143" s="33"/>
      <c r="S143" s="33"/>
      <c r="T143" s="33"/>
    </row>
    <row r="144" spans="1:20" ht="15.6">
      <c r="A144" s="13">
        <v>46447</v>
      </c>
      <c r="B144" s="41">
        <v>31</v>
      </c>
      <c r="C144" s="32">
        <v>122.58</v>
      </c>
      <c r="D144" s="32">
        <v>297.94099999999997</v>
      </c>
      <c r="E144" s="38">
        <v>729.47900000000004</v>
      </c>
      <c r="F144" s="32">
        <v>1150</v>
      </c>
      <c r="G144" s="32">
        <v>100</v>
      </c>
      <c r="H144" s="40">
        <v>600</v>
      </c>
      <c r="I144" s="32">
        <v>695</v>
      </c>
      <c r="J144" s="32">
        <v>50</v>
      </c>
      <c r="K144" s="33"/>
      <c r="L144" s="33"/>
      <c r="M144" s="33"/>
      <c r="N144" s="33"/>
      <c r="O144" s="33"/>
      <c r="P144" s="33"/>
      <c r="Q144" s="33"/>
      <c r="R144" s="33"/>
      <c r="S144" s="33"/>
      <c r="T144" s="33"/>
    </row>
    <row r="145" spans="1:20" ht="15.6">
      <c r="A145" s="13">
        <v>46478</v>
      </c>
      <c r="B145" s="41">
        <v>30</v>
      </c>
      <c r="C145" s="32">
        <v>141.29300000000001</v>
      </c>
      <c r="D145" s="32">
        <v>267.99299999999999</v>
      </c>
      <c r="E145" s="38">
        <v>829.71400000000006</v>
      </c>
      <c r="F145" s="32">
        <v>1239</v>
      </c>
      <c r="G145" s="32">
        <v>100</v>
      </c>
      <c r="H145" s="40">
        <v>600</v>
      </c>
      <c r="I145" s="32">
        <v>695</v>
      </c>
      <c r="J145" s="32">
        <v>50</v>
      </c>
      <c r="K145" s="33"/>
      <c r="L145" s="33"/>
      <c r="M145" s="33"/>
      <c r="N145" s="33"/>
      <c r="O145" s="33"/>
      <c r="P145" s="33"/>
      <c r="Q145" s="33"/>
      <c r="R145" s="33"/>
      <c r="S145" s="33"/>
      <c r="T145" s="33"/>
    </row>
    <row r="146" spans="1:20" ht="15.6">
      <c r="A146" s="13">
        <v>46508</v>
      </c>
      <c r="B146" s="41">
        <v>31</v>
      </c>
      <c r="C146" s="32">
        <v>194.20500000000001</v>
      </c>
      <c r="D146" s="32">
        <v>267.46600000000001</v>
      </c>
      <c r="E146" s="38">
        <v>812.32899999999995</v>
      </c>
      <c r="F146" s="32">
        <v>1274</v>
      </c>
      <c r="G146" s="32">
        <v>75</v>
      </c>
      <c r="H146" s="40">
        <v>600</v>
      </c>
      <c r="I146" s="32">
        <v>695</v>
      </c>
      <c r="J146" s="32">
        <v>50</v>
      </c>
      <c r="K146" s="33"/>
      <c r="L146" s="33"/>
      <c r="M146" s="33"/>
      <c r="N146" s="33"/>
      <c r="O146" s="33"/>
      <c r="P146" s="33"/>
      <c r="Q146" s="33"/>
      <c r="R146" s="33"/>
      <c r="S146" s="33"/>
      <c r="T146" s="33"/>
    </row>
    <row r="147" spans="1:20" ht="15.6">
      <c r="A147" s="13">
        <v>46539</v>
      </c>
      <c r="B147" s="41">
        <v>30</v>
      </c>
      <c r="C147" s="32">
        <v>194.20500000000001</v>
      </c>
      <c r="D147" s="32">
        <v>267.46600000000001</v>
      </c>
      <c r="E147" s="38">
        <v>812.32899999999995</v>
      </c>
      <c r="F147" s="32">
        <v>1274</v>
      </c>
      <c r="G147" s="32">
        <v>50</v>
      </c>
      <c r="H147" s="40">
        <v>600</v>
      </c>
      <c r="I147" s="32">
        <v>695</v>
      </c>
      <c r="J147" s="32">
        <v>50</v>
      </c>
      <c r="K147" s="33"/>
      <c r="L147" s="33"/>
      <c r="M147" s="33"/>
      <c r="N147" s="33"/>
      <c r="O147" s="33"/>
      <c r="P147" s="33"/>
      <c r="Q147" s="33"/>
      <c r="R147" s="33"/>
      <c r="S147" s="33"/>
      <c r="T147" s="33"/>
    </row>
    <row r="148" spans="1:20" ht="15.6">
      <c r="A148" s="13">
        <v>46569</v>
      </c>
      <c r="B148" s="41">
        <v>31</v>
      </c>
      <c r="C148" s="32">
        <v>194.20500000000001</v>
      </c>
      <c r="D148" s="32">
        <v>267.46600000000001</v>
      </c>
      <c r="E148" s="38">
        <v>812.32899999999995</v>
      </c>
      <c r="F148" s="32">
        <v>1274</v>
      </c>
      <c r="G148" s="32">
        <v>50</v>
      </c>
      <c r="H148" s="40">
        <v>600</v>
      </c>
      <c r="I148" s="32">
        <v>695</v>
      </c>
      <c r="J148" s="32">
        <v>0</v>
      </c>
      <c r="K148" s="33"/>
      <c r="L148" s="33"/>
      <c r="M148" s="33"/>
      <c r="N148" s="33"/>
      <c r="O148" s="33"/>
      <c r="P148" s="33"/>
      <c r="Q148" s="33"/>
      <c r="R148" s="33"/>
      <c r="S148" s="33"/>
      <c r="T148" s="33"/>
    </row>
    <row r="149" spans="1:20" ht="15.6">
      <c r="A149" s="13">
        <v>46600</v>
      </c>
      <c r="B149" s="41">
        <v>31</v>
      </c>
      <c r="C149" s="32">
        <v>194.20500000000001</v>
      </c>
      <c r="D149" s="32">
        <v>267.46600000000001</v>
      </c>
      <c r="E149" s="38">
        <v>812.32899999999995</v>
      </c>
      <c r="F149" s="32">
        <v>1274</v>
      </c>
      <c r="G149" s="32">
        <v>50</v>
      </c>
      <c r="H149" s="40">
        <v>600</v>
      </c>
      <c r="I149" s="32">
        <v>695</v>
      </c>
      <c r="J149" s="32">
        <v>0</v>
      </c>
      <c r="K149" s="33"/>
      <c r="L149" s="33"/>
      <c r="M149" s="33"/>
      <c r="N149" s="33"/>
      <c r="O149" s="33"/>
      <c r="P149" s="33"/>
      <c r="Q149" s="33"/>
      <c r="R149" s="33"/>
      <c r="S149" s="33"/>
      <c r="T149" s="33"/>
    </row>
    <row r="150" spans="1:20" ht="15.6">
      <c r="A150" s="13">
        <v>46631</v>
      </c>
      <c r="B150" s="41">
        <v>30</v>
      </c>
      <c r="C150" s="32">
        <v>194.20500000000001</v>
      </c>
      <c r="D150" s="32">
        <v>267.46600000000001</v>
      </c>
      <c r="E150" s="38">
        <v>812.32899999999995</v>
      </c>
      <c r="F150" s="32">
        <v>1274</v>
      </c>
      <c r="G150" s="32">
        <v>50</v>
      </c>
      <c r="H150" s="40">
        <v>600</v>
      </c>
      <c r="I150" s="32">
        <v>695</v>
      </c>
      <c r="J150" s="32">
        <v>0</v>
      </c>
      <c r="K150" s="33"/>
      <c r="L150" s="33"/>
      <c r="M150" s="33"/>
      <c r="N150" s="33"/>
      <c r="O150" s="33"/>
      <c r="P150" s="33"/>
      <c r="Q150" s="33"/>
      <c r="R150" s="33"/>
      <c r="S150" s="33"/>
      <c r="T150" s="33"/>
    </row>
    <row r="151" spans="1:20" ht="15.6">
      <c r="A151" s="13">
        <v>46661</v>
      </c>
      <c r="B151" s="41">
        <v>31</v>
      </c>
      <c r="C151" s="32">
        <v>131.881</v>
      </c>
      <c r="D151" s="32">
        <v>277.16699999999997</v>
      </c>
      <c r="E151" s="38">
        <v>829.952</v>
      </c>
      <c r="F151" s="32">
        <v>1239</v>
      </c>
      <c r="G151" s="32">
        <v>75</v>
      </c>
      <c r="H151" s="40">
        <v>600</v>
      </c>
      <c r="I151" s="32">
        <v>695</v>
      </c>
      <c r="J151" s="32">
        <v>0</v>
      </c>
      <c r="K151" s="33"/>
      <c r="L151" s="33"/>
      <c r="M151" s="33"/>
      <c r="N151" s="33"/>
      <c r="O151" s="33"/>
      <c r="P151" s="33"/>
      <c r="Q151" s="33"/>
      <c r="R151" s="33"/>
      <c r="S151" s="33"/>
      <c r="T151" s="33"/>
    </row>
    <row r="152" spans="1:20" ht="15.6">
      <c r="A152" s="13">
        <v>46692</v>
      </c>
      <c r="B152" s="41">
        <v>30</v>
      </c>
      <c r="C152" s="32">
        <v>122.58</v>
      </c>
      <c r="D152" s="32">
        <v>297.94099999999997</v>
      </c>
      <c r="E152" s="38">
        <v>729.47900000000004</v>
      </c>
      <c r="F152" s="32">
        <v>1150</v>
      </c>
      <c r="G152" s="32">
        <v>100</v>
      </c>
      <c r="H152" s="40">
        <v>600</v>
      </c>
      <c r="I152" s="32">
        <v>695</v>
      </c>
      <c r="J152" s="32">
        <v>50</v>
      </c>
      <c r="K152" s="33"/>
      <c r="L152" s="33"/>
      <c r="M152" s="33"/>
      <c r="N152" s="33"/>
      <c r="O152" s="33"/>
      <c r="P152" s="33"/>
      <c r="Q152" s="33"/>
      <c r="R152" s="33"/>
      <c r="S152" s="33"/>
      <c r="T152" s="33"/>
    </row>
    <row r="153" spans="1:20" ht="15.6">
      <c r="A153" s="13">
        <v>46722</v>
      </c>
      <c r="B153" s="41">
        <v>31</v>
      </c>
      <c r="C153" s="32">
        <v>122.58</v>
      </c>
      <c r="D153" s="32">
        <v>297.94099999999997</v>
      </c>
      <c r="E153" s="38">
        <v>729.47900000000004</v>
      </c>
      <c r="F153" s="32">
        <v>1150</v>
      </c>
      <c r="G153" s="32">
        <v>100</v>
      </c>
      <c r="H153" s="40">
        <v>600</v>
      </c>
      <c r="I153" s="32">
        <v>695</v>
      </c>
      <c r="J153" s="32">
        <v>50</v>
      </c>
      <c r="K153" s="33"/>
      <c r="L153" s="33"/>
      <c r="M153" s="33"/>
      <c r="N153" s="33"/>
      <c r="O153" s="33"/>
      <c r="P153" s="33"/>
      <c r="Q153" s="33"/>
      <c r="R153" s="33"/>
      <c r="S153" s="33"/>
      <c r="T153" s="33"/>
    </row>
    <row r="154" spans="1:20" ht="15.6">
      <c r="A154" s="13">
        <v>46753</v>
      </c>
      <c r="B154" s="41">
        <v>31</v>
      </c>
      <c r="C154" s="32">
        <v>122.58</v>
      </c>
      <c r="D154" s="32">
        <v>297.94099999999997</v>
      </c>
      <c r="E154" s="38">
        <v>729.47900000000004</v>
      </c>
      <c r="F154" s="32">
        <v>1150</v>
      </c>
      <c r="G154" s="32">
        <v>100</v>
      </c>
      <c r="H154" s="40">
        <v>600</v>
      </c>
      <c r="I154" s="32">
        <v>695</v>
      </c>
      <c r="J154" s="32">
        <v>50</v>
      </c>
      <c r="K154" s="33"/>
      <c r="L154" s="33"/>
      <c r="M154" s="33"/>
      <c r="N154" s="33"/>
      <c r="O154" s="33"/>
      <c r="P154" s="33"/>
      <c r="Q154" s="33"/>
      <c r="R154" s="33"/>
      <c r="S154" s="33"/>
      <c r="T154" s="33"/>
    </row>
    <row r="155" spans="1:20" ht="15.6">
      <c r="A155" s="13">
        <v>46784</v>
      </c>
      <c r="B155" s="41">
        <v>29</v>
      </c>
      <c r="C155" s="32">
        <v>122.58</v>
      </c>
      <c r="D155" s="32">
        <v>297.94099999999997</v>
      </c>
      <c r="E155" s="38">
        <v>729.47900000000004</v>
      </c>
      <c r="F155" s="32">
        <v>1150</v>
      </c>
      <c r="G155" s="32">
        <v>100</v>
      </c>
      <c r="H155" s="40">
        <v>600</v>
      </c>
      <c r="I155" s="32">
        <v>695</v>
      </c>
      <c r="J155" s="32">
        <v>50</v>
      </c>
      <c r="K155" s="33"/>
      <c r="L155" s="33"/>
      <c r="M155" s="33"/>
      <c r="N155" s="33"/>
      <c r="O155" s="33"/>
      <c r="P155" s="33"/>
      <c r="Q155" s="33"/>
      <c r="R155" s="33"/>
      <c r="S155" s="33"/>
      <c r="T155" s="33"/>
    </row>
    <row r="156" spans="1:20" ht="15.6">
      <c r="A156" s="13">
        <v>46813</v>
      </c>
      <c r="B156" s="41">
        <v>31</v>
      </c>
      <c r="C156" s="32">
        <v>122.58</v>
      </c>
      <c r="D156" s="32">
        <v>297.94099999999997</v>
      </c>
      <c r="E156" s="38">
        <v>729.47900000000004</v>
      </c>
      <c r="F156" s="32">
        <v>1150</v>
      </c>
      <c r="G156" s="32">
        <v>100</v>
      </c>
      <c r="H156" s="40">
        <v>600</v>
      </c>
      <c r="I156" s="32">
        <v>695</v>
      </c>
      <c r="J156" s="32">
        <v>50</v>
      </c>
      <c r="K156" s="33"/>
      <c r="L156" s="33"/>
      <c r="M156" s="33"/>
      <c r="N156" s="33"/>
      <c r="O156" s="33"/>
      <c r="P156" s="33"/>
      <c r="Q156" s="33"/>
      <c r="R156" s="33"/>
      <c r="S156" s="33"/>
      <c r="T156" s="33"/>
    </row>
    <row r="157" spans="1:20" ht="15.6">
      <c r="A157" s="13">
        <v>46844</v>
      </c>
      <c r="B157" s="41">
        <v>30</v>
      </c>
      <c r="C157" s="32">
        <v>141.29300000000001</v>
      </c>
      <c r="D157" s="32">
        <v>267.99299999999999</v>
      </c>
      <c r="E157" s="38">
        <v>829.71400000000006</v>
      </c>
      <c r="F157" s="32">
        <v>1239</v>
      </c>
      <c r="G157" s="32">
        <v>100</v>
      </c>
      <c r="H157" s="40">
        <v>600</v>
      </c>
      <c r="I157" s="32">
        <v>695</v>
      </c>
      <c r="J157" s="32">
        <v>50</v>
      </c>
      <c r="K157" s="33"/>
      <c r="L157" s="33"/>
      <c r="M157" s="33"/>
      <c r="N157" s="33"/>
      <c r="O157" s="33"/>
      <c r="P157" s="33"/>
      <c r="Q157" s="33"/>
      <c r="R157" s="33"/>
      <c r="S157" s="33"/>
      <c r="T157" s="33"/>
    </row>
    <row r="158" spans="1:20" ht="15.6">
      <c r="A158" s="13">
        <v>46874</v>
      </c>
      <c r="B158" s="41">
        <v>31</v>
      </c>
      <c r="C158" s="32">
        <v>194.20500000000001</v>
      </c>
      <c r="D158" s="32">
        <v>267.46600000000001</v>
      </c>
      <c r="E158" s="38">
        <v>812.32899999999995</v>
      </c>
      <c r="F158" s="32">
        <v>1274</v>
      </c>
      <c r="G158" s="32">
        <v>75</v>
      </c>
      <c r="H158" s="40">
        <v>600</v>
      </c>
      <c r="I158" s="32">
        <v>695</v>
      </c>
      <c r="J158" s="32">
        <v>50</v>
      </c>
      <c r="K158" s="33"/>
      <c r="L158" s="33"/>
      <c r="M158" s="33"/>
      <c r="N158" s="33"/>
      <c r="O158" s="33"/>
      <c r="P158" s="33"/>
      <c r="Q158" s="33"/>
      <c r="R158" s="33"/>
      <c r="S158" s="33"/>
      <c r="T158" s="33"/>
    </row>
    <row r="159" spans="1:20" ht="15.6">
      <c r="A159" s="13">
        <v>46905</v>
      </c>
      <c r="B159" s="41">
        <v>30</v>
      </c>
      <c r="C159" s="32">
        <v>194.20500000000001</v>
      </c>
      <c r="D159" s="32">
        <v>267.46600000000001</v>
      </c>
      <c r="E159" s="38">
        <v>812.32899999999995</v>
      </c>
      <c r="F159" s="32">
        <v>1274</v>
      </c>
      <c r="G159" s="32">
        <v>50</v>
      </c>
      <c r="H159" s="40">
        <v>600</v>
      </c>
      <c r="I159" s="32">
        <v>695</v>
      </c>
      <c r="J159" s="32">
        <v>50</v>
      </c>
      <c r="K159" s="33"/>
      <c r="L159" s="33"/>
      <c r="M159" s="33"/>
      <c r="N159" s="33"/>
      <c r="O159" s="33"/>
      <c r="P159" s="33"/>
      <c r="Q159" s="33"/>
      <c r="R159" s="33"/>
      <c r="S159" s="33"/>
      <c r="T159" s="33"/>
    </row>
    <row r="160" spans="1:20" ht="15.6">
      <c r="A160" s="13">
        <v>46935</v>
      </c>
      <c r="B160" s="41">
        <v>31</v>
      </c>
      <c r="C160" s="32">
        <v>194.20500000000001</v>
      </c>
      <c r="D160" s="32">
        <v>267.46600000000001</v>
      </c>
      <c r="E160" s="38">
        <v>812.32899999999995</v>
      </c>
      <c r="F160" s="32">
        <v>1274</v>
      </c>
      <c r="G160" s="32">
        <v>50</v>
      </c>
      <c r="H160" s="40">
        <v>600</v>
      </c>
      <c r="I160" s="32">
        <v>695</v>
      </c>
      <c r="J160" s="32">
        <v>0</v>
      </c>
      <c r="K160" s="33"/>
      <c r="L160" s="33"/>
      <c r="M160" s="33"/>
      <c r="N160" s="33"/>
      <c r="O160" s="33"/>
      <c r="P160" s="33"/>
      <c r="Q160" s="33"/>
      <c r="R160" s="33"/>
      <c r="S160" s="33"/>
      <c r="T160" s="33"/>
    </row>
    <row r="161" spans="1:20" ht="15.6">
      <c r="A161" s="13">
        <v>46966</v>
      </c>
      <c r="B161" s="41">
        <v>31</v>
      </c>
      <c r="C161" s="32">
        <v>194.20500000000001</v>
      </c>
      <c r="D161" s="32">
        <v>267.46600000000001</v>
      </c>
      <c r="E161" s="38">
        <v>812.32899999999995</v>
      </c>
      <c r="F161" s="32">
        <v>1274</v>
      </c>
      <c r="G161" s="32">
        <v>50</v>
      </c>
      <c r="H161" s="40">
        <v>600</v>
      </c>
      <c r="I161" s="32">
        <v>695</v>
      </c>
      <c r="J161" s="32">
        <v>0</v>
      </c>
      <c r="K161" s="33"/>
      <c r="L161" s="33"/>
      <c r="M161" s="33"/>
      <c r="N161" s="33"/>
      <c r="O161" s="33"/>
      <c r="P161" s="33"/>
      <c r="Q161" s="33"/>
      <c r="R161" s="33"/>
      <c r="S161" s="33"/>
      <c r="T161" s="33"/>
    </row>
    <row r="162" spans="1:20" ht="15.6">
      <c r="A162" s="13">
        <v>46997</v>
      </c>
      <c r="B162" s="41">
        <v>30</v>
      </c>
      <c r="C162" s="32">
        <v>194.20500000000001</v>
      </c>
      <c r="D162" s="32">
        <v>267.46600000000001</v>
      </c>
      <c r="E162" s="38">
        <v>812.32899999999995</v>
      </c>
      <c r="F162" s="32">
        <v>1274</v>
      </c>
      <c r="G162" s="32">
        <v>50</v>
      </c>
      <c r="H162" s="40">
        <v>600</v>
      </c>
      <c r="I162" s="32">
        <v>695</v>
      </c>
      <c r="J162" s="32">
        <v>0</v>
      </c>
      <c r="K162" s="33"/>
      <c r="L162" s="33"/>
      <c r="M162" s="33"/>
      <c r="N162" s="33"/>
      <c r="O162" s="33"/>
      <c r="P162" s="33"/>
      <c r="Q162" s="33"/>
      <c r="R162" s="33"/>
      <c r="S162" s="33"/>
      <c r="T162" s="33"/>
    </row>
    <row r="163" spans="1:20" ht="15.6">
      <c r="A163" s="13">
        <v>47027</v>
      </c>
      <c r="B163" s="41">
        <v>31</v>
      </c>
      <c r="C163" s="32">
        <v>131.881</v>
      </c>
      <c r="D163" s="32">
        <v>277.16699999999997</v>
      </c>
      <c r="E163" s="38">
        <v>829.952</v>
      </c>
      <c r="F163" s="32">
        <v>1239</v>
      </c>
      <c r="G163" s="32">
        <v>75</v>
      </c>
      <c r="H163" s="40">
        <v>600</v>
      </c>
      <c r="I163" s="32">
        <v>695</v>
      </c>
      <c r="J163" s="32">
        <v>0</v>
      </c>
      <c r="K163" s="33"/>
      <c r="L163" s="33"/>
      <c r="M163" s="33"/>
      <c r="N163" s="33"/>
      <c r="O163" s="33"/>
      <c r="P163" s="33"/>
      <c r="Q163" s="33"/>
      <c r="R163" s="33"/>
      <c r="S163" s="33"/>
      <c r="T163" s="33"/>
    </row>
    <row r="164" spans="1:20" ht="15.6">
      <c r="A164" s="13">
        <v>47058</v>
      </c>
      <c r="B164" s="41">
        <v>30</v>
      </c>
      <c r="C164" s="32">
        <v>122.58</v>
      </c>
      <c r="D164" s="32">
        <v>297.94099999999997</v>
      </c>
      <c r="E164" s="38">
        <v>729.47900000000004</v>
      </c>
      <c r="F164" s="32">
        <v>1150</v>
      </c>
      <c r="G164" s="32">
        <v>100</v>
      </c>
      <c r="H164" s="40">
        <v>600</v>
      </c>
      <c r="I164" s="32">
        <v>695</v>
      </c>
      <c r="J164" s="32">
        <v>50</v>
      </c>
      <c r="K164" s="33"/>
      <c r="L164" s="33"/>
      <c r="M164" s="33"/>
      <c r="N164" s="33"/>
      <c r="O164" s="33"/>
      <c r="P164" s="33"/>
      <c r="Q164" s="33"/>
      <c r="R164" s="33"/>
      <c r="S164" s="33"/>
      <c r="T164" s="33"/>
    </row>
    <row r="165" spans="1:20" ht="15.6">
      <c r="A165" s="13">
        <v>47088</v>
      </c>
      <c r="B165" s="41">
        <v>31</v>
      </c>
      <c r="C165" s="32">
        <v>122.58</v>
      </c>
      <c r="D165" s="32">
        <v>297.94099999999997</v>
      </c>
      <c r="E165" s="38">
        <v>729.47900000000004</v>
      </c>
      <c r="F165" s="32">
        <v>1150</v>
      </c>
      <c r="G165" s="32">
        <v>100</v>
      </c>
      <c r="H165" s="40">
        <v>600</v>
      </c>
      <c r="I165" s="32">
        <v>695</v>
      </c>
      <c r="J165" s="32">
        <v>50</v>
      </c>
      <c r="K165" s="33"/>
      <c r="L165" s="33"/>
      <c r="M165" s="33"/>
      <c r="N165" s="33"/>
      <c r="O165" s="33"/>
      <c r="P165" s="33"/>
      <c r="Q165" s="33"/>
      <c r="R165" s="33"/>
      <c r="S165" s="33"/>
      <c r="T165" s="33"/>
    </row>
    <row r="166" spans="1:20" ht="15.6">
      <c r="A166" s="13">
        <v>47119</v>
      </c>
      <c r="B166" s="41">
        <v>31</v>
      </c>
      <c r="C166" s="32">
        <v>122.58</v>
      </c>
      <c r="D166" s="32">
        <v>297.94099999999997</v>
      </c>
      <c r="E166" s="38">
        <v>729.47900000000004</v>
      </c>
      <c r="F166" s="32">
        <v>1150</v>
      </c>
      <c r="G166" s="32">
        <v>100</v>
      </c>
      <c r="H166" s="40">
        <v>600</v>
      </c>
      <c r="I166" s="32">
        <v>695</v>
      </c>
      <c r="J166" s="32">
        <v>50</v>
      </c>
      <c r="K166" s="33"/>
      <c r="L166" s="33"/>
      <c r="M166" s="33"/>
      <c r="N166" s="33"/>
      <c r="O166" s="33"/>
      <c r="P166" s="33"/>
      <c r="Q166" s="33"/>
      <c r="R166" s="33"/>
      <c r="S166" s="33"/>
      <c r="T166" s="33"/>
    </row>
    <row r="167" spans="1:20" ht="15.6">
      <c r="A167" s="13">
        <v>47150</v>
      </c>
      <c r="B167" s="41">
        <v>28</v>
      </c>
      <c r="C167" s="32">
        <v>122.58</v>
      </c>
      <c r="D167" s="32">
        <v>297.94099999999997</v>
      </c>
      <c r="E167" s="38">
        <v>729.47900000000004</v>
      </c>
      <c r="F167" s="32">
        <v>1150</v>
      </c>
      <c r="G167" s="32">
        <v>100</v>
      </c>
      <c r="H167" s="40">
        <v>600</v>
      </c>
      <c r="I167" s="32">
        <v>695</v>
      </c>
      <c r="J167" s="32">
        <v>50</v>
      </c>
      <c r="K167" s="33"/>
      <c r="L167" s="33"/>
      <c r="M167" s="33"/>
      <c r="N167" s="33"/>
      <c r="O167" s="33"/>
      <c r="P167" s="33"/>
      <c r="Q167" s="33"/>
      <c r="R167" s="33"/>
      <c r="S167" s="33"/>
      <c r="T167" s="33"/>
    </row>
    <row r="168" spans="1:20" ht="15.6">
      <c r="A168" s="13">
        <v>47178</v>
      </c>
      <c r="B168" s="41">
        <v>31</v>
      </c>
      <c r="C168" s="32">
        <v>122.58</v>
      </c>
      <c r="D168" s="32">
        <v>297.94099999999997</v>
      </c>
      <c r="E168" s="38">
        <v>729.47900000000004</v>
      </c>
      <c r="F168" s="32">
        <v>1150</v>
      </c>
      <c r="G168" s="32">
        <v>100</v>
      </c>
      <c r="H168" s="40">
        <v>600</v>
      </c>
      <c r="I168" s="32">
        <v>695</v>
      </c>
      <c r="J168" s="32">
        <v>50</v>
      </c>
      <c r="K168" s="33"/>
      <c r="L168" s="33"/>
      <c r="M168" s="33"/>
      <c r="N168" s="33"/>
      <c r="O168" s="33"/>
      <c r="P168" s="33"/>
      <c r="Q168" s="33"/>
      <c r="R168" s="33"/>
      <c r="S168" s="33"/>
      <c r="T168" s="33"/>
    </row>
    <row r="169" spans="1:20" ht="15.6">
      <c r="A169" s="13">
        <v>47209</v>
      </c>
      <c r="B169" s="41">
        <v>30</v>
      </c>
      <c r="C169" s="32">
        <v>141.29300000000001</v>
      </c>
      <c r="D169" s="32">
        <v>267.99299999999999</v>
      </c>
      <c r="E169" s="38">
        <v>829.71400000000006</v>
      </c>
      <c r="F169" s="32">
        <v>1239</v>
      </c>
      <c r="G169" s="32">
        <v>100</v>
      </c>
      <c r="H169" s="40">
        <v>600</v>
      </c>
      <c r="I169" s="32">
        <v>695</v>
      </c>
      <c r="J169" s="32">
        <v>50</v>
      </c>
      <c r="K169" s="33"/>
      <c r="L169" s="33"/>
      <c r="M169" s="33"/>
      <c r="N169" s="33"/>
      <c r="O169" s="33"/>
      <c r="P169" s="33"/>
      <c r="Q169" s="33"/>
      <c r="R169" s="33"/>
      <c r="S169" s="33"/>
      <c r="T169" s="33"/>
    </row>
    <row r="170" spans="1:20" ht="15.6">
      <c r="A170" s="13">
        <v>47239</v>
      </c>
      <c r="B170" s="41">
        <v>31</v>
      </c>
      <c r="C170" s="32">
        <v>194.20500000000001</v>
      </c>
      <c r="D170" s="32">
        <v>267.46600000000001</v>
      </c>
      <c r="E170" s="38">
        <v>812.32899999999995</v>
      </c>
      <c r="F170" s="32">
        <v>1274</v>
      </c>
      <c r="G170" s="32">
        <v>75</v>
      </c>
      <c r="H170" s="40">
        <v>600</v>
      </c>
      <c r="I170" s="32">
        <v>695</v>
      </c>
      <c r="J170" s="32">
        <v>50</v>
      </c>
      <c r="K170" s="33"/>
      <c r="L170" s="33"/>
      <c r="M170" s="33"/>
      <c r="N170" s="33"/>
      <c r="O170" s="33"/>
      <c r="P170" s="33"/>
      <c r="Q170" s="33"/>
      <c r="R170" s="33"/>
      <c r="S170" s="33"/>
      <c r="T170" s="33"/>
    </row>
    <row r="171" spans="1:20" ht="15.6">
      <c r="A171" s="13">
        <v>47270</v>
      </c>
      <c r="B171" s="41">
        <v>30</v>
      </c>
      <c r="C171" s="32">
        <v>194.20500000000001</v>
      </c>
      <c r="D171" s="32">
        <v>267.46600000000001</v>
      </c>
      <c r="E171" s="38">
        <v>812.32899999999995</v>
      </c>
      <c r="F171" s="32">
        <v>1274</v>
      </c>
      <c r="G171" s="32">
        <v>50</v>
      </c>
      <c r="H171" s="40">
        <v>600</v>
      </c>
      <c r="I171" s="32">
        <v>695</v>
      </c>
      <c r="J171" s="32">
        <v>50</v>
      </c>
      <c r="K171" s="33"/>
      <c r="L171" s="33"/>
      <c r="M171" s="33"/>
      <c r="N171" s="33"/>
      <c r="O171" s="33"/>
      <c r="P171" s="33"/>
      <c r="Q171" s="33"/>
      <c r="R171" s="33"/>
      <c r="S171" s="33"/>
      <c r="T171" s="33"/>
    </row>
    <row r="172" spans="1:20" ht="15.6">
      <c r="A172" s="13">
        <v>47300</v>
      </c>
      <c r="B172" s="41">
        <v>31</v>
      </c>
      <c r="C172" s="32">
        <v>194.20500000000001</v>
      </c>
      <c r="D172" s="32">
        <v>267.46600000000001</v>
      </c>
      <c r="E172" s="38">
        <v>812.32899999999995</v>
      </c>
      <c r="F172" s="32">
        <v>1274</v>
      </c>
      <c r="G172" s="32">
        <v>50</v>
      </c>
      <c r="H172" s="40">
        <v>600</v>
      </c>
      <c r="I172" s="32">
        <v>695</v>
      </c>
      <c r="J172" s="32">
        <v>0</v>
      </c>
      <c r="K172" s="33"/>
      <c r="L172" s="33"/>
      <c r="M172" s="33"/>
      <c r="N172" s="33"/>
      <c r="O172" s="33"/>
      <c r="P172" s="33"/>
      <c r="Q172" s="33"/>
      <c r="R172" s="33"/>
      <c r="S172" s="33"/>
      <c r="T172" s="33"/>
    </row>
    <row r="173" spans="1:20" ht="15.6">
      <c r="A173" s="13">
        <v>47331</v>
      </c>
      <c r="B173" s="41">
        <v>31</v>
      </c>
      <c r="C173" s="32">
        <v>194.20500000000001</v>
      </c>
      <c r="D173" s="32">
        <v>267.46600000000001</v>
      </c>
      <c r="E173" s="38">
        <v>812.32899999999995</v>
      </c>
      <c r="F173" s="32">
        <v>1274</v>
      </c>
      <c r="G173" s="32">
        <v>50</v>
      </c>
      <c r="H173" s="40">
        <v>600</v>
      </c>
      <c r="I173" s="32">
        <v>695</v>
      </c>
      <c r="J173" s="32">
        <v>0</v>
      </c>
      <c r="K173" s="33"/>
      <c r="L173" s="33"/>
      <c r="M173" s="33"/>
      <c r="N173" s="33"/>
      <c r="O173" s="33"/>
      <c r="P173" s="33"/>
      <c r="Q173" s="33"/>
      <c r="R173" s="33"/>
      <c r="S173" s="33"/>
      <c r="T173" s="33"/>
    </row>
    <row r="174" spans="1:20" ht="15.6">
      <c r="A174" s="13">
        <v>47362</v>
      </c>
      <c r="B174" s="41">
        <v>30</v>
      </c>
      <c r="C174" s="32">
        <v>194.20500000000001</v>
      </c>
      <c r="D174" s="32">
        <v>267.46600000000001</v>
      </c>
      <c r="E174" s="38">
        <v>812.32899999999995</v>
      </c>
      <c r="F174" s="32">
        <v>1274</v>
      </c>
      <c r="G174" s="32">
        <v>50</v>
      </c>
      <c r="H174" s="40">
        <v>600</v>
      </c>
      <c r="I174" s="32">
        <v>695</v>
      </c>
      <c r="J174" s="32">
        <v>0</v>
      </c>
      <c r="K174" s="33"/>
      <c r="L174" s="33"/>
      <c r="M174" s="33"/>
      <c r="N174" s="33"/>
      <c r="O174" s="33"/>
      <c r="P174" s="33"/>
      <c r="Q174" s="33"/>
      <c r="R174" s="33"/>
      <c r="S174" s="33"/>
      <c r="T174" s="33"/>
    </row>
    <row r="175" spans="1:20" ht="15.6">
      <c r="A175" s="13">
        <v>47392</v>
      </c>
      <c r="B175" s="41">
        <v>31</v>
      </c>
      <c r="C175" s="32">
        <v>131.881</v>
      </c>
      <c r="D175" s="32">
        <v>277.16699999999997</v>
      </c>
      <c r="E175" s="38">
        <v>829.952</v>
      </c>
      <c r="F175" s="32">
        <v>1239</v>
      </c>
      <c r="G175" s="32">
        <v>75</v>
      </c>
      <c r="H175" s="40">
        <v>600</v>
      </c>
      <c r="I175" s="32">
        <v>695</v>
      </c>
      <c r="J175" s="32">
        <v>0</v>
      </c>
      <c r="K175" s="33"/>
      <c r="L175" s="33"/>
      <c r="M175" s="33"/>
      <c r="N175" s="33"/>
      <c r="O175" s="33"/>
      <c r="P175" s="33"/>
      <c r="Q175" s="33"/>
      <c r="R175" s="33"/>
      <c r="S175" s="33"/>
      <c r="T175" s="33"/>
    </row>
    <row r="176" spans="1:20" ht="15.6">
      <c r="A176" s="13">
        <v>47423</v>
      </c>
      <c r="B176" s="41">
        <v>30</v>
      </c>
      <c r="C176" s="32">
        <v>122.58</v>
      </c>
      <c r="D176" s="32">
        <v>297.94099999999997</v>
      </c>
      <c r="E176" s="38">
        <v>729.47900000000004</v>
      </c>
      <c r="F176" s="32">
        <v>1150</v>
      </c>
      <c r="G176" s="32">
        <v>100</v>
      </c>
      <c r="H176" s="40">
        <v>600</v>
      </c>
      <c r="I176" s="32">
        <v>695</v>
      </c>
      <c r="J176" s="32">
        <v>50</v>
      </c>
      <c r="K176" s="33"/>
      <c r="L176" s="33"/>
      <c r="M176" s="33"/>
      <c r="N176" s="33"/>
      <c r="O176" s="33"/>
      <c r="P176" s="33"/>
      <c r="Q176" s="33"/>
      <c r="R176" s="33"/>
      <c r="S176" s="33"/>
      <c r="T176" s="33"/>
    </row>
    <row r="177" spans="1:20" ht="15.6">
      <c r="A177" s="13">
        <v>47453</v>
      </c>
      <c r="B177" s="41">
        <v>31</v>
      </c>
      <c r="C177" s="32">
        <v>122.58</v>
      </c>
      <c r="D177" s="32">
        <v>297.94099999999997</v>
      </c>
      <c r="E177" s="38">
        <v>729.47900000000004</v>
      </c>
      <c r="F177" s="32">
        <v>1150</v>
      </c>
      <c r="G177" s="32">
        <v>100</v>
      </c>
      <c r="H177" s="40">
        <v>600</v>
      </c>
      <c r="I177" s="32">
        <v>695</v>
      </c>
      <c r="J177" s="32">
        <v>50</v>
      </c>
      <c r="K177" s="33"/>
      <c r="L177" s="33"/>
      <c r="M177" s="33"/>
      <c r="N177" s="33"/>
      <c r="O177" s="33"/>
      <c r="P177" s="33"/>
      <c r="Q177" s="33"/>
      <c r="R177" s="33"/>
      <c r="S177" s="33"/>
      <c r="T177" s="33"/>
    </row>
    <row r="178" spans="1:20" ht="15.6">
      <c r="A178" s="13">
        <v>47484</v>
      </c>
      <c r="B178" s="41">
        <v>31</v>
      </c>
      <c r="C178" s="32">
        <v>122.58</v>
      </c>
      <c r="D178" s="32">
        <v>297.94099999999997</v>
      </c>
      <c r="E178" s="38">
        <v>729.47900000000004</v>
      </c>
      <c r="F178" s="32">
        <v>1150</v>
      </c>
      <c r="G178" s="32">
        <v>100</v>
      </c>
      <c r="H178" s="40">
        <v>600</v>
      </c>
      <c r="I178" s="32">
        <v>695</v>
      </c>
      <c r="J178" s="32">
        <v>50</v>
      </c>
      <c r="K178" s="33"/>
      <c r="L178" s="33"/>
      <c r="M178" s="33"/>
      <c r="N178" s="33"/>
      <c r="O178" s="33"/>
      <c r="P178" s="33"/>
      <c r="Q178" s="33"/>
      <c r="R178" s="33"/>
      <c r="S178" s="33"/>
      <c r="T178" s="33"/>
    </row>
    <row r="179" spans="1:20" ht="15.6">
      <c r="A179" s="13">
        <v>47515</v>
      </c>
      <c r="B179" s="41">
        <v>28</v>
      </c>
      <c r="C179" s="32">
        <v>122.58</v>
      </c>
      <c r="D179" s="32">
        <v>297.94099999999997</v>
      </c>
      <c r="E179" s="38">
        <v>729.47900000000004</v>
      </c>
      <c r="F179" s="32">
        <v>1150</v>
      </c>
      <c r="G179" s="32">
        <v>100</v>
      </c>
      <c r="H179" s="40">
        <v>600</v>
      </c>
      <c r="I179" s="32">
        <v>695</v>
      </c>
      <c r="J179" s="32">
        <v>50</v>
      </c>
      <c r="K179" s="33"/>
      <c r="L179" s="33"/>
      <c r="M179" s="33"/>
      <c r="N179" s="33"/>
      <c r="O179" s="33"/>
      <c r="P179" s="33"/>
      <c r="Q179" s="33"/>
      <c r="R179" s="33"/>
      <c r="S179" s="33"/>
      <c r="T179" s="33"/>
    </row>
    <row r="180" spans="1:20" ht="15.6">
      <c r="A180" s="13">
        <v>47543</v>
      </c>
      <c r="B180" s="41">
        <v>31</v>
      </c>
      <c r="C180" s="32">
        <v>122.58</v>
      </c>
      <c r="D180" s="32">
        <v>297.94099999999997</v>
      </c>
      <c r="E180" s="38">
        <v>729.47900000000004</v>
      </c>
      <c r="F180" s="32">
        <v>1150</v>
      </c>
      <c r="G180" s="32">
        <v>100</v>
      </c>
      <c r="H180" s="40">
        <v>600</v>
      </c>
      <c r="I180" s="32">
        <v>695</v>
      </c>
      <c r="J180" s="32">
        <v>50</v>
      </c>
      <c r="K180" s="33"/>
      <c r="L180" s="33"/>
      <c r="M180" s="33"/>
      <c r="N180" s="33"/>
      <c r="O180" s="33"/>
      <c r="P180" s="33"/>
      <c r="Q180" s="33"/>
      <c r="R180" s="33"/>
      <c r="S180" s="33"/>
      <c r="T180" s="33"/>
    </row>
    <row r="181" spans="1:20" ht="15.6">
      <c r="A181" s="13">
        <v>47574</v>
      </c>
      <c r="B181" s="41">
        <v>30</v>
      </c>
      <c r="C181" s="32">
        <v>141.29300000000001</v>
      </c>
      <c r="D181" s="32">
        <v>267.99299999999999</v>
      </c>
      <c r="E181" s="38">
        <v>829.71400000000006</v>
      </c>
      <c r="F181" s="32">
        <v>1239</v>
      </c>
      <c r="G181" s="32">
        <v>100</v>
      </c>
      <c r="H181" s="40">
        <v>600</v>
      </c>
      <c r="I181" s="32">
        <v>695</v>
      </c>
      <c r="J181" s="32">
        <v>50</v>
      </c>
      <c r="K181" s="33"/>
      <c r="L181" s="33"/>
      <c r="M181" s="33"/>
      <c r="N181" s="33"/>
      <c r="O181" s="33"/>
      <c r="P181" s="33"/>
      <c r="Q181" s="33"/>
      <c r="R181" s="33"/>
      <c r="S181" s="33"/>
      <c r="T181" s="33"/>
    </row>
    <row r="182" spans="1:20" ht="15.6">
      <c r="A182" s="13">
        <v>47604</v>
      </c>
      <c r="B182" s="41">
        <v>31</v>
      </c>
      <c r="C182" s="32">
        <v>194.20500000000001</v>
      </c>
      <c r="D182" s="32">
        <v>267.46600000000001</v>
      </c>
      <c r="E182" s="38">
        <v>812.32899999999995</v>
      </c>
      <c r="F182" s="32">
        <v>1274</v>
      </c>
      <c r="G182" s="32">
        <v>75</v>
      </c>
      <c r="H182" s="40">
        <v>600</v>
      </c>
      <c r="I182" s="32">
        <v>695</v>
      </c>
      <c r="J182" s="32">
        <v>50</v>
      </c>
      <c r="K182" s="33"/>
      <c r="L182" s="33"/>
      <c r="M182" s="33"/>
      <c r="N182" s="33"/>
      <c r="O182" s="33"/>
      <c r="P182" s="33"/>
      <c r="Q182" s="33"/>
      <c r="R182" s="33"/>
      <c r="S182" s="33"/>
      <c r="T182" s="33"/>
    </row>
    <row r="183" spans="1:20" ht="15.6">
      <c r="A183" s="13">
        <v>47635</v>
      </c>
      <c r="B183" s="41">
        <v>30</v>
      </c>
      <c r="C183" s="32">
        <v>194.20500000000001</v>
      </c>
      <c r="D183" s="32">
        <v>267.46600000000001</v>
      </c>
      <c r="E183" s="38">
        <v>812.32899999999995</v>
      </c>
      <c r="F183" s="32">
        <v>1274</v>
      </c>
      <c r="G183" s="32">
        <v>50</v>
      </c>
      <c r="H183" s="40">
        <v>600</v>
      </c>
      <c r="I183" s="32">
        <v>695</v>
      </c>
      <c r="J183" s="32">
        <v>50</v>
      </c>
      <c r="K183" s="33"/>
      <c r="L183" s="33"/>
      <c r="M183" s="33"/>
      <c r="N183" s="33"/>
      <c r="O183" s="33"/>
      <c r="P183" s="33"/>
      <c r="Q183" s="33"/>
      <c r="R183" s="33"/>
      <c r="S183" s="33"/>
      <c r="T183" s="33"/>
    </row>
    <row r="184" spans="1:20" ht="15.6">
      <c r="A184" s="13">
        <v>47665</v>
      </c>
      <c r="B184" s="41">
        <v>31</v>
      </c>
      <c r="C184" s="32">
        <v>194.20500000000001</v>
      </c>
      <c r="D184" s="32">
        <v>267.46600000000001</v>
      </c>
      <c r="E184" s="38">
        <v>812.32899999999995</v>
      </c>
      <c r="F184" s="32">
        <v>1274</v>
      </c>
      <c r="G184" s="32">
        <v>50</v>
      </c>
      <c r="H184" s="40">
        <v>600</v>
      </c>
      <c r="I184" s="32">
        <v>695</v>
      </c>
      <c r="J184" s="32">
        <v>0</v>
      </c>
      <c r="K184" s="33"/>
      <c r="L184" s="33"/>
      <c r="M184" s="33"/>
      <c r="N184" s="33"/>
      <c r="O184" s="33"/>
      <c r="P184" s="33"/>
      <c r="Q184" s="33"/>
      <c r="R184" s="33"/>
      <c r="S184" s="33"/>
      <c r="T184" s="33"/>
    </row>
    <row r="185" spans="1:20" ht="15.6">
      <c r="A185" s="13">
        <v>47696</v>
      </c>
      <c r="B185" s="41">
        <v>31</v>
      </c>
      <c r="C185" s="32">
        <v>194.20500000000001</v>
      </c>
      <c r="D185" s="32">
        <v>267.46600000000001</v>
      </c>
      <c r="E185" s="38">
        <v>812.32899999999995</v>
      </c>
      <c r="F185" s="32">
        <v>1274</v>
      </c>
      <c r="G185" s="32">
        <v>50</v>
      </c>
      <c r="H185" s="40">
        <v>600</v>
      </c>
      <c r="I185" s="32">
        <v>695</v>
      </c>
      <c r="J185" s="32">
        <v>0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</row>
    <row r="186" spans="1:20" ht="15.6">
      <c r="A186" s="13">
        <v>47727</v>
      </c>
      <c r="B186" s="41">
        <v>30</v>
      </c>
      <c r="C186" s="32">
        <v>194.20500000000001</v>
      </c>
      <c r="D186" s="32">
        <v>267.46600000000001</v>
      </c>
      <c r="E186" s="38">
        <v>812.32899999999995</v>
      </c>
      <c r="F186" s="32">
        <v>1274</v>
      </c>
      <c r="G186" s="32">
        <v>50</v>
      </c>
      <c r="H186" s="40">
        <v>600</v>
      </c>
      <c r="I186" s="32">
        <v>695</v>
      </c>
      <c r="J186" s="32">
        <v>0</v>
      </c>
      <c r="K186" s="33"/>
      <c r="L186" s="33"/>
      <c r="M186" s="33"/>
      <c r="N186" s="33"/>
      <c r="O186" s="33"/>
      <c r="P186" s="33"/>
      <c r="Q186" s="33"/>
      <c r="R186" s="33"/>
      <c r="S186" s="33"/>
      <c r="T186" s="33"/>
    </row>
    <row r="187" spans="1:20" ht="15.6">
      <c r="A187" s="13">
        <v>47757</v>
      </c>
      <c r="B187" s="41">
        <v>31</v>
      </c>
      <c r="C187" s="32">
        <v>131.881</v>
      </c>
      <c r="D187" s="32">
        <v>277.16699999999997</v>
      </c>
      <c r="E187" s="38">
        <v>829.952</v>
      </c>
      <c r="F187" s="32">
        <v>1239</v>
      </c>
      <c r="G187" s="32">
        <v>75</v>
      </c>
      <c r="H187" s="40">
        <v>600</v>
      </c>
      <c r="I187" s="32">
        <v>695</v>
      </c>
      <c r="J187" s="32">
        <v>0</v>
      </c>
      <c r="K187" s="33"/>
      <c r="L187" s="33"/>
      <c r="M187" s="33"/>
      <c r="N187" s="33"/>
      <c r="O187" s="33"/>
      <c r="P187" s="33"/>
      <c r="Q187" s="33"/>
      <c r="R187" s="33"/>
      <c r="S187" s="33"/>
      <c r="T187" s="33"/>
    </row>
    <row r="188" spans="1:20" ht="15.6">
      <c r="A188" s="13">
        <v>47788</v>
      </c>
      <c r="B188" s="41">
        <v>30</v>
      </c>
      <c r="C188" s="32">
        <v>122.58</v>
      </c>
      <c r="D188" s="32">
        <v>297.94099999999997</v>
      </c>
      <c r="E188" s="38">
        <v>729.47900000000004</v>
      </c>
      <c r="F188" s="32">
        <v>1150</v>
      </c>
      <c r="G188" s="32">
        <v>100</v>
      </c>
      <c r="H188" s="40">
        <v>600</v>
      </c>
      <c r="I188" s="32">
        <v>695</v>
      </c>
      <c r="J188" s="32">
        <v>50</v>
      </c>
      <c r="K188" s="33"/>
      <c r="L188" s="33"/>
      <c r="M188" s="33"/>
      <c r="N188" s="33"/>
      <c r="O188" s="33"/>
      <c r="P188" s="33"/>
      <c r="Q188" s="33"/>
      <c r="R188" s="33"/>
      <c r="S188" s="33"/>
      <c r="T188" s="33"/>
    </row>
    <row r="189" spans="1:20" ht="15.6">
      <c r="A189" s="13">
        <v>47818</v>
      </c>
      <c r="B189" s="41">
        <v>31</v>
      </c>
      <c r="C189" s="32">
        <v>122.58</v>
      </c>
      <c r="D189" s="32">
        <v>297.94099999999997</v>
      </c>
      <c r="E189" s="38">
        <v>729.47900000000004</v>
      </c>
      <c r="F189" s="32">
        <v>1150</v>
      </c>
      <c r="G189" s="32">
        <v>100</v>
      </c>
      <c r="H189" s="40">
        <v>600</v>
      </c>
      <c r="I189" s="32">
        <v>695</v>
      </c>
      <c r="J189" s="32">
        <v>50</v>
      </c>
      <c r="K189" s="33"/>
      <c r="L189" s="33"/>
      <c r="M189" s="33"/>
      <c r="N189" s="33"/>
      <c r="O189" s="33"/>
      <c r="P189" s="33"/>
      <c r="Q189" s="33"/>
      <c r="R189" s="33"/>
      <c r="S189" s="33"/>
      <c r="T189" s="33"/>
    </row>
    <row r="190" spans="1:20" ht="15.6">
      <c r="A190" s="13">
        <v>47849</v>
      </c>
      <c r="B190" s="41">
        <v>31</v>
      </c>
      <c r="C190" s="32">
        <v>122.58</v>
      </c>
      <c r="D190" s="32">
        <v>297.94099999999997</v>
      </c>
      <c r="E190" s="38">
        <v>729.47900000000004</v>
      </c>
      <c r="F190" s="32">
        <v>1150</v>
      </c>
      <c r="G190" s="32">
        <v>100</v>
      </c>
      <c r="H190" s="40">
        <v>600</v>
      </c>
      <c r="I190" s="32">
        <v>695</v>
      </c>
      <c r="J190" s="32">
        <v>50</v>
      </c>
      <c r="K190" s="33"/>
      <c r="L190" s="33"/>
      <c r="M190" s="33"/>
      <c r="N190" s="33"/>
      <c r="O190" s="33"/>
      <c r="P190" s="33"/>
      <c r="Q190" s="33"/>
      <c r="R190" s="33"/>
      <c r="S190" s="33"/>
      <c r="T190" s="33"/>
    </row>
    <row r="191" spans="1:20" ht="15.6">
      <c r="A191" s="13">
        <v>47880</v>
      </c>
      <c r="B191" s="41">
        <v>28</v>
      </c>
      <c r="C191" s="32">
        <v>122.58</v>
      </c>
      <c r="D191" s="32">
        <v>297.94099999999997</v>
      </c>
      <c r="E191" s="38">
        <v>729.47900000000004</v>
      </c>
      <c r="F191" s="32">
        <v>1150</v>
      </c>
      <c r="G191" s="32">
        <v>100</v>
      </c>
      <c r="H191" s="40">
        <v>600</v>
      </c>
      <c r="I191" s="32">
        <v>695</v>
      </c>
      <c r="J191" s="32">
        <v>50</v>
      </c>
      <c r="K191" s="33"/>
      <c r="L191" s="33"/>
      <c r="M191" s="33"/>
      <c r="N191" s="33"/>
      <c r="O191" s="33"/>
      <c r="P191" s="33"/>
      <c r="Q191" s="33"/>
      <c r="R191" s="33"/>
      <c r="S191" s="33"/>
      <c r="T191" s="33"/>
    </row>
    <row r="192" spans="1:20" ht="15.6">
      <c r="A192" s="13">
        <v>47908</v>
      </c>
      <c r="B192" s="41">
        <v>31</v>
      </c>
      <c r="C192" s="32">
        <v>122.58</v>
      </c>
      <c r="D192" s="32">
        <v>297.94099999999997</v>
      </c>
      <c r="E192" s="38">
        <v>729.47900000000004</v>
      </c>
      <c r="F192" s="32">
        <v>1150</v>
      </c>
      <c r="G192" s="32">
        <v>100</v>
      </c>
      <c r="H192" s="40">
        <v>600</v>
      </c>
      <c r="I192" s="32">
        <v>695</v>
      </c>
      <c r="J192" s="32">
        <v>50</v>
      </c>
      <c r="K192" s="33"/>
      <c r="L192" s="33"/>
      <c r="M192" s="33"/>
      <c r="N192" s="33"/>
      <c r="O192" s="33"/>
      <c r="P192" s="33"/>
      <c r="Q192" s="33"/>
      <c r="R192" s="33"/>
      <c r="S192" s="33"/>
      <c r="T192" s="33"/>
    </row>
    <row r="193" spans="1:20" ht="15.6">
      <c r="A193" s="13">
        <v>47939</v>
      </c>
      <c r="B193" s="41">
        <v>30</v>
      </c>
      <c r="C193" s="32">
        <v>141.29300000000001</v>
      </c>
      <c r="D193" s="32">
        <v>267.99299999999999</v>
      </c>
      <c r="E193" s="38">
        <v>829.71400000000006</v>
      </c>
      <c r="F193" s="32">
        <v>1239</v>
      </c>
      <c r="G193" s="32">
        <v>100</v>
      </c>
      <c r="H193" s="40">
        <v>600</v>
      </c>
      <c r="I193" s="32">
        <v>695</v>
      </c>
      <c r="J193" s="32">
        <v>50</v>
      </c>
      <c r="K193" s="33"/>
      <c r="L193" s="33"/>
      <c r="M193" s="33"/>
      <c r="N193" s="33"/>
      <c r="O193" s="33"/>
      <c r="P193" s="33"/>
      <c r="Q193" s="33"/>
      <c r="R193" s="33"/>
      <c r="S193" s="33"/>
      <c r="T193" s="33"/>
    </row>
    <row r="194" spans="1:20" ht="15.6">
      <c r="A194" s="13">
        <v>47969</v>
      </c>
      <c r="B194" s="41">
        <v>31</v>
      </c>
      <c r="C194" s="32">
        <v>194.20500000000001</v>
      </c>
      <c r="D194" s="32">
        <v>267.46600000000001</v>
      </c>
      <c r="E194" s="38">
        <v>812.32899999999995</v>
      </c>
      <c r="F194" s="32">
        <v>1274</v>
      </c>
      <c r="G194" s="32">
        <v>75</v>
      </c>
      <c r="H194" s="40">
        <v>600</v>
      </c>
      <c r="I194" s="32">
        <v>695</v>
      </c>
      <c r="J194" s="32">
        <v>50</v>
      </c>
      <c r="K194" s="33"/>
      <c r="L194" s="33"/>
      <c r="M194" s="33"/>
      <c r="N194" s="33"/>
      <c r="O194" s="33"/>
      <c r="P194" s="33"/>
      <c r="Q194" s="33"/>
      <c r="R194" s="33"/>
      <c r="S194" s="33"/>
      <c r="T194" s="33"/>
    </row>
    <row r="195" spans="1:20" ht="15.6">
      <c r="A195" s="13">
        <v>48000</v>
      </c>
      <c r="B195" s="41">
        <v>30</v>
      </c>
      <c r="C195" s="32">
        <v>194.20500000000001</v>
      </c>
      <c r="D195" s="32">
        <v>267.46600000000001</v>
      </c>
      <c r="E195" s="38">
        <v>812.32899999999995</v>
      </c>
      <c r="F195" s="32">
        <v>1274</v>
      </c>
      <c r="G195" s="32">
        <v>50</v>
      </c>
      <c r="H195" s="40">
        <v>600</v>
      </c>
      <c r="I195" s="32">
        <v>695</v>
      </c>
      <c r="J195" s="32">
        <v>50</v>
      </c>
      <c r="K195" s="33"/>
      <c r="L195" s="33"/>
      <c r="M195" s="33"/>
      <c r="N195" s="33"/>
      <c r="O195" s="33"/>
      <c r="P195" s="33"/>
      <c r="Q195" s="33"/>
      <c r="R195" s="33"/>
      <c r="S195" s="33"/>
      <c r="T195" s="33"/>
    </row>
    <row r="196" spans="1:20" ht="15.6">
      <c r="A196" s="13">
        <v>48030</v>
      </c>
      <c r="B196" s="41">
        <v>31</v>
      </c>
      <c r="C196" s="32">
        <v>194.20500000000001</v>
      </c>
      <c r="D196" s="32">
        <v>267.46600000000001</v>
      </c>
      <c r="E196" s="38">
        <v>812.32899999999995</v>
      </c>
      <c r="F196" s="32">
        <v>1274</v>
      </c>
      <c r="G196" s="32">
        <v>50</v>
      </c>
      <c r="H196" s="40">
        <v>600</v>
      </c>
      <c r="I196" s="32">
        <v>695</v>
      </c>
      <c r="J196" s="32">
        <v>0</v>
      </c>
      <c r="K196" s="33"/>
      <c r="L196" s="33"/>
      <c r="M196" s="33"/>
      <c r="N196" s="33"/>
      <c r="O196" s="33"/>
      <c r="P196" s="33"/>
      <c r="Q196" s="33"/>
      <c r="R196" s="33"/>
      <c r="S196" s="33"/>
      <c r="T196" s="33"/>
    </row>
    <row r="197" spans="1:20" ht="15.6">
      <c r="A197" s="13">
        <v>48061</v>
      </c>
      <c r="B197" s="41">
        <v>31</v>
      </c>
      <c r="C197" s="32">
        <v>194.20500000000001</v>
      </c>
      <c r="D197" s="32">
        <v>267.46600000000001</v>
      </c>
      <c r="E197" s="38">
        <v>812.32899999999995</v>
      </c>
      <c r="F197" s="32">
        <v>1274</v>
      </c>
      <c r="G197" s="32">
        <v>50</v>
      </c>
      <c r="H197" s="40">
        <v>600</v>
      </c>
      <c r="I197" s="32">
        <v>695</v>
      </c>
      <c r="J197" s="32">
        <v>0</v>
      </c>
      <c r="K197" s="33"/>
      <c r="L197" s="33"/>
      <c r="M197" s="33"/>
      <c r="N197" s="33"/>
      <c r="O197" s="33"/>
      <c r="P197" s="33"/>
      <c r="Q197" s="33"/>
      <c r="R197" s="33"/>
      <c r="S197" s="33"/>
      <c r="T197" s="33"/>
    </row>
    <row r="198" spans="1:20" ht="15.6">
      <c r="A198" s="13">
        <v>48092</v>
      </c>
      <c r="B198" s="41">
        <v>30</v>
      </c>
      <c r="C198" s="32">
        <v>194.20500000000001</v>
      </c>
      <c r="D198" s="32">
        <v>267.46600000000001</v>
      </c>
      <c r="E198" s="38">
        <v>812.32899999999995</v>
      </c>
      <c r="F198" s="32">
        <v>1274</v>
      </c>
      <c r="G198" s="32">
        <v>50</v>
      </c>
      <c r="H198" s="40">
        <v>600</v>
      </c>
      <c r="I198" s="32">
        <v>695</v>
      </c>
      <c r="J198" s="32">
        <v>0</v>
      </c>
      <c r="K198" s="33"/>
      <c r="L198" s="33"/>
      <c r="M198" s="33"/>
      <c r="N198" s="33"/>
      <c r="O198" s="33"/>
      <c r="P198" s="33"/>
      <c r="Q198" s="33"/>
      <c r="R198" s="33"/>
      <c r="S198" s="33"/>
      <c r="T198" s="33"/>
    </row>
    <row r="199" spans="1:20" ht="15.6">
      <c r="A199" s="13">
        <v>48122</v>
      </c>
      <c r="B199" s="41">
        <v>31</v>
      </c>
      <c r="C199" s="32">
        <v>131.881</v>
      </c>
      <c r="D199" s="32">
        <v>277.16699999999997</v>
      </c>
      <c r="E199" s="38">
        <v>829.952</v>
      </c>
      <c r="F199" s="32">
        <v>1239</v>
      </c>
      <c r="G199" s="32">
        <v>75</v>
      </c>
      <c r="H199" s="40">
        <v>600</v>
      </c>
      <c r="I199" s="32">
        <v>695</v>
      </c>
      <c r="J199" s="32">
        <v>0</v>
      </c>
      <c r="K199" s="33"/>
      <c r="L199" s="33"/>
      <c r="M199" s="33"/>
      <c r="N199" s="33"/>
      <c r="O199" s="33"/>
      <c r="P199" s="33"/>
      <c r="Q199" s="33"/>
      <c r="R199" s="33"/>
      <c r="S199" s="33"/>
      <c r="T199" s="33"/>
    </row>
    <row r="200" spans="1:20" ht="15.6">
      <c r="A200" s="13">
        <v>48153</v>
      </c>
      <c r="B200" s="41">
        <v>30</v>
      </c>
      <c r="C200" s="32">
        <v>122.58</v>
      </c>
      <c r="D200" s="32">
        <v>297.94099999999997</v>
      </c>
      <c r="E200" s="38">
        <v>729.47900000000004</v>
      </c>
      <c r="F200" s="32">
        <v>1150</v>
      </c>
      <c r="G200" s="32">
        <v>100</v>
      </c>
      <c r="H200" s="40">
        <v>600</v>
      </c>
      <c r="I200" s="32">
        <v>695</v>
      </c>
      <c r="J200" s="32">
        <v>50</v>
      </c>
      <c r="K200" s="33"/>
      <c r="L200" s="33"/>
      <c r="M200" s="33"/>
      <c r="N200" s="33"/>
      <c r="O200" s="33"/>
      <c r="P200" s="33"/>
      <c r="Q200" s="33"/>
      <c r="R200" s="33"/>
      <c r="S200" s="33"/>
      <c r="T200" s="33"/>
    </row>
    <row r="201" spans="1:20" ht="15.6">
      <c r="A201" s="13">
        <v>48183</v>
      </c>
      <c r="B201" s="41">
        <v>31</v>
      </c>
      <c r="C201" s="32">
        <v>122.58</v>
      </c>
      <c r="D201" s="32">
        <v>297.94099999999997</v>
      </c>
      <c r="E201" s="38">
        <v>729.47900000000004</v>
      </c>
      <c r="F201" s="32">
        <v>1150</v>
      </c>
      <c r="G201" s="32">
        <v>100</v>
      </c>
      <c r="H201" s="40">
        <v>600</v>
      </c>
      <c r="I201" s="32">
        <v>695</v>
      </c>
      <c r="J201" s="32">
        <v>50</v>
      </c>
      <c r="K201" s="33"/>
      <c r="L201" s="33"/>
      <c r="M201" s="33"/>
      <c r="N201" s="33"/>
      <c r="O201" s="33"/>
      <c r="P201" s="33"/>
      <c r="Q201" s="33"/>
      <c r="R201" s="33"/>
      <c r="S201" s="33"/>
      <c r="T201" s="33"/>
    </row>
    <row r="202" spans="1:20" ht="15.6">
      <c r="A202" s="13">
        <v>48214</v>
      </c>
      <c r="B202" s="41">
        <v>31</v>
      </c>
      <c r="C202" s="32">
        <v>122.58</v>
      </c>
      <c r="D202" s="32">
        <v>297.94099999999997</v>
      </c>
      <c r="E202" s="38">
        <v>729.47900000000004</v>
      </c>
      <c r="F202" s="32">
        <v>1150</v>
      </c>
      <c r="G202" s="32">
        <v>100</v>
      </c>
      <c r="H202" s="40">
        <v>600</v>
      </c>
      <c r="I202" s="32">
        <v>695</v>
      </c>
      <c r="J202" s="32">
        <v>50</v>
      </c>
      <c r="K202" s="33"/>
      <c r="L202" s="33"/>
      <c r="M202" s="33"/>
      <c r="N202" s="33"/>
      <c r="O202" s="33"/>
      <c r="P202" s="33"/>
      <c r="Q202" s="33"/>
      <c r="R202" s="33"/>
      <c r="S202" s="33"/>
      <c r="T202" s="33"/>
    </row>
    <row r="203" spans="1:20" ht="15.6">
      <c r="A203" s="13">
        <v>48245</v>
      </c>
      <c r="B203" s="41">
        <v>29</v>
      </c>
      <c r="C203" s="32">
        <v>122.58</v>
      </c>
      <c r="D203" s="32">
        <v>297.94099999999997</v>
      </c>
      <c r="E203" s="38">
        <v>729.47900000000004</v>
      </c>
      <c r="F203" s="32">
        <v>1150</v>
      </c>
      <c r="G203" s="32">
        <v>100</v>
      </c>
      <c r="H203" s="40">
        <v>600</v>
      </c>
      <c r="I203" s="32">
        <v>695</v>
      </c>
      <c r="J203" s="32">
        <v>50</v>
      </c>
      <c r="K203" s="33"/>
      <c r="L203" s="33"/>
      <c r="M203" s="33"/>
      <c r="N203" s="33"/>
      <c r="O203" s="33"/>
      <c r="P203" s="33"/>
      <c r="Q203" s="33"/>
      <c r="R203" s="33"/>
      <c r="S203" s="33"/>
      <c r="T203" s="33"/>
    </row>
    <row r="204" spans="1:20" ht="15.6">
      <c r="A204" s="13">
        <v>48274</v>
      </c>
      <c r="B204" s="41">
        <v>31</v>
      </c>
      <c r="C204" s="32">
        <v>122.58</v>
      </c>
      <c r="D204" s="32">
        <v>297.94099999999997</v>
      </c>
      <c r="E204" s="38">
        <v>729.47900000000004</v>
      </c>
      <c r="F204" s="32">
        <v>1150</v>
      </c>
      <c r="G204" s="32">
        <v>100</v>
      </c>
      <c r="H204" s="40">
        <v>600</v>
      </c>
      <c r="I204" s="32">
        <v>695</v>
      </c>
      <c r="J204" s="32">
        <v>50</v>
      </c>
      <c r="K204" s="33"/>
      <c r="L204" s="33"/>
      <c r="M204" s="33"/>
      <c r="N204" s="33"/>
      <c r="O204" s="33"/>
      <c r="P204" s="33"/>
      <c r="Q204" s="33"/>
      <c r="R204" s="33"/>
      <c r="S204" s="33"/>
      <c r="T204" s="33"/>
    </row>
    <row r="205" spans="1:20" ht="15.6">
      <c r="A205" s="13">
        <v>48305</v>
      </c>
      <c r="B205" s="41">
        <v>30</v>
      </c>
      <c r="C205" s="32">
        <v>141.29300000000001</v>
      </c>
      <c r="D205" s="32">
        <v>267.99299999999999</v>
      </c>
      <c r="E205" s="38">
        <v>829.71400000000006</v>
      </c>
      <c r="F205" s="32">
        <v>1239</v>
      </c>
      <c r="G205" s="32">
        <v>100</v>
      </c>
      <c r="H205" s="40">
        <v>600</v>
      </c>
      <c r="I205" s="32">
        <v>695</v>
      </c>
      <c r="J205" s="32">
        <v>50</v>
      </c>
      <c r="K205" s="33"/>
      <c r="L205" s="33"/>
      <c r="M205" s="33"/>
      <c r="N205" s="33"/>
      <c r="O205" s="33"/>
      <c r="P205" s="33"/>
      <c r="Q205" s="33"/>
      <c r="R205" s="33"/>
      <c r="S205" s="33"/>
      <c r="T205" s="33"/>
    </row>
    <row r="206" spans="1:20" ht="15.6">
      <c r="A206" s="13">
        <v>48335</v>
      </c>
      <c r="B206" s="41">
        <v>31</v>
      </c>
      <c r="C206" s="32">
        <v>194.20500000000001</v>
      </c>
      <c r="D206" s="32">
        <v>267.46600000000001</v>
      </c>
      <c r="E206" s="38">
        <v>812.32899999999995</v>
      </c>
      <c r="F206" s="32">
        <v>1274</v>
      </c>
      <c r="G206" s="32">
        <v>75</v>
      </c>
      <c r="H206" s="40">
        <v>600</v>
      </c>
      <c r="I206" s="32">
        <v>695</v>
      </c>
      <c r="J206" s="32">
        <v>50</v>
      </c>
      <c r="K206" s="33"/>
      <c r="L206" s="33"/>
      <c r="M206" s="33"/>
      <c r="N206" s="33"/>
      <c r="O206" s="33"/>
      <c r="P206" s="33"/>
      <c r="Q206" s="33"/>
      <c r="R206" s="33"/>
      <c r="S206" s="33"/>
      <c r="T206" s="33"/>
    </row>
    <row r="207" spans="1:20" ht="15.6">
      <c r="A207" s="13">
        <v>48366</v>
      </c>
      <c r="B207" s="41">
        <v>30</v>
      </c>
      <c r="C207" s="32">
        <v>194.20500000000001</v>
      </c>
      <c r="D207" s="32">
        <v>267.46600000000001</v>
      </c>
      <c r="E207" s="38">
        <v>812.32899999999995</v>
      </c>
      <c r="F207" s="32">
        <v>1274</v>
      </c>
      <c r="G207" s="32">
        <v>50</v>
      </c>
      <c r="H207" s="40">
        <v>600</v>
      </c>
      <c r="I207" s="32">
        <v>695</v>
      </c>
      <c r="J207" s="32">
        <v>50</v>
      </c>
      <c r="K207" s="33"/>
      <c r="L207" s="33"/>
      <c r="M207" s="33"/>
      <c r="N207" s="33"/>
      <c r="O207" s="33"/>
      <c r="P207" s="33"/>
      <c r="Q207" s="33"/>
      <c r="R207" s="33"/>
      <c r="S207" s="33"/>
      <c r="T207" s="33"/>
    </row>
    <row r="208" spans="1:20" ht="15.6">
      <c r="A208" s="13">
        <v>48396</v>
      </c>
      <c r="B208" s="41">
        <v>31</v>
      </c>
      <c r="C208" s="32">
        <v>194.20500000000001</v>
      </c>
      <c r="D208" s="32">
        <v>267.46600000000001</v>
      </c>
      <c r="E208" s="38">
        <v>812.32899999999995</v>
      </c>
      <c r="F208" s="32">
        <v>1274</v>
      </c>
      <c r="G208" s="32">
        <v>50</v>
      </c>
      <c r="H208" s="40">
        <v>600</v>
      </c>
      <c r="I208" s="32">
        <v>695</v>
      </c>
      <c r="J208" s="32">
        <v>0</v>
      </c>
      <c r="K208" s="33"/>
      <c r="L208" s="33"/>
      <c r="M208" s="33"/>
      <c r="N208" s="33"/>
      <c r="O208" s="33"/>
      <c r="P208" s="33"/>
      <c r="Q208" s="33"/>
      <c r="R208" s="33"/>
      <c r="S208" s="33"/>
      <c r="T208" s="33"/>
    </row>
    <row r="209" spans="1:20" ht="15.6">
      <c r="A209" s="13">
        <v>48427</v>
      </c>
      <c r="B209" s="41">
        <v>31</v>
      </c>
      <c r="C209" s="32">
        <v>194.20500000000001</v>
      </c>
      <c r="D209" s="32">
        <v>267.46600000000001</v>
      </c>
      <c r="E209" s="38">
        <v>812.32899999999995</v>
      </c>
      <c r="F209" s="32">
        <v>1274</v>
      </c>
      <c r="G209" s="32">
        <v>50</v>
      </c>
      <c r="H209" s="40">
        <v>600</v>
      </c>
      <c r="I209" s="32">
        <v>695</v>
      </c>
      <c r="J209" s="32">
        <v>0</v>
      </c>
      <c r="K209" s="33"/>
      <c r="L209" s="33"/>
      <c r="M209" s="33"/>
      <c r="N209" s="33"/>
      <c r="O209" s="33"/>
      <c r="P209" s="33"/>
      <c r="Q209" s="33"/>
      <c r="R209" s="33"/>
      <c r="S209" s="33"/>
      <c r="T209" s="33"/>
    </row>
    <row r="210" spans="1:20" ht="15.6">
      <c r="A210" s="13">
        <v>48458</v>
      </c>
      <c r="B210" s="41">
        <v>30</v>
      </c>
      <c r="C210" s="32">
        <v>194.20500000000001</v>
      </c>
      <c r="D210" s="32">
        <v>267.46600000000001</v>
      </c>
      <c r="E210" s="38">
        <v>812.32899999999995</v>
      </c>
      <c r="F210" s="32">
        <v>1274</v>
      </c>
      <c r="G210" s="32">
        <v>50</v>
      </c>
      <c r="H210" s="40">
        <v>600</v>
      </c>
      <c r="I210" s="32">
        <v>695</v>
      </c>
      <c r="J210" s="32">
        <v>0</v>
      </c>
      <c r="K210" s="33"/>
      <c r="L210" s="33"/>
      <c r="M210" s="33"/>
      <c r="N210" s="33"/>
      <c r="O210" s="33"/>
      <c r="P210" s="33"/>
      <c r="Q210" s="33"/>
      <c r="R210" s="33"/>
      <c r="S210" s="33"/>
      <c r="T210" s="33"/>
    </row>
    <row r="211" spans="1:20" ht="15.6">
      <c r="A211" s="13">
        <v>48488</v>
      </c>
      <c r="B211" s="41">
        <v>31</v>
      </c>
      <c r="C211" s="32">
        <v>131.881</v>
      </c>
      <c r="D211" s="32">
        <v>277.16699999999997</v>
      </c>
      <c r="E211" s="38">
        <v>829.952</v>
      </c>
      <c r="F211" s="32">
        <v>1239</v>
      </c>
      <c r="G211" s="32">
        <v>75</v>
      </c>
      <c r="H211" s="40">
        <v>600</v>
      </c>
      <c r="I211" s="32">
        <v>695</v>
      </c>
      <c r="J211" s="32">
        <v>0</v>
      </c>
      <c r="K211" s="33"/>
      <c r="L211" s="33"/>
      <c r="M211" s="33"/>
      <c r="N211" s="33"/>
      <c r="O211" s="33"/>
      <c r="P211" s="33"/>
      <c r="Q211" s="33"/>
      <c r="R211" s="33"/>
      <c r="S211" s="33"/>
      <c r="T211" s="33"/>
    </row>
    <row r="212" spans="1:20" ht="15.6">
      <c r="A212" s="13">
        <v>48519</v>
      </c>
      <c r="B212" s="41">
        <v>30</v>
      </c>
      <c r="C212" s="32">
        <v>122.58</v>
      </c>
      <c r="D212" s="32">
        <v>297.94099999999997</v>
      </c>
      <c r="E212" s="38">
        <v>729.47900000000004</v>
      </c>
      <c r="F212" s="32">
        <v>1150</v>
      </c>
      <c r="G212" s="32">
        <v>100</v>
      </c>
      <c r="H212" s="40">
        <v>600</v>
      </c>
      <c r="I212" s="32">
        <v>695</v>
      </c>
      <c r="J212" s="32">
        <v>50</v>
      </c>
      <c r="K212" s="33"/>
      <c r="L212" s="33"/>
      <c r="M212" s="33"/>
      <c r="N212" s="33"/>
      <c r="O212" s="33"/>
      <c r="P212" s="33"/>
      <c r="Q212" s="33"/>
      <c r="R212" s="33"/>
      <c r="S212" s="33"/>
      <c r="T212" s="33"/>
    </row>
    <row r="213" spans="1:20" ht="15.6">
      <c r="A213" s="13">
        <v>48549</v>
      </c>
      <c r="B213" s="41">
        <v>31</v>
      </c>
      <c r="C213" s="32">
        <v>122.58</v>
      </c>
      <c r="D213" s="32">
        <v>297.94099999999997</v>
      </c>
      <c r="E213" s="38">
        <v>729.47900000000004</v>
      </c>
      <c r="F213" s="32">
        <v>1150</v>
      </c>
      <c r="G213" s="32">
        <v>100</v>
      </c>
      <c r="H213" s="40">
        <v>600</v>
      </c>
      <c r="I213" s="32">
        <v>695</v>
      </c>
      <c r="J213" s="32">
        <v>50</v>
      </c>
      <c r="K213" s="33"/>
      <c r="L213" s="33"/>
      <c r="M213" s="33"/>
      <c r="N213" s="33"/>
      <c r="O213" s="33"/>
      <c r="P213" s="33"/>
      <c r="Q213" s="33"/>
      <c r="R213" s="33"/>
      <c r="S213" s="33"/>
      <c r="T213" s="33"/>
    </row>
    <row r="214" spans="1:20" ht="15.6">
      <c r="A214" s="13">
        <v>48580</v>
      </c>
      <c r="B214" s="41">
        <v>31</v>
      </c>
      <c r="C214" s="32">
        <v>122.58</v>
      </c>
      <c r="D214" s="32">
        <v>297.94099999999997</v>
      </c>
      <c r="E214" s="38">
        <v>729.47900000000004</v>
      </c>
      <c r="F214" s="32">
        <v>1150</v>
      </c>
      <c r="G214" s="32">
        <v>100</v>
      </c>
      <c r="H214" s="40">
        <v>600</v>
      </c>
      <c r="I214" s="32">
        <v>695</v>
      </c>
      <c r="J214" s="32">
        <v>50</v>
      </c>
      <c r="K214" s="33"/>
      <c r="L214" s="33"/>
      <c r="M214" s="33"/>
      <c r="N214" s="33"/>
      <c r="O214" s="33"/>
      <c r="P214" s="33"/>
      <c r="Q214" s="33"/>
      <c r="R214" s="33"/>
      <c r="S214" s="33"/>
      <c r="T214" s="33"/>
    </row>
    <row r="215" spans="1:20" ht="15.6">
      <c r="A215" s="13">
        <v>48611</v>
      </c>
      <c r="B215" s="41">
        <v>28</v>
      </c>
      <c r="C215" s="32">
        <v>122.58</v>
      </c>
      <c r="D215" s="32">
        <v>297.94099999999997</v>
      </c>
      <c r="E215" s="38">
        <v>729.47900000000004</v>
      </c>
      <c r="F215" s="32">
        <v>1150</v>
      </c>
      <c r="G215" s="32">
        <v>100</v>
      </c>
      <c r="H215" s="40">
        <v>600</v>
      </c>
      <c r="I215" s="32">
        <v>695</v>
      </c>
      <c r="J215" s="32">
        <v>50</v>
      </c>
      <c r="K215" s="33"/>
      <c r="L215" s="33"/>
      <c r="M215" s="33"/>
      <c r="N215" s="33"/>
      <c r="O215" s="33"/>
      <c r="P215" s="33"/>
      <c r="Q215" s="33"/>
      <c r="R215" s="33"/>
      <c r="S215" s="33"/>
      <c r="T215" s="33"/>
    </row>
    <row r="216" spans="1:20" ht="15.6">
      <c r="A216" s="13">
        <v>48639</v>
      </c>
      <c r="B216" s="41">
        <v>31</v>
      </c>
      <c r="C216" s="32">
        <v>122.58</v>
      </c>
      <c r="D216" s="32">
        <v>297.94099999999997</v>
      </c>
      <c r="E216" s="38">
        <v>729.47900000000004</v>
      </c>
      <c r="F216" s="32">
        <v>1150</v>
      </c>
      <c r="G216" s="32">
        <v>100</v>
      </c>
      <c r="H216" s="40">
        <v>600</v>
      </c>
      <c r="I216" s="32">
        <v>695</v>
      </c>
      <c r="J216" s="32">
        <v>50</v>
      </c>
      <c r="K216" s="33"/>
      <c r="L216" s="33"/>
      <c r="M216" s="33"/>
      <c r="N216" s="33"/>
      <c r="O216" s="33"/>
      <c r="P216" s="33"/>
      <c r="Q216" s="33"/>
      <c r="R216" s="33"/>
      <c r="S216" s="33"/>
      <c r="T216" s="33"/>
    </row>
    <row r="217" spans="1:20" ht="15.6">
      <c r="A217" s="13">
        <v>48670</v>
      </c>
      <c r="B217" s="41">
        <v>30</v>
      </c>
      <c r="C217" s="32">
        <v>141.29300000000001</v>
      </c>
      <c r="D217" s="32">
        <v>267.99299999999999</v>
      </c>
      <c r="E217" s="38">
        <v>829.71400000000006</v>
      </c>
      <c r="F217" s="32">
        <v>1239</v>
      </c>
      <c r="G217" s="32">
        <v>100</v>
      </c>
      <c r="H217" s="40">
        <v>600</v>
      </c>
      <c r="I217" s="32">
        <v>695</v>
      </c>
      <c r="J217" s="32">
        <v>50</v>
      </c>
      <c r="K217" s="33"/>
      <c r="L217" s="33"/>
      <c r="M217" s="33"/>
      <c r="N217" s="33"/>
      <c r="O217" s="33"/>
      <c r="P217" s="33"/>
      <c r="Q217" s="33"/>
      <c r="R217" s="33"/>
      <c r="S217" s="33"/>
      <c r="T217" s="33"/>
    </row>
    <row r="218" spans="1:20" ht="15.6">
      <c r="A218" s="13">
        <v>48700</v>
      </c>
      <c r="B218" s="41">
        <v>31</v>
      </c>
      <c r="C218" s="32">
        <v>194.20500000000001</v>
      </c>
      <c r="D218" s="32">
        <v>267.46600000000001</v>
      </c>
      <c r="E218" s="38">
        <v>812.32899999999995</v>
      </c>
      <c r="F218" s="32">
        <v>1274</v>
      </c>
      <c r="G218" s="32">
        <v>75</v>
      </c>
      <c r="H218" s="40">
        <v>600</v>
      </c>
      <c r="I218" s="32">
        <v>695</v>
      </c>
      <c r="J218" s="32">
        <v>50</v>
      </c>
      <c r="K218" s="33"/>
      <c r="L218" s="33"/>
      <c r="M218" s="33"/>
      <c r="N218" s="33"/>
      <c r="O218" s="33"/>
      <c r="P218" s="33"/>
      <c r="Q218" s="33"/>
      <c r="R218" s="33"/>
      <c r="S218" s="33"/>
      <c r="T218" s="33"/>
    </row>
    <row r="219" spans="1:20" ht="15.6">
      <c r="A219" s="13">
        <v>48731</v>
      </c>
      <c r="B219" s="41">
        <v>30</v>
      </c>
      <c r="C219" s="32">
        <v>194.20500000000001</v>
      </c>
      <c r="D219" s="32">
        <v>267.46600000000001</v>
      </c>
      <c r="E219" s="38">
        <v>812.32899999999995</v>
      </c>
      <c r="F219" s="32">
        <v>1274</v>
      </c>
      <c r="G219" s="32">
        <v>50</v>
      </c>
      <c r="H219" s="40">
        <v>600</v>
      </c>
      <c r="I219" s="32">
        <v>695</v>
      </c>
      <c r="J219" s="32">
        <v>50</v>
      </c>
      <c r="K219" s="33"/>
      <c r="L219" s="33"/>
      <c r="M219" s="33"/>
      <c r="N219" s="33"/>
      <c r="O219" s="33"/>
      <c r="P219" s="33"/>
      <c r="Q219" s="33"/>
      <c r="R219" s="33"/>
      <c r="S219" s="33"/>
      <c r="T219" s="33"/>
    </row>
    <row r="220" spans="1:20" ht="15.6">
      <c r="A220" s="13">
        <v>48761</v>
      </c>
      <c r="B220" s="41">
        <v>31</v>
      </c>
      <c r="C220" s="32">
        <v>194.20500000000001</v>
      </c>
      <c r="D220" s="32">
        <v>267.46600000000001</v>
      </c>
      <c r="E220" s="38">
        <v>812.32899999999995</v>
      </c>
      <c r="F220" s="32">
        <v>1274</v>
      </c>
      <c r="G220" s="32">
        <v>50</v>
      </c>
      <c r="H220" s="40">
        <v>600</v>
      </c>
      <c r="I220" s="32">
        <v>695</v>
      </c>
      <c r="J220" s="32">
        <v>0</v>
      </c>
      <c r="K220" s="33"/>
      <c r="L220" s="33"/>
      <c r="M220" s="33"/>
      <c r="N220" s="33"/>
      <c r="O220" s="33"/>
      <c r="P220" s="33"/>
      <c r="Q220" s="33"/>
      <c r="R220" s="33"/>
      <c r="S220" s="33"/>
      <c r="T220" s="33"/>
    </row>
    <row r="221" spans="1:20" ht="15.6">
      <c r="A221" s="13">
        <v>48792</v>
      </c>
      <c r="B221" s="41">
        <v>31</v>
      </c>
      <c r="C221" s="32">
        <v>194.20500000000001</v>
      </c>
      <c r="D221" s="32">
        <v>267.46600000000001</v>
      </c>
      <c r="E221" s="38">
        <v>812.32899999999995</v>
      </c>
      <c r="F221" s="32">
        <v>1274</v>
      </c>
      <c r="G221" s="32">
        <v>50</v>
      </c>
      <c r="H221" s="40">
        <v>600</v>
      </c>
      <c r="I221" s="32">
        <v>695</v>
      </c>
      <c r="J221" s="32">
        <v>0</v>
      </c>
      <c r="K221" s="33"/>
      <c r="L221" s="33"/>
      <c r="M221" s="33"/>
      <c r="N221" s="33"/>
      <c r="O221" s="33"/>
      <c r="P221" s="33"/>
      <c r="Q221" s="33"/>
      <c r="R221" s="33"/>
      <c r="S221" s="33"/>
      <c r="T221" s="33"/>
    </row>
    <row r="222" spans="1:20" ht="15.6">
      <c r="A222" s="13">
        <v>48823</v>
      </c>
      <c r="B222" s="41">
        <v>30</v>
      </c>
      <c r="C222" s="32">
        <v>194.20500000000001</v>
      </c>
      <c r="D222" s="32">
        <v>267.46600000000001</v>
      </c>
      <c r="E222" s="38">
        <v>812.32899999999995</v>
      </c>
      <c r="F222" s="32">
        <v>1274</v>
      </c>
      <c r="G222" s="32">
        <v>50</v>
      </c>
      <c r="H222" s="40">
        <v>600</v>
      </c>
      <c r="I222" s="32">
        <v>695</v>
      </c>
      <c r="J222" s="32">
        <v>0</v>
      </c>
      <c r="K222" s="33"/>
      <c r="L222" s="33"/>
      <c r="M222" s="33"/>
      <c r="N222" s="33"/>
      <c r="O222" s="33"/>
      <c r="P222" s="33"/>
      <c r="Q222" s="33"/>
      <c r="R222" s="33"/>
      <c r="S222" s="33"/>
      <c r="T222" s="33"/>
    </row>
    <row r="223" spans="1:20" ht="15.6">
      <c r="A223" s="13">
        <v>48853</v>
      </c>
      <c r="B223" s="41">
        <v>31</v>
      </c>
      <c r="C223" s="32">
        <v>131.881</v>
      </c>
      <c r="D223" s="32">
        <v>277.16699999999997</v>
      </c>
      <c r="E223" s="38">
        <v>829.952</v>
      </c>
      <c r="F223" s="32">
        <v>1239</v>
      </c>
      <c r="G223" s="32">
        <v>75</v>
      </c>
      <c r="H223" s="40">
        <v>600</v>
      </c>
      <c r="I223" s="32">
        <v>695</v>
      </c>
      <c r="J223" s="32">
        <v>0</v>
      </c>
      <c r="K223" s="33"/>
      <c r="L223" s="33"/>
      <c r="M223" s="33"/>
      <c r="N223" s="33"/>
      <c r="O223" s="33"/>
      <c r="P223" s="33"/>
      <c r="Q223" s="33"/>
      <c r="R223" s="33"/>
      <c r="S223" s="33"/>
      <c r="T223" s="33"/>
    </row>
    <row r="224" spans="1:20" ht="15.6">
      <c r="A224" s="13">
        <v>48884</v>
      </c>
      <c r="B224" s="41">
        <v>30</v>
      </c>
      <c r="C224" s="32">
        <v>122.58</v>
      </c>
      <c r="D224" s="32">
        <v>297.94099999999997</v>
      </c>
      <c r="E224" s="38">
        <v>729.47900000000004</v>
      </c>
      <c r="F224" s="32">
        <v>1150</v>
      </c>
      <c r="G224" s="32">
        <v>100</v>
      </c>
      <c r="H224" s="40">
        <v>600</v>
      </c>
      <c r="I224" s="32">
        <v>695</v>
      </c>
      <c r="J224" s="32">
        <v>50</v>
      </c>
      <c r="K224" s="33"/>
      <c r="L224" s="33"/>
      <c r="M224" s="33"/>
      <c r="N224" s="33"/>
      <c r="O224" s="33"/>
      <c r="P224" s="33"/>
      <c r="Q224" s="33"/>
      <c r="R224" s="33"/>
      <c r="S224" s="33"/>
      <c r="T224" s="33"/>
    </row>
    <row r="225" spans="1:20" ht="15.6">
      <c r="A225" s="13">
        <v>48914</v>
      </c>
      <c r="B225" s="41">
        <v>31</v>
      </c>
      <c r="C225" s="32">
        <v>122.58</v>
      </c>
      <c r="D225" s="32">
        <v>297.94099999999997</v>
      </c>
      <c r="E225" s="38">
        <v>729.47900000000004</v>
      </c>
      <c r="F225" s="32">
        <v>1150</v>
      </c>
      <c r="G225" s="32">
        <v>100</v>
      </c>
      <c r="H225" s="40">
        <v>600</v>
      </c>
      <c r="I225" s="32">
        <v>695</v>
      </c>
      <c r="J225" s="32">
        <v>50</v>
      </c>
      <c r="K225" s="33"/>
      <c r="L225" s="33"/>
      <c r="M225" s="33"/>
      <c r="N225" s="33"/>
      <c r="O225" s="33"/>
      <c r="P225" s="33"/>
      <c r="Q225" s="33"/>
      <c r="R225" s="33"/>
      <c r="S225" s="33"/>
      <c r="T225" s="33"/>
    </row>
    <row r="226" spans="1:20" ht="15.6">
      <c r="A226" s="13">
        <v>48945</v>
      </c>
      <c r="B226" s="41">
        <v>31</v>
      </c>
      <c r="C226" s="32">
        <v>122.58</v>
      </c>
      <c r="D226" s="32">
        <v>297.94099999999997</v>
      </c>
      <c r="E226" s="38">
        <v>729.47900000000004</v>
      </c>
      <c r="F226" s="32">
        <v>1150</v>
      </c>
      <c r="G226" s="32">
        <v>100</v>
      </c>
      <c r="H226" s="40">
        <v>600</v>
      </c>
      <c r="I226" s="32">
        <v>695</v>
      </c>
      <c r="J226" s="32">
        <v>50</v>
      </c>
      <c r="K226" s="33"/>
      <c r="L226" s="33"/>
      <c r="M226" s="33"/>
      <c r="N226" s="33"/>
      <c r="O226" s="33"/>
      <c r="P226" s="33"/>
      <c r="Q226" s="33"/>
      <c r="R226" s="33"/>
      <c r="S226" s="33"/>
      <c r="T226" s="33"/>
    </row>
    <row r="227" spans="1:20" ht="15.6">
      <c r="A227" s="13">
        <v>48976</v>
      </c>
      <c r="B227" s="41">
        <v>28</v>
      </c>
      <c r="C227" s="32">
        <v>122.58</v>
      </c>
      <c r="D227" s="32">
        <v>297.94099999999997</v>
      </c>
      <c r="E227" s="38">
        <v>729.47900000000004</v>
      </c>
      <c r="F227" s="32">
        <v>1150</v>
      </c>
      <c r="G227" s="32">
        <v>100</v>
      </c>
      <c r="H227" s="40">
        <v>600</v>
      </c>
      <c r="I227" s="32">
        <v>695</v>
      </c>
      <c r="J227" s="32">
        <v>50</v>
      </c>
      <c r="K227" s="33"/>
      <c r="L227" s="33"/>
      <c r="M227" s="33"/>
      <c r="N227" s="33"/>
      <c r="O227" s="33"/>
      <c r="P227" s="33"/>
      <c r="Q227" s="33"/>
      <c r="R227" s="33"/>
      <c r="S227" s="33"/>
      <c r="T227" s="33"/>
    </row>
    <row r="228" spans="1:20" ht="15.6">
      <c r="A228" s="13">
        <v>49004</v>
      </c>
      <c r="B228" s="41">
        <v>31</v>
      </c>
      <c r="C228" s="32">
        <v>122.58</v>
      </c>
      <c r="D228" s="32">
        <v>297.94099999999997</v>
      </c>
      <c r="E228" s="38">
        <v>729.47900000000004</v>
      </c>
      <c r="F228" s="32">
        <v>1150</v>
      </c>
      <c r="G228" s="32">
        <v>100</v>
      </c>
      <c r="H228" s="40">
        <v>600</v>
      </c>
      <c r="I228" s="32">
        <v>695</v>
      </c>
      <c r="J228" s="32">
        <v>50</v>
      </c>
      <c r="K228" s="33"/>
      <c r="L228" s="33"/>
      <c r="M228" s="33"/>
      <c r="N228" s="33"/>
      <c r="O228" s="33"/>
      <c r="P228" s="33"/>
      <c r="Q228" s="33"/>
      <c r="R228" s="33"/>
      <c r="S228" s="33"/>
      <c r="T228" s="33"/>
    </row>
    <row r="229" spans="1:20" ht="15.6">
      <c r="A229" s="13">
        <v>49035</v>
      </c>
      <c r="B229" s="41">
        <v>30</v>
      </c>
      <c r="C229" s="32">
        <v>141.29300000000001</v>
      </c>
      <c r="D229" s="32">
        <v>267.99299999999999</v>
      </c>
      <c r="E229" s="38">
        <v>829.71400000000006</v>
      </c>
      <c r="F229" s="32">
        <v>1239</v>
      </c>
      <c r="G229" s="32">
        <v>100</v>
      </c>
      <c r="H229" s="40">
        <v>600</v>
      </c>
      <c r="I229" s="32">
        <v>695</v>
      </c>
      <c r="J229" s="32">
        <v>50</v>
      </c>
      <c r="K229" s="33"/>
      <c r="L229" s="33"/>
      <c r="M229" s="33"/>
      <c r="N229" s="33"/>
      <c r="O229" s="33"/>
      <c r="P229" s="33"/>
      <c r="Q229" s="33"/>
      <c r="R229" s="33"/>
      <c r="S229" s="33"/>
      <c r="T229" s="33"/>
    </row>
    <row r="230" spans="1:20" ht="15.6">
      <c r="A230" s="13">
        <v>49065</v>
      </c>
      <c r="B230" s="41">
        <v>31</v>
      </c>
      <c r="C230" s="32">
        <v>194.20500000000001</v>
      </c>
      <c r="D230" s="32">
        <v>267.46600000000001</v>
      </c>
      <c r="E230" s="38">
        <v>812.32899999999995</v>
      </c>
      <c r="F230" s="32">
        <v>1274</v>
      </c>
      <c r="G230" s="32">
        <v>75</v>
      </c>
      <c r="H230" s="40">
        <v>600</v>
      </c>
      <c r="I230" s="32">
        <v>695</v>
      </c>
      <c r="J230" s="32">
        <v>50</v>
      </c>
      <c r="K230" s="33"/>
      <c r="L230" s="33"/>
      <c r="M230" s="33"/>
      <c r="N230" s="33"/>
      <c r="O230" s="33"/>
      <c r="P230" s="33"/>
      <c r="Q230" s="33"/>
      <c r="R230" s="33"/>
      <c r="S230" s="33"/>
      <c r="T230" s="33"/>
    </row>
    <row r="231" spans="1:20" ht="15.6">
      <c r="A231" s="13">
        <v>49096</v>
      </c>
      <c r="B231" s="41">
        <v>30</v>
      </c>
      <c r="C231" s="32">
        <v>194.20500000000001</v>
      </c>
      <c r="D231" s="32">
        <v>267.46600000000001</v>
      </c>
      <c r="E231" s="38">
        <v>812.32899999999995</v>
      </c>
      <c r="F231" s="32">
        <v>1274</v>
      </c>
      <c r="G231" s="32">
        <v>50</v>
      </c>
      <c r="H231" s="40">
        <v>600</v>
      </c>
      <c r="I231" s="32">
        <v>695</v>
      </c>
      <c r="J231" s="32">
        <v>50</v>
      </c>
      <c r="K231" s="33"/>
      <c r="L231" s="33"/>
      <c r="M231" s="33"/>
      <c r="N231" s="33"/>
      <c r="O231" s="33"/>
      <c r="P231" s="33"/>
      <c r="Q231" s="33"/>
      <c r="R231" s="33"/>
      <c r="S231" s="33"/>
      <c r="T231" s="33"/>
    </row>
    <row r="232" spans="1:20" ht="15.6">
      <c r="A232" s="13">
        <v>49126</v>
      </c>
      <c r="B232" s="41">
        <v>31</v>
      </c>
      <c r="C232" s="32">
        <v>194.20500000000001</v>
      </c>
      <c r="D232" s="32">
        <v>267.46600000000001</v>
      </c>
      <c r="E232" s="38">
        <v>812.32899999999995</v>
      </c>
      <c r="F232" s="32">
        <v>1274</v>
      </c>
      <c r="G232" s="32">
        <v>50</v>
      </c>
      <c r="H232" s="40">
        <v>600</v>
      </c>
      <c r="I232" s="32">
        <v>695</v>
      </c>
      <c r="J232" s="32">
        <v>0</v>
      </c>
      <c r="K232" s="33"/>
      <c r="L232" s="33"/>
      <c r="M232" s="33"/>
      <c r="N232" s="33"/>
      <c r="O232" s="33"/>
      <c r="P232" s="33"/>
      <c r="Q232" s="33"/>
      <c r="R232" s="33"/>
      <c r="S232" s="33"/>
      <c r="T232" s="33"/>
    </row>
    <row r="233" spans="1:20" ht="15.6">
      <c r="A233" s="13">
        <v>49157</v>
      </c>
      <c r="B233" s="41">
        <v>31</v>
      </c>
      <c r="C233" s="32">
        <v>194.20500000000001</v>
      </c>
      <c r="D233" s="32">
        <v>267.46600000000001</v>
      </c>
      <c r="E233" s="38">
        <v>812.32899999999995</v>
      </c>
      <c r="F233" s="32">
        <v>1274</v>
      </c>
      <c r="G233" s="32">
        <v>50</v>
      </c>
      <c r="H233" s="40">
        <v>600</v>
      </c>
      <c r="I233" s="32">
        <v>695</v>
      </c>
      <c r="J233" s="32">
        <v>0</v>
      </c>
      <c r="K233" s="33"/>
      <c r="L233" s="33"/>
      <c r="M233" s="33"/>
      <c r="N233" s="33"/>
      <c r="O233" s="33"/>
      <c r="P233" s="33"/>
      <c r="Q233" s="33"/>
      <c r="R233" s="33"/>
      <c r="S233" s="33"/>
      <c r="T233" s="33"/>
    </row>
    <row r="234" spans="1:20" ht="15.6">
      <c r="A234" s="13">
        <v>49188</v>
      </c>
      <c r="B234" s="41">
        <v>30</v>
      </c>
      <c r="C234" s="32">
        <v>194.20500000000001</v>
      </c>
      <c r="D234" s="32">
        <v>267.46600000000001</v>
      </c>
      <c r="E234" s="38">
        <v>812.32899999999995</v>
      </c>
      <c r="F234" s="32">
        <v>1274</v>
      </c>
      <c r="G234" s="32">
        <v>50</v>
      </c>
      <c r="H234" s="40">
        <v>600</v>
      </c>
      <c r="I234" s="32">
        <v>695</v>
      </c>
      <c r="J234" s="32">
        <v>0</v>
      </c>
      <c r="K234" s="33"/>
      <c r="L234" s="33"/>
      <c r="M234" s="33"/>
      <c r="N234" s="33"/>
      <c r="O234" s="33"/>
      <c r="P234" s="33"/>
      <c r="Q234" s="33"/>
      <c r="R234" s="33"/>
      <c r="S234" s="33"/>
      <c r="T234" s="33"/>
    </row>
    <row r="235" spans="1:20" ht="15.6">
      <c r="A235" s="13">
        <v>49218</v>
      </c>
      <c r="B235" s="41">
        <v>31</v>
      </c>
      <c r="C235" s="32">
        <v>131.881</v>
      </c>
      <c r="D235" s="32">
        <v>277.16699999999997</v>
      </c>
      <c r="E235" s="38">
        <v>829.952</v>
      </c>
      <c r="F235" s="32">
        <v>1239</v>
      </c>
      <c r="G235" s="32">
        <v>75</v>
      </c>
      <c r="H235" s="40">
        <v>600</v>
      </c>
      <c r="I235" s="32">
        <v>695</v>
      </c>
      <c r="J235" s="32">
        <v>0</v>
      </c>
      <c r="K235" s="33"/>
      <c r="L235" s="33"/>
      <c r="M235" s="33"/>
      <c r="N235" s="33"/>
      <c r="O235" s="33"/>
      <c r="P235" s="33"/>
      <c r="Q235" s="33"/>
      <c r="R235" s="33"/>
      <c r="S235" s="33"/>
      <c r="T235" s="33"/>
    </row>
    <row r="236" spans="1:20" ht="15.6">
      <c r="A236" s="13">
        <v>49249</v>
      </c>
      <c r="B236" s="41">
        <v>30</v>
      </c>
      <c r="C236" s="32">
        <v>122.58</v>
      </c>
      <c r="D236" s="32">
        <v>297.94099999999997</v>
      </c>
      <c r="E236" s="38">
        <v>729.47900000000004</v>
      </c>
      <c r="F236" s="32">
        <v>1150</v>
      </c>
      <c r="G236" s="32">
        <v>100</v>
      </c>
      <c r="H236" s="40">
        <v>600</v>
      </c>
      <c r="I236" s="32">
        <v>695</v>
      </c>
      <c r="J236" s="32">
        <v>50</v>
      </c>
      <c r="K236" s="33"/>
      <c r="L236" s="33"/>
      <c r="M236" s="33"/>
      <c r="N236" s="33"/>
      <c r="O236" s="33"/>
      <c r="P236" s="33"/>
      <c r="Q236" s="33"/>
      <c r="R236" s="33"/>
      <c r="S236" s="33"/>
      <c r="T236" s="33"/>
    </row>
    <row r="237" spans="1:20" ht="15.6">
      <c r="A237" s="13">
        <v>49279</v>
      </c>
      <c r="B237" s="41">
        <v>31</v>
      </c>
      <c r="C237" s="32">
        <v>122.58</v>
      </c>
      <c r="D237" s="32">
        <v>297.94099999999997</v>
      </c>
      <c r="E237" s="38">
        <v>729.47900000000004</v>
      </c>
      <c r="F237" s="32">
        <v>1150</v>
      </c>
      <c r="G237" s="32">
        <v>100</v>
      </c>
      <c r="H237" s="40">
        <v>600</v>
      </c>
      <c r="I237" s="32">
        <v>695</v>
      </c>
      <c r="J237" s="32">
        <v>50</v>
      </c>
      <c r="K237" s="33"/>
      <c r="L237" s="33"/>
      <c r="M237" s="33"/>
      <c r="N237" s="33"/>
      <c r="O237" s="33"/>
      <c r="P237" s="33"/>
      <c r="Q237" s="33"/>
      <c r="R237" s="33"/>
      <c r="S237" s="33"/>
      <c r="T237" s="33"/>
    </row>
    <row r="238" spans="1:20" ht="15.6">
      <c r="A238" s="13">
        <v>49310</v>
      </c>
      <c r="B238" s="41">
        <v>31</v>
      </c>
      <c r="C238" s="32">
        <v>122.58</v>
      </c>
      <c r="D238" s="32">
        <v>297.94099999999997</v>
      </c>
      <c r="E238" s="38">
        <v>729.47900000000004</v>
      </c>
      <c r="F238" s="32">
        <v>1150</v>
      </c>
      <c r="G238" s="32">
        <v>100</v>
      </c>
      <c r="H238" s="40">
        <v>600</v>
      </c>
      <c r="I238" s="32">
        <v>695</v>
      </c>
      <c r="J238" s="32">
        <v>50</v>
      </c>
      <c r="K238" s="33"/>
      <c r="L238" s="33"/>
      <c r="M238" s="33"/>
      <c r="N238" s="33"/>
      <c r="O238" s="33"/>
      <c r="P238" s="33"/>
      <c r="Q238" s="33"/>
      <c r="R238" s="33"/>
      <c r="S238" s="33"/>
      <c r="T238" s="33"/>
    </row>
    <row r="239" spans="1:20" ht="15.6">
      <c r="A239" s="13">
        <v>49341</v>
      </c>
      <c r="B239" s="41">
        <v>28</v>
      </c>
      <c r="C239" s="32">
        <v>122.58</v>
      </c>
      <c r="D239" s="32">
        <v>297.94099999999997</v>
      </c>
      <c r="E239" s="38">
        <v>729.47900000000004</v>
      </c>
      <c r="F239" s="32">
        <v>1150</v>
      </c>
      <c r="G239" s="32">
        <v>100</v>
      </c>
      <c r="H239" s="40">
        <v>600</v>
      </c>
      <c r="I239" s="32">
        <v>695</v>
      </c>
      <c r="J239" s="32">
        <v>50</v>
      </c>
      <c r="K239" s="33"/>
      <c r="L239" s="33"/>
      <c r="M239" s="33"/>
      <c r="N239" s="33"/>
      <c r="O239" s="33"/>
      <c r="P239" s="33"/>
      <c r="Q239" s="33"/>
      <c r="R239" s="33"/>
      <c r="S239" s="33"/>
      <c r="T239" s="33"/>
    </row>
    <row r="240" spans="1:20" ht="15.6">
      <c r="A240" s="13">
        <v>49369</v>
      </c>
      <c r="B240" s="41">
        <v>31</v>
      </c>
      <c r="C240" s="32">
        <v>122.58</v>
      </c>
      <c r="D240" s="32">
        <v>297.94099999999997</v>
      </c>
      <c r="E240" s="38">
        <v>729.47900000000004</v>
      </c>
      <c r="F240" s="32">
        <v>1150</v>
      </c>
      <c r="G240" s="32">
        <v>100</v>
      </c>
      <c r="H240" s="40">
        <v>600</v>
      </c>
      <c r="I240" s="32">
        <v>695</v>
      </c>
      <c r="J240" s="32">
        <v>50</v>
      </c>
      <c r="K240" s="33"/>
      <c r="L240" s="33"/>
      <c r="M240" s="33"/>
      <c r="N240" s="33"/>
      <c r="O240" s="33"/>
      <c r="P240" s="33"/>
      <c r="Q240" s="33"/>
      <c r="R240" s="33"/>
      <c r="S240" s="33"/>
      <c r="T240" s="33"/>
    </row>
    <row r="241" spans="1:20" ht="15.6">
      <c r="A241" s="13">
        <v>49400</v>
      </c>
      <c r="B241" s="41">
        <v>30</v>
      </c>
      <c r="C241" s="32">
        <v>141.29300000000001</v>
      </c>
      <c r="D241" s="32">
        <v>267.99299999999999</v>
      </c>
      <c r="E241" s="38">
        <v>829.71400000000006</v>
      </c>
      <c r="F241" s="32">
        <v>1239</v>
      </c>
      <c r="G241" s="32">
        <v>100</v>
      </c>
      <c r="H241" s="40">
        <v>600</v>
      </c>
      <c r="I241" s="32">
        <v>695</v>
      </c>
      <c r="J241" s="32">
        <v>50</v>
      </c>
      <c r="K241" s="33"/>
      <c r="L241" s="33"/>
      <c r="M241" s="33"/>
      <c r="N241" s="33"/>
      <c r="O241" s="33"/>
      <c r="P241" s="33"/>
      <c r="Q241" s="33"/>
      <c r="R241" s="33"/>
      <c r="S241" s="33"/>
      <c r="T241" s="33"/>
    </row>
    <row r="242" spans="1:20" ht="15.6">
      <c r="A242" s="13">
        <v>49430</v>
      </c>
      <c r="B242" s="41">
        <v>31</v>
      </c>
      <c r="C242" s="32">
        <v>194.20500000000001</v>
      </c>
      <c r="D242" s="32">
        <v>267.46600000000001</v>
      </c>
      <c r="E242" s="38">
        <v>812.32899999999995</v>
      </c>
      <c r="F242" s="32">
        <v>1274</v>
      </c>
      <c r="G242" s="32">
        <v>75</v>
      </c>
      <c r="H242" s="40">
        <v>600</v>
      </c>
      <c r="I242" s="32">
        <v>695</v>
      </c>
      <c r="J242" s="32">
        <v>50</v>
      </c>
      <c r="K242" s="33"/>
      <c r="L242" s="33"/>
      <c r="M242" s="33"/>
      <c r="N242" s="33"/>
      <c r="O242" s="33"/>
      <c r="P242" s="33"/>
      <c r="Q242" s="33"/>
      <c r="R242" s="33"/>
      <c r="S242" s="33"/>
      <c r="T242" s="33"/>
    </row>
    <row r="243" spans="1:20" ht="15.6">
      <c r="A243" s="14">
        <v>49461</v>
      </c>
      <c r="B243" s="41">
        <v>30</v>
      </c>
      <c r="C243" s="32">
        <v>194.20500000000001</v>
      </c>
      <c r="D243" s="32">
        <v>267.46600000000001</v>
      </c>
      <c r="E243" s="38">
        <v>812.32899999999995</v>
      </c>
      <c r="F243" s="32">
        <v>1274</v>
      </c>
      <c r="G243" s="32">
        <v>50</v>
      </c>
      <c r="H243" s="40">
        <v>600</v>
      </c>
      <c r="I243" s="32">
        <v>695</v>
      </c>
      <c r="J243" s="32">
        <v>50</v>
      </c>
      <c r="K243" s="33"/>
      <c r="L243" s="33"/>
      <c r="M243" s="33"/>
      <c r="N243" s="33"/>
      <c r="O243" s="33"/>
      <c r="P243" s="33"/>
      <c r="Q243" s="33"/>
      <c r="R243" s="33"/>
      <c r="S243" s="33"/>
      <c r="T243" s="33"/>
    </row>
    <row r="244" spans="1:20" ht="15.6">
      <c r="A244" s="14">
        <v>49491</v>
      </c>
      <c r="B244" s="41">
        <v>31</v>
      </c>
      <c r="C244" s="32">
        <v>194.20500000000001</v>
      </c>
      <c r="D244" s="32">
        <v>267.46600000000001</v>
      </c>
      <c r="E244" s="38">
        <v>812.32899999999995</v>
      </c>
      <c r="F244" s="32">
        <v>1274</v>
      </c>
      <c r="G244" s="32">
        <v>50</v>
      </c>
      <c r="H244" s="40">
        <v>600</v>
      </c>
      <c r="I244" s="32">
        <v>695</v>
      </c>
      <c r="J244" s="32">
        <v>0</v>
      </c>
      <c r="K244" s="33"/>
      <c r="L244" s="33"/>
      <c r="M244" s="33"/>
      <c r="N244" s="33"/>
      <c r="O244" s="33"/>
      <c r="P244" s="33"/>
      <c r="Q244" s="33"/>
      <c r="R244" s="33"/>
      <c r="S244" s="33"/>
      <c r="T244" s="33"/>
    </row>
    <row r="245" spans="1:20" ht="15.6">
      <c r="A245" s="14">
        <v>49522</v>
      </c>
      <c r="B245" s="41">
        <v>31</v>
      </c>
      <c r="C245" s="32">
        <v>194.20500000000001</v>
      </c>
      <c r="D245" s="32">
        <v>267.46600000000001</v>
      </c>
      <c r="E245" s="38">
        <v>812.32899999999995</v>
      </c>
      <c r="F245" s="32">
        <v>1274</v>
      </c>
      <c r="G245" s="32">
        <v>50</v>
      </c>
      <c r="H245" s="40">
        <v>600</v>
      </c>
      <c r="I245" s="32">
        <v>695</v>
      </c>
      <c r="J245" s="32">
        <v>0</v>
      </c>
      <c r="K245" s="33"/>
      <c r="L245" s="33"/>
      <c r="M245" s="33"/>
      <c r="N245" s="33"/>
      <c r="O245" s="33"/>
      <c r="P245" s="33"/>
      <c r="Q245" s="33"/>
      <c r="R245" s="33"/>
      <c r="S245" s="33"/>
      <c r="T245" s="33"/>
    </row>
    <row r="246" spans="1:20" ht="15.6">
      <c r="A246" s="14">
        <v>49553</v>
      </c>
      <c r="B246" s="41">
        <v>30</v>
      </c>
      <c r="C246" s="32">
        <v>194.20500000000001</v>
      </c>
      <c r="D246" s="32">
        <v>267.46600000000001</v>
      </c>
      <c r="E246" s="38">
        <v>812.32899999999995</v>
      </c>
      <c r="F246" s="32">
        <v>1274</v>
      </c>
      <c r="G246" s="32">
        <v>50</v>
      </c>
      <c r="H246" s="40">
        <v>600</v>
      </c>
      <c r="I246" s="32">
        <v>695</v>
      </c>
      <c r="J246" s="32">
        <v>0</v>
      </c>
      <c r="K246" s="33"/>
      <c r="L246" s="33"/>
      <c r="M246" s="33"/>
      <c r="N246" s="33"/>
      <c r="O246" s="33"/>
      <c r="P246" s="33"/>
      <c r="Q246" s="33"/>
      <c r="R246" s="33"/>
      <c r="S246" s="33"/>
      <c r="T246" s="33"/>
    </row>
    <row r="247" spans="1:20" ht="15.6">
      <c r="A247" s="14">
        <v>49583</v>
      </c>
      <c r="B247" s="41">
        <v>31</v>
      </c>
      <c r="C247" s="32">
        <v>131.881</v>
      </c>
      <c r="D247" s="32">
        <v>277.16699999999997</v>
      </c>
      <c r="E247" s="38">
        <v>829.952</v>
      </c>
      <c r="F247" s="32">
        <v>1239</v>
      </c>
      <c r="G247" s="32">
        <v>75</v>
      </c>
      <c r="H247" s="40">
        <v>600</v>
      </c>
      <c r="I247" s="32">
        <v>695</v>
      </c>
      <c r="J247" s="32">
        <v>0</v>
      </c>
      <c r="K247" s="33"/>
      <c r="L247" s="33"/>
      <c r="M247" s="33"/>
      <c r="N247" s="33"/>
      <c r="O247" s="33"/>
      <c r="P247" s="33"/>
      <c r="Q247" s="33"/>
      <c r="R247" s="33"/>
      <c r="S247" s="33"/>
      <c r="T247" s="33"/>
    </row>
    <row r="248" spans="1:20" ht="15.6">
      <c r="A248" s="14">
        <v>49614</v>
      </c>
      <c r="B248" s="41">
        <v>30</v>
      </c>
      <c r="C248" s="32">
        <v>122.58</v>
      </c>
      <c r="D248" s="32">
        <v>297.94099999999997</v>
      </c>
      <c r="E248" s="38">
        <v>729.47900000000004</v>
      </c>
      <c r="F248" s="32">
        <v>1150</v>
      </c>
      <c r="G248" s="32">
        <v>100</v>
      </c>
      <c r="H248" s="40">
        <v>600</v>
      </c>
      <c r="I248" s="32">
        <v>695</v>
      </c>
      <c r="J248" s="32">
        <v>50</v>
      </c>
      <c r="K248" s="33"/>
      <c r="L248" s="33"/>
      <c r="M248" s="33"/>
      <c r="N248" s="33"/>
      <c r="O248" s="33"/>
      <c r="P248" s="33"/>
      <c r="Q248" s="33"/>
      <c r="R248" s="33"/>
      <c r="S248" s="33"/>
      <c r="T248" s="33"/>
    </row>
    <row r="249" spans="1:20" ht="15.6">
      <c r="A249" s="14">
        <v>49644</v>
      </c>
      <c r="B249" s="41">
        <v>31</v>
      </c>
      <c r="C249" s="32">
        <v>122.58</v>
      </c>
      <c r="D249" s="32">
        <v>297.94099999999997</v>
      </c>
      <c r="E249" s="38">
        <v>729.47900000000004</v>
      </c>
      <c r="F249" s="32">
        <v>1150</v>
      </c>
      <c r="G249" s="32">
        <v>100</v>
      </c>
      <c r="H249" s="40">
        <v>600</v>
      </c>
      <c r="I249" s="32">
        <v>695</v>
      </c>
      <c r="J249" s="32">
        <v>50</v>
      </c>
      <c r="K249" s="33"/>
      <c r="L249" s="33"/>
      <c r="M249" s="33"/>
      <c r="N249" s="33"/>
      <c r="O249" s="33"/>
      <c r="P249" s="33"/>
      <c r="Q249" s="33"/>
      <c r="R249" s="33"/>
      <c r="S249" s="33"/>
      <c r="T249" s="33"/>
    </row>
    <row r="250" spans="1:20" ht="15.6">
      <c r="A250" s="14">
        <v>49675</v>
      </c>
      <c r="B250" s="41">
        <v>31</v>
      </c>
      <c r="C250" s="32">
        <v>122.58</v>
      </c>
      <c r="D250" s="32">
        <v>297.94099999999997</v>
      </c>
      <c r="E250" s="38">
        <v>729.47900000000004</v>
      </c>
      <c r="F250" s="32">
        <v>1150</v>
      </c>
      <c r="G250" s="32">
        <v>100</v>
      </c>
      <c r="H250" s="40">
        <v>600</v>
      </c>
      <c r="I250" s="32">
        <v>695</v>
      </c>
      <c r="J250" s="32">
        <v>50</v>
      </c>
      <c r="K250" s="33"/>
      <c r="L250" s="33"/>
      <c r="M250" s="33"/>
      <c r="N250" s="33"/>
      <c r="O250" s="33"/>
      <c r="P250" s="33"/>
      <c r="Q250" s="33"/>
      <c r="R250" s="33"/>
      <c r="S250" s="33"/>
      <c r="T250" s="33"/>
    </row>
    <row r="251" spans="1:20" ht="15.6">
      <c r="A251" s="14">
        <v>49706</v>
      </c>
      <c r="B251" s="41">
        <v>29</v>
      </c>
      <c r="C251" s="32">
        <v>122.58</v>
      </c>
      <c r="D251" s="32">
        <v>297.94099999999997</v>
      </c>
      <c r="E251" s="38">
        <v>729.47900000000004</v>
      </c>
      <c r="F251" s="32">
        <v>1150</v>
      </c>
      <c r="G251" s="32">
        <v>100</v>
      </c>
      <c r="H251" s="40">
        <v>600</v>
      </c>
      <c r="I251" s="32">
        <v>695</v>
      </c>
      <c r="J251" s="32">
        <v>50</v>
      </c>
      <c r="K251" s="33"/>
      <c r="L251" s="33"/>
      <c r="M251" s="33"/>
      <c r="N251" s="33"/>
      <c r="O251" s="33"/>
      <c r="P251" s="33"/>
      <c r="Q251" s="33"/>
      <c r="R251" s="33"/>
      <c r="S251" s="33"/>
      <c r="T251" s="33"/>
    </row>
    <row r="252" spans="1:20" ht="15.6">
      <c r="A252" s="14">
        <v>49735</v>
      </c>
      <c r="B252" s="41">
        <v>31</v>
      </c>
      <c r="C252" s="32">
        <v>122.58</v>
      </c>
      <c r="D252" s="32">
        <v>297.94099999999997</v>
      </c>
      <c r="E252" s="38">
        <v>729.47900000000004</v>
      </c>
      <c r="F252" s="32">
        <v>1150</v>
      </c>
      <c r="G252" s="32">
        <v>100</v>
      </c>
      <c r="H252" s="40">
        <v>600</v>
      </c>
      <c r="I252" s="32">
        <v>695</v>
      </c>
      <c r="J252" s="32">
        <v>50</v>
      </c>
      <c r="K252" s="33"/>
      <c r="L252" s="33"/>
      <c r="M252" s="33"/>
      <c r="N252" s="33"/>
      <c r="O252" s="33"/>
      <c r="P252" s="33"/>
      <c r="Q252" s="33"/>
      <c r="R252" s="33"/>
      <c r="S252" s="33"/>
      <c r="T252" s="33"/>
    </row>
    <row r="253" spans="1:20" ht="15.6">
      <c r="A253" s="14">
        <v>49766</v>
      </c>
      <c r="B253" s="41">
        <v>30</v>
      </c>
      <c r="C253" s="32">
        <v>141.29300000000001</v>
      </c>
      <c r="D253" s="32">
        <v>267.99299999999999</v>
      </c>
      <c r="E253" s="38">
        <v>829.71400000000006</v>
      </c>
      <c r="F253" s="32">
        <v>1239</v>
      </c>
      <c r="G253" s="32">
        <v>100</v>
      </c>
      <c r="H253" s="40">
        <v>600</v>
      </c>
      <c r="I253" s="32">
        <v>695</v>
      </c>
      <c r="J253" s="32">
        <v>50</v>
      </c>
      <c r="K253" s="33"/>
      <c r="L253" s="33"/>
      <c r="M253" s="33"/>
      <c r="N253" s="33"/>
      <c r="O253" s="33"/>
      <c r="P253" s="33"/>
      <c r="Q253" s="33"/>
      <c r="R253" s="33"/>
      <c r="S253" s="33"/>
      <c r="T253" s="33"/>
    </row>
    <row r="254" spans="1:20" ht="15.6">
      <c r="A254" s="14">
        <v>49796</v>
      </c>
      <c r="B254" s="41">
        <v>31</v>
      </c>
      <c r="C254" s="32">
        <v>194.20500000000001</v>
      </c>
      <c r="D254" s="32">
        <v>267.46600000000001</v>
      </c>
      <c r="E254" s="38">
        <v>812.32899999999995</v>
      </c>
      <c r="F254" s="32">
        <v>1274</v>
      </c>
      <c r="G254" s="32">
        <v>75</v>
      </c>
      <c r="H254" s="40">
        <v>600</v>
      </c>
      <c r="I254" s="32">
        <v>695</v>
      </c>
      <c r="J254" s="32">
        <v>50</v>
      </c>
      <c r="K254" s="33"/>
      <c r="L254" s="33"/>
      <c r="M254" s="33"/>
      <c r="N254" s="33"/>
      <c r="O254" s="33"/>
      <c r="P254" s="33"/>
      <c r="Q254" s="33"/>
      <c r="R254" s="33"/>
      <c r="S254" s="33"/>
      <c r="T254" s="33"/>
    </row>
    <row r="255" spans="1:20" ht="15.6">
      <c r="A255" s="14">
        <v>49827</v>
      </c>
      <c r="B255" s="41">
        <v>30</v>
      </c>
      <c r="C255" s="32">
        <v>194.20500000000001</v>
      </c>
      <c r="D255" s="32">
        <v>267.46600000000001</v>
      </c>
      <c r="E255" s="38">
        <v>812.32899999999995</v>
      </c>
      <c r="F255" s="32">
        <v>1274</v>
      </c>
      <c r="G255" s="32">
        <v>50</v>
      </c>
      <c r="H255" s="40">
        <v>600</v>
      </c>
      <c r="I255" s="32">
        <v>695</v>
      </c>
      <c r="J255" s="32">
        <v>50</v>
      </c>
      <c r="K255" s="33"/>
      <c r="L255" s="33"/>
      <c r="M255" s="33"/>
      <c r="N255" s="33"/>
      <c r="O255" s="33"/>
      <c r="P255" s="33"/>
      <c r="Q255" s="33"/>
      <c r="R255" s="33"/>
      <c r="S255" s="33"/>
      <c r="T255" s="33"/>
    </row>
    <row r="256" spans="1:20" ht="15.6">
      <c r="A256" s="14">
        <v>49857</v>
      </c>
      <c r="B256" s="41">
        <v>31</v>
      </c>
      <c r="C256" s="32">
        <v>194.20500000000001</v>
      </c>
      <c r="D256" s="32">
        <v>267.46600000000001</v>
      </c>
      <c r="E256" s="38">
        <v>812.32899999999995</v>
      </c>
      <c r="F256" s="32">
        <v>1274</v>
      </c>
      <c r="G256" s="32">
        <v>50</v>
      </c>
      <c r="H256" s="40">
        <v>600</v>
      </c>
      <c r="I256" s="32">
        <v>695</v>
      </c>
      <c r="J256" s="32">
        <v>0</v>
      </c>
      <c r="K256" s="33"/>
      <c r="L256" s="33"/>
      <c r="M256" s="33"/>
      <c r="N256" s="33"/>
      <c r="O256" s="33"/>
      <c r="P256" s="33"/>
      <c r="Q256" s="33"/>
      <c r="R256" s="33"/>
      <c r="S256" s="33"/>
      <c r="T256" s="33"/>
    </row>
    <row r="257" spans="1:20" ht="15.6">
      <c r="A257" s="14">
        <v>49888</v>
      </c>
      <c r="B257" s="41">
        <v>31</v>
      </c>
      <c r="C257" s="32">
        <v>194.20500000000001</v>
      </c>
      <c r="D257" s="32">
        <v>267.46600000000001</v>
      </c>
      <c r="E257" s="38">
        <v>812.32899999999995</v>
      </c>
      <c r="F257" s="32">
        <v>1274</v>
      </c>
      <c r="G257" s="32">
        <v>50</v>
      </c>
      <c r="H257" s="40">
        <v>600</v>
      </c>
      <c r="I257" s="32">
        <v>695</v>
      </c>
      <c r="J257" s="32">
        <v>0</v>
      </c>
      <c r="K257" s="33"/>
      <c r="L257" s="33"/>
      <c r="M257" s="33"/>
      <c r="N257" s="33"/>
      <c r="O257" s="33"/>
      <c r="P257" s="33"/>
      <c r="Q257" s="33"/>
      <c r="R257" s="33"/>
      <c r="S257" s="33"/>
      <c r="T257" s="33"/>
    </row>
    <row r="258" spans="1:20" ht="15.6">
      <c r="A258" s="14">
        <v>49919</v>
      </c>
      <c r="B258" s="41">
        <v>30</v>
      </c>
      <c r="C258" s="32">
        <v>194.20500000000001</v>
      </c>
      <c r="D258" s="32">
        <v>267.46600000000001</v>
      </c>
      <c r="E258" s="38">
        <v>812.32899999999995</v>
      </c>
      <c r="F258" s="32">
        <v>1274</v>
      </c>
      <c r="G258" s="32">
        <v>50</v>
      </c>
      <c r="H258" s="40">
        <v>600</v>
      </c>
      <c r="I258" s="32">
        <v>695</v>
      </c>
      <c r="J258" s="32">
        <v>0</v>
      </c>
      <c r="K258" s="33"/>
      <c r="L258" s="33"/>
      <c r="M258" s="33"/>
      <c r="N258" s="33"/>
      <c r="O258" s="33"/>
      <c r="P258" s="33"/>
      <c r="Q258" s="33"/>
      <c r="R258" s="33"/>
      <c r="S258" s="33"/>
      <c r="T258" s="33"/>
    </row>
    <row r="259" spans="1:20" ht="15.6">
      <c r="A259" s="14">
        <v>49949</v>
      </c>
      <c r="B259" s="41">
        <v>31</v>
      </c>
      <c r="C259" s="32">
        <v>131.881</v>
      </c>
      <c r="D259" s="32">
        <v>277.16699999999997</v>
      </c>
      <c r="E259" s="38">
        <v>829.952</v>
      </c>
      <c r="F259" s="32">
        <v>1239</v>
      </c>
      <c r="G259" s="32">
        <v>75</v>
      </c>
      <c r="H259" s="40">
        <v>600</v>
      </c>
      <c r="I259" s="32">
        <v>695</v>
      </c>
      <c r="J259" s="32">
        <v>0</v>
      </c>
      <c r="K259" s="33"/>
      <c r="L259" s="33"/>
      <c r="M259" s="33"/>
      <c r="N259" s="33"/>
      <c r="O259" s="33"/>
      <c r="P259" s="33"/>
      <c r="Q259" s="33"/>
      <c r="R259" s="33"/>
      <c r="S259" s="33"/>
      <c r="T259" s="33"/>
    </row>
    <row r="260" spans="1:20" ht="15.6">
      <c r="A260" s="14">
        <v>49980</v>
      </c>
      <c r="B260" s="41">
        <v>30</v>
      </c>
      <c r="C260" s="32">
        <v>122.58</v>
      </c>
      <c r="D260" s="32">
        <v>297.94099999999997</v>
      </c>
      <c r="E260" s="38">
        <v>729.47900000000004</v>
      </c>
      <c r="F260" s="32">
        <v>1150</v>
      </c>
      <c r="G260" s="32">
        <v>100</v>
      </c>
      <c r="H260" s="40">
        <v>600</v>
      </c>
      <c r="I260" s="32">
        <v>695</v>
      </c>
      <c r="J260" s="32">
        <v>50</v>
      </c>
      <c r="K260" s="33"/>
      <c r="L260" s="33"/>
      <c r="M260" s="33"/>
      <c r="N260" s="33"/>
      <c r="O260" s="33"/>
      <c r="P260" s="33"/>
      <c r="Q260" s="33"/>
      <c r="R260" s="33"/>
      <c r="S260" s="33"/>
      <c r="T260" s="33"/>
    </row>
    <row r="261" spans="1:20" ht="15.6">
      <c r="A261" s="14">
        <v>50010</v>
      </c>
      <c r="B261" s="41">
        <v>31</v>
      </c>
      <c r="C261" s="32">
        <v>122.58</v>
      </c>
      <c r="D261" s="32">
        <v>297.94099999999997</v>
      </c>
      <c r="E261" s="38">
        <v>729.47900000000004</v>
      </c>
      <c r="F261" s="32">
        <v>1150</v>
      </c>
      <c r="G261" s="32">
        <v>100</v>
      </c>
      <c r="H261" s="40">
        <v>600</v>
      </c>
      <c r="I261" s="32">
        <v>695</v>
      </c>
      <c r="J261" s="32">
        <v>50</v>
      </c>
      <c r="K261" s="33"/>
      <c r="L261" s="33"/>
      <c r="M261" s="33"/>
      <c r="N261" s="33"/>
      <c r="O261" s="33"/>
      <c r="P261" s="33"/>
      <c r="Q261" s="33"/>
      <c r="R261" s="33"/>
      <c r="S261" s="33"/>
      <c r="T261" s="33"/>
    </row>
    <row r="262" spans="1:20" ht="15.6">
      <c r="A262" s="14">
        <v>50041</v>
      </c>
      <c r="B262" s="41">
        <v>31</v>
      </c>
      <c r="C262" s="32">
        <v>122.58</v>
      </c>
      <c r="D262" s="32">
        <v>297.94099999999997</v>
      </c>
      <c r="E262" s="38">
        <v>729.47900000000004</v>
      </c>
      <c r="F262" s="32">
        <v>1150</v>
      </c>
      <c r="G262" s="32">
        <v>100</v>
      </c>
      <c r="H262" s="40">
        <v>600</v>
      </c>
      <c r="I262" s="32">
        <v>695</v>
      </c>
      <c r="J262" s="32">
        <v>50</v>
      </c>
      <c r="K262" s="33"/>
      <c r="L262" s="33"/>
      <c r="M262" s="33"/>
      <c r="N262" s="33"/>
      <c r="O262" s="33"/>
      <c r="P262" s="33"/>
      <c r="Q262" s="33"/>
      <c r="R262" s="33"/>
      <c r="S262" s="33"/>
      <c r="T262" s="33"/>
    </row>
    <row r="263" spans="1:20" ht="15.6">
      <c r="A263" s="14">
        <v>50072</v>
      </c>
      <c r="B263" s="41">
        <v>28</v>
      </c>
      <c r="C263" s="32">
        <v>122.58</v>
      </c>
      <c r="D263" s="32">
        <v>297.94099999999997</v>
      </c>
      <c r="E263" s="38">
        <v>729.47900000000004</v>
      </c>
      <c r="F263" s="32">
        <v>1150</v>
      </c>
      <c r="G263" s="32">
        <v>100</v>
      </c>
      <c r="H263" s="40">
        <v>600</v>
      </c>
      <c r="I263" s="32">
        <v>695</v>
      </c>
      <c r="J263" s="32">
        <v>50</v>
      </c>
      <c r="K263" s="33"/>
      <c r="L263" s="33"/>
      <c r="M263" s="33"/>
      <c r="N263" s="33"/>
      <c r="O263" s="33"/>
      <c r="P263" s="33"/>
      <c r="Q263" s="33"/>
      <c r="R263" s="33"/>
      <c r="S263" s="33"/>
      <c r="T263" s="33"/>
    </row>
    <row r="264" spans="1:20" ht="15.6">
      <c r="A264" s="14">
        <v>50100</v>
      </c>
      <c r="B264" s="41">
        <v>31</v>
      </c>
      <c r="C264" s="32">
        <v>122.58</v>
      </c>
      <c r="D264" s="32">
        <v>297.94099999999997</v>
      </c>
      <c r="E264" s="38">
        <v>729.47900000000004</v>
      </c>
      <c r="F264" s="32">
        <v>1150</v>
      </c>
      <c r="G264" s="32">
        <v>100</v>
      </c>
      <c r="H264" s="40">
        <v>600</v>
      </c>
      <c r="I264" s="32">
        <v>695</v>
      </c>
      <c r="J264" s="32">
        <v>50</v>
      </c>
      <c r="K264" s="33"/>
      <c r="L264" s="33"/>
      <c r="M264" s="33"/>
      <c r="N264" s="33"/>
      <c r="O264" s="33"/>
      <c r="P264" s="33"/>
      <c r="Q264" s="33"/>
      <c r="R264" s="33"/>
      <c r="S264" s="33"/>
      <c r="T264" s="33"/>
    </row>
    <row r="265" spans="1:20" ht="15.6">
      <c r="A265" s="14">
        <v>50131</v>
      </c>
      <c r="B265" s="41">
        <v>30</v>
      </c>
      <c r="C265" s="32">
        <v>141.29300000000001</v>
      </c>
      <c r="D265" s="32">
        <v>267.99299999999999</v>
      </c>
      <c r="E265" s="38">
        <v>829.71400000000006</v>
      </c>
      <c r="F265" s="32">
        <v>1239</v>
      </c>
      <c r="G265" s="32">
        <v>100</v>
      </c>
      <c r="H265" s="40">
        <v>600</v>
      </c>
      <c r="I265" s="32">
        <v>695</v>
      </c>
      <c r="J265" s="32">
        <v>50</v>
      </c>
      <c r="K265" s="33"/>
      <c r="L265" s="33"/>
      <c r="M265" s="33"/>
      <c r="N265" s="33"/>
      <c r="O265" s="33"/>
      <c r="P265" s="33"/>
      <c r="Q265" s="33"/>
      <c r="R265" s="33"/>
      <c r="S265" s="33"/>
      <c r="T265" s="33"/>
    </row>
    <row r="266" spans="1:20" ht="15.6">
      <c r="A266" s="14">
        <v>50161</v>
      </c>
      <c r="B266" s="41">
        <v>31</v>
      </c>
      <c r="C266" s="32">
        <v>194.20500000000001</v>
      </c>
      <c r="D266" s="32">
        <v>267.46600000000001</v>
      </c>
      <c r="E266" s="38">
        <v>812.32899999999995</v>
      </c>
      <c r="F266" s="32">
        <v>1274</v>
      </c>
      <c r="G266" s="32">
        <v>75</v>
      </c>
      <c r="H266" s="40">
        <v>600</v>
      </c>
      <c r="I266" s="32">
        <v>695</v>
      </c>
      <c r="J266" s="32">
        <v>50</v>
      </c>
      <c r="K266" s="33"/>
      <c r="L266" s="33"/>
      <c r="M266" s="33"/>
      <c r="N266" s="33"/>
      <c r="O266" s="33"/>
      <c r="P266" s="33"/>
      <c r="Q266" s="33"/>
      <c r="R266" s="33"/>
      <c r="S266" s="33"/>
      <c r="T266" s="33"/>
    </row>
    <row r="267" spans="1:20" ht="15.6">
      <c r="A267" s="14">
        <v>50192</v>
      </c>
      <c r="B267" s="41">
        <v>30</v>
      </c>
      <c r="C267" s="32">
        <v>194.20500000000001</v>
      </c>
      <c r="D267" s="32">
        <v>267.46600000000001</v>
      </c>
      <c r="E267" s="38">
        <v>812.32899999999995</v>
      </c>
      <c r="F267" s="32">
        <v>1274</v>
      </c>
      <c r="G267" s="32">
        <v>50</v>
      </c>
      <c r="H267" s="40">
        <v>600</v>
      </c>
      <c r="I267" s="32">
        <v>695</v>
      </c>
      <c r="J267" s="32">
        <v>50</v>
      </c>
      <c r="K267" s="33"/>
      <c r="L267" s="33"/>
      <c r="M267" s="33"/>
      <c r="N267" s="33"/>
      <c r="O267" s="33"/>
      <c r="P267" s="33"/>
      <c r="Q267" s="33"/>
      <c r="R267" s="33"/>
      <c r="S267" s="33"/>
      <c r="T267" s="33"/>
    </row>
    <row r="268" spans="1:20" ht="15.6">
      <c r="A268" s="14">
        <v>50222</v>
      </c>
      <c r="B268" s="41">
        <v>31</v>
      </c>
      <c r="C268" s="32">
        <v>194.20500000000001</v>
      </c>
      <c r="D268" s="32">
        <v>267.46600000000001</v>
      </c>
      <c r="E268" s="38">
        <v>812.32899999999995</v>
      </c>
      <c r="F268" s="32">
        <v>1274</v>
      </c>
      <c r="G268" s="32">
        <v>50</v>
      </c>
      <c r="H268" s="40">
        <v>600</v>
      </c>
      <c r="I268" s="32">
        <v>695</v>
      </c>
      <c r="J268" s="32">
        <v>0</v>
      </c>
      <c r="K268" s="33"/>
      <c r="L268" s="33"/>
      <c r="M268" s="33"/>
      <c r="N268" s="33"/>
      <c r="O268" s="33"/>
      <c r="P268" s="33"/>
      <c r="Q268" s="33"/>
      <c r="R268" s="33"/>
      <c r="S268" s="33"/>
      <c r="T268" s="33"/>
    </row>
    <row r="269" spans="1:20" ht="15.6">
      <c r="A269" s="14">
        <v>50253</v>
      </c>
      <c r="B269" s="41">
        <v>31</v>
      </c>
      <c r="C269" s="32">
        <v>194.20500000000001</v>
      </c>
      <c r="D269" s="32">
        <v>267.46600000000001</v>
      </c>
      <c r="E269" s="38">
        <v>812.32899999999995</v>
      </c>
      <c r="F269" s="32">
        <v>1274</v>
      </c>
      <c r="G269" s="32">
        <v>50</v>
      </c>
      <c r="H269" s="40">
        <v>600</v>
      </c>
      <c r="I269" s="32">
        <v>695</v>
      </c>
      <c r="J269" s="32">
        <v>0</v>
      </c>
      <c r="K269" s="33"/>
      <c r="L269" s="33"/>
      <c r="M269" s="33"/>
      <c r="N269" s="33"/>
      <c r="O269" s="33"/>
      <c r="P269" s="33"/>
      <c r="Q269" s="33"/>
      <c r="R269" s="33"/>
      <c r="S269" s="33"/>
      <c r="T269" s="33"/>
    </row>
    <row r="270" spans="1:20" ht="15.6">
      <c r="A270" s="14">
        <v>50284</v>
      </c>
      <c r="B270" s="41">
        <v>30</v>
      </c>
      <c r="C270" s="32">
        <v>194.20500000000001</v>
      </c>
      <c r="D270" s="32">
        <v>267.46600000000001</v>
      </c>
      <c r="E270" s="38">
        <v>812.32899999999995</v>
      </c>
      <c r="F270" s="32">
        <v>1274</v>
      </c>
      <c r="G270" s="32">
        <v>50</v>
      </c>
      <c r="H270" s="40">
        <v>600</v>
      </c>
      <c r="I270" s="32">
        <v>695</v>
      </c>
      <c r="J270" s="32">
        <v>0</v>
      </c>
      <c r="K270" s="33"/>
      <c r="L270" s="33"/>
      <c r="M270" s="33"/>
      <c r="N270" s="33"/>
      <c r="O270" s="33"/>
      <c r="P270" s="33"/>
      <c r="Q270" s="33"/>
      <c r="R270" s="33"/>
      <c r="S270" s="33"/>
      <c r="T270" s="33"/>
    </row>
    <row r="271" spans="1:20" ht="15.6">
      <c r="A271" s="14">
        <v>50314</v>
      </c>
      <c r="B271" s="41">
        <v>31</v>
      </c>
      <c r="C271" s="32">
        <v>131.881</v>
      </c>
      <c r="D271" s="32">
        <v>277.16699999999997</v>
      </c>
      <c r="E271" s="38">
        <v>829.952</v>
      </c>
      <c r="F271" s="32">
        <v>1239</v>
      </c>
      <c r="G271" s="32">
        <v>75</v>
      </c>
      <c r="H271" s="40">
        <v>600</v>
      </c>
      <c r="I271" s="32">
        <v>695</v>
      </c>
      <c r="J271" s="32">
        <v>0</v>
      </c>
      <c r="K271" s="33"/>
      <c r="L271" s="33"/>
      <c r="M271" s="33"/>
      <c r="N271" s="33"/>
      <c r="O271" s="33"/>
      <c r="P271" s="33"/>
      <c r="Q271" s="33"/>
      <c r="R271" s="33"/>
      <c r="S271" s="33"/>
      <c r="T271" s="33"/>
    </row>
    <row r="272" spans="1:20" ht="15.6">
      <c r="A272" s="14">
        <v>50345</v>
      </c>
      <c r="B272" s="41">
        <v>30</v>
      </c>
      <c r="C272" s="32">
        <v>122.58</v>
      </c>
      <c r="D272" s="32">
        <v>297.94099999999997</v>
      </c>
      <c r="E272" s="38">
        <v>729.47900000000004</v>
      </c>
      <c r="F272" s="32">
        <v>1150</v>
      </c>
      <c r="G272" s="32">
        <v>100</v>
      </c>
      <c r="H272" s="40">
        <v>600</v>
      </c>
      <c r="I272" s="32">
        <v>695</v>
      </c>
      <c r="J272" s="32">
        <v>50</v>
      </c>
      <c r="K272" s="33"/>
      <c r="L272" s="33"/>
      <c r="M272" s="33"/>
      <c r="N272" s="33"/>
      <c r="O272" s="33"/>
      <c r="P272" s="33"/>
      <c r="Q272" s="33"/>
      <c r="R272" s="33"/>
      <c r="S272" s="33"/>
      <c r="T272" s="33"/>
    </row>
    <row r="273" spans="1:20" ht="15.6">
      <c r="A273" s="14">
        <v>50375</v>
      </c>
      <c r="B273" s="41">
        <v>31</v>
      </c>
      <c r="C273" s="32">
        <v>122.58</v>
      </c>
      <c r="D273" s="32">
        <v>297.94099999999997</v>
      </c>
      <c r="E273" s="38">
        <v>729.47900000000004</v>
      </c>
      <c r="F273" s="32">
        <v>1150</v>
      </c>
      <c r="G273" s="32">
        <v>100</v>
      </c>
      <c r="H273" s="40">
        <v>600</v>
      </c>
      <c r="I273" s="32">
        <v>695</v>
      </c>
      <c r="J273" s="32">
        <v>50</v>
      </c>
      <c r="K273" s="33"/>
      <c r="L273" s="33"/>
      <c r="M273" s="33"/>
      <c r="N273" s="33"/>
      <c r="O273" s="33"/>
      <c r="P273" s="33"/>
      <c r="Q273" s="33"/>
      <c r="R273" s="33"/>
      <c r="S273" s="33"/>
      <c r="T273" s="33"/>
    </row>
    <row r="274" spans="1:20" ht="15.6">
      <c r="A274" s="13">
        <v>50436</v>
      </c>
      <c r="B274" s="41">
        <v>31</v>
      </c>
      <c r="C274" s="32">
        <v>122.58</v>
      </c>
      <c r="D274" s="32">
        <v>297.94099999999997</v>
      </c>
      <c r="E274" s="38">
        <v>729.47900000000004</v>
      </c>
      <c r="F274" s="32">
        <v>1150</v>
      </c>
      <c r="G274" s="32">
        <v>100</v>
      </c>
      <c r="H274" s="40">
        <v>600</v>
      </c>
      <c r="I274" s="32">
        <v>695</v>
      </c>
      <c r="J274" s="32">
        <v>50</v>
      </c>
      <c r="K274" s="33"/>
      <c r="L274" s="33"/>
      <c r="M274" s="33"/>
      <c r="N274" s="33"/>
      <c r="O274" s="33"/>
      <c r="P274" s="33"/>
      <c r="Q274" s="33"/>
      <c r="R274" s="33"/>
      <c r="S274" s="33"/>
      <c r="T274" s="33"/>
    </row>
    <row r="275" spans="1:20" ht="15.6">
      <c r="A275" s="13">
        <v>50464</v>
      </c>
      <c r="B275" s="41">
        <v>28</v>
      </c>
      <c r="C275" s="32">
        <v>122.58</v>
      </c>
      <c r="D275" s="32">
        <v>297.94099999999997</v>
      </c>
      <c r="E275" s="38">
        <v>729.47900000000004</v>
      </c>
      <c r="F275" s="32">
        <v>1150</v>
      </c>
      <c r="G275" s="32">
        <v>100</v>
      </c>
      <c r="H275" s="40">
        <v>600</v>
      </c>
      <c r="I275" s="32">
        <v>695</v>
      </c>
      <c r="J275" s="32">
        <v>50</v>
      </c>
      <c r="K275" s="33"/>
      <c r="L275" s="33"/>
      <c r="M275" s="33"/>
      <c r="N275" s="33"/>
      <c r="O275" s="33"/>
      <c r="P275" s="33"/>
      <c r="Q275" s="33"/>
      <c r="R275" s="33"/>
      <c r="S275" s="33"/>
      <c r="T275" s="33"/>
    </row>
    <row r="276" spans="1:20" ht="15.6">
      <c r="A276" s="13">
        <v>50495</v>
      </c>
      <c r="B276" s="41">
        <v>31</v>
      </c>
      <c r="C276" s="32">
        <v>122.58</v>
      </c>
      <c r="D276" s="32">
        <v>297.94099999999997</v>
      </c>
      <c r="E276" s="38">
        <v>729.47900000000004</v>
      </c>
      <c r="F276" s="32">
        <v>1150</v>
      </c>
      <c r="G276" s="32">
        <v>100</v>
      </c>
      <c r="H276" s="40">
        <v>600</v>
      </c>
      <c r="I276" s="32">
        <v>695</v>
      </c>
      <c r="J276" s="32">
        <v>50</v>
      </c>
      <c r="K276" s="33"/>
      <c r="L276" s="33"/>
      <c r="M276" s="33"/>
      <c r="N276" s="33"/>
      <c r="O276" s="33"/>
      <c r="P276" s="33"/>
      <c r="Q276" s="33"/>
      <c r="R276" s="33"/>
      <c r="S276" s="33"/>
      <c r="T276" s="33"/>
    </row>
    <row r="277" spans="1:20" ht="15.6">
      <c r="A277" s="13">
        <v>50525</v>
      </c>
      <c r="B277" s="41">
        <v>30</v>
      </c>
      <c r="C277" s="32">
        <v>141.29300000000001</v>
      </c>
      <c r="D277" s="32">
        <v>267.99299999999999</v>
      </c>
      <c r="E277" s="38">
        <v>829.71400000000006</v>
      </c>
      <c r="F277" s="32">
        <v>1239</v>
      </c>
      <c r="G277" s="32">
        <v>100</v>
      </c>
      <c r="H277" s="40">
        <v>600</v>
      </c>
      <c r="I277" s="32">
        <v>695</v>
      </c>
      <c r="J277" s="32">
        <v>50</v>
      </c>
      <c r="K277" s="33"/>
      <c r="L277" s="33"/>
      <c r="M277" s="33"/>
      <c r="N277" s="33"/>
      <c r="O277" s="33"/>
      <c r="P277" s="33"/>
      <c r="Q277" s="33"/>
      <c r="R277" s="33"/>
      <c r="S277" s="33"/>
      <c r="T277" s="33"/>
    </row>
    <row r="278" spans="1:20" ht="15.6">
      <c r="A278" s="13">
        <v>50556</v>
      </c>
      <c r="B278" s="41">
        <v>31</v>
      </c>
      <c r="C278" s="32">
        <v>194.20500000000001</v>
      </c>
      <c r="D278" s="32">
        <v>267.46600000000001</v>
      </c>
      <c r="E278" s="38">
        <v>812.32899999999995</v>
      </c>
      <c r="F278" s="32">
        <v>1274</v>
      </c>
      <c r="G278" s="32">
        <v>75</v>
      </c>
      <c r="H278" s="40">
        <v>600</v>
      </c>
      <c r="I278" s="32">
        <v>695</v>
      </c>
      <c r="J278" s="32">
        <v>50</v>
      </c>
      <c r="K278" s="33"/>
      <c r="L278" s="33"/>
      <c r="M278" s="33"/>
      <c r="N278" s="33"/>
      <c r="O278" s="33"/>
      <c r="P278" s="33"/>
      <c r="Q278" s="33"/>
      <c r="R278" s="33"/>
      <c r="S278" s="33"/>
      <c r="T278" s="33"/>
    </row>
    <row r="279" spans="1:20" ht="15.6">
      <c r="A279" s="13">
        <v>50586</v>
      </c>
      <c r="B279" s="41">
        <v>30</v>
      </c>
      <c r="C279" s="32">
        <v>194.20500000000001</v>
      </c>
      <c r="D279" s="32">
        <v>267.46600000000001</v>
      </c>
      <c r="E279" s="38">
        <v>812.32899999999995</v>
      </c>
      <c r="F279" s="32">
        <v>1274</v>
      </c>
      <c r="G279" s="32">
        <v>50</v>
      </c>
      <c r="H279" s="40">
        <v>600</v>
      </c>
      <c r="I279" s="32">
        <v>695</v>
      </c>
      <c r="J279" s="32">
        <v>50</v>
      </c>
      <c r="K279" s="33"/>
      <c r="L279" s="33"/>
      <c r="M279" s="33"/>
      <c r="N279" s="33"/>
      <c r="O279" s="33"/>
      <c r="P279" s="33"/>
      <c r="Q279" s="33"/>
      <c r="R279" s="33"/>
      <c r="S279" s="33"/>
      <c r="T279" s="33"/>
    </row>
    <row r="280" spans="1:20" ht="15.6">
      <c r="A280" s="13">
        <v>50617</v>
      </c>
      <c r="B280" s="41">
        <v>31</v>
      </c>
      <c r="C280" s="32">
        <v>194.20500000000001</v>
      </c>
      <c r="D280" s="32">
        <v>267.46600000000001</v>
      </c>
      <c r="E280" s="38">
        <v>812.32899999999995</v>
      </c>
      <c r="F280" s="32">
        <v>1274</v>
      </c>
      <c r="G280" s="32">
        <v>50</v>
      </c>
      <c r="H280" s="40">
        <v>600</v>
      </c>
      <c r="I280" s="32">
        <v>695</v>
      </c>
      <c r="J280" s="32">
        <v>0</v>
      </c>
      <c r="K280" s="33"/>
      <c r="L280" s="33"/>
      <c r="M280" s="33"/>
      <c r="N280" s="33"/>
      <c r="O280" s="33"/>
      <c r="P280" s="33"/>
      <c r="Q280" s="33"/>
      <c r="R280" s="33"/>
      <c r="S280" s="33"/>
      <c r="T280" s="33"/>
    </row>
    <row r="281" spans="1:20" ht="15.6">
      <c r="A281" s="13">
        <v>50648</v>
      </c>
      <c r="B281" s="41">
        <v>31</v>
      </c>
      <c r="C281" s="32">
        <v>194.20500000000001</v>
      </c>
      <c r="D281" s="32">
        <v>267.46600000000001</v>
      </c>
      <c r="E281" s="38">
        <v>812.32899999999995</v>
      </c>
      <c r="F281" s="32">
        <v>1274</v>
      </c>
      <c r="G281" s="32">
        <v>50</v>
      </c>
      <c r="H281" s="40">
        <v>600</v>
      </c>
      <c r="I281" s="32">
        <v>695</v>
      </c>
      <c r="J281" s="32">
        <v>0</v>
      </c>
      <c r="K281" s="33"/>
      <c r="L281" s="33"/>
      <c r="M281" s="33"/>
      <c r="N281" s="33"/>
      <c r="O281" s="33"/>
      <c r="P281" s="33"/>
      <c r="Q281" s="33"/>
      <c r="R281" s="33"/>
      <c r="S281" s="33"/>
      <c r="T281" s="33"/>
    </row>
    <row r="282" spans="1:20" ht="15.6">
      <c r="A282" s="13">
        <v>50678</v>
      </c>
      <c r="B282" s="41">
        <v>30</v>
      </c>
      <c r="C282" s="32">
        <v>194.20500000000001</v>
      </c>
      <c r="D282" s="32">
        <v>267.46600000000001</v>
      </c>
      <c r="E282" s="38">
        <v>812.32899999999995</v>
      </c>
      <c r="F282" s="32">
        <v>1274</v>
      </c>
      <c r="G282" s="32">
        <v>50</v>
      </c>
      <c r="H282" s="40">
        <v>600</v>
      </c>
      <c r="I282" s="32">
        <v>695</v>
      </c>
      <c r="J282" s="32">
        <v>0</v>
      </c>
      <c r="K282" s="33"/>
      <c r="L282" s="33"/>
      <c r="M282" s="33"/>
      <c r="N282" s="33"/>
      <c r="O282" s="33"/>
      <c r="P282" s="33"/>
      <c r="Q282" s="33"/>
      <c r="R282" s="33"/>
      <c r="S282" s="33"/>
      <c r="T282" s="33"/>
    </row>
    <row r="283" spans="1:20" ht="15.6">
      <c r="A283" s="13">
        <v>50709</v>
      </c>
      <c r="B283" s="41">
        <v>31</v>
      </c>
      <c r="C283" s="32">
        <v>131.881</v>
      </c>
      <c r="D283" s="32">
        <v>277.16699999999997</v>
      </c>
      <c r="E283" s="38">
        <v>829.952</v>
      </c>
      <c r="F283" s="32">
        <v>1239</v>
      </c>
      <c r="G283" s="32">
        <v>75</v>
      </c>
      <c r="H283" s="40">
        <v>600</v>
      </c>
      <c r="I283" s="32">
        <v>695</v>
      </c>
      <c r="J283" s="32">
        <v>0</v>
      </c>
      <c r="K283" s="33"/>
      <c r="L283" s="33"/>
      <c r="M283" s="33"/>
      <c r="N283" s="33"/>
      <c r="O283" s="33"/>
      <c r="P283" s="33"/>
      <c r="Q283" s="33"/>
      <c r="R283" s="33"/>
      <c r="S283" s="33"/>
      <c r="T283" s="33"/>
    </row>
    <row r="284" spans="1:20" ht="15.6">
      <c r="A284" s="13">
        <v>50739</v>
      </c>
      <c r="B284" s="41">
        <v>30</v>
      </c>
      <c r="C284" s="32">
        <v>122.58</v>
      </c>
      <c r="D284" s="32">
        <v>297.94099999999997</v>
      </c>
      <c r="E284" s="38">
        <v>729.47900000000004</v>
      </c>
      <c r="F284" s="32">
        <v>1150</v>
      </c>
      <c r="G284" s="32">
        <v>100</v>
      </c>
      <c r="H284" s="40">
        <v>600</v>
      </c>
      <c r="I284" s="32">
        <v>695</v>
      </c>
      <c r="J284" s="32">
        <v>50</v>
      </c>
      <c r="K284" s="33"/>
      <c r="L284" s="33"/>
      <c r="M284" s="33"/>
      <c r="N284" s="33"/>
      <c r="O284" s="33"/>
      <c r="P284" s="33"/>
      <c r="Q284" s="33"/>
      <c r="R284" s="33"/>
      <c r="S284" s="33"/>
      <c r="T284" s="33"/>
    </row>
    <row r="285" spans="1:20" ht="15.6">
      <c r="A285" s="13">
        <v>50770</v>
      </c>
      <c r="B285" s="41">
        <v>31</v>
      </c>
      <c r="C285" s="32">
        <v>122.58</v>
      </c>
      <c r="D285" s="32">
        <v>297.94099999999997</v>
      </c>
      <c r="E285" s="38">
        <v>729.47900000000004</v>
      </c>
      <c r="F285" s="32">
        <v>1150</v>
      </c>
      <c r="G285" s="32">
        <v>100</v>
      </c>
      <c r="H285" s="40">
        <v>600</v>
      </c>
      <c r="I285" s="32">
        <v>695</v>
      </c>
      <c r="J285" s="32">
        <v>50</v>
      </c>
      <c r="K285" s="33"/>
      <c r="L285" s="33"/>
      <c r="M285" s="33"/>
      <c r="N285" s="33"/>
      <c r="O285" s="33"/>
      <c r="P285" s="33"/>
      <c r="Q285" s="33"/>
      <c r="R285" s="33"/>
      <c r="S285" s="33"/>
      <c r="T285" s="33"/>
    </row>
    <row r="286" spans="1:20" ht="15.6">
      <c r="A286" s="13">
        <v>50801</v>
      </c>
      <c r="B286" s="41">
        <v>31</v>
      </c>
      <c r="C286" s="32">
        <v>122.58</v>
      </c>
      <c r="D286" s="32">
        <v>297.94099999999997</v>
      </c>
      <c r="E286" s="38">
        <v>729.47900000000004</v>
      </c>
      <c r="F286" s="32">
        <v>1150</v>
      </c>
      <c r="G286" s="32">
        <v>100</v>
      </c>
      <c r="H286" s="40">
        <v>600</v>
      </c>
      <c r="I286" s="32">
        <v>695</v>
      </c>
      <c r="J286" s="32">
        <v>50</v>
      </c>
      <c r="K286" s="33"/>
      <c r="L286" s="33"/>
      <c r="M286" s="33"/>
      <c r="N286" s="33"/>
      <c r="O286" s="33"/>
      <c r="P286" s="33"/>
      <c r="Q286" s="33"/>
      <c r="R286" s="33"/>
      <c r="S286" s="33"/>
      <c r="T286" s="33"/>
    </row>
    <row r="287" spans="1:20" ht="15.6">
      <c r="A287" s="13">
        <v>50829</v>
      </c>
      <c r="B287" s="41">
        <v>28</v>
      </c>
      <c r="C287" s="32">
        <v>122.58</v>
      </c>
      <c r="D287" s="32">
        <v>297.94099999999997</v>
      </c>
      <c r="E287" s="38">
        <v>729.47900000000004</v>
      </c>
      <c r="F287" s="32">
        <v>1150</v>
      </c>
      <c r="G287" s="32">
        <v>100</v>
      </c>
      <c r="H287" s="40">
        <v>600</v>
      </c>
      <c r="I287" s="32">
        <v>695</v>
      </c>
      <c r="J287" s="32">
        <v>50</v>
      </c>
      <c r="K287" s="33"/>
      <c r="L287" s="33"/>
      <c r="M287" s="33"/>
      <c r="N287" s="33"/>
      <c r="O287" s="33"/>
      <c r="P287" s="33"/>
      <c r="Q287" s="33"/>
      <c r="R287" s="33"/>
      <c r="S287" s="33"/>
      <c r="T287" s="33"/>
    </row>
    <row r="288" spans="1:20" ht="15.6">
      <c r="A288" s="13">
        <v>50860</v>
      </c>
      <c r="B288" s="41">
        <v>31</v>
      </c>
      <c r="C288" s="32">
        <v>122.58</v>
      </c>
      <c r="D288" s="32">
        <v>297.94099999999997</v>
      </c>
      <c r="E288" s="38">
        <v>729.47900000000004</v>
      </c>
      <c r="F288" s="32">
        <v>1150</v>
      </c>
      <c r="G288" s="32">
        <v>100</v>
      </c>
      <c r="H288" s="40">
        <v>600</v>
      </c>
      <c r="I288" s="32">
        <v>695</v>
      </c>
      <c r="J288" s="32">
        <v>50</v>
      </c>
      <c r="K288" s="33"/>
      <c r="L288" s="33"/>
      <c r="M288" s="33"/>
      <c r="N288" s="33"/>
      <c r="O288" s="33"/>
      <c r="P288" s="33"/>
      <c r="Q288" s="33"/>
      <c r="R288" s="33"/>
      <c r="S288" s="33"/>
      <c r="T288" s="33"/>
    </row>
    <row r="289" spans="1:20" ht="15.6">
      <c r="A289" s="13">
        <v>50890</v>
      </c>
      <c r="B289" s="41">
        <v>30</v>
      </c>
      <c r="C289" s="32">
        <v>141.29300000000001</v>
      </c>
      <c r="D289" s="32">
        <v>267.99299999999999</v>
      </c>
      <c r="E289" s="38">
        <v>829.71400000000006</v>
      </c>
      <c r="F289" s="32">
        <v>1239</v>
      </c>
      <c r="G289" s="32">
        <v>100</v>
      </c>
      <c r="H289" s="40">
        <v>600</v>
      </c>
      <c r="I289" s="32">
        <v>695</v>
      </c>
      <c r="J289" s="32">
        <v>50</v>
      </c>
      <c r="K289" s="33"/>
      <c r="L289" s="33"/>
      <c r="M289" s="33"/>
      <c r="N289" s="33"/>
      <c r="O289" s="33"/>
      <c r="P289" s="33"/>
      <c r="Q289" s="33"/>
      <c r="R289" s="33"/>
      <c r="S289" s="33"/>
      <c r="T289" s="33"/>
    </row>
    <row r="290" spans="1:20" ht="15.6">
      <c r="A290" s="13">
        <v>50921</v>
      </c>
      <c r="B290" s="41">
        <v>31</v>
      </c>
      <c r="C290" s="32">
        <v>194.20500000000001</v>
      </c>
      <c r="D290" s="32">
        <v>267.46600000000001</v>
      </c>
      <c r="E290" s="38">
        <v>812.32899999999995</v>
      </c>
      <c r="F290" s="32">
        <v>1274</v>
      </c>
      <c r="G290" s="32">
        <v>75</v>
      </c>
      <c r="H290" s="40">
        <v>600</v>
      </c>
      <c r="I290" s="32">
        <v>695</v>
      </c>
      <c r="J290" s="32">
        <v>50</v>
      </c>
      <c r="K290" s="33"/>
      <c r="L290" s="33"/>
      <c r="M290" s="33"/>
      <c r="N290" s="33"/>
      <c r="O290" s="33"/>
      <c r="P290" s="33"/>
      <c r="Q290" s="33"/>
      <c r="R290" s="33"/>
      <c r="S290" s="33"/>
      <c r="T290" s="33"/>
    </row>
    <row r="291" spans="1:20" ht="15.6">
      <c r="A291" s="13">
        <v>50951</v>
      </c>
      <c r="B291" s="41">
        <v>30</v>
      </c>
      <c r="C291" s="32">
        <v>194.20500000000001</v>
      </c>
      <c r="D291" s="32">
        <v>267.46600000000001</v>
      </c>
      <c r="E291" s="38">
        <v>812.32899999999995</v>
      </c>
      <c r="F291" s="32">
        <v>1274</v>
      </c>
      <c r="G291" s="32">
        <v>50</v>
      </c>
      <c r="H291" s="40">
        <v>600</v>
      </c>
      <c r="I291" s="32">
        <v>695</v>
      </c>
      <c r="J291" s="32">
        <v>50</v>
      </c>
      <c r="K291" s="33"/>
      <c r="L291" s="33"/>
      <c r="M291" s="33"/>
      <c r="N291" s="33"/>
      <c r="O291" s="33"/>
      <c r="P291" s="33"/>
      <c r="Q291" s="33"/>
      <c r="R291" s="33"/>
      <c r="S291" s="33"/>
      <c r="T291" s="33"/>
    </row>
    <row r="292" spans="1:20" ht="15.6">
      <c r="A292" s="13">
        <v>50982</v>
      </c>
      <c r="B292" s="41">
        <v>31</v>
      </c>
      <c r="C292" s="32">
        <v>194.20500000000001</v>
      </c>
      <c r="D292" s="32">
        <v>267.46600000000001</v>
      </c>
      <c r="E292" s="38">
        <v>812.32899999999995</v>
      </c>
      <c r="F292" s="32">
        <v>1274</v>
      </c>
      <c r="G292" s="32">
        <v>50</v>
      </c>
      <c r="H292" s="40">
        <v>600</v>
      </c>
      <c r="I292" s="32">
        <v>695</v>
      </c>
      <c r="J292" s="32">
        <v>0</v>
      </c>
      <c r="K292" s="33"/>
      <c r="L292" s="33"/>
      <c r="M292" s="33"/>
      <c r="N292" s="33"/>
      <c r="O292" s="33"/>
      <c r="P292" s="33"/>
      <c r="Q292" s="33"/>
      <c r="R292" s="33"/>
      <c r="S292" s="33"/>
      <c r="T292" s="33"/>
    </row>
    <row r="293" spans="1:20" ht="15.6">
      <c r="A293" s="13">
        <v>51013</v>
      </c>
      <c r="B293" s="41">
        <v>31</v>
      </c>
      <c r="C293" s="32">
        <v>194.20500000000001</v>
      </c>
      <c r="D293" s="32">
        <v>267.46600000000001</v>
      </c>
      <c r="E293" s="38">
        <v>812.32899999999995</v>
      </c>
      <c r="F293" s="32">
        <v>1274</v>
      </c>
      <c r="G293" s="32">
        <v>50</v>
      </c>
      <c r="H293" s="40">
        <v>600</v>
      </c>
      <c r="I293" s="32">
        <v>695</v>
      </c>
      <c r="J293" s="32">
        <v>0</v>
      </c>
      <c r="K293" s="33"/>
      <c r="L293" s="33"/>
      <c r="M293" s="33"/>
      <c r="N293" s="33"/>
      <c r="O293" s="33"/>
      <c r="P293" s="33"/>
      <c r="Q293" s="33"/>
      <c r="R293" s="33"/>
      <c r="S293" s="33"/>
      <c r="T293" s="33"/>
    </row>
    <row r="294" spans="1:20" ht="15.6">
      <c r="A294" s="13">
        <v>51043</v>
      </c>
      <c r="B294" s="41">
        <v>30</v>
      </c>
      <c r="C294" s="32">
        <v>194.20500000000001</v>
      </c>
      <c r="D294" s="32">
        <v>267.46600000000001</v>
      </c>
      <c r="E294" s="38">
        <v>812.32899999999995</v>
      </c>
      <c r="F294" s="32">
        <v>1274</v>
      </c>
      <c r="G294" s="32">
        <v>50</v>
      </c>
      <c r="H294" s="40">
        <v>600</v>
      </c>
      <c r="I294" s="32">
        <v>695</v>
      </c>
      <c r="J294" s="32">
        <v>0</v>
      </c>
      <c r="K294" s="33"/>
      <c r="L294" s="33"/>
      <c r="M294" s="33"/>
      <c r="N294" s="33"/>
      <c r="O294" s="33"/>
      <c r="P294" s="33"/>
      <c r="Q294" s="33"/>
      <c r="R294" s="33"/>
      <c r="S294" s="33"/>
      <c r="T294" s="33"/>
    </row>
    <row r="295" spans="1:20" ht="15.6">
      <c r="A295" s="13">
        <v>51074</v>
      </c>
      <c r="B295" s="41">
        <v>31</v>
      </c>
      <c r="C295" s="32">
        <v>131.881</v>
      </c>
      <c r="D295" s="32">
        <v>277.16699999999997</v>
      </c>
      <c r="E295" s="38">
        <v>829.952</v>
      </c>
      <c r="F295" s="32">
        <v>1239</v>
      </c>
      <c r="G295" s="32">
        <v>75</v>
      </c>
      <c r="H295" s="40">
        <v>600</v>
      </c>
      <c r="I295" s="32">
        <v>695</v>
      </c>
      <c r="J295" s="32">
        <v>0</v>
      </c>
      <c r="K295" s="33"/>
      <c r="L295" s="33"/>
      <c r="M295" s="33"/>
      <c r="N295" s="33"/>
      <c r="O295" s="33"/>
      <c r="P295" s="33"/>
      <c r="Q295" s="33"/>
      <c r="R295" s="33"/>
      <c r="S295" s="33"/>
      <c r="T295" s="33"/>
    </row>
    <row r="296" spans="1:20" ht="15.6">
      <c r="A296" s="13">
        <v>51104</v>
      </c>
      <c r="B296" s="41">
        <v>30</v>
      </c>
      <c r="C296" s="32">
        <v>122.58</v>
      </c>
      <c r="D296" s="32">
        <v>297.94099999999997</v>
      </c>
      <c r="E296" s="38">
        <v>729.47900000000004</v>
      </c>
      <c r="F296" s="32">
        <v>1150</v>
      </c>
      <c r="G296" s="32">
        <v>100</v>
      </c>
      <c r="H296" s="40">
        <v>600</v>
      </c>
      <c r="I296" s="32">
        <v>695</v>
      </c>
      <c r="J296" s="32">
        <v>50</v>
      </c>
      <c r="K296" s="33"/>
      <c r="L296" s="33"/>
      <c r="M296" s="33"/>
      <c r="N296" s="33"/>
      <c r="O296" s="33"/>
      <c r="P296" s="33"/>
      <c r="Q296" s="33"/>
      <c r="R296" s="33"/>
      <c r="S296" s="33"/>
      <c r="T296" s="33"/>
    </row>
    <row r="297" spans="1:20" ht="15.6">
      <c r="A297" s="13">
        <v>51135</v>
      </c>
      <c r="B297" s="41">
        <v>31</v>
      </c>
      <c r="C297" s="32">
        <v>122.58</v>
      </c>
      <c r="D297" s="32">
        <v>297.94099999999997</v>
      </c>
      <c r="E297" s="38">
        <v>729.47900000000004</v>
      </c>
      <c r="F297" s="32">
        <v>1150</v>
      </c>
      <c r="G297" s="32">
        <v>100</v>
      </c>
      <c r="H297" s="40">
        <v>600</v>
      </c>
      <c r="I297" s="32">
        <v>695</v>
      </c>
      <c r="J297" s="32">
        <v>50</v>
      </c>
      <c r="K297" s="33"/>
      <c r="L297" s="33"/>
      <c r="M297" s="33"/>
      <c r="N297" s="33"/>
      <c r="O297" s="33"/>
      <c r="P297" s="33"/>
      <c r="Q297" s="33"/>
      <c r="R297" s="33"/>
      <c r="S297" s="33"/>
      <c r="T297" s="33"/>
    </row>
    <row r="298" spans="1:20" ht="15.6">
      <c r="A298" s="13">
        <v>51166</v>
      </c>
      <c r="B298" s="41">
        <v>31</v>
      </c>
      <c r="C298" s="32">
        <v>122.58</v>
      </c>
      <c r="D298" s="32">
        <v>297.94099999999997</v>
      </c>
      <c r="E298" s="38">
        <v>729.47900000000004</v>
      </c>
      <c r="F298" s="32">
        <v>1150</v>
      </c>
      <c r="G298" s="32">
        <v>100</v>
      </c>
      <c r="H298" s="40">
        <v>600</v>
      </c>
      <c r="I298" s="32">
        <v>695</v>
      </c>
      <c r="J298" s="32">
        <v>50</v>
      </c>
      <c r="K298" s="33"/>
      <c r="L298" s="33"/>
      <c r="M298" s="33"/>
      <c r="N298" s="33"/>
      <c r="O298" s="33"/>
      <c r="P298" s="33"/>
      <c r="Q298" s="33"/>
      <c r="R298" s="33"/>
      <c r="S298" s="33"/>
      <c r="T298" s="33"/>
    </row>
    <row r="299" spans="1:20" ht="15.6">
      <c r="A299" s="13">
        <v>51194</v>
      </c>
      <c r="B299" s="41">
        <v>29</v>
      </c>
      <c r="C299" s="32">
        <v>122.58</v>
      </c>
      <c r="D299" s="32">
        <v>297.94099999999997</v>
      </c>
      <c r="E299" s="38">
        <v>729.47900000000004</v>
      </c>
      <c r="F299" s="32">
        <v>1150</v>
      </c>
      <c r="G299" s="32">
        <v>100</v>
      </c>
      <c r="H299" s="40">
        <v>600</v>
      </c>
      <c r="I299" s="32">
        <v>695</v>
      </c>
      <c r="J299" s="32">
        <v>50</v>
      </c>
      <c r="K299" s="33"/>
      <c r="L299" s="33"/>
      <c r="M299" s="33"/>
      <c r="N299" s="33"/>
      <c r="O299" s="33"/>
      <c r="P299" s="33"/>
      <c r="Q299" s="33"/>
      <c r="R299" s="33"/>
      <c r="S299" s="33"/>
      <c r="T299" s="33"/>
    </row>
    <row r="300" spans="1:20" ht="15.6">
      <c r="A300" s="13">
        <v>51226</v>
      </c>
      <c r="B300" s="41">
        <v>31</v>
      </c>
      <c r="C300" s="32">
        <v>122.58</v>
      </c>
      <c r="D300" s="32">
        <v>297.94099999999997</v>
      </c>
      <c r="E300" s="38">
        <v>729.47900000000004</v>
      </c>
      <c r="F300" s="32">
        <v>1150</v>
      </c>
      <c r="G300" s="32">
        <v>100</v>
      </c>
      <c r="H300" s="40">
        <v>600</v>
      </c>
      <c r="I300" s="32">
        <v>695</v>
      </c>
      <c r="J300" s="32">
        <v>50</v>
      </c>
      <c r="K300" s="33"/>
      <c r="L300" s="33"/>
      <c r="M300" s="33"/>
      <c r="N300" s="33"/>
      <c r="O300" s="33"/>
      <c r="P300" s="33"/>
      <c r="Q300" s="33"/>
      <c r="R300" s="33"/>
      <c r="S300" s="33"/>
      <c r="T300" s="33"/>
    </row>
    <row r="301" spans="1:20" ht="15.6">
      <c r="A301" s="13">
        <v>51256</v>
      </c>
      <c r="B301" s="41">
        <v>30</v>
      </c>
      <c r="C301" s="32">
        <v>141.29300000000001</v>
      </c>
      <c r="D301" s="32">
        <v>267.99299999999999</v>
      </c>
      <c r="E301" s="38">
        <v>829.71400000000006</v>
      </c>
      <c r="F301" s="32">
        <v>1239</v>
      </c>
      <c r="G301" s="32">
        <v>100</v>
      </c>
      <c r="H301" s="40">
        <v>600</v>
      </c>
      <c r="I301" s="32">
        <v>695</v>
      </c>
      <c r="J301" s="32">
        <v>50</v>
      </c>
      <c r="K301" s="33"/>
      <c r="L301" s="33"/>
      <c r="M301" s="33"/>
      <c r="N301" s="33"/>
      <c r="O301" s="33"/>
      <c r="P301" s="33"/>
      <c r="Q301" s="33"/>
      <c r="R301" s="33"/>
      <c r="S301" s="33"/>
      <c r="T301" s="33"/>
    </row>
    <row r="302" spans="1:20" ht="15.6">
      <c r="A302" s="13">
        <v>51287</v>
      </c>
      <c r="B302" s="41">
        <v>31</v>
      </c>
      <c r="C302" s="32">
        <v>194.20500000000001</v>
      </c>
      <c r="D302" s="32">
        <v>267.46600000000001</v>
      </c>
      <c r="E302" s="38">
        <v>812.32899999999995</v>
      </c>
      <c r="F302" s="32">
        <v>1274</v>
      </c>
      <c r="G302" s="32">
        <v>75</v>
      </c>
      <c r="H302" s="40">
        <v>600</v>
      </c>
      <c r="I302" s="32">
        <v>695</v>
      </c>
      <c r="J302" s="32">
        <v>50</v>
      </c>
      <c r="K302" s="33"/>
      <c r="L302" s="33"/>
      <c r="M302" s="33"/>
      <c r="N302" s="33"/>
      <c r="O302" s="33"/>
      <c r="P302" s="33"/>
      <c r="Q302" s="33"/>
      <c r="R302" s="33"/>
      <c r="S302" s="33"/>
      <c r="T302" s="33"/>
    </row>
    <row r="303" spans="1:20" ht="15.6">
      <c r="A303" s="13">
        <v>51317</v>
      </c>
      <c r="B303" s="41">
        <v>30</v>
      </c>
      <c r="C303" s="32">
        <v>194.20500000000001</v>
      </c>
      <c r="D303" s="32">
        <v>267.46600000000001</v>
      </c>
      <c r="E303" s="38">
        <v>812.32899999999995</v>
      </c>
      <c r="F303" s="32">
        <v>1274</v>
      </c>
      <c r="G303" s="32">
        <v>50</v>
      </c>
      <c r="H303" s="40">
        <v>600</v>
      </c>
      <c r="I303" s="32">
        <v>695</v>
      </c>
      <c r="J303" s="32">
        <v>50</v>
      </c>
      <c r="K303" s="33"/>
      <c r="L303" s="33"/>
      <c r="M303" s="33"/>
      <c r="N303" s="33"/>
      <c r="O303" s="33"/>
      <c r="P303" s="33"/>
      <c r="Q303" s="33"/>
      <c r="R303" s="33"/>
      <c r="S303" s="33"/>
      <c r="T303" s="33"/>
    </row>
    <row r="304" spans="1:20" ht="15.6">
      <c r="A304" s="13">
        <v>51348</v>
      </c>
      <c r="B304" s="41">
        <v>31</v>
      </c>
      <c r="C304" s="32">
        <v>194.20500000000001</v>
      </c>
      <c r="D304" s="32">
        <v>267.46600000000001</v>
      </c>
      <c r="E304" s="38">
        <v>812.32899999999995</v>
      </c>
      <c r="F304" s="32">
        <v>1274</v>
      </c>
      <c r="G304" s="32">
        <v>50</v>
      </c>
      <c r="H304" s="40">
        <v>600</v>
      </c>
      <c r="I304" s="32">
        <v>695</v>
      </c>
      <c r="J304" s="32">
        <v>0</v>
      </c>
      <c r="K304" s="33"/>
      <c r="L304" s="33"/>
      <c r="M304" s="33"/>
      <c r="N304" s="33"/>
      <c r="O304" s="33"/>
      <c r="P304" s="33"/>
      <c r="Q304" s="33"/>
      <c r="R304" s="33"/>
      <c r="S304" s="33"/>
      <c r="T304" s="33"/>
    </row>
    <row r="305" spans="1:20" ht="15.6">
      <c r="A305" s="13">
        <v>51379</v>
      </c>
      <c r="B305" s="41">
        <v>31</v>
      </c>
      <c r="C305" s="32">
        <v>194.20500000000001</v>
      </c>
      <c r="D305" s="32">
        <v>267.46600000000001</v>
      </c>
      <c r="E305" s="38">
        <v>812.32899999999995</v>
      </c>
      <c r="F305" s="32">
        <v>1274</v>
      </c>
      <c r="G305" s="32">
        <v>50</v>
      </c>
      <c r="H305" s="40">
        <v>600</v>
      </c>
      <c r="I305" s="32">
        <v>695</v>
      </c>
      <c r="J305" s="32">
        <v>0</v>
      </c>
      <c r="K305" s="33"/>
      <c r="L305" s="33"/>
      <c r="M305" s="33"/>
      <c r="N305" s="33"/>
      <c r="O305" s="33"/>
      <c r="P305" s="33"/>
      <c r="Q305" s="33"/>
      <c r="R305" s="33"/>
      <c r="S305" s="33"/>
      <c r="T305" s="33"/>
    </row>
    <row r="306" spans="1:20" ht="15.6">
      <c r="A306" s="13">
        <v>51409</v>
      </c>
      <c r="B306" s="41">
        <v>30</v>
      </c>
      <c r="C306" s="32">
        <v>194.20500000000001</v>
      </c>
      <c r="D306" s="32">
        <v>267.46600000000001</v>
      </c>
      <c r="E306" s="38">
        <v>812.32899999999995</v>
      </c>
      <c r="F306" s="32">
        <v>1274</v>
      </c>
      <c r="G306" s="32">
        <v>50</v>
      </c>
      <c r="H306" s="40">
        <v>600</v>
      </c>
      <c r="I306" s="32">
        <v>695</v>
      </c>
      <c r="J306" s="32">
        <v>0</v>
      </c>
      <c r="K306" s="33"/>
      <c r="L306" s="33"/>
      <c r="M306" s="33"/>
      <c r="N306" s="33"/>
      <c r="O306" s="33"/>
      <c r="P306" s="33"/>
      <c r="Q306" s="33"/>
      <c r="R306" s="33"/>
      <c r="S306" s="33"/>
      <c r="T306" s="33"/>
    </row>
    <row r="307" spans="1:20" ht="15.6">
      <c r="A307" s="13">
        <v>51440</v>
      </c>
      <c r="B307" s="41">
        <v>31</v>
      </c>
      <c r="C307" s="32">
        <v>131.881</v>
      </c>
      <c r="D307" s="32">
        <v>277.16699999999997</v>
      </c>
      <c r="E307" s="38">
        <v>829.952</v>
      </c>
      <c r="F307" s="32">
        <v>1239</v>
      </c>
      <c r="G307" s="32">
        <v>75</v>
      </c>
      <c r="H307" s="40">
        <v>600</v>
      </c>
      <c r="I307" s="32">
        <v>695</v>
      </c>
      <c r="J307" s="32">
        <v>0</v>
      </c>
      <c r="K307" s="33"/>
      <c r="L307" s="33"/>
      <c r="M307" s="33"/>
      <c r="N307" s="33"/>
      <c r="O307" s="33"/>
      <c r="P307" s="33"/>
      <c r="Q307" s="33"/>
      <c r="R307" s="33"/>
      <c r="S307" s="33"/>
      <c r="T307" s="33"/>
    </row>
    <row r="308" spans="1:20" ht="15.6">
      <c r="A308" s="13">
        <v>51470</v>
      </c>
      <c r="B308" s="41">
        <v>30</v>
      </c>
      <c r="C308" s="32">
        <v>122.58</v>
      </c>
      <c r="D308" s="32">
        <v>297.94099999999997</v>
      </c>
      <c r="E308" s="38">
        <v>729.47900000000004</v>
      </c>
      <c r="F308" s="32">
        <v>1150</v>
      </c>
      <c r="G308" s="32">
        <v>100</v>
      </c>
      <c r="H308" s="40">
        <v>600</v>
      </c>
      <c r="I308" s="32">
        <v>695</v>
      </c>
      <c r="J308" s="32">
        <v>50</v>
      </c>
      <c r="K308" s="33"/>
      <c r="L308" s="33"/>
      <c r="M308" s="33"/>
      <c r="N308" s="33"/>
      <c r="O308" s="33"/>
      <c r="P308" s="33"/>
      <c r="Q308" s="33"/>
      <c r="R308" s="33"/>
      <c r="S308" s="33"/>
      <c r="T308" s="33"/>
    </row>
    <row r="309" spans="1:20" ht="15.6">
      <c r="A309" s="13">
        <v>51501</v>
      </c>
      <c r="B309" s="41">
        <v>31</v>
      </c>
      <c r="C309" s="32">
        <v>122.58</v>
      </c>
      <c r="D309" s="32">
        <v>297.94099999999997</v>
      </c>
      <c r="E309" s="38">
        <v>729.47900000000004</v>
      </c>
      <c r="F309" s="32">
        <v>1150</v>
      </c>
      <c r="G309" s="32">
        <v>100</v>
      </c>
      <c r="H309" s="40">
        <v>600</v>
      </c>
      <c r="I309" s="32">
        <v>695</v>
      </c>
      <c r="J309" s="32">
        <v>50</v>
      </c>
      <c r="K309" s="33"/>
      <c r="L309" s="33"/>
      <c r="M309" s="33"/>
      <c r="N309" s="33"/>
      <c r="O309" s="33"/>
      <c r="P309" s="33"/>
      <c r="Q309" s="33"/>
      <c r="R309" s="33"/>
      <c r="S309" s="33"/>
      <c r="T309" s="33"/>
    </row>
    <row r="310" spans="1:20" ht="15.6">
      <c r="A310" s="13">
        <v>51532</v>
      </c>
      <c r="B310" s="41">
        <v>31</v>
      </c>
      <c r="C310" s="32">
        <v>122.58</v>
      </c>
      <c r="D310" s="32">
        <v>297.94099999999997</v>
      </c>
      <c r="E310" s="38">
        <v>729.47900000000004</v>
      </c>
      <c r="F310" s="32">
        <v>1150</v>
      </c>
      <c r="G310" s="32">
        <v>100</v>
      </c>
      <c r="H310" s="40">
        <v>600</v>
      </c>
      <c r="I310" s="32">
        <v>695</v>
      </c>
      <c r="J310" s="32">
        <v>50</v>
      </c>
      <c r="K310" s="33"/>
      <c r="L310" s="33"/>
      <c r="M310" s="33"/>
      <c r="N310" s="33"/>
      <c r="O310" s="33"/>
      <c r="P310" s="33"/>
      <c r="Q310" s="33"/>
      <c r="R310" s="33"/>
      <c r="S310" s="33"/>
      <c r="T310" s="33"/>
    </row>
    <row r="311" spans="1:20" ht="15.6">
      <c r="A311" s="13">
        <v>51560</v>
      </c>
      <c r="B311" s="41">
        <v>28</v>
      </c>
      <c r="C311" s="32">
        <v>122.58</v>
      </c>
      <c r="D311" s="32">
        <v>297.94099999999997</v>
      </c>
      <c r="E311" s="38">
        <v>729.47900000000004</v>
      </c>
      <c r="F311" s="32">
        <v>1150</v>
      </c>
      <c r="G311" s="32">
        <v>100</v>
      </c>
      <c r="H311" s="40">
        <v>600</v>
      </c>
      <c r="I311" s="32">
        <v>695</v>
      </c>
      <c r="J311" s="32">
        <v>50</v>
      </c>
      <c r="K311" s="33"/>
      <c r="L311" s="33"/>
      <c r="M311" s="33"/>
      <c r="N311" s="33"/>
      <c r="O311" s="33"/>
      <c r="P311" s="33"/>
      <c r="Q311" s="33"/>
      <c r="R311" s="33"/>
      <c r="S311" s="33"/>
      <c r="T311" s="33"/>
    </row>
    <row r="312" spans="1:20" ht="15.6">
      <c r="A312" s="13">
        <v>51591</v>
      </c>
      <c r="B312" s="41">
        <v>31</v>
      </c>
      <c r="C312" s="32">
        <v>122.58</v>
      </c>
      <c r="D312" s="32">
        <v>297.94099999999997</v>
      </c>
      <c r="E312" s="38">
        <v>729.47900000000004</v>
      </c>
      <c r="F312" s="32">
        <v>1150</v>
      </c>
      <c r="G312" s="32">
        <v>100</v>
      </c>
      <c r="H312" s="40">
        <v>600</v>
      </c>
      <c r="I312" s="32">
        <v>695</v>
      </c>
      <c r="J312" s="32">
        <v>50</v>
      </c>
      <c r="K312" s="33"/>
      <c r="L312" s="33"/>
      <c r="M312" s="33"/>
      <c r="N312" s="33"/>
      <c r="O312" s="33"/>
      <c r="P312" s="33"/>
      <c r="Q312" s="33"/>
      <c r="R312" s="33"/>
      <c r="S312" s="33"/>
      <c r="T312" s="33"/>
    </row>
    <row r="313" spans="1:20" ht="15.6">
      <c r="A313" s="13">
        <v>51621</v>
      </c>
      <c r="B313" s="41">
        <v>30</v>
      </c>
      <c r="C313" s="32">
        <v>141.29300000000001</v>
      </c>
      <c r="D313" s="32">
        <v>267.99299999999999</v>
      </c>
      <c r="E313" s="38">
        <v>829.71400000000006</v>
      </c>
      <c r="F313" s="32">
        <v>1239</v>
      </c>
      <c r="G313" s="32">
        <v>100</v>
      </c>
      <c r="H313" s="40">
        <v>600</v>
      </c>
      <c r="I313" s="32">
        <v>695</v>
      </c>
      <c r="J313" s="32">
        <v>50</v>
      </c>
      <c r="K313" s="33"/>
      <c r="L313" s="33"/>
      <c r="M313" s="33"/>
      <c r="N313" s="33"/>
      <c r="O313" s="33"/>
      <c r="P313" s="33"/>
      <c r="Q313" s="33"/>
      <c r="R313" s="33"/>
      <c r="S313" s="33"/>
      <c r="T313" s="33"/>
    </row>
    <row r="314" spans="1:20" ht="15.6">
      <c r="A314" s="13">
        <v>51652</v>
      </c>
      <c r="B314" s="41">
        <v>31</v>
      </c>
      <c r="C314" s="32">
        <v>194.20500000000001</v>
      </c>
      <c r="D314" s="32">
        <v>267.46600000000001</v>
      </c>
      <c r="E314" s="38">
        <v>812.32899999999995</v>
      </c>
      <c r="F314" s="32">
        <v>1274</v>
      </c>
      <c r="G314" s="32">
        <v>75</v>
      </c>
      <c r="H314" s="40">
        <v>600</v>
      </c>
      <c r="I314" s="32">
        <v>695</v>
      </c>
      <c r="J314" s="32">
        <v>50</v>
      </c>
      <c r="K314" s="33"/>
      <c r="L314" s="33"/>
      <c r="M314" s="33"/>
      <c r="N314" s="33"/>
      <c r="O314" s="33"/>
      <c r="P314" s="33"/>
      <c r="Q314" s="33"/>
      <c r="R314" s="33"/>
      <c r="S314" s="33"/>
      <c r="T314" s="33"/>
    </row>
    <row r="315" spans="1:20" ht="15.6">
      <c r="A315" s="13">
        <v>51682</v>
      </c>
      <c r="B315" s="41">
        <v>30</v>
      </c>
      <c r="C315" s="32">
        <v>194.20500000000001</v>
      </c>
      <c r="D315" s="32">
        <v>267.46600000000001</v>
      </c>
      <c r="E315" s="38">
        <v>812.32899999999995</v>
      </c>
      <c r="F315" s="32">
        <v>1274</v>
      </c>
      <c r="G315" s="32">
        <v>50</v>
      </c>
      <c r="H315" s="40">
        <v>600</v>
      </c>
      <c r="I315" s="32">
        <v>695</v>
      </c>
      <c r="J315" s="32">
        <v>50</v>
      </c>
      <c r="K315" s="33"/>
      <c r="L315" s="33"/>
      <c r="M315" s="33"/>
      <c r="N315" s="33"/>
      <c r="O315" s="33"/>
      <c r="P315" s="33"/>
      <c r="Q315" s="33"/>
      <c r="R315" s="33"/>
      <c r="S315" s="33"/>
      <c r="T315" s="33"/>
    </row>
    <row r="316" spans="1:20" ht="15.6">
      <c r="A316" s="13">
        <v>51713</v>
      </c>
      <c r="B316" s="41">
        <v>31</v>
      </c>
      <c r="C316" s="32">
        <v>194.20500000000001</v>
      </c>
      <c r="D316" s="32">
        <v>267.46600000000001</v>
      </c>
      <c r="E316" s="38">
        <v>812.32899999999995</v>
      </c>
      <c r="F316" s="32">
        <v>1274</v>
      </c>
      <c r="G316" s="32">
        <v>50</v>
      </c>
      <c r="H316" s="40">
        <v>600</v>
      </c>
      <c r="I316" s="32">
        <v>695</v>
      </c>
      <c r="J316" s="32">
        <v>0</v>
      </c>
      <c r="K316" s="33"/>
      <c r="L316" s="33"/>
      <c r="M316" s="33"/>
      <c r="N316" s="33"/>
      <c r="O316" s="33"/>
      <c r="P316" s="33"/>
      <c r="Q316" s="33"/>
      <c r="R316" s="33"/>
      <c r="S316" s="33"/>
      <c r="T316" s="33"/>
    </row>
    <row r="317" spans="1:20" ht="15.6">
      <c r="A317" s="13">
        <v>51744</v>
      </c>
      <c r="B317" s="41">
        <v>31</v>
      </c>
      <c r="C317" s="32">
        <v>194.20500000000001</v>
      </c>
      <c r="D317" s="32">
        <v>267.46600000000001</v>
      </c>
      <c r="E317" s="38">
        <v>812.32899999999995</v>
      </c>
      <c r="F317" s="32">
        <v>1274</v>
      </c>
      <c r="G317" s="32">
        <v>50</v>
      </c>
      <c r="H317" s="40">
        <v>600</v>
      </c>
      <c r="I317" s="32">
        <v>695</v>
      </c>
      <c r="J317" s="32">
        <v>0</v>
      </c>
      <c r="K317" s="33"/>
      <c r="L317" s="33"/>
      <c r="M317" s="33"/>
      <c r="N317" s="33"/>
      <c r="O317" s="33"/>
      <c r="P317" s="33"/>
      <c r="Q317" s="33"/>
      <c r="R317" s="33"/>
      <c r="S317" s="33"/>
      <c r="T317" s="33"/>
    </row>
    <row r="318" spans="1:20" ht="15.6">
      <c r="A318" s="13">
        <v>51774</v>
      </c>
      <c r="B318" s="41">
        <v>30</v>
      </c>
      <c r="C318" s="32">
        <v>194.20500000000001</v>
      </c>
      <c r="D318" s="32">
        <v>267.46600000000001</v>
      </c>
      <c r="E318" s="38">
        <v>812.32899999999995</v>
      </c>
      <c r="F318" s="32">
        <v>1274</v>
      </c>
      <c r="G318" s="32">
        <v>50</v>
      </c>
      <c r="H318" s="40">
        <v>600</v>
      </c>
      <c r="I318" s="32">
        <v>695</v>
      </c>
      <c r="J318" s="32">
        <v>0</v>
      </c>
      <c r="K318" s="33"/>
      <c r="L318" s="33"/>
      <c r="M318" s="33"/>
      <c r="N318" s="33"/>
      <c r="O318" s="33"/>
      <c r="P318" s="33"/>
      <c r="Q318" s="33"/>
      <c r="R318" s="33"/>
      <c r="S318" s="33"/>
      <c r="T318" s="33"/>
    </row>
    <row r="319" spans="1:20" ht="15.6">
      <c r="A319" s="13">
        <v>51805</v>
      </c>
      <c r="B319" s="41">
        <v>31</v>
      </c>
      <c r="C319" s="32">
        <v>131.881</v>
      </c>
      <c r="D319" s="32">
        <v>277.16699999999997</v>
      </c>
      <c r="E319" s="38">
        <v>829.952</v>
      </c>
      <c r="F319" s="32">
        <v>1239</v>
      </c>
      <c r="G319" s="32">
        <v>75</v>
      </c>
      <c r="H319" s="40">
        <v>600</v>
      </c>
      <c r="I319" s="32">
        <v>695</v>
      </c>
      <c r="J319" s="32">
        <v>0</v>
      </c>
      <c r="K319" s="33"/>
      <c r="L319" s="33"/>
      <c r="M319" s="33"/>
      <c r="N319" s="33"/>
      <c r="O319" s="33"/>
      <c r="P319" s="33"/>
      <c r="Q319" s="33"/>
      <c r="R319" s="33"/>
      <c r="S319" s="33"/>
      <c r="T319" s="33"/>
    </row>
    <row r="320" spans="1:20" ht="15.6">
      <c r="A320" s="13">
        <v>51835</v>
      </c>
      <c r="B320" s="41">
        <v>30</v>
      </c>
      <c r="C320" s="32">
        <v>122.58</v>
      </c>
      <c r="D320" s="32">
        <v>297.94099999999997</v>
      </c>
      <c r="E320" s="38">
        <v>729.47900000000004</v>
      </c>
      <c r="F320" s="32">
        <v>1150</v>
      </c>
      <c r="G320" s="32">
        <v>100</v>
      </c>
      <c r="H320" s="40">
        <v>600</v>
      </c>
      <c r="I320" s="32">
        <v>695</v>
      </c>
      <c r="J320" s="32">
        <v>50</v>
      </c>
      <c r="K320" s="33"/>
      <c r="L320" s="33"/>
      <c r="M320" s="33"/>
      <c r="N320" s="33"/>
      <c r="O320" s="33"/>
      <c r="P320" s="33"/>
      <c r="Q320" s="33"/>
      <c r="R320" s="33"/>
      <c r="S320" s="33"/>
      <c r="T320" s="33"/>
    </row>
    <row r="321" spans="1:20" ht="15.6">
      <c r="A321" s="13">
        <v>51866</v>
      </c>
      <c r="B321" s="41">
        <v>31</v>
      </c>
      <c r="C321" s="32">
        <v>122.58</v>
      </c>
      <c r="D321" s="32">
        <v>297.94099999999997</v>
      </c>
      <c r="E321" s="38">
        <v>729.47900000000004</v>
      </c>
      <c r="F321" s="32">
        <v>1150</v>
      </c>
      <c r="G321" s="32">
        <v>100</v>
      </c>
      <c r="H321" s="40">
        <v>600</v>
      </c>
      <c r="I321" s="32">
        <v>695</v>
      </c>
      <c r="J321" s="32">
        <v>50</v>
      </c>
      <c r="K321" s="33"/>
      <c r="L321" s="33"/>
      <c r="M321" s="33"/>
      <c r="N321" s="33"/>
      <c r="O321" s="33"/>
      <c r="P321" s="33"/>
      <c r="Q321" s="33"/>
      <c r="R321" s="33"/>
      <c r="S321" s="33"/>
      <c r="T321" s="33"/>
    </row>
    <row r="322" spans="1:20" ht="15.6">
      <c r="A322" s="13">
        <v>51897</v>
      </c>
      <c r="B322" s="41">
        <v>31</v>
      </c>
      <c r="C322" s="32">
        <v>122.58</v>
      </c>
      <c r="D322" s="32">
        <v>297.94099999999997</v>
      </c>
      <c r="E322" s="38">
        <v>729.47900000000004</v>
      </c>
      <c r="F322" s="32">
        <v>1150</v>
      </c>
      <c r="G322" s="32">
        <v>100</v>
      </c>
      <c r="H322" s="40">
        <v>600</v>
      </c>
      <c r="I322" s="32">
        <v>695</v>
      </c>
      <c r="J322" s="32">
        <v>50</v>
      </c>
      <c r="K322" s="33"/>
      <c r="L322" s="33"/>
      <c r="M322" s="33"/>
      <c r="N322" s="33"/>
      <c r="O322" s="33"/>
      <c r="P322" s="33"/>
      <c r="Q322" s="33"/>
      <c r="R322" s="33"/>
      <c r="S322" s="33"/>
      <c r="T322" s="33"/>
    </row>
    <row r="323" spans="1:20" ht="15.6">
      <c r="A323" s="13">
        <v>51925</v>
      </c>
      <c r="B323" s="41">
        <v>28</v>
      </c>
      <c r="C323" s="32">
        <v>122.58</v>
      </c>
      <c r="D323" s="32">
        <v>297.94099999999997</v>
      </c>
      <c r="E323" s="38">
        <v>729.47900000000004</v>
      </c>
      <c r="F323" s="32">
        <v>1150</v>
      </c>
      <c r="G323" s="32">
        <v>100</v>
      </c>
      <c r="H323" s="40">
        <v>600</v>
      </c>
      <c r="I323" s="32">
        <v>695</v>
      </c>
      <c r="J323" s="32">
        <v>50</v>
      </c>
      <c r="K323" s="33"/>
      <c r="L323" s="33"/>
      <c r="M323" s="33"/>
      <c r="N323" s="33"/>
      <c r="O323" s="33"/>
      <c r="P323" s="33"/>
      <c r="Q323" s="33"/>
      <c r="R323" s="33"/>
      <c r="S323" s="33"/>
      <c r="T323" s="33"/>
    </row>
    <row r="324" spans="1:20" ht="15.6">
      <c r="A324" s="13">
        <v>51956</v>
      </c>
      <c r="B324" s="41">
        <v>31</v>
      </c>
      <c r="C324" s="32">
        <v>122.58</v>
      </c>
      <c r="D324" s="32">
        <v>297.94099999999997</v>
      </c>
      <c r="E324" s="38">
        <v>729.47900000000004</v>
      </c>
      <c r="F324" s="32">
        <v>1150</v>
      </c>
      <c r="G324" s="32">
        <v>100</v>
      </c>
      <c r="H324" s="40">
        <v>600</v>
      </c>
      <c r="I324" s="32">
        <v>695</v>
      </c>
      <c r="J324" s="32">
        <v>50</v>
      </c>
      <c r="K324" s="33"/>
      <c r="L324" s="33"/>
      <c r="M324" s="33"/>
      <c r="N324" s="33"/>
      <c r="O324" s="33"/>
      <c r="P324" s="33"/>
      <c r="Q324" s="33"/>
      <c r="R324" s="33"/>
      <c r="S324" s="33"/>
      <c r="T324" s="33"/>
    </row>
    <row r="325" spans="1:20" ht="15.6">
      <c r="A325" s="13">
        <v>51986</v>
      </c>
      <c r="B325" s="41">
        <v>30</v>
      </c>
      <c r="C325" s="32">
        <v>141.29300000000001</v>
      </c>
      <c r="D325" s="32">
        <v>267.99299999999999</v>
      </c>
      <c r="E325" s="38">
        <v>829.71400000000006</v>
      </c>
      <c r="F325" s="32">
        <v>1239</v>
      </c>
      <c r="G325" s="32">
        <v>100</v>
      </c>
      <c r="H325" s="40">
        <v>600</v>
      </c>
      <c r="I325" s="32">
        <v>695</v>
      </c>
      <c r="J325" s="32">
        <v>50</v>
      </c>
      <c r="K325" s="33"/>
      <c r="L325" s="33"/>
      <c r="M325" s="33"/>
      <c r="N325" s="33"/>
      <c r="O325" s="33"/>
      <c r="P325" s="33"/>
      <c r="Q325" s="33"/>
      <c r="R325" s="33"/>
      <c r="S325" s="33"/>
      <c r="T325" s="33"/>
    </row>
    <row r="326" spans="1:20" ht="15.6">
      <c r="A326" s="13">
        <v>52017</v>
      </c>
      <c r="B326" s="41">
        <v>31</v>
      </c>
      <c r="C326" s="32">
        <v>194.20500000000001</v>
      </c>
      <c r="D326" s="32">
        <v>267.46600000000001</v>
      </c>
      <c r="E326" s="38">
        <v>812.32899999999995</v>
      </c>
      <c r="F326" s="32">
        <v>1274</v>
      </c>
      <c r="G326" s="32">
        <v>75</v>
      </c>
      <c r="H326" s="40">
        <v>600</v>
      </c>
      <c r="I326" s="32">
        <v>695</v>
      </c>
      <c r="J326" s="32">
        <v>50</v>
      </c>
      <c r="K326" s="33"/>
      <c r="L326" s="33"/>
      <c r="M326" s="33"/>
      <c r="N326" s="33"/>
      <c r="O326" s="33"/>
      <c r="P326" s="33"/>
      <c r="Q326" s="33"/>
      <c r="R326" s="33"/>
      <c r="S326" s="33"/>
      <c r="T326" s="33"/>
    </row>
    <row r="327" spans="1:20" ht="15.6">
      <c r="A327" s="13">
        <v>52047</v>
      </c>
      <c r="B327" s="41">
        <v>30</v>
      </c>
      <c r="C327" s="32">
        <v>194.20500000000001</v>
      </c>
      <c r="D327" s="32">
        <v>267.46600000000001</v>
      </c>
      <c r="E327" s="38">
        <v>812.32899999999995</v>
      </c>
      <c r="F327" s="32">
        <v>1274</v>
      </c>
      <c r="G327" s="32">
        <v>50</v>
      </c>
      <c r="H327" s="40">
        <v>600</v>
      </c>
      <c r="I327" s="32">
        <v>695</v>
      </c>
      <c r="J327" s="32">
        <v>50</v>
      </c>
      <c r="K327" s="33"/>
      <c r="L327" s="33"/>
      <c r="M327" s="33"/>
      <c r="N327" s="33"/>
      <c r="O327" s="33"/>
      <c r="P327" s="33"/>
      <c r="Q327" s="33"/>
      <c r="R327" s="33"/>
      <c r="S327" s="33"/>
      <c r="T327" s="33"/>
    </row>
    <row r="328" spans="1:20" ht="15.6">
      <c r="A328" s="13">
        <v>52078</v>
      </c>
      <c r="B328" s="41">
        <v>31</v>
      </c>
      <c r="C328" s="32">
        <v>194.20500000000001</v>
      </c>
      <c r="D328" s="32">
        <v>267.46600000000001</v>
      </c>
      <c r="E328" s="38">
        <v>812.32899999999995</v>
      </c>
      <c r="F328" s="32">
        <v>1274</v>
      </c>
      <c r="G328" s="32">
        <v>50</v>
      </c>
      <c r="H328" s="40">
        <v>600</v>
      </c>
      <c r="I328" s="32">
        <v>695</v>
      </c>
      <c r="J328" s="32">
        <v>0</v>
      </c>
      <c r="K328" s="33"/>
      <c r="L328" s="33"/>
      <c r="M328" s="33"/>
      <c r="N328" s="33"/>
      <c r="O328" s="33"/>
      <c r="P328" s="33"/>
      <c r="Q328" s="33"/>
      <c r="R328" s="33"/>
      <c r="S328" s="33"/>
      <c r="T328" s="33"/>
    </row>
    <row r="329" spans="1:20" ht="15.6">
      <c r="A329" s="13">
        <v>52109</v>
      </c>
      <c r="B329" s="41">
        <v>31</v>
      </c>
      <c r="C329" s="32">
        <v>194.20500000000001</v>
      </c>
      <c r="D329" s="32">
        <v>267.46600000000001</v>
      </c>
      <c r="E329" s="38">
        <v>812.32899999999995</v>
      </c>
      <c r="F329" s="32">
        <v>1274</v>
      </c>
      <c r="G329" s="32">
        <v>50</v>
      </c>
      <c r="H329" s="40">
        <v>600</v>
      </c>
      <c r="I329" s="32">
        <v>695</v>
      </c>
      <c r="J329" s="32">
        <v>0</v>
      </c>
      <c r="K329" s="33"/>
      <c r="L329" s="33"/>
      <c r="M329" s="33"/>
      <c r="N329" s="33"/>
      <c r="O329" s="33"/>
      <c r="P329" s="33"/>
      <c r="Q329" s="33"/>
      <c r="R329" s="33"/>
      <c r="S329" s="33"/>
      <c r="T329" s="33"/>
    </row>
    <row r="330" spans="1:20" ht="15.6">
      <c r="A330" s="13">
        <v>52139</v>
      </c>
      <c r="B330" s="41">
        <v>30</v>
      </c>
      <c r="C330" s="32">
        <v>194.20500000000001</v>
      </c>
      <c r="D330" s="32">
        <v>267.46600000000001</v>
      </c>
      <c r="E330" s="38">
        <v>812.32899999999995</v>
      </c>
      <c r="F330" s="32">
        <v>1274</v>
      </c>
      <c r="G330" s="32">
        <v>50</v>
      </c>
      <c r="H330" s="40">
        <v>600</v>
      </c>
      <c r="I330" s="32">
        <v>695</v>
      </c>
      <c r="J330" s="32">
        <v>0</v>
      </c>
      <c r="K330" s="33"/>
      <c r="L330" s="33"/>
      <c r="M330" s="33"/>
      <c r="N330" s="33"/>
      <c r="O330" s="33"/>
      <c r="P330" s="33"/>
      <c r="Q330" s="33"/>
      <c r="R330" s="33"/>
      <c r="S330" s="33"/>
      <c r="T330" s="33"/>
    </row>
    <row r="331" spans="1:20" ht="15.6">
      <c r="A331" s="13">
        <v>52170</v>
      </c>
      <c r="B331" s="41">
        <v>31</v>
      </c>
      <c r="C331" s="32">
        <v>131.881</v>
      </c>
      <c r="D331" s="32">
        <v>277.16699999999997</v>
      </c>
      <c r="E331" s="38">
        <v>829.952</v>
      </c>
      <c r="F331" s="32">
        <v>1239</v>
      </c>
      <c r="G331" s="32">
        <v>75</v>
      </c>
      <c r="H331" s="40">
        <v>600</v>
      </c>
      <c r="I331" s="32">
        <v>695</v>
      </c>
      <c r="J331" s="32">
        <v>0</v>
      </c>
      <c r="K331" s="33"/>
      <c r="L331" s="33"/>
      <c r="M331" s="33"/>
      <c r="N331" s="33"/>
      <c r="O331" s="33"/>
      <c r="P331" s="33"/>
      <c r="Q331" s="33"/>
      <c r="R331" s="33"/>
      <c r="S331" s="33"/>
      <c r="T331" s="33"/>
    </row>
    <row r="332" spans="1:20" ht="15.6">
      <c r="A332" s="13">
        <v>52200</v>
      </c>
      <c r="B332" s="41">
        <v>30</v>
      </c>
      <c r="C332" s="32">
        <v>122.58</v>
      </c>
      <c r="D332" s="32">
        <v>297.94099999999997</v>
      </c>
      <c r="E332" s="38">
        <v>729.47900000000004</v>
      </c>
      <c r="F332" s="32">
        <v>1150</v>
      </c>
      <c r="G332" s="32">
        <v>100</v>
      </c>
      <c r="H332" s="40">
        <v>600</v>
      </c>
      <c r="I332" s="32">
        <v>695</v>
      </c>
      <c r="J332" s="32">
        <v>50</v>
      </c>
      <c r="K332" s="33"/>
      <c r="L332" s="33"/>
      <c r="M332" s="33"/>
      <c r="N332" s="33"/>
      <c r="O332" s="33"/>
      <c r="P332" s="33"/>
      <c r="Q332" s="33"/>
      <c r="R332" s="33"/>
      <c r="S332" s="33"/>
      <c r="T332" s="33"/>
    </row>
    <row r="333" spans="1:20" ht="15.6">
      <c r="A333" s="13">
        <v>52231</v>
      </c>
      <c r="B333" s="41">
        <v>31</v>
      </c>
      <c r="C333" s="32">
        <v>122.58</v>
      </c>
      <c r="D333" s="32">
        <v>297.94099999999997</v>
      </c>
      <c r="E333" s="38">
        <v>729.47900000000004</v>
      </c>
      <c r="F333" s="32">
        <v>1150</v>
      </c>
      <c r="G333" s="32">
        <v>100</v>
      </c>
      <c r="H333" s="40">
        <v>600</v>
      </c>
      <c r="I333" s="32">
        <v>695</v>
      </c>
      <c r="J333" s="32">
        <v>50</v>
      </c>
      <c r="K333" s="33"/>
      <c r="L333" s="33"/>
      <c r="M333" s="33"/>
      <c r="N333" s="33"/>
      <c r="O333" s="33"/>
      <c r="P333" s="33"/>
      <c r="Q333" s="33"/>
      <c r="R333" s="33"/>
      <c r="S333" s="33"/>
      <c r="T333" s="33"/>
    </row>
    <row r="334" spans="1:20" ht="15.6">
      <c r="A334" s="13">
        <v>52262</v>
      </c>
      <c r="B334" s="41">
        <v>31</v>
      </c>
      <c r="C334" s="32">
        <v>122.58</v>
      </c>
      <c r="D334" s="32">
        <v>297.94099999999997</v>
      </c>
      <c r="E334" s="38">
        <v>729.47900000000004</v>
      </c>
      <c r="F334" s="32">
        <v>1150</v>
      </c>
      <c r="G334" s="32">
        <v>100</v>
      </c>
      <c r="H334" s="40">
        <v>600</v>
      </c>
      <c r="I334" s="32">
        <v>695</v>
      </c>
      <c r="J334" s="32">
        <v>50</v>
      </c>
      <c r="K334" s="33"/>
      <c r="L334" s="33"/>
      <c r="M334" s="33"/>
      <c r="N334" s="33"/>
      <c r="O334" s="33"/>
      <c r="P334" s="33"/>
      <c r="Q334" s="33"/>
      <c r="R334" s="33"/>
      <c r="S334" s="33"/>
      <c r="T334" s="33"/>
    </row>
    <row r="335" spans="1:20" ht="15.6">
      <c r="A335" s="13">
        <v>52290</v>
      </c>
      <c r="B335" s="41">
        <v>28</v>
      </c>
      <c r="C335" s="32">
        <v>122.58</v>
      </c>
      <c r="D335" s="32">
        <v>297.94099999999997</v>
      </c>
      <c r="E335" s="38">
        <v>729.47900000000004</v>
      </c>
      <c r="F335" s="32">
        <v>1150</v>
      </c>
      <c r="G335" s="32">
        <v>100</v>
      </c>
      <c r="H335" s="40">
        <v>600</v>
      </c>
      <c r="I335" s="32">
        <v>695</v>
      </c>
      <c r="J335" s="32">
        <v>50</v>
      </c>
      <c r="K335" s="33"/>
      <c r="L335" s="33"/>
      <c r="M335" s="33"/>
      <c r="N335" s="33"/>
      <c r="O335" s="33"/>
      <c r="P335" s="33"/>
      <c r="Q335" s="33"/>
      <c r="R335" s="33"/>
      <c r="S335" s="33"/>
      <c r="T335" s="33"/>
    </row>
    <row r="336" spans="1:20" ht="15.6">
      <c r="A336" s="13">
        <v>52321</v>
      </c>
      <c r="B336" s="41">
        <v>31</v>
      </c>
      <c r="C336" s="32">
        <v>122.58</v>
      </c>
      <c r="D336" s="32">
        <v>297.94099999999997</v>
      </c>
      <c r="E336" s="38">
        <v>729.47900000000004</v>
      </c>
      <c r="F336" s="32">
        <v>1150</v>
      </c>
      <c r="G336" s="32">
        <v>100</v>
      </c>
      <c r="H336" s="40">
        <v>600</v>
      </c>
      <c r="I336" s="32">
        <v>695</v>
      </c>
      <c r="J336" s="32">
        <v>50</v>
      </c>
      <c r="K336" s="33"/>
      <c r="L336" s="33"/>
      <c r="M336" s="33"/>
      <c r="N336" s="33"/>
      <c r="O336" s="33"/>
      <c r="P336" s="33"/>
      <c r="Q336" s="33"/>
      <c r="R336" s="33"/>
      <c r="S336" s="33"/>
      <c r="T336" s="33"/>
    </row>
    <row r="337" spans="1:20" ht="15.6">
      <c r="A337" s="13">
        <v>52351</v>
      </c>
      <c r="B337" s="41">
        <v>30</v>
      </c>
      <c r="C337" s="32">
        <v>141.29300000000001</v>
      </c>
      <c r="D337" s="32">
        <v>267.99299999999999</v>
      </c>
      <c r="E337" s="38">
        <v>829.71400000000006</v>
      </c>
      <c r="F337" s="32">
        <v>1239</v>
      </c>
      <c r="G337" s="32">
        <v>100</v>
      </c>
      <c r="H337" s="40">
        <v>600</v>
      </c>
      <c r="I337" s="32">
        <v>695</v>
      </c>
      <c r="J337" s="32">
        <v>50</v>
      </c>
      <c r="K337" s="33"/>
      <c r="L337" s="33"/>
      <c r="M337" s="33"/>
      <c r="N337" s="33"/>
      <c r="O337" s="33"/>
      <c r="P337" s="33"/>
      <c r="Q337" s="33"/>
      <c r="R337" s="33"/>
      <c r="S337" s="33"/>
      <c r="T337" s="33"/>
    </row>
    <row r="338" spans="1:20" ht="15.6">
      <c r="A338" s="13">
        <v>52382</v>
      </c>
      <c r="B338" s="41">
        <v>31</v>
      </c>
      <c r="C338" s="32">
        <v>194.20500000000001</v>
      </c>
      <c r="D338" s="32">
        <v>267.46600000000001</v>
      </c>
      <c r="E338" s="38">
        <v>812.32899999999995</v>
      </c>
      <c r="F338" s="32">
        <v>1274</v>
      </c>
      <c r="G338" s="32">
        <v>75</v>
      </c>
      <c r="H338" s="40">
        <v>600</v>
      </c>
      <c r="I338" s="32">
        <v>695</v>
      </c>
      <c r="J338" s="32">
        <v>50</v>
      </c>
      <c r="K338" s="33"/>
      <c r="L338" s="33"/>
      <c r="M338" s="33"/>
      <c r="N338" s="33"/>
      <c r="O338" s="33"/>
      <c r="P338" s="33"/>
      <c r="Q338" s="33"/>
      <c r="R338" s="33"/>
      <c r="S338" s="33"/>
      <c r="T338" s="33"/>
    </row>
    <row r="339" spans="1:20" ht="15.6">
      <c r="A339" s="13">
        <v>52412</v>
      </c>
      <c r="B339" s="41">
        <v>30</v>
      </c>
      <c r="C339" s="32">
        <v>194.20500000000001</v>
      </c>
      <c r="D339" s="32">
        <v>267.46600000000001</v>
      </c>
      <c r="E339" s="38">
        <v>812.32899999999995</v>
      </c>
      <c r="F339" s="32">
        <v>1274</v>
      </c>
      <c r="G339" s="32">
        <v>50</v>
      </c>
      <c r="H339" s="40">
        <v>600</v>
      </c>
      <c r="I339" s="32">
        <v>695</v>
      </c>
      <c r="J339" s="32">
        <v>50</v>
      </c>
      <c r="K339" s="33"/>
      <c r="L339" s="33"/>
      <c r="M339" s="33"/>
      <c r="N339" s="33"/>
      <c r="O339" s="33"/>
      <c r="P339" s="33"/>
      <c r="Q339" s="33"/>
      <c r="R339" s="33"/>
      <c r="S339" s="33"/>
      <c r="T339" s="33"/>
    </row>
    <row r="340" spans="1:20" ht="15.6">
      <c r="A340" s="13">
        <v>52443</v>
      </c>
      <c r="B340" s="41">
        <v>31</v>
      </c>
      <c r="C340" s="32">
        <v>194.20500000000001</v>
      </c>
      <c r="D340" s="32">
        <v>267.46600000000001</v>
      </c>
      <c r="E340" s="38">
        <v>812.32899999999995</v>
      </c>
      <c r="F340" s="32">
        <v>1274</v>
      </c>
      <c r="G340" s="32">
        <v>50</v>
      </c>
      <c r="H340" s="40">
        <v>600</v>
      </c>
      <c r="I340" s="32">
        <v>695</v>
      </c>
      <c r="J340" s="32">
        <v>0</v>
      </c>
      <c r="K340" s="33"/>
      <c r="L340" s="33"/>
      <c r="M340" s="33"/>
      <c r="N340" s="33"/>
      <c r="O340" s="33"/>
      <c r="P340" s="33"/>
      <c r="Q340" s="33"/>
      <c r="R340" s="33"/>
      <c r="S340" s="33"/>
      <c r="T340" s="33"/>
    </row>
    <row r="341" spans="1:20" ht="15.6">
      <c r="A341" s="13">
        <v>52474</v>
      </c>
      <c r="B341" s="41">
        <v>31</v>
      </c>
      <c r="C341" s="32">
        <v>194.20500000000001</v>
      </c>
      <c r="D341" s="32">
        <v>267.46600000000001</v>
      </c>
      <c r="E341" s="38">
        <v>812.32899999999995</v>
      </c>
      <c r="F341" s="32">
        <v>1274</v>
      </c>
      <c r="G341" s="32">
        <v>50</v>
      </c>
      <c r="H341" s="40">
        <v>600</v>
      </c>
      <c r="I341" s="32">
        <v>695</v>
      </c>
      <c r="J341" s="32">
        <v>0</v>
      </c>
      <c r="K341" s="33"/>
      <c r="L341" s="33"/>
      <c r="M341" s="33"/>
      <c r="N341" s="33"/>
      <c r="O341" s="33"/>
      <c r="P341" s="33"/>
      <c r="Q341" s="33"/>
      <c r="R341" s="33"/>
      <c r="S341" s="33"/>
      <c r="T341" s="33"/>
    </row>
    <row r="342" spans="1:20" ht="15.6">
      <c r="A342" s="13">
        <v>52504</v>
      </c>
      <c r="B342" s="41">
        <v>30</v>
      </c>
      <c r="C342" s="32">
        <v>194.20500000000001</v>
      </c>
      <c r="D342" s="32">
        <v>267.46600000000001</v>
      </c>
      <c r="E342" s="38">
        <v>812.32899999999995</v>
      </c>
      <c r="F342" s="32">
        <v>1274</v>
      </c>
      <c r="G342" s="32">
        <v>50</v>
      </c>
      <c r="H342" s="40">
        <v>600</v>
      </c>
      <c r="I342" s="32">
        <v>695</v>
      </c>
      <c r="J342" s="32">
        <v>0</v>
      </c>
      <c r="K342" s="33"/>
      <c r="L342" s="33"/>
      <c r="M342" s="33"/>
      <c r="N342" s="33"/>
      <c r="O342" s="33"/>
      <c r="P342" s="33"/>
      <c r="Q342" s="33"/>
      <c r="R342" s="33"/>
      <c r="S342" s="33"/>
      <c r="T342" s="33"/>
    </row>
    <row r="343" spans="1:20" ht="15.6">
      <c r="A343" s="13">
        <v>52535</v>
      </c>
      <c r="B343" s="41">
        <v>31</v>
      </c>
      <c r="C343" s="32">
        <v>131.881</v>
      </c>
      <c r="D343" s="32">
        <v>277.16699999999997</v>
      </c>
      <c r="E343" s="38">
        <v>829.952</v>
      </c>
      <c r="F343" s="32">
        <v>1239</v>
      </c>
      <c r="G343" s="32">
        <v>75</v>
      </c>
      <c r="H343" s="40">
        <v>600</v>
      </c>
      <c r="I343" s="32">
        <v>695</v>
      </c>
      <c r="J343" s="32">
        <v>0</v>
      </c>
      <c r="K343" s="33"/>
      <c r="L343" s="33"/>
      <c r="M343" s="33"/>
      <c r="N343" s="33"/>
      <c r="O343" s="33"/>
      <c r="P343" s="33"/>
      <c r="Q343" s="33"/>
      <c r="R343" s="33"/>
      <c r="S343" s="33"/>
      <c r="T343" s="33"/>
    </row>
    <row r="344" spans="1:20" ht="15.6">
      <c r="A344" s="13">
        <v>52565</v>
      </c>
      <c r="B344" s="41">
        <v>30</v>
      </c>
      <c r="C344" s="32">
        <v>122.58</v>
      </c>
      <c r="D344" s="32">
        <v>297.94099999999997</v>
      </c>
      <c r="E344" s="38">
        <v>729.47900000000004</v>
      </c>
      <c r="F344" s="32">
        <v>1150</v>
      </c>
      <c r="G344" s="32">
        <v>100</v>
      </c>
      <c r="H344" s="40">
        <v>600</v>
      </c>
      <c r="I344" s="32">
        <v>695</v>
      </c>
      <c r="J344" s="32">
        <v>50</v>
      </c>
      <c r="K344" s="33"/>
      <c r="L344" s="33"/>
      <c r="M344" s="33"/>
      <c r="N344" s="33"/>
      <c r="O344" s="33"/>
      <c r="P344" s="33"/>
      <c r="Q344" s="33"/>
      <c r="R344" s="33"/>
      <c r="S344" s="33"/>
      <c r="T344" s="33"/>
    </row>
    <row r="345" spans="1:20" ht="15.6">
      <c r="A345" s="13">
        <v>52596</v>
      </c>
      <c r="B345" s="41">
        <v>31</v>
      </c>
      <c r="C345" s="32">
        <v>122.58</v>
      </c>
      <c r="D345" s="32">
        <v>297.94099999999997</v>
      </c>
      <c r="E345" s="38">
        <v>729.47900000000004</v>
      </c>
      <c r="F345" s="32">
        <v>1150</v>
      </c>
      <c r="G345" s="32">
        <v>100</v>
      </c>
      <c r="H345" s="40">
        <v>600</v>
      </c>
      <c r="I345" s="32">
        <v>695</v>
      </c>
      <c r="J345" s="32">
        <v>50</v>
      </c>
      <c r="K345" s="33"/>
      <c r="L345" s="33"/>
      <c r="M345" s="33"/>
      <c r="N345" s="33"/>
      <c r="O345" s="33"/>
      <c r="P345" s="33"/>
      <c r="Q345" s="33"/>
      <c r="R345" s="33"/>
      <c r="S345" s="33"/>
      <c r="T345" s="33"/>
    </row>
    <row r="346" spans="1:20" ht="15.6">
      <c r="A346" s="13">
        <v>52627</v>
      </c>
      <c r="B346" s="41">
        <v>31</v>
      </c>
      <c r="C346" s="32">
        <v>122.58</v>
      </c>
      <c r="D346" s="32">
        <v>297.94099999999997</v>
      </c>
      <c r="E346" s="38">
        <v>729.47900000000004</v>
      </c>
      <c r="F346" s="32">
        <v>1150</v>
      </c>
      <c r="G346" s="32">
        <v>100</v>
      </c>
      <c r="H346" s="40">
        <v>600</v>
      </c>
      <c r="I346" s="32">
        <v>695</v>
      </c>
      <c r="J346" s="32">
        <v>50</v>
      </c>
      <c r="K346" s="33"/>
      <c r="L346" s="33"/>
      <c r="M346" s="33"/>
      <c r="N346" s="33"/>
      <c r="O346" s="33"/>
      <c r="P346" s="33"/>
      <c r="Q346" s="33"/>
      <c r="R346" s="33"/>
      <c r="S346" s="33"/>
      <c r="T346" s="33"/>
    </row>
    <row r="347" spans="1:20" ht="15.6">
      <c r="A347" s="13">
        <v>52655</v>
      </c>
      <c r="B347" s="41">
        <v>29</v>
      </c>
      <c r="C347" s="32">
        <v>122.58</v>
      </c>
      <c r="D347" s="32">
        <v>297.94099999999997</v>
      </c>
      <c r="E347" s="38">
        <v>729.47900000000004</v>
      </c>
      <c r="F347" s="32">
        <v>1150</v>
      </c>
      <c r="G347" s="32">
        <v>100</v>
      </c>
      <c r="H347" s="40">
        <v>600</v>
      </c>
      <c r="I347" s="32">
        <v>695</v>
      </c>
      <c r="J347" s="32">
        <v>50</v>
      </c>
      <c r="K347" s="33"/>
      <c r="L347" s="33"/>
      <c r="M347" s="33"/>
      <c r="N347" s="33"/>
      <c r="O347" s="33"/>
      <c r="P347" s="33"/>
      <c r="Q347" s="33"/>
      <c r="R347" s="33"/>
      <c r="S347" s="33"/>
      <c r="T347" s="33"/>
    </row>
    <row r="348" spans="1:20" ht="15.6">
      <c r="A348" s="13">
        <v>52687</v>
      </c>
      <c r="B348" s="41">
        <v>31</v>
      </c>
      <c r="C348" s="32">
        <v>122.58</v>
      </c>
      <c r="D348" s="32">
        <v>297.94099999999997</v>
      </c>
      <c r="E348" s="38">
        <v>729.47900000000004</v>
      </c>
      <c r="F348" s="32">
        <v>1150</v>
      </c>
      <c r="G348" s="32">
        <v>100</v>
      </c>
      <c r="H348" s="40">
        <v>600</v>
      </c>
      <c r="I348" s="32">
        <v>695</v>
      </c>
      <c r="J348" s="32">
        <v>50</v>
      </c>
      <c r="K348" s="33"/>
      <c r="L348" s="33"/>
      <c r="M348" s="33"/>
      <c r="N348" s="33"/>
      <c r="O348" s="33"/>
      <c r="P348" s="33"/>
      <c r="Q348" s="33"/>
      <c r="R348" s="33"/>
      <c r="S348" s="33"/>
      <c r="T348" s="33"/>
    </row>
    <row r="349" spans="1:20" ht="15.6">
      <c r="A349" s="13">
        <v>52717</v>
      </c>
      <c r="B349" s="41">
        <v>30</v>
      </c>
      <c r="C349" s="32">
        <v>141.29300000000001</v>
      </c>
      <c r="D349" s="32">
        <v>267.99299999999999</v>
      </c>
      <c r="E349" s="38">
        <v>829.71400000000006</v>
      </c>
      <c r="F349" s="32">
        <v>1239</v>
      </c>
      <c r="G349" s="32">
        <v>100</v>
      </c>
      <c r="H349" s="40">
        <v>600</v>
      </c>
      <c r="I349" s="32">
        <v>695</v>
      </c>
      <c r="J349" s="32">
        <v>50</v>
      </c>
      <c r="K349" s="33"/>
      <c r="L349" s="33"/>
      <c r="M349" s="33"/>
      <c r="N349" s="33"/>
      <c r="O349" s="33"/>
      <c r="P349" s="33"/>
      <c r="Q349" s="33"/>
      <c r="R349" s="33"/>
      <c r="S349" s="33"/>
      <c r="T349" s="33"/>
    </row>
    <row r="350" spans="1:20" ht="15.6">
      <c r="A350" s="13">
        <v>52748</v>
      </c>
      <c r="B350" s="41">
        <v>31</v>
      </c>
      <c r="C350" s="32">
        <v>194.20500000000001</v>
      </c>
      <c r="D350" s="32">
        <v>267.46600000000001</v>
      </c>
      <c r="E350" s="38">
        <v>812.32899999999995</v>
      </c>
      <c r="F350" s="32">
        <v>1274</v>
      </c>
      <c r="G350" s="32">
        <v>75</v>
      </c>
      <c r="H350" s="40">
        <v>600</v>
      </c>
      <c r="I350" s="32">
        <v>695</v>
      </c>
      <c r="J350" s="32">
        <v>50</v>
      </c>
      <c r="K350" s="33"/>
      <c r="L350" s="33"/>
      <c r="M350" s="33"/>
      <c r="N350" s="33"/>
      <c r="O350" s="33"/>
      <c r="P350" s="33"/>
      <c r="Q350" s="33"/>
      <c r="R350" s="33"/>
      <c r="S350" s="33"/>
      <c r="T350" s="33"/>
    </row>
    <row r="351" spans="1:20" ht="15.6">
      <c r="A351" s="13">
        <v>52778</v>
      </c>
      <c r="B351" s="41">
        <v>30</v>
      </c>
      <c r="C351" s="32">
        <v>194.20500000000001</v>
      </c>
      <c r="D351" s="32">
        <v>267.46600000000001</v>
      </c>
      <c r="E351" s="38">
        <v>812.32899999999995</v>
      </c>
      <c r="F351" s="32">
        <v>1274</v>
      </c>
      <c r="G351" s="32">
        <v>50</v>
      </c>
      <c r="H351" s="40">
        <v>600</v>
      </c>
      <c r="I351" s="32">
        <v>695</v>
      </c>
      <c r="J351" s="32">
        <v>50</v>
      </c>
      <c r="K351" s="33"/>
      <c r="L351" s="33"/>
      <c r="M351" s="33"/>
      <c r="N351" s="33"/>
      <c r="O351" s="33"/>
      <c r="P351" s="33"/>
      <c r="Q351" s="33"/>
      <c r="R351" s="33"/>
      <c r="S351" s="33"/>
      <c r="T351" s="33"/>
    </row>
    <row r="352" spans="1:20" ht="15.6">
      <c r="A352" s="13">
        <v>52809</v>
      </c>
      <c r="B352" s="41">
        <v>31</v>
      </c>
      <c r="C352" s="32">
        <v>194.20500000000001</v>
      </c>
      <c r="D352" s="32">
        <v>267.46600000000001</v>
      </c>
      <c r="E352" s="38">
        <v>812.32899999999995</v>
      </c>
      <c r="F352" s="32">
        <v>1274</v>
      </c>
      <c r="G352" s="32">
        <v>50</v>
      </c>
      <c r="H352" s="40">
        <v>600</v>
      </c>
      <c r="I352" s="32">
        <v>695</v>
      </c>
      <c r="J352" s="32">
        <v>0</v>
      </c>
      <c r="K352" s="33"/>
      <c r="L352" s="33"/>
      <c r="M352" s="33"/>
      <c r="N352" s="33"/>
      <c r="O352" s="33"/>
      <c r="P352" s="33"/>
      <c r="Q352" s="33"/>
      <c r="R352" s="33"/>
      <c r="S352" s="33"/>
      <c r="T352" s="33"/>
    </row>
    <row r="353" spans="1:20" ht="15.6">
      <c r="A353" s="13">
        <v>52840</v>
      </c>
      <c r="B353" s="41">
        <v>31</v>
      </c>
      <c r="C353" s="32">
        <v>194.20500000000001</v>
      </c>
      <c r="D353" s="32">
        <v>267.46600000000001</v>
      </c>
      <c r="E353" s="38">
        <v>812.32899999999995</v>
      </c>
      <c r="F353" s="32">
        <v>1274</v>
      </c>
      <c r="G353" s="32">
        <v>50</v>
      </c>
      <c r="H353" s="40">
        <v>600</v>
      </c>
      <c r="I353" s="32">
        <v>695</v>
      </c>
      <c r="J353" s="32">
        <v>0</v>
      </c>
      <c r="K353" s="33"/>
      <c r="L353" s="33"/>
      <c r="M353" s="33"/>
      <c r="N353" s="33"/>
      <c r="O353" s="33"/>
      <c r="P353" s="33"/>
      <c r="Q353" s="33"/>
      <c r="R353" s="33"/>
      <c r="S353" s="33"/>
      <c r="T353" s="33"/>
    </row>
    <row r="354" spans="1:20" ht="15.6">
      <c r="A354" s="13">
        <v>52870</v>
      </c>
      <c r="B354" s="41">
        <v>30</v>
      </c>
      <c r="C354" s="32">
        <v>194.20500000000001</v>
      </c>
      <c r="D354" s="32">
        <v>267.46600000000001</v>
      </c>
      <c r="E354" s="38">
        <v>812.32899999999995</v>
      </c>
      <c r="F354" s="32">
        <v>1274</v>
      </c>
      <c r="G354" s="32">
        <v>50</v>
      </c>
      <c r="H354" s="40">
        <v>600</v>
      </c>
      <c r="I354" s="32">
        <v>695</v>
      </c>
      <c r="J354" s="32">
        <v>0</v>
      </c>
      <c r="K354" s="33"/>
      <c r="L354" s="33"/>
      <c r="M354" s="33"/>
      <c r="N354" s="33"/>
      <c r="O354" s="33"/>
      <c r="P354" s="33"/>
      <c r="Q354" s="33"/>
      <c r="R354" s="33"/>
      <c r="S354" s="33"/>
      <c r="T354" s="33"/>
    </row>
    <row r="355" spans="1:20" ht="15.6">
      <c r="A355" s="13">
        <v>52901</v>
      </c>
      <c r="B355" s="41">
        <v>31</v>
      </c>
      <c r="C355" s="32">
        <v>131.881</v>
      </c>
      <c r="D355" s="32">
        <v>277.16699999999997</v>
      </c>
      <c r="E355" s="38">
        <v>829.952</v>
      </c>
      <c r="F355" s="32">
        <v>1239</v>
      </c>
      <c r="G355" s="32">
        <v>75</v>
      </c>
      <c r="H355" s="40">
        <v>600</v>
      </c>
      <c r="I355" s="32">
        <v>695</v>
      </c>
      <c r="J355" s="32">
        <v>0</v>
      </c>
      <c r="K355" s="33"/>
      <c r="L355" s="33"/>
      <c r="M355" s="33"/>
      <c r="N355" s="33"/>
      <c r="O355" s="33"/>
      <c r="P355" s="33"/>
      <c r="Q355" s="33"/>
      <c r="R355" s="33"/>
      <c r="S355" s="33"/>
      <c r="T355" s="33"/>
    </row>
    <row r="356" spans="1:20" ht="15.6">
      <c r="A356" s="13">
        <v>52931</v>
      </c>
      <c r="B356" s="41">
        <v>30</v>
      </c>
      <c r="C356" s="32">
        <v>122.58</v>
      </c>
      <c r="D356" s="32">
        <v>297.94099999999997</v>
      </c>
      <c r="E356" s="38">
        <v>729.47900000000004</v>
      </c>
      <c r="F356" s="32">
        <v>1150</v>
      </c>
      <c r="G356" s="32">
        <v>100</v>
      </c>
      <c r="H356" s="40">
        <v>600</v>
      </c>
      <c r="I356" s="32">
        <v>695</v>
      </c>
      <c r="J356" s="32">
        <v>50</v>
      </c>
      <c r="K356" s="33"/>
      <c r="L356" s="33"/>
      <c r="M356" s="33"/>
      <c r="N356" s="33"/>
      <c r="O356" s="33"/>
      <c r="P356" s="33"/>
      <c r="Q356" s="33"/>
      <c r="R356" s="33"/>
      <c r="S356" s="33"/>
      <c r="T356" s="33"/>
    </row>
    <row r="357" spans="1:20" ht="15.6">
      <c r="A357" s="13">
        <v>52962</v>
      </c>
      <c r="B357" s="41">
        <v>31</v>
      </c>
      <c r="C357" s="32">
        <v>122.58</v>
      </c>
      <c r="D357" s="32">
        <v>297.94099999999997</v>
      </c>
      <c r="E357" s="38">
        <v>729.47900000000004</v>
      </c>
      <c r="F357" s="32">
        <v>1150</v>
      </c>
      <c r="G357" s="32">
        <v>100</v>
      </c>
      <c r="H357" s="40">
        <v>600</v>
      </c>
      <c r="I357" s="32">
        <v>695</v>
      </c>
      <c r="J357" s="32">
        <v>50</v>
      </c>
      <c r="K357" s="33"/>
      <c r="L357" s="33"/>
      <c r="M357" s="33"/>
      <c r="N357" s="33"/>
      <c r="O357" s="33"/>
      <c r="P357" s="33"/>
      <c r="Q357" s="33"/>
      <c r="R357" s="33"/>
      <c r="S357" s="33"/>
      <c r="T357" s="33"/>
    </row>
    <row r="358" spans="1:20" ht="15.6">
      <c r="A358" s="13">
        <v>52993</v>
      </c>
      <c r="B358" s="41">
        <v>31</v>
      </c>
      <c r="C358" s="32">
        <v>122.58</v>
      </c>
      <c r="D358" s="32">
        <v>297.94099999999997</v>
      </c>
      <c r="E358" s="38">
        <v>729.47900000000004</v>
      </c>
      <c r="F358" s="32">
        <v>1150</v>
      </c>
      <c r="G358" s="32">
        <v>100</v>
      </c>
      <c r="H358" s="40">
        <v>600</v>
      </c>
      <c r="I358" s="32">
        <v>695</v>
      </c>
      <c r="J358" s="32">
        <v>50</v>
      </c>
      <c r="K358" s="33"/>
      <c r="L358" s="33"/>
      <c r="M358" s="33"/>
      <c r="N358" s="33"/>
      <c r="O358" s="33"/>
      <c r="P358" s="33"/>
      <c r="Q358" s="33"/>
      <c r="R358" s="33"/>
      <c r="S358" s="33"/>
      <c r="T358" s="33"/>
    </row>
    <row r="359" spans="1:20" ht="15.6">
      <c r="A359" s="13">
        <v>53021</v>
      </c>
      <c r="B359" s="41">
        <v>28</v>
      </c>
      <c r="C359" s="32">
        <v>122.58</v>
      </c>
      <c r="D359" s="32">
        <v>297.94099999999997</v>
      </c>
      <c r="E359" s="38">
        <v>729.47900000000004</v>
      </c>
      <c r="F359" s="32">
        <v>1150</v>
      </c>
      <c r="G359" s="32">
        <v>100</v>
      </c>
      <c r="H359" s="40">
        <v>600</v>
      </c>
      <c r="I359" s="32">
        <v>695</v>
      </c>
      <c r="J359" s="32">
        <v>50</v>
      </c>
      <c r="K359" s="33"/>
      <c r="L359" s="33"/>
      <c r="M359" s="33"/>
      <c r="N359" s="33"/>
      <c r="O359" s="33"/>
      <c r="P359" s="33"/>
      <c r="Q359" s="33"/>
      <c r="R359" s="33"/>
      <c r="S359" s="33"/>
      <c r="T359" s="33"/>
    </row>
    <row r="360" spans="1:20" ht="15.6">
      <c r="A360" s="13">
        <v>53052</v>
      </c>
      <c r="B360" s="41">
        <v>31</v>
      </c>
      <c r="C360" s="32">
        <v>122.58</v>
      </c>
      <c r="D360" s="32">
        <v>297.94099999999997</v>
      </c>
      <c r="E360" s="38">
        <v>729.47900000000004</v>
      </c>
      <c r="F360" s="32">
        <v>1150</v>
      </c>
      <c r="G360" s="32">
        <v>100</v>
      </c>
      <c r="H360" s="40">
        <v>600</v>
      </c>
      <c r="I360" s="32">
        <v>695</v>
      </c>
      <c r="J360" s="32">
        <v>50</v>
      </c>
      <c r="K360" s="33"/>
      <c r="L360" s="33"/>
      <c r="M360" s="33"/>
      <c r="N360" s="33"/>
      <c r="O360" s="33"/>
      <c r="P360" s="33"/>
      <c r="Q360" s="33"/>
      <c r="R360" s="33"/>
      <c r="S360" s="33"/>
      <c r="T360" s="33"/>
    </row>
    <row r="361" spans="1:20" ht="15.6">
      <c r="A361" s="13">
        <v>53082</v>
      </c>
      <c r="B361" s="41">
        <v>30</v>
      </c>
      <c r="C361" s="32">
        <v>141.29300000000001</v>
      </c>
      <c r="D361" s="32">
        <v>267.99299999999999</v>
      </c>
      <c r="E361" s="38">
        <v>829.71400000000006</v>
      </c>
      <c r="F361" s="32">
        <v>1239</v>
      </c>
      <c r="G361" s="32">
        <v>100</v>
      </c>
      <c r="H361" s="40">
        <v>600</v>
      </c>
      <c r="I361" s="32">
        <v>695</v>
      </c>
      <c r="J361" s="32">
        <v>50</v>
      </c>
      <c r="K361" s="33"/>
      <c r="L361" s="33"/>
      <c r="M361" s="33"/>
      <c r="N361" s="33"/>
      <c r="O361" s="33"/>
      <c r="P361" s="33"/>
      <c r="Q361" s="33"/>
      <c r="R361" s="33"/>
      <c r="S361" s="33"/>
      <c r="T361" s="33"/>
    </row>
    <row r="362" spans="1:20" ht="15.6">
      <c r="A362" s="13">
        <v>53113</v>
      </c>
      <c r="B362" s="41">
        <v>31</v>
      </c>
      <c r="C362" s="32">
        <v>194.20500000000001</v>
      </c>
      <c r="D362" s="32">
        <v>267.46600000000001</v>
      </c>
      <c r="E362" s="38">
        <v>812.32899999999995</v>
      </c>
      <c r="F362" s="32">
        <v>1274</v>
      </c>
      <c r="G362" s="32">
        <v>75</v>
      </c>
      <c r="H362" s="40">
        <v>600</v>
      </c>
      <c r="I362" s="32">
        <v>695</v>
      </c>
      <c r="J362" s="32">
        <v>50</v>
      </c>
      <c r="K362" s="33"/>
      <c r="L362" s="33"/>
      <c r="M362" s="33"/>
      <c r="N362" s="33"/>
      <c r="O362" s="33"/>
      <c r="P362" s="33"/>
      <c r="Q362" s="33"/>
      <c r="R362" s="33"/>
      <c r="S362" s="33"/>
      <c r="T362" s="33"/>
    </row>
    <row r="363" spans="1:20" ht="15.6">
      <c r="A363" s="13">
        <v>53143</v>
      </c>
      <c r="B363" s="41">
        <v>30</v>
      </c>
      <c r="C363" s="32">
        <v>194.20500000000001</v>
      </c>
      <c r="D363" s="32">
        <v>267.46600000000001</v>
      </c>
      <c r="E363" s="38">
        <v>812.32899999999995</v>
      </c>
      <c r="F363" s="32">
        <v>1274</v>
      </c>
      <c r="G363" s="32">
        <v>50</v>
      </c>
      <c r="H363" s="40">
        <v>600</v>
      </c>
      <c r="I363" s="32">
        <v>695</v>
      </c>
      <c r="J363" s="32">
        <v>50</v>
      </c>
      <c r="K363" s="33"/>
      <c r="L363" s="33"/>
      <c r="M363" s="33"/>
      <c r="N363" s="33"/>
      <c r="O363" s="33"/>
      <c r="P363" s="33"/>
      <c r="Q363" s="33"/>
      <c r="R363" s="33"/>
      <c r="S363" s="33"/>
      <c r="T363" s="33"/>
    </row>
    <row r="364" spans="1:20" ht="15.6">
      <c r="A364" s="13">
        <v>53174</v>
      </c>
      <c r="B364" s="41">
        <v>31</v>
      </c>
      <c r="C364" s="32">
        <v>194.20500000000001</v>
      </c>
      <c r="D364" s="32">
        <v>267.46600000000001</v>
      </c>
      <c r="E364" s="38">
        <v>812.32899999999995</v>
      </c>
      <c r="F364" s="32">
        <v>1274</v>
      </c>
      <c r="G364" s="32">
        <v>50</v>
      </c>
      <c r="H364" s="40">
        <v>600</v>
      </c>
      <c r="I364" s="32">
        <v>695</v>
      </c>
      <c r="J364" s="32">
        <v>0</v>
      </c>
      <c r="K364" s="33"/>
      <c r="L364" s="33"/>
      <c r="M364" s="33"/>
      <c r="N364" s="33"/>
      <c r="O364" s="33"/>
      <c r="P364" s="33"/>
      <c r="Q364" s="33"/>
      <c r="R364" s="33"/>
      <c r="S364" s="33"/>
      <c r="T364" s="33"/>
    </row>
    <row r="365" spans="1:20" ht="15.6">
      <c r="A365" s="13">
        <v>53205</v>
      </c>
      <c r="B365" s="41">
        <v>31</v>
      </c>
      <c r="C365" s="32">
        <v>194.20500000000001</v>
      </c>
      <c r="D365" s="32">
        <v>267.46600000000001</v>
      </c>
      <c r="E365" s="38">
        <v>812.32899999999995</v>
      </c>
      <c r="F365" s="32">
        <v>1274</v>
      </c>
      <c r="G365" s="32">
        <v>50</v>
      </c>
      <c r="H365" s="40">
        <v>600</v>
      </c>
      <c r="I365" s="32">
        <v>695</v>
      </c>
      <c r="J365" s="32">
        <v>0</v>
      </c>
      <c r="K365" s="33"/>
      <c r="L365" s="33"/>
      <c r="M365" s="33"/>
      <c r="N365" s="33"/>
      <c r="O365" s="33"/>
      <c r="P365" s="33"/>
      <c r="Q365" s="33"/>
      <c r="R365" s="33"/>
      <c r="S365" s="33"/>
      <c r="T365" s="33"/>
    </row>
    <row r="366" spans="1:20" ht="15.6">
      <c r="A366" s="13">
        <v>53235</v>
      </c>
      <c r="B366" s="41">
        <v>30</v>
      </c>
      <c r="C366" s="32">
        <v>194.20500000000001</v>
      </c>
      <c r="D366" s="32">
        <v>267.46600000000001</v>
      </c>
      <c r="E366" s="38">
        <v>812.32899999999995</v>
      </c>
      <c r="F366" s="32">
        <v>1274</v>
      </c>
      <c r="G366" s="32">
        <v>50</v>
      </c>
      <c r="H366" s="40">
        <v>600</v>
      </c>
      <c r="I366" s="32">
        <v>695</v>
      </c>
      <c r="J366" s="32">
        <v>0</v>
      </c>
      <c r="K366" s="33"/>
      <c r="L366" s="33"/>
      <c r="M366" s="33"/>
      <c r="N366" s="33"/>
      <c r="O366" s="33"/>
      <c r="P366" s="33"/>
      <c r="Q366" s="33"/>
      <c r="R366" s="33"/>
      <c r="S366" s="33"/>
      <c r="T366" s="33"/>
    </row>
    <row r="367" spans="1:20" ht="15.6">
      <c r="A367" s="13">
        <v>53266</v>
      </c>
      <c r="B367" s="41">
        <v>31</v>
      </c>
      <c r="C367" s="32">
        <v>131.881</v>
      </c>
      <c r="D367" s="32">
        <v>277.16699999999997</v>
      </c>
      <c r="E367" s="38">
        <v>829.952</v>
      </c>
      <c r="F367" s="32">
        <v>1239</v>
      </c>
      <c r="G367" s="32">
        <v>75</v>
      </c>
      <c r="H367" s="40">
        <v>600</v>
      </c>
      <c r="I367" s="32">
        <v>695</v>
      </c>
      <c r="J367" s="32">
        <v>0</v>
      </c>
      <c r="K367" s="33"/>
      <c r="L367" s="33"/>
      <c r="M367" s="33"/>
      <c r="N367" s="33"/>
      <c r="O367" s="33"/>
      <c r="P367" s="33"/>
      <c r="Q367" s="33"/>
      <c r="R367" s="33"/>
      <c r="S367" s="33"/>
      <c r="T367" s="33"/>
    </row>
    <row r="368" spans="1:20" ht="15.6">
      <c r="A368" s="13">
        <v>53296</v>
      </c>
      <c r="B368" s="41">
        <v>30</v>
      </c>
      <c r="C368" s="32">
        <v>122.58</v>
      </c>
      <c r="D368" s="32">
        <v>297.94099999999997</v>
      </c>
      <c r="E368" s="38">
        <v>729.47900000000004</v>
      </c>
      <c r="F368" s="32">
        <v>1150</v>
      </c>
      <c r="G368" s="32">
        <v>100</v>
      </c>
      <c r="H368" s="40">
        <v>600</v>
      </c>
      <c r="I368" s="32">
        <v>695</v>
      </c>
      <c r="J368" s="32">
        <v>50</v>
      </c>
      <c r="K368" s="33"/>
      <c r="L368" s="33"/>
      <c r="M368" s="33"/>
      <c r="N368" s="33"/>
      <c r="O368" s="33"/>
      <c r="P368" s="33"/>
      <c r="Q368" s="33"/>
      <c r="R368" s="33"/>
      <c r="S368" s="33"/>
      <c r="T368" s="33"/>
    </row>
    <row r="369" spans="1:20" ht="15.6">
      <c r="A369" s="13">
        <v>53327</v>
      </c>
      <c r="B369" s="41">
        <v>31</v>
      </c>
      <c r="C369" s="32">
        <v>122.58</v>
      </c>
      <c r="D369" s="32">
        <v>297.94099999999997</v>
      </c>
      <c r="E369" s="38">
        <v>729.47900000000004</v>
      </c>
      <c r="F369" s="32">
        <v>1150</v>
      </c>
      <c r="G369" s="32">
        <v>100</v>
      </c>
      <c r="H369" s="40">
        <v>600</v>
      </c>
      <c r="I369" s="32">
        <v>695</v>
      </c>
      <c r="J369" s="32">
        <v>50</v>
      </c>
      <c r="K369" s="33"/>
      <c r="L369" s="33"/>
      <c r="M369" s="33"/>
      <c r="N369" s="33"/>
      <c r="O369" s="33"/>
      <c r="P369" s="33"/>
      <c r="Q369" s="33"/>
      <c r="R369" s="33"/>
      <c r="S369" s="33"/>
      <c r="T369" s="33"/>
    </row>
    <row r="370" spans="1:20" ht="15.6">
      <c r="A370" s="13">
        <v>53358</v>
      </c>
      <c r="B370" s="41">
        <v>31</v>
      </c>
      <c r="C370" s="32">
        <v>122.58</v>
      </c>
      <c r="D370" s="32">
        <v>297.94099999999997</v>
      </c>
      <c r="E370" s="38">
        <v>729.47900000000004</v>
      </c>
      <c r="F370" s="32">
        <v>1150</v>
      </c>
      <c r="G370" s="32">
        <v>100</v>
      </c>
      <c r="H370" s="40">
        <v>600</v>
      </c>
      <c r="I370" s="32">
        <v>695</v>
      </c>
      <c r="J370" s="32">
        <v>50</v>
      </c>
      <c r="K370" s="33"/>
      <c r="L370" s="33"/>
      <c r="M370" s="33"/>
      <c r="N370" s="33"/>
      <c r="O370" s="33"/>
      <c r="P370" s="33"/>
      <c r="Q370" s="33"/>
      <c r="R370" s="33"/>
      <c r="S370" s="33"/>
      <c r="T370" s="33"/>
    </row>
    <row r="371" spans="1:20" ht="15.6">
      <c r="A371" s="13">
        <v>53386</v>
      </c>
      <c r="B371" s="41">
        <v>28</v>
      </c>
      <c r="C371" s="32">
        <v>122.58</v>
      </c>
      <c r="D371" s="32">
        <v>297.94099999999997</v>
      </c>
      <c r="E371" s="38">
        <v>729.47900000000004</v>
      </c>
      <c r="F371" s="32">
        <v>1150</v>
      </c>
      <c r="G371" s="32">
        <v>100</v>
      </c>
      <c r="H371" s="40">
        <v>600</v>
      </c>
      <c r="I371" s="32">
        <v>695</v>
      </c>
      <c r="J371" s="32">
        <v>50</v>
      </c>
      <c r="K371" s="33"/>
      <c r="L371" s="33"/>
      <c r="M371" s="33"/>
      <c r="N371" s="33"/>
      <c r="O371" s="33"/>
      <c r="P371" s="33"/>
      <c r="Q371" s="33"/>
      <c r="R371" s="33"/>
      <c r="S371" s="33"/>
      <c r="T371" s="33"/>
    </row>
    <row r="372" spans="1:20" ht="15.6">
      <c r="A372" s="13">
        <v>53417</v>
      </c>
      <c r="B372" s="41">
        <v>31</v>
      </c>
      <c r="C372" s="32">
        <v>122.58</v>
      </c>
      <c r="D372" s="32">
        <v>297.94099999999997</v>
      </c>
      <c r="E372" s="38">
        <v>729.47900000000004</v>
      </c>
      <c r="F372" s="32">
        <v>1150</v>
      </c>
      <c r="G372" s="32">
        <v>100</v>
      </c>
      <c r="H372" s="40">
        <v>600</v>
      </c>
      <c r="I372" s="32">
        <v>695</v>
      </c>
      <c r="J372" s="32">
        <v>50</v>
      </c>
      <c r="K372" s="33"/>
      <c r="L372" s="33"/>
      <c r="M372" s="33"/>
      <c r="N372" s="33"/>
      <c r="O372" s="33"/>
      <c r="P372" s="33"/>
      <c r="Q372" s="33"/>
      <c r="R372" s="33"/>
      <c r="S372" s="33"/>
      <c r="T372" s="33"/>
    </row>
    <row r="373" spans="1:20" ht="15.6">
      <c r="A373" s="13">
        <v>53447</v>
      </c>
      <c r="B373" s="41">
        <v>30</v>
      </c>
      <c r="C373" s="32">
        <v>141.29300000000001</v>
      </c>
      <c r="D373" s="32">
        <v>267.99299999999999</v>
      </c>
      <c r="E373" s="38">
        <v>829.71400000000006</v>
      </c>
      <c r="F373" s="32">
        <v>1239</v>
      </c>
      <c r="G373" s="32">
        <v>100</v>
      </c>
      <c r="H373" s="40">
        <v>600</v>
      </c>
      <c r="I373" s="32">
        <v>695</v>
      </c>
      <c r="J373" s="32">
        <v>50</v>
      </c>
      <c r="K373" s="33"/>
      <c r="L373" s="33"/>
      <c r="M373" s="33"/>
      <c r="N373" s="33"/>
      <c r="O373" s="33"/>
      <c r="P373" s="33"/>
      <c r="Q373" s="33"/>
      <c r="R373" s="33"/>
      <c r="S373" s="33"/>
      <c r="T373" s="33"/>
    </row>
    <row r="374" spans="1:20" ht="15.6">
      <c r="A374" s="13">
        <v>53478</v>
      </c>
      <c r="B374" s="41">
        <v>31</v>
      </c>
      <c r="C374" s="32">
        <v>194.20500000000001</v>
      </c>
      <c r="D374" s="32">
        <v>267.46600000000001</v>
      </c>
      <c r="E374" s="38">
        <v>812.32899999999995</v>
      </c>
      <c r="F374" s="32">
        <v>1274</v>
      </c>
      <c r="G374" s="32">
        <v>75</v>
      </c>
      <c r="H374" s="40">
        <v>600</v>
      </c>
      <c r="I374" s="32">
        <v>695</v>
      </c>
      <c r="J374" s="32">
        <v>50</v>
      </c>
      <c r="K374" s="33"/>
      <c r="L374" s="33"/>
      <c r="M374" s="33"/>
      <c r="N374" s="33"/>
      <c r="O374" s="33"/>
      <c r="P374" s="33"/>
      <c r="Q374" s="33"/>
      <c r="R374" s="33"/>
      <c r="S374" s="33"/>
      <c r="T374" s="33"/>
    </row>
    <row r="375" spans="1:20" ht="15.6">
      <c r="A375" s="13">
        <v>53508</v>
      </c>
      <c r="B375" s="41">
        <v>30</v>
      </c>
      <c r="C375" s="32">
        <v>194.20500000000001</v>
      </c>
      <c r="D375" s="32">
        <v>267.46600000000001</v>
      </c>
      <c r="E375" s="38">
        <v>812.32899999999995</v>
      </c>
      <c r="F375" s="32">
        <v>1274</v>
      </c>
      <c r="G375" s="32">
        <v>50</v>
      </c>
      <c r="H375" s="40">
        <v>600</v>
      </c>
      <c r="I375" s="32">
        <v>695</v>
      </c>
      <c r="J375" s="32">
        <v>50</v>
      </c>
      <c r="K375" s="33"/>
      <c r="L375" s="33"/>
      <c r="M375" s="33"/>
      <c r="N375" s="33"/>
      <c r="O375" s="33"/>
      <c r="P375" s="33"/>
      <c r="Q375" s="33"/>
      <c r="R375" s="33"/>
      <c r="S375" s="33"/>
      <c r="T375" s="33"/>
    </row>
    <row r="376" spans="1:20" ht="15.6">
      <c r="A376" s="13">
        <v>53539</v>
      </c>
      <c r="B376" s="41">
        <v>31</v>
      </c>
      <c r="C376" s="32">
        <v>194.20500000000001</v>
      </c>
      <c r="D376" s="32">
        <v>267.46600000000001</v>
      </c>
      <c r="E376" s="38">
        <v>812.32899999999995</v>
      </c>
      <c r="F376" s="32">
        <v>1274</v>
      </c>
      <c r="G376" s="32">
        <v>50</v>
      </c>
      <c r="H376" s="40">
        <v>600</v>
      </c>
      <c r="I376" s="32">
        <v>695</v>
      </c>
      <c r="J376" s="32">
        <v>0</v>
      </c>
      <c r="K376" s="33"/>
      <c r="L376" s="33"/>
      <c r="M376" s="33"/>
      <c r="N376" s="33"/>
      <c r="O376" s="33"/>
      <c r="P376" s="33"/>
      <c r="Q376" s="33"/>
      <c r="R376" s="33"/>
      <c r="S376" s="33"/>
      <c r="T376" s="33"/>
    </row>
    <row r="377" spans="1:20" ht="15.6">
      <c r="A377" s="13">
        <v>53570</v>
      </c>
      <c r="B377" s="41">
        <v>31</v>
      </c>
      <c r="C377" s="32">
        <v>194.20500000000001</v>
      </c>
      <c r="D377" s="32">
        <v>267.46600000000001</v>
      </c>
      <c r="E377" s="38">
        <v>812.32899999999995</v>
      </c>
      <c r="F377" s="32">
        <v>1274</v>
      </c>
      <c r="G377" s="32">
        <v>50</v>
      </c>
      <c r="H377" s="40">
        <v>600</v>
      </c>
      <c r="I377" s="32">
        <v>695</v>
      </c>
      <c r="J377" s="32">
        <v>0</v>
      </c>
      <c r="K377" s="33"/>
      <c r="L377" s="33"/>
      <c r="M377" s="33"/>
      <c r="N377" s="33"/>
      <c r="O377" s="33"/>
      <c r="P377" s="33"/>
      <c r="Q377" s="33"/>
      <c r="R377" s="33"/>
      <c r="S377" s="33"/>
      <c r="T377" s="33"/>
    </row>
    <row r="378" spans="1:20" ht="15.6">
      <c r="A378" s="13">
        <v>53600</v>
      </c>
      <c r="B378" s="41">
        <v>30</v>
      </c>
      <c r="C378" s="32">
        <v>194.20500000000001</v>
      </c>
      <c r="D378" s="32">
        <v>267.46600000000001</v>
      </c>
      <c r="E378" s="38">
        <v>812.32899999999995</v>
      </c>
      <c r="F378" s="32">
        <v>1274</v>
      </c>
      <c r="G378" s="32">
        <v>50</v>
      </c>
      <c r="H378" s="40">
        <v>600</v>
      </c>
      <c r="I378" s="32">
        <v>695</v>
      </c>
      <c r="J378" s="32">
        <v>0</v>
      </c>
      <c r="K378" s="33"/>
      <c r="L378" s="33"/>
      <c r="M378" s="33"/>
      <c r="N378" s="33"/>
      <c r="O378" s="33"/>
      <c r="P378" s="33"/>
      <c r="Q378" s="33"/>
      <c r="R378" s="33"/>
      <c r="S378" s="33"/>
      <c r="T378" s="33"/>
    </row>
    <row r="379" spans="1:20" ht="15.6">
      <c r="A379" s="13">
        <v>53631</v>
      </c>
      <c r="B379" s="41">
        <v>31</v>
      </c>
      <c r="C379" s="32">
        <v>131.881</v>
      </c>
      <c r="D379" s="32">
        <v>277.16699999999997</v>
      </c>
      <c r="E379" s="38">
        <v>829.952</v>
      </c>
      <c r="F379" s="32">
        <v>1239</v>
      </c>
      <c r="G379" s="32">
        <v>75</v>
      </c>
      <c r="H379" s="40">
        <v>600</v>
      </c>
      <c r="I379" s="32">
        <v>695</v>
      </c>
      <c r="J379" s="32">
        <v>0</v>
      </c>
      <c r="K379" s="33"/>
      <c r="L379" s="33"/>
      <c r="M379" s="33"/>
      <c r="N379" s="33"/>
      <c r="O379" s="33"/>
      <c r="P379" s="33"/>
      <c r="Q379" s="33"/>
      <c r="R379" s="33"/>
      <c r="S379" s="33"/>
      <c r="T379" s="33"/>
    </row>
    <row r="380" spans="1:20" ht="15.6">
      <c r="A380" s="13">
        <v>53661</v>
      </c>
      <c r="B380" s="41">
        <v>30</v>
      </c>
      <c r="C380" s="32">
        <v>122.58</v>
      </c>
      <c r="D380" s="32">
        <v>297.94099999999997</v>
      </c>
      <c r="E380" s="38">
        <v>729.47900000000004</v>
      </c>
      <c r="F380" s="32">
        <v>1150</v>
      </c>
      <c r="G380" s="32">
        <v>100</v>
      </c>
      <c r="H380" s="40">
        <v>600</v>
      </c>
      <c r="I380" s="32">
        <v>695</v>
      </c>
      <c r="J380" s="32">
        <v>50</v>
      </c>
      <c r="K380" s="33"/>
      <c r="L380" s="33"/>
      <c r="M380" s="33"/>
      <c r="N380" s="33"/>
      <c r="O380" s="33"/>
      <c r="P380" s="33"/>
      <c r="Q380" s="33"/>
      <c r="R380" s="33"/>
      <c r="S380" s="33"/>
      <c r="T380" s="33"/>
    </row>
    <row r="381" spans="1:20" ht="15.6">
      <c r="A381" s="13">
        <v>53692</v>
      </c>
      <c r="B381" s="41">
        <v>31</v>
      </c>
      <c r="C381" s="32">
        <v>122.58</v>
      </c>
      <c r="D381" s="32">
        <v>297.94099999999997</v>
      </c>
      <c r="E381" s="38">
        <v>729.47900000000004</v>
      </c>
      <c r="F381" s="32">
        <v>1150</v>
      </c>
      <c r="G381" s="32">
        <v>100</v>
      </c>
      <c r="H381" s="40">
        <v>600</v>
      </c>
      <c r="I381" s="32">
        <v>695</v>
      </c>
      <c r="J381" s="32">
        <v>50</v>
      </c>
      <c r="K381" s="33"/>
      <c r="L381" s="33"/>
      <c r="M381" s="33"/>
      <c r="N381" s="33"/>
      <c r="O381" s="33"/>
      <c r="P381" s="33"/>
      <c r="Q381" s="33"/>
      <c r="R381" s="33"/>
      <c r="S381" s="33"/>
      <c r="T381" s="33"/>
    </row>
    <row r="382" spans="1:20" ht="15.6">
      <c r="A382" s="13">
        <v>53723</v>
      </c>
      <c r="B382" s="41">
        <v>31</v>
      </c>
      <c r="C382" s="32">
        <v>122.58</v>
      </c>
      <c r="D382" s="32">
        <v>297.94099999999997</v>
      </c>
      <c r="E382" s="38">
        <v>729.47900000000004</v>
      </c>
      <c r="F382" s="32">
        <v>1150</v>
      </c>
      <c r="G382" s="32">
        <v>100</v>
      </c>
      <c r="H382" s="40">
        <v>600</v>
      </c>
      <c r="I382" s="32">
        <v>695</v>
      </c>
      <c r="J382" s="32">
        <v>50</v>
      </c>
      <c r="K382" s="33"/>
      <c r="L382" s="33"/>
      <c r="M382" s="33"/>
      <c r="N382" s="33"/>
      <c r="O382" s="33"/>
      <c r="P382" s="33"/>
      <c r="Q382" s="33"/>
      <c r="R382" s="33"/>
      <c r="S382" s="33"/>
      <c r="T382" s="33"/>
    </row>
    <row r="383" spans="1:20" ht="15.6">
      <c r="A383" s="13">
        <v>53751</v>
      </c>
      <c r="B383" s="41">
        <v>28</v>
      </c>
      <c r="C383" s="32">
        <v>122.58</v>
      </c>
      <c r="D383" s="32">
        <v>297.94099999999997</v>
      </c>
      <c r="E383" s="38">
        <v>729.47900000000004</v>
      </c>
      <c r="F383" s="32">
        <v>1150</v>
      </c>
      <c r="G383" s="32">
        <v>100</v>
      </c>
      <c r="H383" s="40">
        <v>600</v>
      </c>
      <c r="I383" s="32">
        <v>695</v>
      </c>
      <c r="J383" s="32">
        <v>50</v>
      </c>
      <c r="K383" s="33"/>
      <c r="L383" s="33"/>
      <c r="M383" s="33"/>
      <c r="N383" s="33"/>
      <c r="O383" s="33"/>
      <c r="P383" s="33"/>
      <c r="Q383" s="33"/>
      <c r="R383" s="33"/>
      <c r="S383" s="33"/>
      <c r="T383" s="33"/>
    </row>
    <row r="384" spans="1:20" ht="15.6">
      <c r="A384" s="13">
        <v>53782</v>
      </c>
      <c r="B384" s="41">
        <v>31</v>
      </c>
      <c r="C384" s="32">
        <v>122.58</v>
      </c>
      <c r="D384" s="32">
        <v>297.94099999999997</v>
      </c>
      <c r="E384" s="38">
        <v>729.47900000000004</v>
      </c>
      <c r="F384" s="32">
        <v>1150</v>
      </c>
      <c r="G384" s="32">
        <v>100</v>
      </c>
      <c r="H384" s="40">
        <v>600</v>
      </c>
      <c r="I384" s="32">
        <v>695</v>
      </c>
      <c r="J384" s="32">
        <v>50</v>
      </c>
      <c r="K384" s="33"/>
      <c r="L384" s="33"/>
      <c r="M384" s="33"/>
      <c r="N384" s="33"/>
      <c r="O384" s="33"/>
      <c r="P384" s="33"/>
      <c r="Q384" s="33"/>
      <c r="R384" s="33"/>
      <c r="S384" s="33"/>
      <c r="T384" s="33"/>
    </row>
    <row r="385" spans="1:20" ht="15.6">
      <c r="A385" s="13">
        <v>53812</v>
      </c>
      <c r="B385" s="41">
        <v>30</v>
      </c>
      <c r="C385" s="32">
        <v>141.29300000000001</v>
      </c>
      <c r="D385" s="32">
        <v>267.99299999999999</v>
      </c>
      <c r="E385" s="38">
        <v>829.71400000000006</v>
      </c>
      <c r="F385" s="32">
        <v>1239</v>
      </c>
      <c r="G385" s="32">
        <v>100</v>
      </c>
      <c r="H385" s="40">
        <v>600</v>
      </c>
      <c r="I385" s="32">
        <v>695</v>
      </c>
      <c r="J385" s="32">
        <v>50</v>
      </c>
      <c r="K385" s="33"/>
      <c r="L385" s="33"/>
      <c r="M385" s="33"/>
      <c r="N385" s="33"/>
      <c r="O385" s="33"/>
      <c r="P385" s="33"/>
      <c r="Q385" s="33"/>
      <c r="R385" s="33"/>
      <c r="S385" s="33"/>
      <c r="T385" s="33"/>
    </row>
    <row r="386" spans="1:20" ht="15.6">
      <c r="A386" s="13">
        <v>53843</v>
      </c>
      <c r="B386" s="41">
        <v>31</v>
      </c>
      <c r="C386" s="32">
        <v>194.20500000000001</v>
      </c>
      <c r="D386" s="32">
        <v>267.46600000000001</v>
      </c>
      <c r="E386" s="38">
        <v>812.32899999999995</v>
      </c>
      <c r="F386" s="32">
        <v>1274</v>
      </c>
      <c r="G386" s="32">
        <v>75</v>
      </c>
      <c r="H386" s="40">
        <v>600</v>
      </c>
      <c r="I386" s="32">
        <v>695</v>
      </c>
      <c r="J386" s="32">
        <v>50</v>
      </c>
      <c r="K386" s="33"/>
      <c r="L386" s="33"/>
      <c r="M386" s="33"/>
      <c r="N386" s="33"/>
      <c r="O386" s="33"/>
      <c r="P386" s="33"/>
      <c r="Q386" s="33"/>
      <c r="R386" s="33"/>
      <c r="S386" s="33"/>
      <c r="T386" s="33"/>
    </row>
    <row r="387" spans="1:20" ht="15.6">
      <c r="A387" s="13">
        <v>53873</v>
      </c>
      <c r="B387" s="41">
        <v>30</v>
      </c>
      <c r="C387" s="32">
        <v>194.20500000000001</v>
      </c>
      <c r="D387" s="32">
        <v>267.46600000000001</v>
      </c>
      <c r="E387" s="38">
        <v>812.32899999999995</v>
      </c>
      <c r="F387" s="32">
        <v>1274</v>
      </c>
      <c r="G387" s="32">
        <v>50</v>
      </c>
      <c r="H387" s="40">
        <v>600</v>
      </c>
      <c r="I387" s="32">
        <v>695</v>
      </c>
      <c r="J387" s="32">
        <v>50</v>
      </c>
      <c r="K387" s="33"/>
      <c r="L387" s="33"/>
      <c r="M387" s="33"/>
      <c r="N387" s="33"/>
      <c r="O387" s="33"/>
      <c r="P387" s="33"/>
      <c r="Q387" s="33"/>
      <c r="R387" s="33"/>
      <c r="S387" s="33"/>
      <c r="T387" s="33"/>
    </row>
    <row r="388" spans="1:20" ht="15.6">
      <c r="A388" s="13">
        <v>53904</v>
      </c>
      <c r="B388" s="41">
        <v>31</v>
      </c>
      <c r="C388" s="32">
        <v>194.20500000000001</v>
      </c>
      <c r="D388" s="32">
        <v>267.46600000000001</v>
      </c>
      <c r="E388" s="38">
        <v>812.32899999999995</v>
      </c>
      <c r="F388" s="32">
        <v>1274</v>
      </c>
      <c r="G388" s="32">
        <v>50</v>
      </c>
      <c r="H388" s="40">
        <v>600</v>
      </c>
      <c r="I388" s="32">
        <v>695</v>
      </c>
      <c r="J388" s="32">
        <v>0</v>
      </c>
      <c r="K388" s="33"/>
      <c r="L388" s="33"/>
      <c r="M388" s="33"/>
      <c r="N388" s="33"/>
      <c r="O388" s="33"/>
      <c r="P388" s="33"/>
      <c r="Q388" s="33"/>
      <c r="R388" s="33"/>
      <c r="S388" s="33"/>
      <c r="T388" s="33"/>
    </row>
    <row r="389" spans="1:20" ht="15.6">
      <c r="A389" s="13">
        <v>53935</v>
      </c>
      <c r="B389" s="41">
        <v>31</v>
      </c>
      <c r="C389" s="32">
        <v>194.20500000000001</v>
      </c>
      <c r="D389" s="32">
        <v>267.46600000000001</v>
      </c>
      <c r="E389" s="38">
        <v>812.32899999999995</v>
      </c>
      <c r="F389" s="32">
        <v>1274</v>
      </c>
      <c r="G389" s="32">
        <v>50</v>
      </c>
      <c r="H389" s="40">
        <v>600</v>
      </c>
      <c r="I389" s="32">
        <v>695</v>
      </c>
      <c r="J389" s="32">
        <v>0</v>
      </c>
      <c r="K389" s="33"/>
      <c r="L389" s="33"/>
      <c r="M389" s="33"/>
      <c r="N389" s="33"/>
      <c r="O389" s="33"/>
      <c r="P389" s="33"/>
      <c r="Q389" s="33"/>
      <c r="R389" s="33"/>
      <c r="S389" s="33"/>
      <c r="T389" s="33"/>
    </row>
    <row r="390" spans="1:20" ht="15.6">
      <c r="A390" s="13">
        <v>53965</v>
      </c>
      <c r="B390" s="41">
        <v>30</v>
      </c>
      <c r="C390" s="32">
        <v>194.20500000000001</v>
      </c>
      <c r="D390" s="32">
        <v>267.46600000000001</v>
      </c>
      <c r="E390" s="38">
        <v>812.32899999999995</v>
      </c>
      <c r="F390" s="32">
        <v>1274</v>
      </c>
      <c r="G390" s="32">
        <v>50</v>
      </c>
      <c r="H390" s="40">
        <v>600</v>
      </c>
      <c r="I390" s="32">
        <v>695</v>
      </c>
      <c r="J390" s="32">
        <v>0</v>
      </c>
      <c r="K390" s="33"/>
      <c r="L390" s="33"/>
      <c r="M390" s="33"/>
      <c r="N390" s="33"/>
      <c r="O390" s="33"/>
      <c r="P390" s="33"/>
      <c r="Q390" s="33"/>
      <c r="R390" s="33"/>
      <c r="S390" s="33"/>
      <c r="T390" s="33"/>
    </row>
    <row r="391" spans="1:20" ht="15.6">
      <c r="A391" s="13">
        <v>53996</v>
      </c>
      <c r="B391" s="41">
        <v>31</v>
      </c>
      <c r="C391" s="32">
        <v>131.881</v>
      </c>
      <c r="D391" s="32">
        <v>277.16699999999997</v>
      </c>
      <c r="E391" s="38">
        <v>829.952</v>
      </c>
      <c r="F391" s="32">
        <v>1239</v>
      </c>
      <c r="G391" s="32">
        <v>75</v>
      </c>
      <c r="H391" s="40">
        <v>600</v>
      </c>
      <c r="I391" s="32">
        <v>695</v>
      </c>
      <c r="J391" s="32">
        <v>0</v>
      </c>
      <c r="K391" s="33"/>
      <c r="L391" s="33"/>
      <c r="M391" s="33"/>
      <c r="N391" s="33"/>
      <c r="O391" s="33"/>
      <c r="P391" s="33"/>
      <c r="Q391" s="33"/>
      <c r="R391" s="33"/>
      <c r="S391" s="33"/>
      <c r="T391" s="33"/>
    </row>
    <row r="392" spans="1:20" ht="15.6">
      <c r="A392" s="13">
        <v>54026</v>
      </c>
      <c r="B392" s="41">
        <v>30</v>
      </c>
      <c r="C392" s="32">
        <v>122.58</v>
      </c>
      <c r="D392" s="32">
        <v>297.94099999999997</v>
      </c>
      <c r="E392" s="38">
        <v>729.47900000000004</v>
      </c>
      <c r="F392" s="32">
        <v>1150</v>
      </c>
      <c r="G392" s="32">
        <v>100</v>
      </c>
      <c r="H392" s="40">
        <v>600</v>
      </c>
      <c r="I392" s="32">
        <v>695</v>
      </c>
      <c r="J392" s="32">
        <v>50</v>
      </c>
      <c r="K392" s="33"/>
      <c r="L392" s="33"/>
      <c r="M392" s="33"/>
      <c r="N392" s="33"/>
      <c r="O392" s="33"/>
      <c r="P392" s="33"/>
      <c r="Q392" s="33"/>
      <c r="R392" s="33"/>
      <c r="S392" s="33"/>
      <c r="T392" s="33"/>
    </row>
    <row r="393" spans="1:20" ht="15.6">
      <c r="A393" s="13">
        <v>54057</v>
      </c>
      <c r="B393" s="41">
        <v>31</v>
      </c>
      <c r="C393" s="32">
        <v>122.58</v>
      </c>
      <c r="D393" s="32">
        <v>297.94099999999997</v>
      </c>
      <c r="E393" s="38">
        <v>729.47900000000004</v>
      </c>
      <c r="F393" s="32">
        <v>1150</v>
      </c>
      <c r="G393" s="32">
        <v>100</v>
      </c>
      <c r="H393" s="40">
        <v>600</v>
      </c>
      <c r="I393" s="32">
        <v>695</v>
      </c>
      <c r="J393" s="32">
        <v>50</v>
      </c>
      <c r="K393" s="33"/>
      <c r="L393" s="33"/>
      <c r="M393" s="33"/>
      <c r="N393" s="33"/>
      <c r="O393" s="33"/>
      <c r="P393" s="33"/>
      <c r="Q393" s="33"/>
      <c r="R393" s="33"/>
      <c r="S393" s="33"/>
      <c r="T393" s="33"/>
    </row>
    <row r="394" spans="1:20" ht="15.6">
      <c r="A394" s="13">
        <v>54088</v>
      </c>
      <c r="B394" s="41">
        <v>31</v>
      </c>
      <c r="C394" s="32">
        <v>122.58</v>
      </c>
      <c r="D394" s="32">
        <v>297.94099999999997</v>
      </c>
      <c r="E394" s="38">
        <v>729.47900000000004</v>
      </c>
      <c r="F394" s="32">
        <v>1150</v>
      </c>
      <c r="G394" s="32">
        <v>100</v>
      </c>
      <c r="H394" s="40">
        <v>600</v>
      </c>
      <c r="I394" s="32">
        <v>695</v>
      </c>
      <c r="J394" s="32">
        <v>50</v>
      </c>
      <c r="K394" s="33"/>
      <c r="L394" s="33"/>
      <c r="M394" s="33"/>
      <c r="N394" s="33"/>
      <c r="O394" s="33"/>
      <c r="P394" s="33"/>
      <c r="Q394" s="33"/>
      <c r="R394" s="33"/>
      <c r="S394" s="33"/>
      <c r="T394" s="33"/>
    </row>
    <row r="395" spans="1:20" ht="15.6">
      <c r="A395" s="13">
        <v>54116</v>
      </c>
      <c r="B395" s="41">
        <v>29</v>
      </c>
      <c r="C395" s="32">
        <v>122.58</v>
      </c>
      <c r="D395" s="32">
        <v>297.94099999999997</v>
      </c>
      <c r="E395" s="38">
        <v>729.47900000000004</v>
      </c>
      <c r="F395" s="32">
        <v>1150</v>
      </c>
      <c r="G395" s="32">
        <v>100</v>
      </c>
      <c r="H395" s="40">
        <v>600</v>
      </c>
      <c r="I395" s="32">
        <v>695</v>
      </c>
      <c r="J395" s="32">
        <v>50</v>
      </c>
      <c r="K395" s="33"/>
      <c r="L395" s="33"/>
      <c r="M395" s="33"/>
      <c r="N395" s="33"/>
      <c r="O395" s="33"/>
      <c r="P395" s="33"/>
      <c r="Q395" s="33"/>
      <c r="R395" s="33"/>
      <c r="S395" s="33"/>
      <c r="T395" s="33"/>
    </row>
    <row r="396" spans="1:20" ht="15.6">
      <c r="A396" s="13">
        <v>54148</v>
      </c>
      <c r="B396" s="41">
        <v>31</v>
      </c>
      <c r="C396" s="32">
        <v>122.58</v>
      </c>
      <c r="D396" s="32">
        <v>297.94099999999997</v>
      </c>
      <c r="E396" s="38">
        <v>729.47900000000004</v>
      </c>
      <c r="F396" s="32">
        <v>1150</v>
      </c>
      <c r="G396" s="32">
        <v>100</v>
      </c>
      <c r="H396" s="40">
        <v>600</v>
      </c>
      <c r="I396" s="32">
        <v>695</v>
      </c>
      <c r="J396" s="32">
        <v>50</v>
      </c>
      <c r="K396" s="33"/>
      <c r="L396" s="33"/>
      <c r="M396" s="33"/>
      <c r="N396" s="33"/>
      <c r="O396" s="33"/>
      <c r="P396" s="33"/>
      <c r="Q396" s="33"/>
      <c r="R396" s="33"/>
      <c r="S396" s="33"/>
      <c r="T396" s="33"/>
    </row>
    <row r="397" spans="1:20" ht="15.6">
      <c r="A397" s="13">
        <v>54178</v>
      </c>
      <c r="B397" s="41">
        <v>30</v>
      </c>
      <c r="C397" s="32">
        <v>141.29300000000001</v>
      </c>
      <c r="D397" s="32">
        <v>267.99299999999999</v>
      </c>
      <c r="E397" s="38">
        <v>829.71400000000006</v>
      </c>
      <c r="F397" s="32">
        <v>1239</v>
      </c>
      <c r="G397" s="32">
        <v>100</v>
      </c>
      <c r="H397" s="40">
        <v>600</v>
      </c>
      <c r="I397" s="32">
        <v>695</v>
      </c>
      <c r="J397" s="32">
        <v>50</v>
      </c>
      <c r="K397" s="33"/>
      <c r="L397" s="33"/>
      <c r="M397" s="33"/>
      <c r="N397" s="33"/>
      <c r="O397" s="33"/>
      <c r="P397" s="33"/>
      <c r="Q397" s="33"/>
      <c r="R397" s="33"/>
      <c r="S397" s="33"/>
      <c r="T397" s="33"/>
    </row>
    <row r="398" spans="1:20" ht="15.6">
      <c r="A398" s="13">
        <v>54209</v>
      </c>
      <c r="B398" s="41">
        <v>31</v>
      </c>
      <c r="C398" s="32">
        <v>194.20500000000001</v>
      </c>
      <c r="D398" s="32">
        <v>267.46600000000001</v>
      </c>
      <c r="E398" s="38">
        <v>812.32899999999995</v>
      </c>
      <c r="F398" s="32">
        <v>1274</v>
      </c>
      <c r="G398" s="32">
        <v>75</v>
      </c>
      <c r="H398" s="40">
        <v>600</v>
      </c>
      <c r="I398" s="32">
        <v>695</v>
      </c>
      <c r="J398" s="32">
        <v>50</v>
      </c>
      <c r="K398" s="33"/>
      <c r="L398" s="33"/>
      <c r="M398" s="33"/>
      <c r="N398" s="33"/>
      <c r="O398" s="33"/>
      <c r="P398" s="33"/>
      <c r="Q398" s="33"/>
      <c r="R398" s="33"/>
      <c r="S398" s="33"/>
      <c r="T398" s="33"/>
    </row>
    <row r="399" spans="1:20" ht="15.6">
      <c r="A399" s="13">
        <v>54239</v>
      </c>
      <c r="B399" s="41">
        <v>30</v>
      </c>
      <c r="C399" s="32">
        <v>194.20500000000001</v>
      </c>
      <c r="D399" s="32">
        <v>267.46600000000001</v>
      </c>
      <c r="E399" s="38">
        <v>812.32899999999995</v>
      </c>
      <c r="F399" s="32">
        <v>1274</v>
      </c>
      <c r="G399" s="32">
        <v>50</v>
      </c>
      <c r="H399" s="40">
        <v>600</v>
      </c>
      <c r="I399" s="32">
        <v>695</v>
      </c>
      <c r="J399" s="32">
        <v>50</v>
      </c>
      <c r="K399" s="33"/>
      <c r="L399" s="33"/>
      <c r="M399" s="33"/>
      <c r="N399" s="33"/>
      <c r="O399" s="33"/>
      <c r="P399" s="33"/>
      <c r="Q399" s="33"/>
      <c r="R399" s="33"/>
      <c r="S399" s="33"/>
      <c r="T399" s="33"/>
    </row>
    <row r="400" spans="1:20" ht="15.6">
      <c r="A400" s="13">
        <v>54270</v>
      </c>
      <c r="B400" s="41">
        <v>31</v>
      </c>
      <c r="C400" s="32">
        <v>194.20500000000001</v>
      </c>
      <c r="D400" s="32">
        <v>267.46600000000001</v>
      </c>
      <c r="E400" s="38">
        <v>812.32899999999995</v>
      </c>
      <c r="F400" s="32">
        <v>1274</v>
      </c>
      <c r="G400" s="32">
        <v>50</v>
      </c>
      <c r="H400" s="40">
        <v>600</v>
      </c>
      <c r="I400" s="32">
        <v>695</v>
      </c>
      <c r="J400" s="32">
        <v>0</v>
      </c>
      <c r="K400" s="33"/>
      <c r="L400" s="33"/>
      <c r="M400" s="33"/>
      <c r="N400" s="33"/>
      <c r="O400" s="33"/>
      <c r="P400" s="33"/>
      <c r="Q400" s="33"/>
      <c r="R400" s="33"/>
      <c r="S400" s="33"/>
      <c r="T400" s="33"/>
    </row>
    <row r="401" spans="1:20" ht="15.6">
      <c r="A401" s="13">
        <v>54301</v>
      </c>
      <c r="B401" s="41">
        <v>31</v>
      </c>
      <c r="C401" s="32">
        <v>194.20500000000001</v>
      </c>
      <c r="D401" s="32">
        <v>267.46600000000001</v>
      </c>
      <c r="E401" s="38">
        <v>812.32899999999995</v>
      </c>
      <c r="F401" s="32">
        <v>1274</v>
      </c>
      <c r="G401" s="32">
        <v>50</v>
      </c>
      <c r="H401" s="40">
        <v>600</v>
      </c>
      <c r="I401" s="32">
        <v>695</v>
      </c>
      <c r="J401" s="32">
        <v>0</v>
      </c>
      <c r="K401" s="33"/>
      <c r="L401" s="33"/>
      <c r="M401" s="33"/>
      <c r="N401" s="33"/>
      <c r="O401" s="33"/>
      <c r="P401" s="33"/>
      <c r="Q401" s="33"/>
      <c r="R401" s="33"/>
      <c r="S401" s="33"/>
      <c r="T401" s="33"/>
    </row>
    <row r="402" spans="1:20" ht="15.6">
      <c r="A402" s="13">
        <v>54331</v>
      </c>
      <c r="B402" s="41">
        <v>30</v>
      </c>
      <c r="C402" s="32">
        <v>194.20500000000001</v>
      </c>
      <c r="D402" s="32">
        <v>267.46600000000001</v>
      </c>
      <c r="E402" s="38">
        <v>812.32899999999995</v>
      </c>
      <c r="F402" s="32">
        <v>1274</v>
      </c>
      <c r="G402" s="32">
        <v>50</v>
      </c>
      <c r="H402" s="40">
        <v>600</v>
      </c>
      <c r="I402" s="32">
        <v>695</v>
      </c>
      <c r="J402" s="32">
        <v>0</v>
      </c>
      <c r="K402" s="33"/>
      <c r="L402" s="33"/>
      <c r="M402" s="33"/>
      <c r="N402" s="33"/>
      <c r="O402" s="33"/>
      <c r="P402" s="33"/>
      <c r="Q402" s="33"/>
      <c r="R402" s="33"/>
      <c r="S402" s="33"/>
      <c r="T402" s="33"/>
    </row>
    <row r="403" spans="1:20" ht="15.6">
      <c r="A403" s="13">
        <v>54362</v>
      </c>
      <c r="B403" s="41">
        <v>31</v>
      </c>
      <c r="C403" s="32">
        <v>131.881</v>
      </c>
      <c r="D403" s="32">
        <v>277.16699999999997</v>
      </c>
      <c r="E403" s="38">
        <v>829.952</v>
      </c>
      <c r="F403" s="32">
        <v>1239</v>
      </c>
      <c r="G403" s="32">
        <v>75</v>
      </c>
      <c r="H403" s="40">
        <v>600</v>
      </c>
      <c r="I403" s="32">
        <v>695</v>
      </c>
      <c r="J403" s="32">
        <v>0</v>
      </c>
      <c r="K403" s="33"/>
      <c r="L403" s="33"/>
      <c r="M403" s="33"/>
      <c r="N403" s="33"/>
      <c r="O403" s="33"/>
      <c r="P403" s="33"/>
      <c r="Q403" s="33"/>
      <c r="R403" s="33"/>
      <c r="S403" s="33"/>
      <c r="T403" s="33"/>
    </row>
    <row r="404" spans="1:20" ht="15.6">
      <c r="A404" s="13">
        <v>54392</v>
      </c>
      <c r="B404" s="41">
        <v>30</v>
      </c>
      <c r="C404" s="32">
        <v>122.58</v>
      </c>
      <c r="D404" s="32">
        <v>297.94099999999997</v>
      </c>
      <c r="E404" s="38">
        <v>729.47900000000004</v>
      </c>
      <c r="F404" s="32">
        <v>1150</v>
      </c>
      <c r="G404" s="32">
        <v>100</v>
      </c>
      <c r="H404" s="40">
        <v>600</v>
      </c>
      <c r="I404" s="32">
        <v>695</v>
      </c>
      <c r="J404" s="32">
        <v>50</v>
      </c>
      <c r="K404" s="33"/>
      <c r="L404" s="33"/>
      <c r="M404" s="33"/>
      <c r="N404" s="33"/>
      <c r="O404" s="33"/>
      <c r="P404" s="33"/>
      <c r="Q404" s="33"/>
      <c r="R404" s="33"/>
      <c r="S404" s="33"/>
      <c r="T404" s="33"/>
    </row>
    <row r="405" spans="1:20" ht="15.6">
      <c r="A405" s="13">
        <v>54423</v>
      </c>
      <c r="B405" s="41">
        <v>31</v>
      </c>
      <c r="C405" s="32">
        <v>122.58</v>
      </c>
      <c r="D405" s="32">
        <v>297.94099999999997</v>
      </c>
      <c r="E405" s="38">
        <v>729.47900000000004</v>
      </c>
      <c r="F405" s="32">
        <v>1150</v>
      </c>
      <c r="G405" s="32">
        <v>100</v>
      </c>
      <c r="H405" s="40">
        <v>600</v>
      </c>
      <c r="I405" s="32">
        <v>695</v>
      </c>
      <c r="J405" s="32">
        <v>50</v>
      </c>
      <c r="K405" s="33"/>
      <c r="L405" s="33"/>
      <c r="M405" s="33"/>
      <c r="N405" s="33"/>
      <c r="O405" s="33"/>
      <c r="P405" s="33"/>
      <c r="Q405" s="33"/>
      <c r="R405" s="33"/>
      <c r="S405" s="33"/>
      <c r="T405" s="33"/>
    </row>
    <row r="406" spans="1:20" ht="15.6">
      <c r="A406" s="13">
        <v>54454</v>
      </c>
      <c r="B406" s="41">
        <v>31</v>
      </c>
      <c r="C406" s="32">
        <v>122.58</v>
      </c>
      <c r="D406" s="32">
        <v>297.94099999999997</v>
      </c>
      <c r="E406" s="38">
        <v>729.47900000000004</v>
      </c>
      <c r="F406" s="32">
        <v>1150</v>
      </c>
      <c r="G406" s="32">
        <v>100</v>
      </c>
      <c r="H406" s="40">
        <v>600</v>
      </c>
      <c r="I406" s="32">
        <v>695</v>
      </c>
      <c r="J406" s="32">
        <v>50</v>
      </c>
      <c r="K406" s="33"/>
      <c r="L406" s="33"/>
      <c r="M406" s="33"/>
      <c r="N406" s="33"/>
      <c r="O406" s="33"/>
      <c r="P406" s="33"/>
      <c r="Q406" s="33"/>
      <c r="R406" s="33"/>
      <c r="S406" s="33"/>
      <c r="T406" s="33"/>
    </row>
    <row r="407" spans="1:20" ht="15.6">
      <c r="A407" s="13">
        <v>54482</v>
      </c>
      <c r="B407" s="41">
        <v>28</v>
      </c>
      <c r="C407" s="32">
        <v>122.58</v>
      </c>
      <c r="D407" s="32">
        <v>297.94099999999997</v>
      </c>
      <c r="E407" s="38">
        <v>729.47900000000004</v>
      </c>
      <c r="F407" s="32">
        <v>1150</v>
      </c>
      <c r="G407" s="32">
        <v>100</v>
      </c>
      <c r="H407" s="40">
        <v>600</v>
      </c>
      <c r="I407" s="32">
        <v>695</v>
      </c>
      <c r="J407" s="32">
        <v>50</v>
      </c>
      <c r="K407" s="33"/>
      <c r="L407" s="33"/>
      <c r="M407" s="33"/>
      <c r="N407" s="33"/>
      <c r="O407" s="33"/>
      <c r="P407" s="33"/>
      <c r="Q407" s="33"/>
      <c r="R407" s="33"/>
      <c r="S407" s="33"/>
      <c r="T407" s="33"/>
    </row>
    <row r="408" spans="1:20" ht="15.6">
      <c r="A408" s="13">
        <v>54513</v>
      </c>
      <c r="B408" s="41">
        <v>31</v>
      </c>
      <c r="C408" s="32">
        <v>122.58</v>
      </c>
      <c r="D408" s="32">
        <v>297.94099999999997</v>
      </c>
      <c r="E408" s="38">
        <v>729.47900000000004</v>
      </c>
      <c r="F408" s="32">
        <v>1150</v>
      </c>
      <c r="G408" s="32">
        <v>100</v>
      </c>
      <c r="H408" s="40">
        <v>600</v>
      </c>
      <c r="I408" s="32">
        <v>695</v>
      </c>
      <c r="J408" s="32">
        <v>50</v>
      </c>
      <c r="K408" s="33"/>
      <c r="L408" s="33"/>
      <c r="M408" s="33"/>
      <c r="N408" s="33"/>
      <c r="O408" s="33"/>
      <c r="P408" s="33"/>
      <c r="Q408" s="33"/>
      <c r="R408" s="33"/>
      <c r="S408" s="33"/>
      <c r="T408" s="33"/>
    </row>
    <row r="409" spans="1:20" ht="15.6">
      <c r="A409" s="13">
        <v>54543</v>
      </c>
      <c r="B409" s="41">
        <v>30</v>
      </c>
      <c r="C409" s="32">
        <v>141.29300000000001</v>
      </c>
      <c r="D409" s="32">
        <v>267.99299999999999</v>
      </c>
      <c r="E409" s="38">
        <v>829.71400000000006</v>
      </c>
      <c r="F409" s="32">
        <v>1239</v>
      </c>
      <c r="G409" s="32">
        <v>100</v>
      </c>
      <c r="H409" s="40">
        <v>600</v>
      </c>
      <c r="I409" s="32">
        <v>695</v>
      </c>
      <c r="J409" s="32">
        <v>50</v>
      </c>
      <c r="K409" s="33"/>
      <c r="L409" s="33"/>
      <c r="M409" s="33"/>
      <c r="N409" s="33"/>
      <c r="O409" s="33"/>
      <c r="P409" s="33"/>
      <c r="Q409" s="33"/>
      <c r="R409" s="33"/>
      <c r="S409" s="33"/>
      <c r="T409" s="33"/>
    </row>
    <row r="410" spans="1:20" ht="15.6">
      <c r="A410" s="13">
        <v>54574</v>
      </c>
      <c r="B410" s="41">
        <v>31</v>
      </c>
      <c r="C410" s="32">
        <v>194.20500000000001</v>
      </c>
      <c r="D410" s="32">
        <v>267.46600000000001</v>
      </c>
      <c r="E410" s="38">
        <v>812.32899999999995</v>
      </c>
      <c r="F410" s="32">
        <v>1274</v>
      </c>
      <c r="G410" s="32">
        <v>75</v>
      </c>
      <c r="H410" s="40">
        <v>600</v>
      </c>
      <c r="I410" s="32">
        <v>695</v>
      </c>
      <c r="J410" s="32">
        <v>50</v>
      </c>
      <c r="K410" s="33"/>
      <c r="L410" s="33"/>
      <c r="M410" s="33"/>
      <c r="N410" s="33"/>
      <c r="O410" s="33"/>
      <c r="P410" s="33"/>
      <c r="Q410" s="33"/>
      <c r="R410" s="33"/>
      <c r="S410" s="33"/>
      <c r="T410" s="33"/>
    </row>
    <row r="411" spans="1:20" ht="15.6">
      <c r="A411" s="13">
        <v>54604</v>
      </c>
      <c r="B411" s="41">
        <v>30</v>
      </c>
      <c r="C411" s="32">
        <v>194.20500000000001</v>
      </c>
      <c r="D411" s="32">
        <v>267.46600000000001</v>
      </c>
      <c r="E411" s="38">
        <v>812.32899999999995</v>
      </c>
      <c r="F411" s="32">
        <v>1274</v>
      </c>
      <c r="G411" s="32">
        <v>50</v>
      </c>
      <c r="H411" s="40">
        <v>600</v>
      </c>
      <c r="I411" s="32">
        <v>695</v>
      </c>
      <c r="J411" s="32">
        <v>50</v>
      </c>
      <c r="K411" s="33"/>
      <c r="L411" s="33"/>
      <c r="M411" s="33"/>
      <c r="N411" s="33"/>
      <c r="O411" s="33"/>
      <c r="P411" s="33"/>
      <c r="Q411" s="33"/>
      <c r="R411" s="33"/>
      <c r="S411" s="33"/>
      <c r="T411" s="33"/>
    </row>
    <row r="412" spans="1:20" ht="15.6">
      <c r="A412" s="13">
        <v>54635</v>
      </c>
      <c r="B412" s="41">
        <v>31</v>
      </c>
      <c r="C412" s="32">
        <v>194.20500000000001</v>
      </c>
      <c r="D412" s="32">
        <v>267.46600000000001</v>
      </c>
      <c r="E412" s="38">
        <v>812.32899999999995</v>
      </c>
      <c r="F412" s="32">
        <v>1274</v>
      </c>
      <c r="G412" s="32">
        <v>50</v>
      </c>
      <c r="H412" s="40">
        <v>600</v>
      </c>
      <c r="I412" s="32">
        <v>695</v>
      </c>
      <c r="J412" s="32">
        <v>0</v>
      </c>
      <c r="K412" s="33"/>
      <c r="L412" s="33"/>
      <c r="M412" s="33"/>
      <c r="N412" s="33"/>
      <c r="O412" s="33"/>
      <c r="P412" s="33"/>
      <c r="Q412" s="33"/>
      <c r="R412" s="33"/>
      <c r="S412" s="33"/>
      <c r="T412" s="33"/>
    </row>
    <row r="413" spans="1:20" ht="15.6">
      <c r="A413" s="13">
        <v>54666</v>
      </c>
      <c r="B413" s="41">
        <v>31</v>
      </c>
      <c r="C413" s="32">
        <v>194.20500000000001</v>
      </c>
      <c r="D413" s="32">
        <v>267.46600000000001</v>
      </c>
      <c r="E413" s="38">
        <v>812.32899999999995</v>
      </c>
      <c r="F413" s="32">
        <v>1274</v>
      </c>
      <c r="G413" s="32">
        <v>50</v>
      </c>
      <c r="H413" s="40">
        <v>600</v>
      </c>
      <c r="I413" s="32">
        <v>695</v>
      </c>
      <c r="J413" s="32">
        <v>0</v>
      </c>
      <c r="K413" s="33"/>
      <c r="L413" s="33"/>
      <c r="M413" s="33"/>
      <c r="N413" s="33"/>
      <c r="O413" s="33"/>
      <c r="P413" s="33"/>
      <c r="Q413" s="33"/>
      <c r="R413" s="33"/>
      <c r="S413" s="33"/>
      <c r="T413" s="33"/>
    </row>
    <row r="414" spans="1:20" ht="15.6">
      <c r="A414" s="13">
        <v>54696</v>
      </c>
      <c r="B414" s="41">
        <v>30</v>
      </c>
      <c r="C414" s="32">
        <v>194.20500000000001</v>
      </c>
      <c r="D414" s="32">
        <v>267.46600000000001</v>
      </c>
      <c r="E414" s="38">
        <v>812.32899999999995</v>
      </c>
      <c r="F414" s="32">
        <v>1274</v>
      </c>
      <c r="G414" s="32">
        <v>50</v>
      </c>
      <c r="H414" s="40">
        <v>600</v>
      </c>
      <c r="I414" s="32">
        <v>695</v>
      </c>
      <c r="J414" s="32">
        <v>0</v>
      </c>
      <c r="K414" s="33"/>
      <c r="L414" s="33"/>
      <c r="M414" s="33"/>
      <c r="N414" s="33"/>
      <c r="O414" s="33"/>
      <c r="P414" s="33"/>
      <c r="Q414" s="33"/>
      <c r="R414" s="33"/>
      <c r="S414" s="33"/>
      <c r="T414" s="33"/>
    </row>
    <row r="415" spans="1:20" ht="15.6">
      <c r="A415" s="13">
        <v>54727</v>
      </c>
      <c r="B415" s="41">
        <v>31</v>
      </c>
      <c r="C415" s="32">
        <v>131.881</v>
      </c>
      <c r="D415" s="32">
        <v>277.16699999999997</v>
      </c>
      <c r="E415" s="38">
        <v>829.952</v>
      </c>
      <c r="F415" s="32">
        <v>1239</v>
      </c>
      <c r="G415" s="32">
        <v>75</v>
      </c>
      <c r="H415" s="40">
        <v>600</v>
      </c>
      <c r="I415" s="32">
        <v>695</v>
      </c>
      <c r="J415" s="32">
        <v>0</v>
      </c>
      <c r="K415" s="33"/>
      <c r="L415" s="33"/>
      <c r="M415" s="33"/>
      <c r="N415" s="33"/>
      <c r="O415" s="33"/>
      <c r="P415" s="33"/>
      <c r="Q415" s="33"/>
      <c r="R415" s="33"/>
      <c r="S415" s="33"/>
      <c r="T415" s="33"/>
    </row>
    <row r="416" spans="1:20" ht="15.6">
      <c r="A416" s="13">
        <v>54757</v>
      </c>
      <c r="B416" s="41">
        <v>30</v>
      </c>
      <c r="C416" s="32">
        <v>122.58</v>
      </c>
      <c r="D416" s="32">
        <v>297.94099999999997</v>
      </c>
      <c r="E416" s="38">
        <v>729.47900000000004</v>
      </c>
      <c r="F416" s="32">
        <v>1150</v>
      </c>
      <c r="G416" s="32">
        <v>100</v>
      </c>
      <c r="H416" s="40">
        <v>600</v>
      </c>
      <c r="I416" s="32">
        <v>695</v>
      </c>
      <c r="J416" s="32">
        <v>50</v>
      </c>
      <c r="K416" s="33"/>
      <c r="L416" s="33"/>
      <c r="M416" s="33"/>
      <c r="N416" s="33"/>
      <c r="O416" s="33"/>
      <c r="P416" s="33"/>
      <c r="Q416" s="33"/>
      <c r="R416" s="33"/>
      <c r="S416" s="33"/>
      <c r="T416" s="33"/>
    </row>
    <row r="417" spans="1:20" ht="15.6">
      <c r="A417" s="13">
        <v>54788</v>
      </c>
      <c r="B417" s="41">
        <v>31</v>
      </c>
      <c r="C417" s="32">
        <v>122.58</v>
      </c>
      <c r="D417" s="32">
        <v>297.94099999999997</v>
      </c>
      <c r="E417" s="38">
        <v>729.47900000000004</v>
      </c>
      <c r="F417" s="32">
        <v>1150</v>
      </c>
      <c r="G417" s="32">
        <v>100</v>
      </c>
      <c r="H417" s="40">
        <v>600</v>
      </c>
      <c r="I417" s="32">
        <v>695</v>
      </c>
      <c r="J417" s="32">
        <v>50</v>
      </c>
      <c r="K417" s="33"/>
      <c r="L417" s="33"/>
      <c r="M417" s="33"/>
      <c r="N417" s="33"/>
      <c r="O417" s="33"/>
      <c r="P417" s="33"/>
      <c r="Q417" s="33"/>
      <c r="R417" s="33"/>
      <c r="S417" s="33"/>
      <c r="T417" s="33"/>
    </row>
    <row r="418" spans="1:20" ht="15.6">
      <c r="A418" s="13">
        <v>54819</v>
      </c>
      <c r="B418" s="41">
        <v>31</v>
      </c>
      <c r="C418" s="32">
        <v>122.58</v>
      </c>
      <c r="D418" s="32">
        <v>297.94099999999997</v>
      </c>
      <c r="E418" s="38">
        <v>729.47900000000004</v>
      </c>
      <c r="F418" s="32">
        <v>1150</v>
      </c>
      <c r="G418" s="32">
        <v>100</v>
      </c>
      <c r="H418" s="40">
        <v>600</v>
      </c>
      <c r="I418" s="32">
        <v>695</v>
      </c>
      <c r="J418" s="32">
        <v>50</v>
      </c>
      <c r="K418" s="33"/>
      <c r="L418" s="33"/>
      <c r="M418" s="33"/>
      <c r="N418" s="33"/>
      <c r="O418" s="33"/>
      <c r="P418" s="33"/>
      <c r="Q418" s="33"/>
      <c r="R418" s="33"/>
      <c r="S418" s="33"/>
      <c r="T418" s="33"/>
    </row>
    <row r="419" spans="1:20" ht="15.6">
      <c r="A419" s="13">
        <v>54847</v>
      </c>
      <c r="B419" s="41">
        <v>28</v>
      </c>
      <c r="C419" s="32">
        <v>122.58</v>
      </c>
      <c r="D419" s="32">
        <v>297.94099999999997</v>
      </c>
      <c r="E419" s="38">
        <v>729.47900000000004</v>
      </c>
      <c r="F419" s="32">
        <v>1150</v>
      </c>
      <c r="G419" s="32">
        <v>100</v>
      </c>
      <c r="H419" s="40">
        <v>600</v>
      </c>
      <c r="I419" s="32">
        <v>695</v>
      </c>
      <c r="J419" s="32">
        <v>50</v>
      </c>
      <c r="K419" s="33"/>
      <c r="L419" s="33"/>
      <c r="M419" s="33"/>
      <c r="N419" s="33"/>
      <c r="O419" s="33"/>
      <c r="P419" s="33"/>
      <c r="Q419" s="33"/>
      <c r="R419" s="33"/>
      <c r="S419" s="33"/>
      <c r="T419" s="33"/>
    </row>
    <row r="420" spans="1:20" ht="15.6">
      <c r="A420" s="13">
        <v>54878</v>
      </c>
      <c r="B420" s="41">
        <v>31</v>
      </c>
      <c r="C420" s="32">
        <v>122.58</v>
      </c>
      <c r="D420" s="32">
        <v>297.94099999999997</v>
      </c>
      <c r="E420" s="38">
        <v>729.47900000000004</v>
      </c>
      <c r="F420" s="32">
        <v>1150</v>
      </c>
      <c r="G420" s="32">
        <v>100</v>
      </c>
      <c r="H420" s="40">
        <v>600</v>
      </c>
      <c r="I420" s="32">
        <v>695</v>
      </c>
      <c r="J420" s="32">
        <v>50</v>
      </c>
      <c r="K420" s="33"/>
      <c r="L420" s="33"/>
      <c r="M420" s="33"/>
      <c r="N420" s="33"/>
      <c r="O420" s="33"/>
      <c r="P420" s="33"/>
      <c r="Q420" s="33"/>
      <c r="R420" s="33"/>
      <c r="S420" s="33"/>
      <c r="T420" s="33"/>
    </row>
    <row r="421" spans="1:20" ht="15.6">
      <c r="A421" s="13">
        <v>54908</v>
      </c>
      <c r="B421" s="41">
        <v>30</v>
      </c>
      <c r="C421" s="32">
        <v>141.29300000000001</v>
      </c>
      <c r="D421" s="32">
        <v>267.99299999999999</v>
      </c>
      <c r="E421" s="38">
        <v>829.71400000000006</v>
      </c>
      <c r="F421" s="32">
        <v>1239</v>
      </c>
      <c r="G421" s="32">
        <v>100</v>
      </c>
      <c r="H421" s="40">
        <v>600</v>
      </c>
      <c r="I421" s="32">
        <v>695</v>
      </c>
      <c r="J421" s="32">
        <v>50</v>
      </c>
      <c r="K421" s="33"/>
      <c r="L421" s="33"/>
      <c r="M421" s="33"/>
      <c r="N421" s="33"/>
      <c r="O421" s="33"/>
      <c r="P421" s="33"/>
      <c r="Q421" s="33"/>
      <c r="R421" s="33"/>
      <c r="S421" s="33"/>
      <c r="T421" s="33"/>
    </row>
    <row r="422" spans="1:20" ht="15.6">
      <c r="A422" s="13">
        <v>54939</v>
      </c>
      <c r="B422" s="41">
        <v>31</v>
      </c>
      <c r="C422" s="32">
        <v>194.20500000000001</v>
      </c>
      <c r="D422" s="32">
        <v>267.46600000000001</v>
      </c>
      <c r="E422" s="38">
        <v>812.32899999999995</v>
      </c>
      <c r="F422" s="32">
        <v>1274</v>
      </c>
      <c r="G422" s="32">
        <v>75</v>
      </c>
      <c r="H422" s="40">
        <v>600</v>
      </c>
      <c r="I422" s="32">
        <v>695</v>
      </c>
      <c r="J422" s="32">
        <v>50</v>
      </c>
      <c r="K422" s="33"/>
      <c r="L422" s="33"/>
      <c r="M422" s="33"/>
      <c r="N422" s="33"/>
      <c r="O422" s="33"/>
      <c r="P422" s="33"/>
      <c r="Q422" s="33"/>
      <c r="R422" s="33"/>
      <c r="S422" s="33"/>
      <c r="T422" s="33"/>
    </row>
    <row r="423" spans="1:20" ht="15.6">
      <c r="A423" s="13">
        <v>54969</v>
      </c>
      <c r="B423" s="41">
        <v>30</v>
      </c>
      <c r="C423" s="32">
        <v>194.20500000000001</v>
      </c>
      <c r="D423" s="32">
        <v>267.46600000000001</v>
      </c>
      <c r="E423" s="38">
        <v>812.32899999999995</v>
      </c>
      <c r="F423" s="32">
        <v>1274</v>
      </c>
      <c r="G423" s="32">
        <v>50</v>
      </c>
      <c r="H423" s="40">
        <v>600</v>
      </c>
      <c r="I423" s="32">
        <v>695</v>
      </c>
      <c r="J423" s="32">
        <v>50</v>
      </c>
      <c r="K423" s="33"/>
      <c r="L423" s="33"/>
      <c r="M423" s="33"/>
      <c r="N423" s="33"/>
      <c r="O423" s="33"/>
      <c r="P423" s="33"/>
      <c r="Q423" s="33"/>
      <c r="R423" s="33"/>
      <c r="S423" s="33"/>
      <c r="T423" s="33"/>
    </row>
    <row r="424" spans="1:20" ht="15.6">
      <c r="A424" s="13">
        <v>55000</v>
      </c>
      <c r="B424" s="41">
        <v>31</v>
      </c>
      <c r="C424" s="32">
        <v>194.20500000000001</v>
      </c>
      <c r="D424" s="32">
        <v>267.46600000000001</v>
      </c>
      <c r="E424" s="38">
        <v>812.32899999999995</v>
      </c>
      <c r="F424" s="32">
        <v>1274</v>
      </c>
      <c r="G424" s="32">
        <v>50</v>
      </c>
      <c r="H424" s="40">
        <v>600</v>
      </c>
      <c r="I424" s="32">
        <v>695</v>
      </c>
      <c r="J424" s="32">
        <v>0</v>
      </c>
      <c r="K424" s="33"/>
      <c r="L424" s="33"/>
      <c r="M424" s="33"/>
      <c r="N424" s="33"/>
      <c r="O424" s="33"/>
      <c r="P424" s="33"/>
      <c r="Q424" s="33"/>
      <c r="R424" s="33"/>
      <c r="S424" s="33"/>
      <c r="T424" s="33"/>
    </row>
    <row r="425" spans="1:20" ht="15.6">
      <c r="A425" s="13">
        <v>55031</v>
      </c>
      <c r="B425" s="41">
        <v>31</v>
      </c>
      <c r="C425" s="32">
        <v>194.20500000000001</v>
      </c>
      <c r="D425" s="32">
        <v>267.46600000000001</v>
      </c>
      <c r="E425" s="38">
        <v>812.32899999999995</v>
      </c>
      <c r="F425" s="32">
        <v>1274</v>
      </c>
      <c r="G425" s="32">
        <v>50</v>
      </c>
      <c r="H425" s="40">
        <v>600</v>
      </c>
      <c r="I425" s="32">
        <v>695</v>
      </c>
      <c r="J425" s="32">
        <v>0</v>
      </c>
      <c r="K425" s="33"/>
      <c r="L425" s="33"/>
      <c r="M425" s="33"/>
      <c r="N425" s="33"/>
      <c r="O425" s="33"/>
      <c r="P425" s="33"/>
      <c r="Q425" s="33"/>
      <c r="R425" s="33"/>
      <c r="S425" s="33"/>
      <c r="T425" s="33"/>
    </row>
    <row r="426" spans="1:20" ht="15.6">
      <c r="A426" s="13">
        <v>55061</v>
      </c>
      <c r="B426" s="41">
        <v>30</v>
      </c>
      <c r="C426" s="32">
        <v>194.20500000000001</v>
      </c>
      <c r="D426" s="32">
        <v>267.46600000000001</v>
      </c>
      <c r="E426" s="38">
        <v>812.32899999999995</v>
      </c>
      <c r="F426" s="32">
        <v>1274</v>
      </c>
      <c r="G426" s="32">
        <v>50</v>
      </c>
      <c r="H426" s="40">
        <v>600</v>
      </c>
      <c r="I426" s="32">
        <v>695</v>
      </c>
      <c r="J426" s="32">
        <v>0</v>
      </c>
      <c r="K426" s="33"/>
      <c r="L426" s="33"/>
      <c r="M426" s="33"/>
      <c r="N426" s="33"/>
      <c r="O426" s="33"/>
      <c r="P426" s="33"/>
      <c r="Q426" s="33"/>
      <c r="R426" s="33"/>
      <c r="S426" s="33"/>
      <c r="T426" s="33"/>
    </row>
    <row r="427" spans="1:20" ht="15.6">
      <c r="A427" s="13">
        <v>55092</v>
      </c>
      <c r="B427" s="41">
        <v>31</v>
      </c>
      <c r="C427" s="32">
        <v>131.881</v>
      </c>
      <c r="D427" s="32">
        <v>277.16699999999997</v>
      </c>
      <c r="E427" s="38">
        <v>829.952</v>
      </c>
      <c r="F427" s="32">
        <v>1239</v>
      </c>
      <c r="G427" s="32">
        <v>75</v>
      </c>
      <c r="H427" s="40">
        <v>600</v>
      </c>
      <c r="I427" s="32">
        <v>695</v>
      </c>
      <c r="J427" s="32">
        <v>0</v>
      </c>
      <c r="K427" s="33"/>
      <c r="L427" s="33"/>
      <c r="M427" s="33"/>
      <c r="N427" s="33"/>
      <c r="O427" s="33"/>
      <c r="P427" s="33"/>
      <c r="Q427" s="33"/>
      <c r="R427" s="33"/>
      <c r="S427" s="33"/>
      <c r="T427" s="33"/>
    </row>
    <row r="428" spans="1:20" ht="15.6">
      <c r="A428" s="13">
        <v>55122</v>
      </c>
      <c r="B428" s="41">
        <v>30</v>
      </c>
      <c r="C428" s="32">
        <v>122.58</v>
      </c>
      <c r="D428" s="32">
        <v>297.94099999999997</v>
      </c>
      <c r="E428" s="38">
        <v>729.47900000000004</v>
      </c>
      <c r="F428" s="32">
        <v>1150</v>
      </c>
      <c r="G428" s="32">
        <v>100</v>
      </c>
      <c r="H428" s="40">
        <v>600</v>
      </c>
      <c r="I428" s="32">
        <v>695</v>
      </c>
      <c r="J428" s="32">
        <v>50</v>
      </c>
      <c r="K428" s="33"/>
      <c r="L428" s="33"/>
      <c r="M428" s="33"/>
      <c r="N428" s="33"/>
      <c r="O428" s="33"/>
      <c r="P428" s="33"/>
      <c r="Q428" s="33"/>
      <c r="R428" s="33"/>
      <c r="S428" s="33"/>
      <c r="T428" s="33"/>
    </row>
    <row r="429" spans="1:20" ht="15.6">
      <c r="A429" s="13">
        <v>55153</v>
      </c>
      <c r="B429" s="41">
        <v>31</v>
      </c>
      <c r="C429" s="32">
        <v>122.58</v>
      </c>
      <c r="D429" s="32">
        <v>297.94099999999997</v>
      </c>
      <c r="E429" s="38">
        <v>729.47900000000004</v>
      </c>
      <c r="F429" s="32">
        <v>1150</v>
      </c>
      <c r="G429" s="32">
        <v>100</v>
      </c>
      <c r="H429" s="40">
        <v>600</v>
      </c>
      <c r="I429" s="32">
        <v>695</v>
      </c>
      <c r="J429" s="32">
        <v>50</v>
      </c>
      <c r="K429" s="33"/>
      <c r="L429" s="33"/>
      <c r="M429" s="33"/>
      <c r="N429" s="33"/>
      <c r="O429" s="33"/>
      <c r="P429" s="33"/>
      <c r="Q429" s="33"/>
      <c r="R429" s="33"/>
      <c r="S429" s="33"/>
      <c r="T429" s="33"/>
    </row>
    <row r="430" spans="1:20" ht="15.6">
      <c r="A430" s="13">
        <v>55184</v>
      </c>
      <c r="B430" s="41">
        <v>31</v>
      </c>
      <c r="C430" s="32">
        <v>122.58</v>
      </c>
      <c r="D430" s="32">
        <v>297.94099999999997</v>
      </c>
      <c r="E430" s="38">
        <v>729.47900000000004</v>
      </c>
      <c r="F430" s="32">
        <v>1150</v>
      </c>
      <c r="G430" s="32">
        <v>100</v>
      </c>
      <c r="H430" s="40">
        <v>600</v>
      </c>
      <c r="I430" s="32">
        <v>695</v>
      </c>
      <c r="J430" s="32">
        <v>50</v>
      </c>
      <c r="K430" s="33"/>
      <c r="L430" s="33"/>
      <c r="M430" s="33"/>
      <c r="N430" s="33"/>
      <c r="O430" s="33"/>
      <c r="P430" s="33"/>
      <c r="Q430" s="33"/>
      <c r="R430" s="33"/>
      <c r="S430" s="33"/>
      <c r="T430" s="33"/>
    </row>
    <row r="431" spans="1:20" ht="15.6">
      <c r="A431" s="13">
        <v>55212</v>
      </c>
      <c r="B431" s="41">
        <v>28</v>
      </c>
      <c r="C431" s="32">
        <v>122.58</v>
      </c>
      <c r="D431" s="32">
        <v>297.94099999999997</v>
      </c>
      <c r="E431" s="38">
        <v>729.47900000000004</v>
      </c>
      <c r="F431" s="32">
        <v>1150</v>
      </c>
      <c r="G431" s="32">
        <v>100</v>
      </c>
      <c r="H431" s="40">
        <v>600</v>
      </c>
      <c r="I431" s="32">
        <v>695</v>
      </c>
      <c r="J431" s="32">
        <v>50</v>
      </c>
      <c r="K431" s="33"/>
      <c r="L431" s="33"/>
      <c r="M431" s="33"/>
      <c r="N431" s="33"/>
      <c r="O431" s="33"/>
      <c r="P431" s="33"/>
      <c r="Q431" s="33"/>
      <c r="R431" s="33"/>
      <c r="S431" s="33"/>
      <c r="T431" s="33"/>
    </row>
    <row r="432" spans="1:20" ht="15.6">
      <c r="A432" s="13">
        <v>55243</v>
      </c>
      <c r="B432" s="41">
        <v>31</v>
      </c>
      <c r="C432" s="32">
        <v>122.58</v>
      </c>
      <c r="D432" s="32">
        <v>297.94099999999997</v>
      </c>
      <c r="E432" s="38">
        <v>729.47900000000004</v>
      </c>
      <c r="F432" s="32">
        <v>1150</v>
      </c>
      <c r="G432" s="32">
        <v>100</v>
      </c>
      <c r="H432" s="40">
        <v>600</v>
      </c>
      <c r="I432" s="32">
        <v>695</v>
      </c>
      <c r="J432" s="32">
        <v>50</v>
      </c>
      <c r="K432" s="33"/>
      <c r="L432" s="33"/>
      <c r="M432" s="33"/>
      <c r="N432" s="33"/>
      <c r="O432" s="33"/>
      <c r="P432" s="33"/>
      <c r="Q432" s="33"/>
      <c r="R432" s="33"/>
      <c r="S432" s="33"/>
      <c r="T432" s="33"/>
    </row>
    <row r="433" spans="1:20" ht="15.6">
      <c r="A433" s="13">
        <v>55273</v>
      </c>
      <c r="B433" s="41">
        <v>30</v>
      </c>
      <c r="C433" s="32">
        <v>141.29300000000001</v>
      </c>
      <c r="D433" s="32">
        <v>267.99299999999999</v>
      </c>
      <c r="E433" s="38">
        <v>829.71400000000006</v>
      </c>
      <c r="F433" s="32">
        <v>1239</v>
      </c>
      <c r="G433" s="32">
        <v>100</v>
      </c>
      <c r="H433" s="40">
        <v>600</v>
      </c>
      <c r="I433" s="32">
        <v>695</v>
      </c>
      <c r="J433" s="32">
        <v>50</v>
      </c>
      <c r="K433" s="33"/>
      <c r="L433" s="33"/>
      <c r="M433" s="33"/>
      <c r="N433" s="33"/>
      <c r="O433" s="33"/>
      <c r="P433" s="33"/>
      <c r="Q433" s="33"/>
      <c r="R433" s="33"/>
      <c r="S433" s="33"/>
      <c r="T433" s="33"/>
    </row>
    <row r="434" spans="1:20" ht="15.6">
      <c r="A434" s="13">
        <v>55304</v>
      </c>
      <c r="B434" s="41">
        <v>31</v>
      </c>
      <c r="C434" s="32">
        <v>194.20500000000001</v>
      </c>
      <c r="D434" s="32">
        <v>267.46600000000001</v>
      </c>
      <c r="E434" s="38">
        <v>812.32899999999995</v>
      </c>
      <c r="F434" s="32">
        <v>1274</v>
      </c>
      <c r="G434" s="32">
        <v>75</v>
      </c>
      <c r="H434" s="40">
        <v>600</v>
      </c>
      <c r="I434" s="32">
        <v>695</v>
      </c>
      <c r="J434" s="32">
        <v>50</v>
      </c>
      <c r="K434" s="33"/>
      <c r="L434" s="33"/>
      <c r="M434" s="33"/>
      <c r="N434" s="33"/>
      <c r="O434" s="33"/>
      <c r="P434" s="33"/>
      <c r="Q434" s="33"/>
      <c r="R434" s="33"/>
      <c r="S434" s="33"/>
      <c r="T434" s="33"/>
    </row>
    <row r="435" spans="1:20" ht="15.6">
      <c r="A435" s="13">
        <v>55334</v>
      </c>
      <c r="B435" s="41">
        <v>30</v>
      </c>
      <c r="C435" s="32">
        <v>194.20500000000001</v>
      </c>
      <c r="D435" s="32">
        <v>267.46600000000001</v>
      </c>
      <c r="E435" s="38">
        <v>812.32899999999995</v>
      </c>
      <c r="F435" s="32">
        <v>1274</v>
      </c>
      <c r="G435" s="32">
        <v>50</v>
      </c>
      <c r="H435" s="40">
        <v>600</v>
      </c>
      <c r="I435" s="32">
        <v>695</v>
      </c>
      <c r="J435" s="32">
        <v>50</v>
      </c>
      <c r="K435" s="33"/>
      <c r="L435" s="33"/>
      <c r="M435" s="33"/>
      <c r="N435" s="33"/>
      <c r="O435" s="33"/>
      <c r="P435" s="33"/>
      <c r="Q435" s="33"/>
      <c r="R435" s="33"/>
      <c r="S435" s="33"/>
      <c r="T435" s="33"/>
    </row>
    <row r="436" spans="1:20" ht="15.6">
      <c r="A436" s="13">
        <v>55365</v>
      </c>
      <c r="B436" s="41">
        <v>31</v>
      </c>
      <c r="C436" s="32">
        <v>194.20500000000001</v>
      </c>
      <c r="D436" s="32">
        <v>267.46600000000001</v>
      </c>
      <c r="E436" s="38">
        <v>812.32899999999995</v>
      </c>
      <c r="F436" s="32">
        <v>1274</v>
      </c>
      <c r="G436" s="32">
        <v>50</v>
      </c>
      <c r="H436" s="40">
        <v>600</v>
      </c>
      <c r="I436" s="32">
        <v>695</v>
      </c>
      <c r="J436" s="32">
        <v>0</v>
      </c>
      <c r="K436" s="33"/>
      <c r="L436" s="33"/>
      <c r="M436" s="33"/>
      <c r="N436" s="33"/>
      <c r="O436" s="33"/>
      <c r="P436" s="33"/>
      <c r="Q436" s="33"/>
      <c r="R436" s="33"/>
      <c r="S436" s="33"/>
      <c r="T436" s="33"/>
    </row>
    <row r="437" spans="1:20" ht="15.6">
      <c r="A437" s="13">
        <v>55396</v>
      </c>
      <c r="B437" s="41">
        <v>31</v>
      </c>
      <c r="C437" s="32">
        <v>194.20500000000001</v>
      </c>
      <c r="D437" s="32">
        <v>267.46600000000001</v>
      </c>
      <c r="E437" s="38">
        <v>812.32899999999995</v>
      </c>
      <c r="F437" s="32">
        <v>1274</v>
      </c>
      <c r="G437" s="32">
        <v>50</v>
      </c>
      <c r="H437" s="40">
        <v>600</v>
      </c>
      <c r="I437" s="32">
        <v>695</v>
      </c>
      <c r="J437" s="32">
        <v>0</v>
      </c>
      <c r="K437" s="33"/>
      <c r="L437" s="33"/>
      <c r="M437" s="33"/>
      <c r="N437" s="33"/>
      <c r="O437" s="33"/>
      <c r="P437" s="33"/>
      <c r="Q437" s="33"/>
      <c r="R437" s="33"/>
      <c r="S437" s="33"/>
      <c r="T437" s="33"/>
    </row>
    <row r="438" spans="1:20" ht="15.6">
      <c r="A438" s="13">
        <v>55426</v>
      </c>
      <c r="B438" s="41">
        <v>30</v>
      </c>
      <c r="C438" s="32">
        <v>194.20500000000001</v>
      </c>
      <c r="D438" s="32">
        <v>267.46600000000001</v>
      </c>
      <c r="E438" s="38">
        <v>812.32899999999995</v>
      </c>
      <c r="F438" s="32">
        <v>1274</v>
      </c>
      <c r="G438" s="32">
        <v>50</v>
      </c>
      <c r="H438" s="40">
        <v>600</v>
      </c>
      <c r="I438" s="32">
        <v>695</v>
      </c>
      <c r="J438" s="32">
        <v>0</v>
      </c>
      <c r="K438" s="33"/>
      <c r="L438" s="33"/>
      <c r="M438" s="33"/>
      <c r="N438" s="33"/>
      <c r="O438" s="33"/>
      <c r="P438" s="33"/>
      <c r="Q438" s="33"/>
      <c r="R438" s="33"/>
      <c r="S438" s="33"/>
      <c r="T438" s="33"/>
    </row>
    <row r="439" spans="1:20" ht="15.6">
      <c r="A439" s="13">
        <v>55457</v>
      </c>
      <c r="B439" s="41">
        <v>31</v>
      </c>
      <c r="C439" s="32">
        <v>131.881</v>
      </c>
      <c r="D439" s="32">
        <v>277.16699999999997</v>
      </c>
      <c r="E439" s="38">
        <v>829.952</v>
      </c>
      <c r="F439" s="32">
        <v>1239</v>
      </c>
      <c r="G439" s="32">
        <v>75</v>
      </c>
      <c r="H439" s="40">
        <v>600</v>
      </c>
      <c r="I439" s="32">
        <v>695</v>
      </c>
      <c r="J439" s="32">
        <v>0</v>
      </c>
      <c r="K439" s="33"/>
      <c r="L439" s="33"/>
      <c r="M439" s="33"/>
      <c r="N439" s="33"/>
      <c r="O439" s="33"/>
      <c r="P439" s="33"/>
      <c r="Q439" s="33"/>
      <c r="R439" s="33"/>
      <c r="S439" s="33"/>
      <c r="T439" s="33"/>
    </row>
    <row r="440" spans="1:20" ht="15.6">
      <c r="A440" s="13">
        <v>55487</v>
      </c>
      <c r="B440" s="41">
        <v>30</v>
      </c>
      <c r="C440" s="32">
        <v>122.58</v>
      </c>
      <c r="D440" s="32">
        <v>297.94099999999997</v>
      </c>
      <c r="E440" s="38">
        <v>729.47900000000004</v>
      </c>
      <c r="F440" s="32">
        <v>1150</v>
      </c>
      <c r="G440" s="32">
        <v>100</v>
      </c>
      <c r="H440" s="40">
        <v>600</v>
      </c>
      <c r="I440" s="32">
        <v>695</v>
      </c>
      <c r="J440" s="32">
        <v>50</v>
      </c>
      <c r="K440" s="33"/>
      <c r="L440" s="33"/>
      <c r="M440" s="33"/>
      <c r="N440" s="33"/>
      <c r="O440" s="33"/>
      <c r="P440" s="33"/>
      <c r="Q440" s="33"/>
      <c r="R440" s="33"/>
      <c r="S440" s="33"/>
      <c r="T440" s="33"/>
    </row>
    <row r="441" spans="1:20" ht="15.6">
      <c r="A441" s="13">
        <v>55518</v>
      </c>
      <c r="B441" s="41">
        <v>31</v>
      </c>
      <c r="C441" s="32">
        <v>122.58</v>
      </c>
      <c r="D441" s="32">
        <v>297.94099999999997</v>
      </c>
      <c r="E441" s="38">
        <v>729.47900000000004</v>
      </c>
      <c r="F441" s="32">
        <v>1150</v>
      </c>
      <c r="G441" s="32">
        <v>100</v>
      </c>
      <c r="H441" s="40">
        <v>600</v>
      </c>
      <c r="I441" s="32">
        <v>695</v>
      </c>
      <c r="J441" s="32">
        <v>50</v>
      </c>
      <c r="K441" s="33"/>
      <c r="L441" s="33"/>
      <c r="M441" s="33"/>
      <c r="N441" s="33"/>
      <c r="O441" s="33"/>
      <c r="P441" s="33"/>
      <c r="Q441" s="33"/>
      <c r="R441" s="33"/>
      <c r="S441" s="33"/>
      <c r="T441" s="33"/>
    </row>
    <row r="442" spans="1:20" ht="15.6">
      <c r="A442" s="13">
        <v>55549</v>
      </c>
      <c r="B442" s="41">
        <v>31</v>
      </c>
      <c r="C442" s="32">
        <v>122.58</v>
      </c>
      <c r="D442" s="32">
        <v>297.94099999999997</v>
      </c>
      <c r="E442" s="38">
        <v>729.47900000000004</v>
      </c>
      <c r="F442" s="32">
        <v>1150</v>
      </c>
      <c r="G442" s="32">
        <v>100</v>
      </c>
      <c r="H442" s="40">
        <v>600</v>
      </c>
      <c r="I442" s="32">
        <v>695</v>
      </c>
      <c r="J442" s="32">
        <v>50</v>
      </c>
      <c r="K442" s="33"/>
      <c r="L442" s="33"/>
      <c r="M442" s="33"/>
      <c r="N442" s="33"/>
      <c r="O442" s="33"/>
      <c r="P442" s="33"/>
      <c r="Q442" s="33"/>
      <c r="R442" s="33"/>
      <c r="S442" s="33"/>
      <c r="T442" s="33"/>
    </row>
    <row r="443" spans="1:20" ht="15.6">
      <c r="A443" s="13">
        <v>55577</v>
      </c>
      <c r="B443" s="41">
        <v>29</v>
      </c>
      <c r="C443" s="32">
        <v>122.58</v>
      </c>
      <c r="D443" s="32">
        <v>297.94099999999997</v>
      </c>
      <c r="E443" s="38">
        <v>729.47900000000004</v>
      </c>
      <c r="F443" s="32">
        <v>1150</v>
      </c>
      <c r="G443" s="32">
        <v>100</v>
      </c>
      <c r="H443" s="40">
        <v>600</v>
      </c>
      <c r="I443" s="32">
        <v>695</v>
      </c>
      <c r="J443" s="32">
        <v>50</v>
      </c>
      <c r="K443" s="33"/>
      <c r="L443" s="33"/>
      <c r="M443" s="33"/>
      <c r="N443" s="33"/>
      <c r="O443" s="33"/>
      <c r="P443" s="33"/>
      <c r="Q443" s="33"/>
      <c r="R443" s="33"/>
      <c r="S443" s="33"/>
      <c r="T443" s="33"/>
    </row>
    <row r="444" spans="1:20" ht="15.6">
      <c r="A444" s="13">
        <v>55609</v>
      </c>
      <c r="B444" s="41">
        <v>31</v>
      </c>
      <c r="C444" s="32">
        <v>122.58</v>
      </c>
      <c r="D444" s="32">
        <v>297.94099999999997</v>
      </c>
      <c r="E444" s="38">
        <v>729.47900000000004</v>
      </c>
      <c r="F444" s="32">
        <v>1150</v>
      </c>
      <c r="G444" s="32">
        <v>100</v>
      </c>
      <c r="H444" s="40">
        <v>600</v>
      </c>
      <c r="I444" s="32">
        <v>695</v>
      </c>
      <c r="J444" s="32">
        <v>50</v>
      </c>
      <c r="K444" s="33"/>
      <c r="L444" s="33"/>
      <c r="M444" s="33"/>
      <c r="N444" s="33"/>
      <c r="O444" s="33"/>
      <c r="P444" s="33"/>
      <c r="Q444" s="33"/>
      <c r="R444" s="33"/>
      <c r="S444" s="33"/>
      <c r="T444" s="33"/>
    </row>
    <row r="445" spans="1:20" ht="15.6">
      <c r="A445" s="13">
        <v>55639</v>
      </c>
      <c r="B445" s="41">
        <v>30</v>
      </c>
      <c r="C445" s="32">
        <v>141.29300000000001</v>
      </c>
      <c r="D445" s="32">
        <v>267.99299999999999</v>
      </c>
      <c r="E445" s="38">
        <v>829.71400000000006</v>
      </c>
      <c r="F445" s="32">
        <v>1239</v>
      </c>
      <c r="G445" s="32">
        <v>100</v>
      </c>
      <c r="H445" s="40">
        <v>600</v>
      </c>
      <c r="I445" s="32">
        <v>695</v>
      </c>
      <c r="J445" s="32">
        <v>50</v>
      </c>
      <c r="K445" s="33"/>
      <c r="L445" s="33"/>
      <c r="M445" s="33"/>
      <c r="N445" s="33"/>
      <c r="O445" s="33"/>
      <c r="P445" s="33"/>
      <c r="Q445" s="33"/>
      <c r="R445" s="33"/>
      <c r="S445" s="33"/>
      <c r="T445" s="33"/>
    </row>
    <row r="446" spans="1:20" ht="15.6">
      <c r="A446" s="13">
        <v>55670</v>
      </c>
      <c r="B446" s="41">
        <v>31</v>
      </c>
      <c r="C446" s="32">
        <v>194.20500000000001</v>
      </c>
      <c r="D446" s="32">
        <v>267.46600000000001</v>
      </c>
      <c r="E446" s="38">
        <v>812.32899999999995</v>
      </c>
      <c r="F446" s="32">
        <v>1274</v>
      </c>
      <c r="G446" s="32">
        <v>75</v>
      </c>
      <c r="H446" s="40">
        <v>600</v>
      </c>
      <c r="I446" s="32">
        <v>695</v>
      </c>
      <c r="J446" s="32">
        <v>50</v>
      </c>
      <c r="K446" s="33"/>
      <c r="L446" s="33"/>
      <c r="M446" s="33"/>
      <c r="N446" s="33"/>
      <c r="O446" s="33"/>
      <c r="P446" s="33"/>
      <c r="Q446" s="33"/>
      <c r="R446" s="33"/>
      <c r="S446" s="33"/>
      <c r="T446" s="33"/>
    </row>
    <row r="447" spans="1:20" ht="15.6">
      <c r="A447" s="13">
        <v>55700</v>
      </c>
      <c r="B447" s="41">
        <v>30</v>
      </c>
      <c r="C447" s="32">
        <v>194.20500000000001</v>
      </c>
      <c r="D447" s="32">
        <v>267.46600000000001</v>
      </c>
      <c r="E447" s="38">
        <v>812.32899999999995</v>
      </c>
      <c r="F447" s="32">
        <v>1274</v>
      </c>
      <c r="G447" s="32">
        <v>50</v>
      </c>
      <c r="H447" s="40">
        <v>600</v>
      </c>
      <c r="I447" s="32">
        <v>695</v>
      </c>
      <c r="J447" s="32">
        <v>50</v>
      </c>
      <c r="K447" s="33"/>
      <c r="L447" s="33"/>
      <c r="M447" s="33"/>
      <c r="N447" s="33"/>
      <c r="O447" s="33"/>
      <c r="P447" s="33"/>
      <c r="Q447" s="33"/>
      <c r="R447" s="33"/>
      <c r="S447" s="33"/>
      <c r="T447" s="33"/>
    </row>
    <row r="448" spans="1:20" ht="15.6">
      <c r="A448" s="13">
        <v>55731</v>
      </c>
      <c r="B448" s="41">
        <v>31</v>
      </c>
      <c r="C448" s="32">
        <v>194.20500000000001</v>
      </c>
      <c r="D448" s="32">
        <v>267.46600000000001</v>
      </c>
      <c r="E448" s="38">
        <v>812.32899999999995</v>
      </c>
      <c r="F448" s="32">
        <v>1274</v>
      </c>
      <c r="G448" s="32">
        <v>50</v>
      </c>
      <c r="H448" s="40">
        <v>600</v>
      </c>
      <c r="I448" s="32">
        <v>695</v>
      </c>
      <c r="J448" s="32">
        <v>0</v>
      </c>
      <c r="K448" s="33"/>
      <c r="L448" s="33"/>
      <c r="M448" s="33"/>
      <c r="N448" s="33"/>
      <c r="O448" s="33"/>
      <c r="P448" s="33"/>
      <c r="Q448" s="33"/>
      <c r="R448" s="33"/>
      <c r="S448" s="33"/>
      <c r="T448" s="33"/>
    </row>
    <row r="449" spans="1:20" ht="15.6">
      <c r="A449" s="13">
        <v>55762</v>
      </c>
      <c r="B449" s="41">
        <v>31</v>
      </c>
      <c r="C449" s="32">
        <v>194.20500000000001</v>
      </c>
      <c r="D449" s="32">
        <v>267.46600000000001</v>
      </c>
      <c r="E449" s="38">
        <v>812.32899999999995</v>
      </c>
      <c r="F449" s="32">
        <v>1274</v>
      </c>
      <c r="G449" s="32">
        <v>50</v>
      </c>
      <c r="H449" s="40">
        <v>600</v>
      </c>
      <c r="I449" s="32">
        <v>695</v>
      </c>
      <c r="J449" s="32">
        <v>0</v>
      </c>
      <c r="K449" s="33"/>
      <c r="L449" s="33"/>
      <c r="M449" s="33"/>
      <c r="N449" s="33"/>
      <c r="O449" s="33"/>
      <c r="P449" s="33"/>
      <c r="Q449" s="33"/>
      <c r="R449" s="33"/>
      <c r="S449" s="33"/>
      <c r="T449" s="33"/>
    </row>
    <row r="450" spans="1:20" ht="15.6">
      <c r="A450" s="13">
        <v>55792</v>
      </c>
      <c r="B450" s="41">
        <v>30</v>
      </c>
      <c r="C450" s="32">
        <v>194.20500000000001</v>
      </c>
      <c r="D450" s="32">
        <v>267.46600000000001</v>
      </c>
      <c r="E450" s="38">
        <v>812.32899999999995</v>
      </c>
      <c r="F450" s="32">
        <v>1274</v>
      </c>
      <c r="G450" s="32">
        <v>50</v>
      </c>
      <c r="H450" s="40">
        <v>600</v>
      </c>
      <c r="I450" s="32">
        <v>695</v>
      </c>
      <c r="J450" s="32">
        <v>0</v>
      </c>
      <c r="K450" s="33"/>
      <c r="L450" s="33"/>
      <c r="M450" s="33"/>
      <c r="N450" s="33"/>
      <c r="O450" s="33"/>
      <c r="P450" s="33"/>
      <c r="Q450" s="33"/>
      <c r="R450" s="33"/>
      <c r="S450" s="33"/>
      <c r="T450" s="33"/>
    </row>
    <row r="451" spans="1:20" ht="15.6">
      <c r="A451" s="13">
        <v>55823</v>
      </c>
      <c r="B451" s="41">
        <v>31</v>
      </c>
      <c r="C451" s="32">
        <v>131.881</v>
      </c>
      <c r="D451" s="32">
        <v>277.16699999999997</v>
      </c>
      <c r="E451" s="38">
        <v>829.952</v>
      </c>
      <c r="F451" s="32">
        <v>1239</v>
      </c>
      <c r="G451" s="32">
        <v>75</v>
      </c>
      <c r="H451" s="40">
        <v>600</v>
      </c>
      <c r="I451" s="32">
        <v>695</v>
      </c>
      <c r="J451" s="32">
        <v>0</v>
      </c>
      <c r="K451" s="33"/>
      <c r="L451" s="33"/>
      <c r="M451" s="33"/>
      <c r="N451" s="33"/>
      <c r="O451" s="33"/>
      <c r="P451" s="33"/>
      <c r="Q451" s="33"/>
      <c r="R451" s="33"/>
      <c r="S451" s="33"/>
      <c r="T451" s="33"/>
    </row>
    <row r="452" spans="1:20" ht="15.6">
      <c r="A452" s="13">
        <v>55853</v>
      </c>
      <c r="B452" s="41">
        <v>30</v>
      </c>
      <c r="C452" s="32">
        <v>122.58</v>
      </c>
      <c r="D452" s="32">
        <v>297.94099999999997</v>
      </c>
      <c r="E452" s="38">
        <v>729.47900000000004</v>
      </c>
      <c r="F452" s="32">
        <v>1150</v>
      </c>
      <c r="G452" s="32">
        <v>100</v>
      </c>
      <c r="H452" s="40">
        <v>600</v>
      </c>
      <c r="I452" s="32">
        <v>695</v>
      </c>
      <c r="J452" s="32">
        <v>50</v>
      </c>
      <c r="K452" s="33"/>
      <c r="L452" s="33"/>
      <c r="M452" s="33"/>
      <c r="N452" s="33"/>
      <c r="O452" s="33"/>
      <c r="P452" s="33"/>
      <c r="Q452" s="33"/>
      <c r="R452" s="33"/>
      <c r="S452" s="33"/>
      <c r="T452" s="33"/>
    </row>
    <row r="453" spans="1:20" ht="15.6">
      <c r="A453" s="13">
        <v>55884</v>
      </c>
      <c r="B453" s="41">
        <v>31</v>
      </c>
      <c r="C453" s="32">
        <v>122.58</v>
      </c>
      <c r="D453" s="32">
        <v>297.94099999999997</v>
      </c>
      <c r="E453" s="38">
        <v>729.47900000000004</v>
      </c>
      <c r="F453" s="32">
        <v>1150</v>
      </c>
      <c r="G453" s="32">
        <v>100</v>
      </c>
      <c r="H453" s="40">
        <v>600</v>
      </c>
      <c r="I453" s="32">
        <v>695</v>
      </c>
      <c r="J453" s="32">
        <v>50</v>
      </c>
      <c r="K453" s="33"/>
      <c r="L453" s="33"/>
      <c r="M453" s="33"/>
      <c r="N453" s="33"/>
      <c r="O453" s="33"/>
      <c r="P453" s="33"/>
      <c r="Q453" s="33"/>
      <c r="R453" s="33"/>
      <c r="S453" s="33"/>
      <c r="T453" s="33"/>
    </row>
    <row r="454" spans="1:20" ht="15.6">
      <c r="A454" s="13">
        <v>55915</v>
      </c>
      <c r="B454" s="41">
        <v>31</v>
      </c>
      <c r="C454" s="32">
        <v>122.58</v>
      </c>
      <c r="D454" s="32">
        <v>297.94099999999997</v>
      </c>
      <c r="E454" s="38">
        <v>729.47900000000004</v>
      </c>
      <c r="F454" s="32">
        <v>1150</v>
      </c>
      <c r="G454" s="32">
        <v>100</v>
      </c>
      <c r="H454" s="40">
        <v>600</v>
      </c>
      <c r="I454" s="32">
        <v>695</v>
      </c>
      <c r="J454" s="32">
        <v>50</v>
      </c>
      <c r="K454" s="33"/>
      <c r="L454" s="33"/>
      <c r="M454" s="33"/>
      <c r="N454" s="33"/>
      <c r="O454" s="33"/>
      <c r="P454" s="33"/>
      <c r="Q454" s="33"/>
      <c r="R454" s="33"/>
      <c r="S454" s="33"/>
      <c r="T454" s="33"/>
    </row>
    <row r="455" spans="1:20" ht="15.6">
      <c r="A455" s="13">
        <v>55943</v>
      </c>
      <c r="B455" s="41">
        <v>28</v>
      </c>
      <c r="C455" s="32">
        <v>122.58</v>
      </c>
      <c r="D455" s="32">
        <v>297.94099999999997</v>
      </c>
      <c r="E455" s="38">
        <v>729.47900000000004</v>
      </c>
      <c r="F455" s="32">
        <v>1150</v>
      </c>
      <c r="G455" s="32">
        <v>100</v>
      </c>
      <c r="H455" s="40">
        <v>600</v>
      </c>
      <c r="I455" s="32">
        <v>695</v>
      </c>
      <c r="J455" s="32">
        <v>50</v>
      </c>
      <c r="K455" s="33"/>
      <c r="L455" s="33"/>
      <c r="M455" s="33"/>
      <c r="N455" s="33"/>
      <c r="O455" s="33"/>
      <c r="P455" s="33"/>
      <c r="Q455" s="33"/>
      <c r="R455" s="33"/>
      <c r="S455" s="33"/>
      <c r="T455" s="33"/>
    </row>
    <row r="456" spans="1:20" ht="15.6">
      <c r="A456" s="13">
        <v>55974</v>
      </c>
      <c r="B456" s="41">
        <v>31</v>
      </c>
      <c r="C456" s="32">
        <v>122.58</v>
      </c>
      <c r="D456" s="32">
        <v>297.94099999999997</v>
      </c>
      <c r="E456" s="38">
        <v>729.47900000000004</v>
      </c>
      <c r="F456" s="32">
        <v>1150</v>
      </c>
      <c r="G456" s="32">
        <v>100</v>
      </c>
      <c r="H456" s="40">
        <v>600</v>
      </c>
      <c r="I456" s="32">
        <v>695</v>
      </c>
      <c r="J456" s="32">
        <v>50</v>
      </c>
      <c r="K456" s="33"/>
      <c r="L456" s="33"/>
      <c r="M456" s="33"/>
      <c r="N456" s="33"/>
      <c r="O456" s="33"/>
      <c r="P456" s="33"/>
      <c r="Q456" s="33"/>
      <c r="R456" s="33"/>
      <c r="S456" s="33"/>
      <c r="T456" s="33"/>
    </row>
    <row r="457" spans="1:20" ht="15.6">
      <c r="A457" s="13">
        <v>56004</v>
      </c>
      <c r="B457" s="41">
        <v>30</v>
      </c>
      <c r="C457" s="32">
        <v>141.29300000000001</v>
      </c>
      <c r="D457" s="32">
        <v>267.99299999999999</v>
      </c>
      <c r="E457" s="38">
        <v>829.71400000000006</v>
      </c>
      <c r="F457" s="32">
        <v>1239</v>
      </c>
      <c r="G457" s="32">
        <v>100</v>
      </c>
      <c r="H457" s="40">
        <v>600</v>
      </c>
      <c r="I457" s="32">
        <v>695</v>
      </c>
      <c r="J457" s="32">
        <v>50</v>
      </c>
      <c r="K457" s="33"/>
      <c r="L457" s="33"/>
      <c r="M457" s="33"/>
      <c r="N457" s="33"/>
      <c r="O457" s="33"/>
      <c r="P457" s="33"/>
      <c r="Q457" s="33"/>
      <c r="R457" s="33"/>
      <c r="S457" s="33"/>
      <c r="T457" s="33"/>
    </row>
    <row r="458" spans="1:20" ht="15.6">
      <c r="A458" s="13">
        <v>56035</v>
      </c>
      <c r="B458" s="41">
        <v>31</v>
      </c>
      <c r="C458" s="32">
        <v>194.20500000000001</v>
      </c>
      <c r="D458" s="32">
        <v>267.46600000000001</v>
      </c>
      <c r="E458" s="38">
        <v>812.32899999999995</v>
      </c>
      <c r="F458" s="32">
        <v>1274</v>
      </c>
      <c r="G458" s="32">
        <v>75</v>
      </c>
      <c r="H458" s="40">
        <v>600</v>
      </c>
      <c r="I458" s="32">
        <v>695</v>
      </c>
      <c r="J458" s="32">
        <v>50</v>
      </c>
      <c r="K458" s="33"/>
      <c r="L458" s="33"/>
      <c r="M458" s="33"/>
      <c r="N458" s="33"/>
      <c r="O458" s="33"/>
      <c r="P458" s="33"/>
      <c r="Q458" s="33"/>
      <c r="R458" s="33"/>
      <c r="S458" s="33"/>
      <c r="T458" s="33"/>
    </row>
    <row r="459" spans="1:20" ht="15.6">
      <c r="A459" s="13">
        <v>56065</v>
      </c>
      <c r="B459" s="41">
        <v>30</v>
      </c>
      <c r="C459" s="32">
        <v>194.20500000000001</v>
      </c>
      <c r="D459" s="32">
        <v>267.46600000000001</v>
      </c>
      <c r="E459" s="38">
        <v>812.32899999999995</v>
      </c>
      <c r="F459" s="32">
        <v>1274</v>
      </c>
      <c r="G459" s="32">
        <v>50</v>
      </c>
      <c r="H459" s="40">
        <v>600</v>
      </c>
      <c r="I459" s="32">
        <v>695</v>
      </c>
      <c r="J459" s="32">
        <v>50</v>
      </c>
      <c r="K459" s="33"/>
      <c r="L459" s="33"/>
      <c r="M459" s="33"/>
      <c r="N459" s="33"/>
      <c r="O459" s="33"/>
      <c r="P459" s="33"/>
      <c r="Q459" s="33"/>
      <c r="R459" s="33"/>
      <c r="S459" s="33"/>
      <c r="T459" s="33"/>
    </row>
    <row r="460" spans="1:20" ht="15.6">
      <c r="A460" s="13">
        <v>56096</v>
      </c>
      <c r="B460" s="41">
        <v>31</v>
      </c>
      <c r="C460" s="32">
        <v>194.20500000000001</v>
      </c>
      <c r="D460" s="32">
        <v>267.46600000000001</v>
      </c>
      <c r="E460" s="38">
        <v>812.32899999999995</v>
      </c>
      <c r="F460" s="32">
        <v>1274</v>
      </c>
      <c r="G460" s="32">
        <v>50</v>
      </c>
      <c r="H460" s="40">
        <v>600</v>
      </c>
      <c r="I460" s="32">
        <v>695</v>
      </c>
      <c r="J460" s="32">
        <v>0</v>
      </c>
      <c r="K460" s="33"/>
      <c r="L460" s="33"/>
      <c r="M460" s="33"/>
      <c r="N460" s="33"/>
      <c r="O460" s="33"/>
      <c r="P460" s="33"/>
      <c r="Q460" s="33"/>
      <c r="R460" s="33"/>
      <c r="S460" s="33"/>
      <c r="T460" s="33"/>
    </row>
    <row r="461" spans="1:20" ht="15.6">
      <c r="A461" s="13">
        <v>56127</v>
      </c>
      <c r="B461" s="41">
        <v>31</v>
      </c>
      <c r="C461" s="32">
        <v>194.20500000000001</v>
      </c>
      <c r="D461" s="32">
        <v>267.46600000000001</v>
      </c>
      <c r="E461" s="38">
        <v>812.32899999999995</v>
      </c>
      <c r="F461" s="32">
        <v>1274</v>
      </c>
      <c r="G461" s="32">
        <v>50</v>
      </c>
      <c r="H461" s="40">
        <v>600</v>
      </c>
      <c r="I461" s="32">
        <v>695</v>
      </c>
      <c r="J461" s="32">
        <v>0</v>
      </c>
      <c r="K461" s="33"/>
      <c r="L461" s="33"/>
      <c r="M461" s="33"/>
      <c r="N461" s="33"/>
      <c r="O461" s="33"/>
      <c r="P461" s="33"/>
      <c r="Q461" s="33"/>
      <c r="R461" s="33"/>
      <c r="S461" s="33"/>
      <c r="T461" s="33"/>
    </row>
    <row r="462" spans="1:20" ht="15.6">
      <c r="A462" s="13">
        <v>56157</v>
      </c>
      <c r="B462" s="41">
        <v>30</v>
      </c>
      <c r="C462" s="32">
        <v>194.20500000000001</v>
      </c>
      <c r="D462" s="32">
        <v>267.46600000000001</v>
      </c>
      <c r="E462" s="38">
        <v>812.32899999999995</v>
      </c>
      <c r="F462" s="32">
        <v>1274</v>
      </c>
      <c r="G462" s="32">
        <v>50</v>
      </c>
      <c r="H462" s="40">
        <v>600</v>
      </c>
      <c r="I462" s="32">
        <v>695</v>
      </c>
      <c r="J462" s="32">
        <v>0</v>
      </c>
      <c r="K462" s="33"/>
      <c r="L462" s="33"/>
      <c r="M462" s="33"/>
      <c r="N462" s="33"/>
      <c r="O462" s="33"/>
      <c r="P462" s="33"/>
      <c r="Q462" s="33"/>
      <c r="R462" s="33"/>
      <c r="S462" s="33"/>
      <c r="T462" s="33"/>
    </row>
    <row r="463" spans="1:20" ht="15.6">
      <c r="A463" s="13">
        <v>56188</v>
      </c>
      <c r="B463" s="41">
        <v>31</v>
      </c>
      <c r="C463" s="32">
        <v>131.881</v>
      </c>
      <c r="D463" s="32">
        <v>277.16699999999997</v>
      </c>
      <c r="E463" s="38">
        <v>829.952</v>
      </c>
      <c r="F463" s="32">
        <v>1239</v>
      </c>
      <c r="G463" s="32">
        <v>75</v>
      </c>
      <c r="H463" s="40">
        <v>600</v>
      </c>
      <c r="I463" s="32">
        <v>695</v>
      </c>
      <c r="J463" s="32">
        <v>0</v>
      </c>
      <c r="K463" s="33"/>
      <c r="L463" s="33"/>
      <c r="M463" s="33"/>
      <c r="N463" s="33"/>
      <c r="O463" s="33"/>
      <c r="P463" s="33"/>
      <c r="Q463" s="33"/>
      <c r="R463" s="33"/>
      <c r="S463" s="33"/>
      <c r="T463" s="33"/>
    </row>
    <row r="464" spans="1:20" ht="15.6">
      <c r="A464" s="13">
        <v>56218</v>
      </c>
      <c r="B464" s="41">
        <v>30</v>
      </c>
      <c r="C464" s="32">
        <v>122.58</v>
      </c>
      <c r="D464" s="32">
        <v>297.94099999999997</v>
      </c>
      <c r="E464" s="38">
        <v>729.47900000000004</v>
      </c>
      <c r="F464" s="32">
        <v>1150</v>
      </c>
      <c r="G464" s="32">
        <v>100</v>
      </c>
      <c r="H464" s="40">
        <v>600</v>
      </c>
      <c r="I464" s="32">
        <v>695</v>
      </c>
      <c r="J464" s="32">
        <v>50</v>
      </c>
      <c r="K464" s="33"/>
      <c r="L464" s="33"/>
      <c r="M464" s="33"/>
      <c r="N464" s="33"/>
      <c r="O464" s="33"/>
      <c r="P464" s="33"/>
      <c r="Q464" s="33"/>
      <c r="R464" s="33"/>
      <c r="S464" s="33"/>
      <c r="T464" s="33"/>
    </row>
    <row r="465" spans="1:20" ht="15.6">
      <c r="A465" s="13">
        <v>56249</v>
      </c>
      <c r="B465" s="41">
        <v>31</v>
      </c>
      <c r="C465" s="32">
        <v>122.58</v>
      </c>
      <c r="D465" s="32">
        <v>297.94099999999997</v>
      </c>
      <c r="E465" s="38">
        <v>729.47900000000004</v>
      </c>
      <c r="F465" s="32">
        <v>1150</v>
      </c>
      <c r="G465" s="32">
        <v>100</v>
      </c>
      <c r="H465" s="40">
        <v>600</v>
      </c>
      <c r="I465" s="32">
        <v>695</v>
      </c>
      <c r="J465" s="32">
        <v>50</v>
      </c>
      <c r="K465" s="33"/>
      <c r="L465" s="33"/>
      <c r="M465" s="33"/>
      <c r="N465" s="33"/>
      <c r="O465" s="33"/>
      <c r="P465" s="33"/>
      <c r="Q465" s="33"/>
      <c r="R465" s="33"/>
      <c r="S465" s="33"/>
      <c r="T465" s="33"/>
    </row>
    <row r="466" spans="1:20" ht="15.6">
      <c r="A466" s="13">
        <v>56280</v>
      </c>
      <c r="B466" s="41">
        <v>31</v>
      </c>
      <c r="C466" s="32">
        <v>122.58</v>
      </c>
      <c r="D466" s="32">
        <v>297.94099999999997</v>
      </c>
      <c r="E466" s="38">
        <v>729.47900000000004</v>
      </c>
      <c r="F466" s="32">
        <v>1150</v>
      </c>
      <c r="G466" s="32">
        <v>100</v>
      </c>
      <c r="H466" s="40">
        <v>600</v>
      </c>
      <c r="I466" s="32">
        <v>695</v>
      </c>
      <c r="J466" s="32">
        <v>50</v>
      </c>
      <c r="K466" s="33"/>
      <c r="L466" s="33"/>
      <c r="M466" s="33"/>
      <c r="N466" s="33"/>
      <c r="O466" s="33"/>
      <c r="P466" s="33"/>
      <c r="Q466" s="33"/>
      <c r="R466" s="33"/>
      <c r="S466" s="33"/>
      <c r="T466" s="33"/>
    </row>
    <row r="467" spans="1:20" ht="15.6">
      <c r="A467" s="13">
        <v>56308</v>
      </c>
      <c r="B467" s="41">
        <v>28</v>
      </c>
      <c r="C467" s="32">
        <v>122.58</v>
      </c>
      <c r="D467" s="32">
        <v>297.94099999999997</v>
      </c>
      <c r="E467" s="38">
        <v>729.47900000000004</v>
      </c>
      <c r="F467" s="32">
        <v>1150</v>
      </c>
      <c r="G467" s="32">
        <v>100</v>
      </c>
      <c r="H467" s="40">
        <v>600</v>
      </c>
      <c r="I467" s="32">
        <v>695</v>
      </c>
      <c r="J467" s="32">
        <v>50</v>
      </c>
      <c r="K467" s="33"/>
      <c r="L467" s="33"/>
      <c r="M467" s="33"/>
      <c r="N467" s="33"/>
      <c r="O467" s="33"/>
      <c r="P467" s="33"/>
      <c r="Q467" s="33"/>
      <c r="R467" s="33"/>
      <c r="S467" s="33"/>
      <c r="T467" s="33"/>
    </row>
    <row r="468" spans="1:20" ht="15.6">
      <c r="A468" s="13">
        <v>56339</v>
      </c>
      <c r="B468" s="41">
        <v>31</v>
      </c>
      <c r="C468" s="32">
        <v>122.58</v>
      </c>
      <c r="D468" s="32">
        <v>297.94099999999997</v>
      </c>
      <c r="E468" s="38">
        <v>729.47900000000004</v>
      </c>
      <c r="F468" s="32">
        <v>1150</v>
      </c>
      <c r="G468" s="32">
        <v>100</v>
      </c>
      <c r="H468" s="40">
        <v>600</v>
      </c>
      <c r="I468" s="32">
        <v>695</v>
      </c>
      <c r="J468" s="32">
        <v>50</v>
      </c>
      <c r="K468" s="33"/>
      <c r="L468" s="33"/>
      <c r="M468" s="33"/>
      <c r="N468" s="33"/>
      <c r="O468" s="33"/>
      <c r="P468" s="33"/>
      <c r="Q468" s="33"/>
      <c r="R468" s="33"/>
      <c r="S468" s="33"/>
      <c r="T468" s="33"/>
    </row>
    <row r="469" spans="1:20" ht="15.6">
      <c r="A469" s="13">
        <v>56369</v>
      </c>
      <c r="B469" s="41">
        <v>30</v>
      </c>
      <c r="C469" s="32">
        <v>141.29300000000001</v>
      </c>
      <c r="D469" s="32">
        <v>267.99299999999999</v>
      </c>
      <c r="E469" s="38">
        <v>829.71400000000006</v>
      </c>
      <c r="F469" s="32">
        <v>1239</v>
      </c>
      <c r="G469" s="32">
        <v>100</v>
      </c>
      <c r="H469" s="40">
        <v>600</v>
      </c>
      <c r="I469" s="32">
        <v>695</v>
      </c>
      <c r="J469" s="32">
        <v>50</v>
      </c>
      <c r="K469" s="33"/>
      <c r="L469" s="33"/>
      <c r="M469" s="33"/>
      <c r="N469" s="33"/>
      <c r="O469" s="33"/>
      <c r="P469" s="33"/>
      <c r="Q469" s="33"/>
      <c r="R469" s="33"/>
      <c r="S469" s="33"/>
      <c r="T469" s="33"/>
    </row>
    <row r="470" spans="1:20" ht="15.6">
      <c r="A470" s="13">
        <v>56400</v>
      </c>
      <c r="B470" s="41">
        <v>31</v>
      </c>
      <c r="C470" s="32">
        <v>194.20500000000001</v>
      </c>
      <c r="D470" s="32">
        <v>267.46600000000001</v>
      </c>
      <c r="E470" s="38">
        <v>812.32899999999995</v>
      </c>
      <c r="F470" s="32">
        <v>1274</v>
      </c>
      <c r="G470" s="32">
        <v>75</v>
      </c>
      <c r="H470" s="40">
        <v>600</v>
      </c>
      <c r="I470" s="32">
        <v>695</v>
      </c>
      <c r="J470" s="32">
        <v>50</v>
      </c>
      <c r="K470" s="33"/>
      <c r="L470" s="33"/>
      <c r="M470" s="33"/>
      <c r="N470" s="33"/>
      <c r="O470" s="33"/>
      <c r="P470" s="33"/>
      <c r="Q470" s="33"/>
      <c r="R470" s="33"/>
      <c r="S470" s="33"/>
      <c r="T470" s="33"/>
    </row>
    <row r="471" spans="1:20" ht="15.6">
      <c r="A471" s="13">
        <v>56430</v>
      </c>
      <c r="B471" s="41">
        <v>30</v>
      </c>
      <c r="C471" s="32">
        <v>194.20500000000001</v>
      </c>
      <c r="D471" s="32">
        <v>267.46600000000001</v>
      </c>
      <c r="E471" s="38">
        <v>812.32899999999995</v>
      </c>
      <c r="F471" s="32">
        <v>1274</v>
      </c>
      <c r="G471" s="32">
        <v>50</v>
      </c>
      <c r="H471" s="40">
        <v>600</v>
      </c>
      <c r="I471" s="32">
        <v>695</v>
      </c>
      <c r="J471" s="32">
        <v>50</v>
      </c>
      <c r="K471" s="33"/>
      <c r="L471" s="33"/>
      <c r="M471" s="33"/>
      <c r="N471" s="33"/>
      <c r="O471" s="33"/>
      <c r="P471" s="33"/>
      <c r="Q471" s="33"/>
      <c r="R471" s="33"/>
      <c r="S471" s="33"/>
      <c r="T471" s="33"/>
    </row>
    <row r="472" spans="1:20" ht="15.6">
      <c r="A472" s="13">
        <v>56461</v>
      </c>
      <c r="B472" s="41">
        <v>31</v>
      </c>
      <c r="C472" s="32">
        <v>194.20500000000001</v>
      </c>
      <c r="D472" s="32">
        <v>267.46600000000001</v>
      </c>
      <c r="E472" s="38">
        <v>812.32899999999995</v>
      </c>
      <c r="F472" s="32">
        <v>1274</v>
      </c>
      <c r="G472" s="32">
        <v>50</v>
      </c>
      <c r="H472" s="40">
        <v>600</v>
      </c>
      <c r="I472" s="32">
        <v>695</v>
      </c>
      <c r="J472" s="32">
        <v>0</v>
      </c>
      <c r="K472" s="33"/>
      <c r="L472" s="33"/>
      <c r="M472" s="33"/>
      <c r="N472" s="33"/>
      <c r="O472" s="33"/>
      <c r="P472" s="33"/>
      <c r="Q472" s="33"/>
      <c r="R472" s="33"/>
      <c r="S472" s="33"/>
      <c r="T472" s="33"/>
    </row>
    <row r="473" spans="1:20" ht="15.6">
      <c r="A473" s="13">
        <v>56492</v>
      </c>
      <c r="B473" s="41">
        <v>31</v>
      </c>
      <c r="C473" s="32">
        <v>194.20500000000001</v>
      </c>
      <c r="D473" s="32">
        <v>267.46600000000001</v>
      </c>
      <c r="E473" s="38">
        <v>812.32899999999995</v>
      </c>
      <c r="F473" s="32">
        <v>1274</v>
      </c>
      <c r="G473" s="32">
        <v>50</v>
      </c>
      <c r="H473" s="40">
        <v>600</v>
      </c>
      <c r="I473" s="32">
        <v>695</v>
      </c>
      <c r="J473" s="32">
        <v>0</v>
      </c>
      <c r="K473" s="33"/>
      <c r="L473" s="33"/>
      <c r="M473" s="33"/>
      <c r="N473" s="33"/>
      <c r="O473" s="33"/>
      <c r="P473" s="33"/>
      <c r="Q473" s="33"/>
      <c r="R473" s="33"/>
      <c r="S473" s="33"/>
      <c r="T473" s="33"/>
    </row>
    <row r="474" spans="1:20" ht="15.6">
      <c r="A474" s="13">
        <v>56522</v>
      </c>
      <c r="B474" s="41">
        <v>30</v>
      </c>
      <c r="C474" s="32">
        <v>194.20500000000001</v>
      </c>
      <c r="D474" s="32">
        <v>267.46600000000001</v>
      </c>
      <c r="E474" s="38">
        <v>812.32899999999995</v>
      </c>
      <c r="F474" s="32">
        <v>1274</v>
      </c>
      <c r="G474" s="32">
        <v>50</v>
      </c>
      <c r="H474" s="40">
        <v>600</v>
      </c>
      <c r="I474" s="32">
        <v>695</v>
      </c>
      <c r="J474" s="32">
        <v>0</v>
      </c>
      <c r="K474" s="33"/>
      <c r="L474" s="33"/>
      <c r="M474" s="33"/>
      <c r="N474" s="33"/>
      <c r="O474" s="33"/>
      <c r="P474" s="33"/>
      <c r="Q474" s="33"/>
      <c r="R474" s="33"/>
      <c r="S474" s="33"/>
      <c r="T474" s="33"/>
    </row>
    <row r="475" spans="1:20" ht="15.6">
      <c r="A475" s="13">
        <v>56553</v>
      </c>
      <c r="B475" s="41">
        <v>31</v>
      </c>
      <c r="C475" s="32">
        <v>131.881</v>
      </c>
      <c r="D475" s="32">
        <v>277.16699999999997</v>
      </c>
      <c r="E475" s="38">
        <v>829.952</v>
      </c>
      <c r="F475" s="32">
        <v>1239</v>
      </c>
      <c r="G475" s="32">
        <v>75</v>
      </c>
      <c r="H475" s="40">
        <v>600</v>
      </c>
      <c r="I475" s="32">
        <v>695</v>
      </c>
      <c r="J475" s="32">
        <v>0</v>
      </c>
      <c r="K475" s="33"/>
      <c r="L475" s="33"/>
      <c r="M475" s="33"/>
      <c r="N475" s="33"/>
      <c r="O475" s="33"/>
      <c r="P475" s="33"/>
      <c r="Q475" s="33"/>
      <c r="R475" s="33"/>
      <c r="S475" s="33"/>
      <c r="T475" s="33"/>
    </row>
    <row r="476" spans="1:20" ht="15.6">
      <c r="A476" s="13">
        <v>56583</v>
      </c>
      <c r="B476" s="41">
        <v>30</v>
      </c>
      <c r="C476" s="32">
        <v>122.58</v>
      </c>
      <c r="D476" s="32">
        <v>297.94099999999997</v>
      </c>
      <c r="E476" s="38">
        <v>729.47900000000004</v>
      </c>
      <c r="F476" s="32">
        <v>1150</v>
      </c>
      <c r="G476" s="32">
        <v>100</v>
      </c>
      <c r="H476" s="40">
        <v>600</v>
      </c>
      <c r="I476" s="32">
        <v>695</v>
      </c>
      <c r="J476" s="32">
        <v>50</v>
      </c>
      <c r="K476" s="33"/>
      <c r="L476" s="33"/>
      <c r="M476" s="33"/>
      <c r="N476" s="33"/>
      <c r="O476" s="33"/>
      <c r="P476" s="33"/>
      <c r="Q476" s="33"/>
      <c r="R476" s="33"/>
      <c r="S476" s="33"/>
      <c r="T476" s="33"/>
    </row>
    <row r="477" spans="1:20" ht="15.6">
      <c r="A477" s="13">
        <v>56614</v>
      </c>
      <c r="B477" s="41">
        <v>31</v>
      </c>
      <c r="C477" s="32">
        <v>122.58</v>
      </c>
      <c r="D477" s="32">
        <v>297.94099999999997</v>
      </c>
      <c r="E477" s="38">
        <v>729.47900000000004</v>
      </c>
      <c r="F477" s="32">
        <v>1150</v>
      </c>
      <c r="G477" s="32">
        <v>100</v>
      </c>
      <c r="H477" s="40">
        <v>600</v>
      </c>
      <c r="I477" s="32">
        <v>695</v>
      </c>
      <c r="J477" s="32">
        <v>50</v>
      </c>
      <c r="K477" s="33"/>
      <c r="L477" s="33"/>
      <c r="M477" s="33"/>
      <c r="N477" s="33"/>
      <c r="O477" s="33"/>
      <c r="P477" s="33"/>
      <c r="Q477" s="33"/>
      <c r="R477" s="33"/>
      <c r="S477" s="33"/>
      <c r="T477" s="33"/>
    </row>
    <row r="478" spans="1:20" ht="15.6">
      <c r="A478" s="13">
        <v>56645</v>
      </c>
      <c r="B478" s="41">
        <v>31</v>
      </c>
      <c r="C478" s="32">
        <v>122.58</v>
      </c>
      <c r="D478" s="32">
        <v>297.94099999999997</v>
      </c>
      <c r="E478" s="38">
        <v>729.47900000000004</v>
      </c>
      <c r="F478" s="32">
        <v>1150</v>
      </c>
      <c r="G478" s="32">
        <v>100</v>
      </c>
      <c r="H478" s="40">
        <v>600</v>
      </c>
      <c r="I478" s="32">
        <v>695</v>
      </c>
      <c r="J478" s="32">
        <v>50</v>
      </c>
      <c r="K478" s="33"/>
      <c r="L478" s="33"/>
      <c r="M478" s="33"/>
      <c r="N478" s="33"/>
      <c r="O478" s="33"/>
      <c r="P478" s="33"/>
      <c r="Q478" s="33"/>
      <c r="R478" s="33"/>
      <c r="S478" s="33"/>
      <c r="T478" s="33"/>
    </row>
    <row r="479" spans="1:20" ht="15.6">
      <c r="A479" s="13">
        <v>56673</v>
      </c>
      <c r="B479" s="41">
        <v>28</v>
      </c>
      <c r="C479" s="32">
        <v>122.58</v>
      </c>
      <c r="D479" s="32">
        <v>297.94099999999997</v>
      </c>
      <c r="E479" s="38">
        <v>729.47900000000004</v>
      </c>
      <c r="F479" s="32">
        <v>1150</v>
      </c>
      <c r="G479" s="32">
        <v>100</v>
      </c>
      <c r="H479" s="40">
        <v>600</v>
      </c>
      <c r="I479" s="32">
        <v>695</v>
      </c>
      <c r="J479" s="32">
        <v>50</v>
      </c>
      <c r="K479" s="33"/>
      <c r="L479" s="33"/>
      <c r="M479" s="33"/>
      <c r="N479" s="33"/>
      <c r="O479" s="33"/>
      <c r="P479" s="33"/>
      <c r="Q479" s="33"/>
      <c r="R479" s="33"/>
      <c r="S479" s="33"/>
      <c r="T479" s="33"/>
    </row>
    <row r="480" spans="1:20" ht="15.6">
      <c r="A480" s="13">
        <v>56704</v>
      </c>
      <c r="B480" s="41">
        <v>31</v>
      </c>
      <c r="C480" s="32">
        <v>122.58</v>
      </c>
      <c r="D480" s="32">
        <v>297.94099999999997</v>
      </c>
      <c r="E480" s="38">
        <v>729.47900000000004</v>
      </c>
      <c r="F480" s="32">
        <v>1150</v>
      </c>
      <c r="G480" s="32">
        <v>100</v>
      </c>
      <c r="H480" s="40">
        <v>600</v>
      </c>
      <c r="I480" s="32">
        <v>695</v>
      </c>
      <c r="J480" s="32">
        <v>50</v>
      </c>
      <c r="K480" s="33"/>
      <c r="L480" s="33"/>
      <c r="M480" s="33"/>
      <c r="N480" s="33"/>
      <c r="O480" s="33"/>
      <c r="P480" s="33"/>
      <c r="Q480" s="33"/>
      <c r="R480" s="33"/>
      <c r="S480" s="33"/>
      <c r="T480" s="33"/>
    </row>
    <row r="481" spans="1:20" ht="15.6">
      <c r="A481" s="13">
        <v>56734</v>
      </c>
      <c r="B481" s="41">
        <v>30</v>
      </c>
      <c r="C481" s="32">
        <v>141.29300000000001</v>
      </c>
      <c r="D481" s="32">
        <v>267.99299999999999</v>
      </c>
      <c r="E481" s="38">
        <v>829.71400000000006</v>
      </c>
      <c r="F481" s="32">
        <v>1239</v>
      </c>
      <c r="G481" s="32">
        <v>100</v>
      </c>
      <c r="H481" s="40">
        <v>600</v>
      </c>
      <c r="I481" s="32">
        <v>695</v>
      </c>
      <c r="J481" s="32">
        <v>50</v>
      </c>
      <c r="K481" s="33"/>
      <c r="L481" s="33"/>
      <c r="M481" s="33"/>
      <c r="N481" s="33"/>
      <c r="O481" s="33"/>
      <c r="P481" s="33"/>
      <c r="Q481" s="33"/>
      <c r="R481" s="33"/>
      <c r="S481" s="33"/>
      <c r="T481" s="33"/>
    </row>
    <row r="482" spans="1:20" ht="15.6">
      <c r="A482" s="13">
        <v>56765</v>
      </c>
      <c r="B482" s="41">
        <v>31</v>
      </c>
      <c r="C482" s="32">
        <v>194.20500000000001</v>
      </c>
      <c r="D482" s="32">
        <v>267.46600000000001</v>
      </c>
      <c r="E482" s="38">
        <v>812.32899999999995</v>
      </c>
      <c r="F482" s="32">
        <v>1274</v>
      </c>
      <c r="G482" s="32">
        <v>75</v>
      </c>
      <c r="H482" s="40">
        <v>600</v>
      </c>
      <c r="I482" s="32">
        <v>695</v>
      </c>
      <c r="J482" s="32">
        <v>50</v>
      </c>
      <c r="K482" s="33"/>
      <c r="L482" s="33"/>
      <c r="M482" s="33"/>
      <c r="N482" s="33"/>
      <c r="O482" s="33"/>
      <c r="P482" s="33"/>
      <c r="Q482" s="33"/>
      <c r="R482" s="33"/>
      <c r="S482" s="33"/>
      <c r="T482" s="33"/>
    </row>
    <row r="483" spans="1:20" ht="15.6">
      <c r="A483" s="13">
        <v>56795</v>
      </c>
      <c r="B483" s="41">
        <v>30</v>
      </c>
      <c r="C483" s="32">
        <v>194.20500000000001</v>
      </c>
      <c r="D483" s="32">
        <v>267.46600000000001</v>
      </c>
      <c r="E483" s="38">
        <v>812.32899999999995</v>
      </c>
      <c r="F483" s="32">
        <v>1274</v>
      </c>
      <c r="G483" s="32">
        <v>50</v>
      </c>
      <c r="H483" s="40">
        <v>600</v>
      </c>
      <c r="I483" s="32">
        <v>695</v>
      </c>
      <c r="J483" s="32">
        <v>50</v>
      </c>
      <c r="K483" s="33"/>
      <c r="L483" s="33"/>
      <c r="M483" s="33"/>
      <c r="N483" s="33"/>
      <c r="O483" s="33"/>
      <c r="P483" s="33"/>
      <c r="Q483" s="33"/>
      <c r="R483" s="33"/>
      <c r="S483" s="33"/>
      <c r="T483" s="33"/>
    </row>
    <row r="484" spans="1:20" ht="15.6">
      <c r="A484" s="13">
        <v>56826</v>
      </c>
      <c r="B484" s="41">
        <v>31</v>
      </c>
      <c r="C484" s="32">
        <v>194.20500000000001</v>
      </c>
      <c r="D484" s="32">
        <v>267.46600000000001</v>
      </c>
      <c r="E484" s="38">
        <v>812.32899999999995</v>
      </c>
      <c r="F484" s="32">
        <v>1274</v>
      </c>
      <c r="G484" s="32">
        <v>50</v>
      </c>
      <c r="H484" s="40">
        <v>600</v>
      </c>
      <c r="I484" s="32">
        <v>695</v>
      </c>
      <c r="J484" s="32">
        <v>0</v>
      </c>
      <c r="K484" s="33"/>
      <c r="L484" s="33"/>
      <c r="M484" s="33"/>
      <c r="N484" s="33"/>
      <c r="O484" s="33"/>
      <c r="P484" s="33"/>
      <c r="Q484" s="33"/>
      <c r="R484" s="33"/>
      <c r="S484" s="33"/>
      <c r="T484" s="33"/>
    </row>
    <row r="485" spans="1:20" ht="15.6">
      <c r="A485" s="13">
        <v>56857</v>
      </c>
      <c r="B485" s="41">
        <v>31</v>
      </c>
      <c r="C485" s="32">
        <v>194.20500000000001</v>
      </c>
      <c r="D485" s="32">
        <v>267.46600000000001</v>
      </c>
      <c r="E485" s="38">
        <v>812.32899999999995</v>
      </c>
      <c r="F485" s="32">
        <v>1274</v>
      </c>
      <c r="G485" s="32">
        <v>50</v>
      </c>
      <c r="H485" s="40">
        <v>600</v>
      </c>
      <c r="I485" s="32">
        <v>695</v>
      </c>
      <c r="J485" s="32">
        <v>0</v>
      </c>
      <c r="K485" s="33"/>
      <c r="L485" s="33"/>
      <c r="M485" s="33"/>
      <c r="N485" s="33"/>
      <c r="O485" s="33"/>
      <c r="P485" s="33"/>
      <c r="Q485" s="33"/>
      <c r="R485" s="33"/>
      <c r="S485" s="33"/>
      <c r="T485" s="33"/>
    </row>
    <row r="486" spans="1:20" ht="15.6">
      <c r="A486" s="13">
        <v>56887</v>
      </c>
      <c r="B486" s="41">
        <v>30</v>
      </c>
      <c r="C486" s="32">
        <v>194.20500000000001</v>
      </c>
      <c r="D486" s="32">
        <v>267.46600000000001</v>
      </c>
      <c r="E486" s="38">
        <v>812.32899999999995</v>
      </c>
      <c r="F486" s="32">
        <v>1274</v>
      </c>
      <c r="G486" s="32">
        <v>50</v>
      </c>
      <c r="H486" s="40">
        <v>600</v>
      </c>
      <c r="I486" s="32">
        <v>695</v>
      </c>
      <c r="J486" s="32">
        <v>0</v>
      </c>
      <c r="K486" s="33"/>
      <c r="L486" s="33"/>
      <c r="M486" s="33"/>
      <c r="N486" s="33"/>
      <c r="O486" s="33"/>
      <c r="P486" s="33"/>
      <c r="Q486" s="33"/>
      <c r="R486" s="33"/>
      <c r="S486" s="33"/>
      <c r="T486" s="33"/>
    </row>
    <row r="487" spans="1:20" ht="15.6">
      <c r="A487" s="13">
        <v>56918</v>
      </c>
      <c r="B487" s="41">
        <v>31</v>
      </c>
      <c r="C487" s="32">
        <v>131.881</v>
      </c>
      <c r="D487" s="32">
        <v>277.16699999999997</v>
      </c>
      <c r="E487" s="38">
        <v>829.952</v>
      </c>
      <c r="F487" s="32">
        <v>1239</v>
      </c>
      <c r="G487" s="32">
        <v>75</v>
      </c>
      <c r="H487" s="40">
        <v>600</v>
      </c>
      <c r="I487" s="32">
        <v>695</v>
      </c>
      <c r="J487" s="32">
        <v>0</v>
      </c>
      <c r="K487" s="33"/>
      <c r="L487" s="33"/>
      <c r="M487" s="33"/>
      <c r="N487" s="33"/>
      <c r="O487" s="33"/>
      <c r="P487" s="33"/>
      <c r="Q487" s="33"/>
      <c r="R487" s="33"/>
      <c r="S487" s="33"/>
      <c r="T487" s="33"/>
    </row>
    <row r="488" spans="1:20" ht="15.6">
      <c r="A488" s="13">
        <v>56948</v>
      </c>
      <c r="B488" s="41">
        <v>30</v>
      </c>
      <c r="C488" s="32">
        <v>122.58</v>
      </c>
      <c r="D488" s="32">
        <v>297.94099999999997</v>
      </c>
      <c r="E488" s="38">
        <v>729.47900000000004</v>
      </c>
      <c r="F488" s="32">
        <v>1150</v>
      </c>
      <c r="G488" s="32">
        <v>100</v>
      </c>
      <c r="H488" s="40">
        <v>600</v>
      </c>
      <c r="I488" s="32">
        <v>695</v>
      </c>
      <c r="J488" s="32">
        <v>50</v>
      </c>
      <c r="K488" s="33"/>
      <c r="L488" s="33"/>
      <c r="M488" s="33"/>
      <c r="N488" s="33"/>
      <c r="O488" s="33"/>
      <c r="P488" s="33"/>
      <c r="Q488" s="33"/>
      <c r="R488" s="33"/>
      <c r="S488" s="33"/>
      <c r="T488" s="33"/>
    </row>
    <row r="489" spans="1:20" ht="15.6">
      <c r="A489" s="13">
        <v>56979</v>
      </c>
      <c r="B489" s="41">
        <v>31</v>
      </c>
      <c r="C489" s="32">
        <v>122.58</v>
      </c>
      <c r="D489" s="32">
        <v>297.94099999999997</v>
      </c>
      <c r="E489" s="38">
        <v>729.47900000000004</v>
      </c>
      <c r="F489" s="32">
        <v>1150</v>
      </c>
      <c r="G489" s="32">
        <v>100</v>
      </c>
      <c r="H489" s="40">
        <v>600</v>
      </c>
      <c r="I489" s="32">
        <v>695</v>
      </c>
      <c r="J489" s="32">
        <v>50</v>
      </c>
      <c r="K489" s="33"/>
      <c r="L489" s="33"/>
      <c r="M489" s="33"/>
      <c r="N489" s="33"/>
      <c r="O489" s="33"/>
      <c r="P489" s="33"/>
      <c r="Q489" s="33"/>
      <c r="R489" s="33"/>
      <c r="S489" s="33"/>
      <c r="T489" s="33"/>
    </row>
    <row r="490" spans="1:20" ht="15.6">
      <c r="A490" s="13">
        <v>57010</v>
      </c>
      <c r="B490" s="41">
        <v>31</v>
      </c>
      <c r="C490" s="32">
        <v>122.58</v>
      </c>
      <c r="D490" s="32">
        <v>297.94099999999997</v>
      </c>
      <c r="E490" s="38">
        <v>729.47900000000004</v>
      </c>
      <c r="F490" s="32">
        <v>1150</v>
      </c>
      <c r="G490" s="32">
        <v>100</v>
      </c>
      <c r="H490" s="40">
        <v>600</v>
      </c>
      <c r="I490" s="32">
        <v>695</v>
      </c>
      <c r="J490" s="32">
        <v>50</v>
      </c>
      <c r="K490" s="33"/>
      <c r="L490" s="33"/>
      <c r="M490" s="33"/>
      <c r="N490" s="33"/>
      <c r="O490" s="33"/>
      <c r="P490" s="33"/>
      <c r="Q490" s="33"/>
      <c r="R490" s="33"/>
      <c r="S490" s="33"/>
      <c r="T490" s="33"/>
    </row>
    <row r="491" spans="1:20" ht="15.6">
      <c r="A491" s="13">
        <v>57038</v>
      </c>
      <c r="B491" s="41">
        <v>29</v>
      </c>
      <c r="C491" s="32">
        <v>122.58</v>
      </c>
      <c r="D491" s="32">
        <v>297.94099999999997</v>
      </c>
      <c r="E491" s="38">
        <v>729.47900000000004</v>
      </c>
      <c r="F491" s="32">
        <v>1150</v>
      </c>
      <c r="G491" s="32">
        <v>100</v>
      </c>
      <c r="H491" s="40">
        <v>600</v>
      </c>
      <c r="I491" s="32">
        <v>695</v>
      </c>
      <c r="J491" s="32">
        <v>50</v>
      </c>
      <c r="K491" s="33"/>
      <c r="L491" s="33"/>
      <c r="M491" s="33"/>
      <c r="N491" s="33"/>
      <c r="O491" s="33"/>
      <c r="P491" s="33"/>
      <c r="Q491" s="33"/>
      <c r="R491" s="33"/>
      <c r="S491" s="33"/>
      <c r="T491" s="33"/>
    </row>
    <row r="492" spans="1:20" ht="15.6">
      <c r="A492" s="13">
        <v>57070</v>
      </c>
      <c r="B492" s="41">
        <v>31</v>
      </c>
      <c r="C492" s="32">
        <v>122.58</v>
      </c>
      <c r="D492" s="32">
        <v>297.94099999999997</v>
      </c>
      <c r="E492" s="38">
        <v>729.47900000000004</v>
      </c>
      <c r="F492" s="32">
        <v>1150</v>
      </c>
      <c r="G492" s="32">
        <v>100</v>
      </c>
      <c r="H492" s="40">
        <v>600</v>
      </c>
      <c r="I492" s="32">
        <v>695</v>
      </c>
      <c r="J492" s="32">
        <v>50</v>
      </c>
      <c r="K492" s="33"/>
      <c r="L492" s="33"/>
      <c r="M492" s="33"/>
      <c r="N492" s="33"/>
      <c r="O492" s="33"/>
      <c r="P492" s="33"/>
      <c r="Q492" s="33"/>
      <c r="R492" s="33"/>
      <c r="S492" s="33"/>
      <c r="T492" s="33"/>
    </row>
    <row r="493" spans="1:20" ht="15.6">
      <c r="A493" s="13">
        <v>57100</v>
      </c>
      <c r="B493" s="41">
        <v>30</v>
      </c>
      <c r="C493" s="32">
        <v>141.29300000000001</v>
      </c>
      <c r="D493" s="32">
        <v>267.99299999999999</v>
      </c>
      <c r="E493" s="38">
        <v>829.71400000000006</v>
      </c>
      <c r="F493" s="32">
        <v>1239</v>
      </c>
      <c r="G493" s="32">
        <v>100</v>
      </c>
      <c r="H493" s="40">
        <v>600</v>
      </c>
      <c r="I493" s="32">
        <v>695</v>
      </c>
      <c r="J493" s="32">
        <v>50</v>
      </c>
      <c r="K493" s="33"/>
      <c r="L493" s="33"/>
      <c r="M493" s="33"/>
      <c r="N493" s="33"/>
      <c r="O493" s="33"/>
      <c r="P493" s="33"/>
      <c r="Q493" s="33"/>
      <c r="R493" s="33"/>
      <c r="S493" s="33"/>
      <c r="T493" s="33"/>
    </row>
    <row r="494" spans="1:20" ht="15.6">
      <c r="A494" s="13">
        <v>57131</v>
      </c>
      <c r="B494" s="41">
        <v>31</v>
      </c>
      <c r="C494" s="32">
        <v>194.20500000000001</v>
      </c>
      <c r="D494" s="32">
        <v>267.46600000000001</v>
      </c>
      <c r="E494" s="38">
        <v>812.32899999999995</v>
      </c>
      <c r="F494" s="32">
        <v>1274</v>
      </c>
      <c r="G494" s="32">
        <v>75</v>
      </c>
      <c r="H494" s="40">
        <v>600</v>
      </c>
      <c r="I494" s="32">
        <v>695</v>
      </c>
      <c r="J494" s="32">
        <v>50</v>
      </c>
      <c r="K494" s="33"/>
      <c r="L494" s="33"/>
      <c r="M494" s="33"/>
      <c r="N494" s="33"/>
      <c r="O494" s="33"/>
      <c r="P494" s="33"/>
      <c r="Q494" s="33"/>
      <c r="R494" s="33"/>
      <c r="S494" s="33"/>
      <c r="T494" s="33"/>
    </row>
    <row r="495" spans="1:20" ht="15.6">
      <c r="A495" s="13">
        <v>57161</v>
      </c>
      <c r="B495" s="41">
        <v>30</v>
      </c>
      <c r="C495" s="32">
        <v>194.20500000000001</v>
      </c>
      <c r="D495" s="32">
        <v>267.46600000000001</v>
      </c>
      <c r="E495" s="38">
        <v>812.32899999999995</v>
      </c>
      <c r="F495" s="32">
        <v>1274</v>
      </c>
      <c r="G495" s="32">
        <v>50</v>
      </c>
      <c r="H495" s="40">
        <v>600</v>
      </c>
      <c r="I495" s="32">
        <v>695</v>
      </c>
      <c r="J495" s="32">
        <v>50</v>
      </c>
      <c r="K495" s="33"/>
      <c r="L495" s="33"/>
      <c r="M495" s="33"/>
      <c r="N495" s="33"/>
      <c r="O495" s="33"/>
      <c r="P495" s="33"/>
      <c r="Q495" s="33"/>
      <c r="R495" s="33"/>
      <c r="S495" s="33"/>
      <c r="T495" s="33"/>
    </row>
    <row r="496" spans="1:20" ht="15.6">
      <c r="A496" s="13">
        <v>57192</v>
      </c>
      <c r="B496" s="41">
        <v>31</v>
      </c>
      <c r="C496" s="32">
        <v>194.20500000000001</v>
      </c>
      <c r="D496" s="32">
        <v>267.46600000000001</v>
      </c>
      <c r="E496" s="38">
        <v>812.32899999999995</v>
      </c>
      <c r="F496" s="32">
        <v>1274</v>
      </c>
      <c r="G496" s="32">
        <v>50</v>
      </c>
      <c r="H496" s="40">
        <v>600</v>
      </c>
      <c r="I496" s="32">
        <v>695</v>
      </c>
      <c r="J496" s="32">
        <v>0</v>
      </c>
      <c r="K496" s="33"/>
      <c r="L496" s="33"/>
      <c r="M496" s="33"/>
      <c r="N496" s="33"/>
      <c r="O496" s="33"/>
      <c r="P496" s="33"/>
      <c r="Q496" s="33"/>
      <c r="R496" s="33"/>
      <c r="S496" s="33"/>
      <c r="T496" s="33"/>
    </row>
    <row r="497" spans="1:20" ht="15.6">
      <c r="A497" s="13">
        <v>57223</v>
      </c>
      <c r="B497" s="41">
        <v>31</v>
      </c>
      <c r="C497" s="32">
        <v>194.20500000000001</v>
      </c>
      <c r="D497" s="32">
        <v>267.46600000000001</v>
      </c>
      <c r="E497" s="38">
        <v>812.32899999999995</v>
      </c>
      <c r="F497" s="32">
        <v>1274</v>
      </c>
      <c r="G497" s="32">
        <v>50</v>
      </c>
      <c r="H497" s="40">
        <v>600</v>
      </c>
      <c r="I497" s="32">
        <v>695</v>
      </c>
      <c r="J497" s="32">
        <v>0</v>
      </c>
      <c r="K497" s="33"/>
      <c r="L497" s="33"/>
      <c r="M497" s="33"/>
      <c r="N497" s="33"/>
      <c r="O497" s="33"/>
      <c r="P497" s="33"/>
      <c r="Q497" s="33"/>
      <c r="R497" s="33"/>
      <c r="S497" s="33"/>
      <c r="T497" s="33"/>
    </row>
    <row r="498" spans="1:20" ht="15.6">
      <c r="A498" s="13">
        <v>57253</v>
      </c>
      <c r="B498" s="41">
        <v>30</v>
      </c>
      <c r="C498" s="32">
        <v>194.20500000000001</v>
      </c>
      <c r="D498" s="32">
        <v>267.46600000000001</v>
      </c>
      <c r="E498" s="38">
        <v>812.32899999999995</v>
      </c>
      <c r="F498" s="32">
        <v>1274</v>
      </c>
      <c r="G498" s="32">
        <v>50</v>
      </c>
      <c r="H498" s="40">
        <v>600</v>
      </c>
      <c r="I498" s="32">
        <v>695</v>
      </c>
      <c r="J498" s="32">
        <v>0</v>
      </c>
      <c r="K498" s="33"/>
      <c r="L498" s="33"/>
      <c r="M498" s="33"/>
      <c r="N498" s="33"/>
      <c r="O498" s="33"/>
      <c r="P498" s="33"/>
      <c r="Q498" s="33"/>
      <c r="R498" s="33"/>
      <c r="S498" s="33"/>
      <c r="T498" s="33"/>
    </row>
    <row r="499" spans="1:20" ht="15.6">
      <c r="A499" s="13">
        <v>57284</v>
      </c>
      <c r="B499" s="41">
        <v>31</v>
      </c>
      <c r="C499" s="32">
        <v>131.881</v>
      </c>
      <c r="D499" s="32">
        <v>277.16699999999997</v>
      </c>
      <c r="E499" s="38">
        <v>829.952</v>
      </c>
      <c r="F499" s="32">
        <v>1239</v>
      </c>
      <c r="G499" s="32">
        <v>75</v>
      </c>
      <c r="H499" s="40">
        <v>600</v>
      </c>
      <c r="I499" s="32">
        <v>695</v>
      </c>
      <c r="J499" s="32">
        <v>0</v>
      </c>
      <c r="K499" s="33"/>
      <c r="L499" s="33"/>
      <c r="M499" s="33"/>
      <c r="N499" s="33"/>
      <c r="O499" s="33"/>
      <c r="P499" s="33"/>
      <c r="Q499" s="33"/>
      <c r="R499" s="33"/>
      <c r="S499" s="33"/>
      <c r="T499" s="33"/>
    </row>
    <row r="500" spans="1:20" ht="15.6">
      <c r="A500" s="13">
        <v>57314</v>
      </c>
      <c r="B500" s="41">
        <v>30</v>
      </c>
      <c r="C500" s="32">
        <v>122.58</v>
      </c>
      <c r="D500" s="32">
        <v>297.94099999999997</v>
      </c>
      <c r="E500" s="38">
        <v>729.47900000000004</v>
      </c>
      <c r="F500" s="32">
        <v>1150</v>
      </c>
      <c r="G500" s="32">
        <v>100</v>
      </c>
      <c r="H500" s="40">
        <v>600</v>
      </c>
      <c r="I500" s="32">
        <v>695</v>
      </c>
      <c r="J500" s="32">
        <v>50</v>
      </c>
      <c r="K500" s="33"/>
      <c r="L500" s="33"/>
      <c r="M500" s="33"/>
      <c r="N500" s="33"/>
      <c r="O500" s="33"/>
      <c r="P500" s="33"/>
      <c r="Q500" s="33"/>
      <c r="R500" s="33"/>
      <c r="S500" s="33"/>
      <c r="T500" s="33"/>
    </row>
    <row r="501" spans="1:20" ht="15.6">
      <c r="A501" s="13">
        <v>57345</v>
      </c>
      <c r="B501" s="41">
        <v>31</v>
      </c>
      <c r="C501" s="32">
        <v>122.58</v>
      </c>
      <c r="D501" s="32">
        <v>297.94099999999997</v>
      </c>
      <c r="E501" s="38">
        <v>729.47900000000004</v>
      </c>
      <c r="F501" s="32">
        <v>1150</v>
      </c>
      <c r="G501" s="32">
        <v>100</v>
      </c>
      <c r="H501" s="40">
        <v>600</v>
      </c>
      <c r="I501" s="32">
        <v>695</v>
      </c>
      <c r="J501" s="32">
        <v>50</v>
      </c>
      <c r="K501" s="33"/>
      <c r="L501" s="33"/>
      <c r="M501" s="33"/>
      <c r="N501" s="33"/>
      <c r="O501" s="33"/>
      <c r="P501" s="33"/>
      <c r="Q501" s="33"/>
      <c r="R501" s="33"/>
      <c r="S501" s="33"/>
      <c r="T501" s="33"/>
    </row>
    <row r="502" spans="1:20" ht="15.6">
      <c r="A502" s="13">
        <v>57376</v>
      </c>
      <c r="B502" s="41">
        <v>31</v>
      </c>
      <c r="C502" s="32">
        <v>122.58</v>
      </c>
      <c r="D502" s="32">
        <v>297.94099999999997</v>
      </c>
      <c r="E502" s="38">
        <v>729.47900000000004</v>
      </c>
      <c r="F502" s="32">
        <v>1150</v>
      </c>
      <c r="G502" s="32">
        <v>100</v>
      </c>
      <c r="H502" s="40">
        <v>600</v>
      </c>
      <c r="I502" s="32">
        <v>695</v>
      </c>
      <c r="J502" s="32">
        <v>50</v>
      </c>
      <c r="K502" s="33"/>
      <c r="L502" s="33"/>
      <c r="M502" s="33"/>
      <c r="N502" s="33"/>
      <c r="O502" s="33"/>
      <c r="P502" s="33"/>
      <c r="Q502" s="33"/>
      <c r="R502" s="33"/>
      <c r="S502" s="33"/>
      <c r="T502" s="33"/>
    </row>
    <row r="503" spans="1:20" ht="15.6">
      <c r="A503" s="13">
        <v>57404</v>
      </c>
      <c r="B503" s="41">
        <v>28</v>
      </c>
      <c r="C503" s="32">
        <v>122.58</v>
      </c>
      <c r="D503" s="32">
        <v>297.94099999999997</v>
      </c>
      <c r="E503" s="38">
        <v>729.47900000000004</v>
      </c>
      <c r="F503" s="32">
        <v>1150</v>
      </c>
      <c r="G503" s="32">
        <v>100</v>
      </c>
      <c r="H503" s="40">
        <v>600</v>
      </c>
      <c r="I503" s="32">
        <v>695</v>
      </c>
      <c r="J503" s="32">
        <v>50</v>
      </c>
      <c r="K503" s="33"/>
      <c r="L503" s="33"/>
      <c r="M503" s="33"/>
      <c r="N503" s="33"/>
      <c r="O503" s="33"/>
      <c r="P503" s="33"/>
      <c r="Q503" s="33"/>
      <c r="R503" s="33"/>
      <c r="S503" s="33"/>
      <c r="T503" s="33"/>
    </row>
    <row r="504" spans="1:20" ht="15.6">
      <c r="A504" s="13">
        <v>57435</v>
      </c>
      <c r="B504" s="41">
        <v>31</v>
      </c>
      <c r="C504" s="32">
        <v>122.58</v>
      </c>
      <c r="D504" s="32">
        <v>297.94099999999997</v>
      </c>
      <c r="E504" s="38">
        <v>729.47900000000004</v>
      </c>
      <c r="F504" s="32">
        <v>1150</v>
      </c>
      <c r="G504" s="32">
        <v>100</v>
      </c>
      <c r="H504" s="40">
        <v>600</v>
      </c>
      <c r="I504" s="32">
        <v>695</v>
      </c>
      <c r="J504" s="32">
        <v>50</v>
      </c>
      <c r="K504" s="33"/>
      <c r="L504" s="33"/>
      <c r="M504" s="33"/>
      <c r="N504" s="33"/>
      <c r="O504" s="33"/>
      <c r="P504" s="33"/>
      <c r="Q504" s="33"/>
      <c r="R504" s="33"/>
      <c r="S504" s="33"/>
      <c r="T504" s="33"/>
    </row>
    <row r="505" spans="1:20" ht="15.6">
      <c r="A505" s="13">
        <v>57465</v>
      </c>
      <c r="B505" s="41">
        <v>30</v>
      </c>
      <c r="C505" s="32">
        <v>141.29300000000001</v>
      </c>
      <c r="D505" s="32">
        <v>267.99299999999999</v>
      </c>
      <c r="E505" s="38">
        <v>829.71400000000006</v>
      </c>
      <c r="F505" s="32">
        <v>1239</v>
      </c>
      <c r="G505" s="32">
        <v>100</v>
      </c>
      <c r="H505" s="40">
        <v>600</v>
      </c>
      <c r="I505" s="32">
        <v>695</v>
      </c>
      <c r="J505" s="32">
        <v>50</v>
      </c>
      <c r="K505" s="33"/>
      <c r="L505" s="33"/>
      <c r="M505" s="33"/>
      <c r="N505" s="33"/>
      <c r="O505" s="33"/>
      <c r="P505" s="33"/>
      <c r="Q505" s="33"/>
      <c r="R505" s="33"/>
      <c r="S505" s="33"/>
      <c r="T505" s="33"/>
    </row>
    <row r="506" spans="1:20" ht="15.6">
      <c r="A506" s="13">
        <v>57496</v>
      </c>
      <c r="B506" s="41">
        <v>31</v>
      </c>
      <c r="C506" s="32">
        <v>194.20500000000001</v>
      </c>
      <c r="D506" s="32">
        <v>267.46600000000001</v>
      </c>
      <c r="E506" s="38">
        <v>812.32899999999995</v>
      </c>
      <c r="F506" s="32">
        <v>1274</v>
      </c>
      <c r="G506" s="32">
        <v>75</v>
      </c>
      <c r="H506" s="40">
        <v>600</v>
      </c>
      <c r="I506" s="32">
        <v>695</v>
      </c>
      <c r="J506" s="32">
        <v>50</v>
      </c>
      <c r="K506" s="33"/>
      <c r="L506" s="33"/>
      <c r="M506" s="33"/>
      <c r="N506" s="33"/>
      <c r="O506" s="33"/>
      <c r="P506" s="33"/>
      <c r="Q506" s="33"/>
      <c r="R506" s="33"/>
      <c r="S506" s="33"/>
      <c r="T506" s="33"/>
    </row>
    <row r="507" spans="1:20" ht="15.6">
      <c r="A507" s="13">
        <v>57526</v>
      </c>
      <c r="B507" s="41">
        <v>30</v>
      </c>
      <c r="C507" s="32">
        <v>194.20500000000001</v>
      </c>
      <c r="D507" s="32">
        <v>267.46600000000001</v>
      </c>
      <c r="E507" s="38">
        <v>812.32899999999995</v>
      </c>
      <c r="F507" s="32">
        <v>1274</v>
      </c>
      <c r="G507" s="32">
        <v>50</v>
      </c>
      <c r="H507" s="40">
        <v>600</v>
      </c>
      <c r="I507" s="32">
        <v>695</v>
      </c>
      <c r="J507" s="32">
        <v>50</v>
      </c>
      <c r="K507" s="33"/>
      <c r="L507" s="33"/>
      <c r="M507" s="33"/>
      <c r="N507" s="33"/>
      <c r="O507" s="33"/>
      <c r="P507" s="33"/>
      <c r="Q507" s="33"/>
      <c r="R507" s="33"/>
      <c r="S507" s="33"/>
      <c r="T507" s="33"/>
    </row>
    <row r="508" spans="1:20" ht="15.6">
      <c r="A508" s="13">
        <v>57557</v>
      </c>
      <c r="B508" s="41">
        <v>31</v>
      </c>
      <c r="C508" s="32">
        <v>194.20500000000001</v>
      </c>
      <c r="D508" s="32">
        <v>267.46600000000001</v>
      </c>
      <c r="E508" s="38">
        <v>812.32899999999995</v>
      </c>
      <c r="F508" s="32">
        <v>1274</v>
      </c>
      <c r="G508" s="32">
        <v>50</v>
      </c>
      <c r="H508" s="40">
        <v>600</v>
      </c>
      <c r="I508" s="32">
        <v>695</v>
      </c>
      <c r="J508" s="32">
        <v>0</v>
      </c>
      <c r="K508" s="33"/>
      <c r="L508" s="33"/>
      <c r="M508" s="33"/>
      <c r="N508" s="33"/>
      <c r="O508" s="33"/>
      <c r="P508" s="33"/>
      <c r="Q508" s="33"/>
      <c r="R508" s="33"/>
      <c r="S508" s="33"/>
      <c r="T508" s="33"/>
    </row>
    <row r="509" spans="1:20" ht="15.6">
      <c r="A509" s="13">
        <v>57588</v>
      </c>
      <c r="B509" s="41">
        <v>31</v>
      </c>
      <c r="C509" s="32">
        <v>194.20500000000001</v>
      </c>
      <c r="D509" s="32">
        <v>267.46600000000001</v>
      </c>
      <c r="E509" s="38">
        <v>812.32899999999995</v>
      </c>
      <c r="F509" s="32">
        <v>1274</v>
      </c>
      <c r="G509" s="32">
        <v>50</v>
      </c>
      <c r="H509" s="40">
        <v>600</v>
      </c>
      <c r="I509" s="32">
        <v>695</v>
      </c>
      <c r="J509" s="32">
        <v>0</v>
      </c>
      <c r="K509" s="33"/>
      <c r="L509" s="33"/>
      <c r="M509" s="33"/>
      <c r="N509" s="33"/>
      <c r="O509" s="33"/>
      <c r="P509" s="33"/>
      <c r="Q509" s="33"/>
      <c r="R509" s="33"/>
      <c r="S509" s="33"/>
      <c r="T509" s="33"/>
    </row>
    <row r="510" spans="1:20" ht="15.6">
      <c r="A510" s="13">
        <v>57618</v>
      </c>
      <c r="B510" s="41">
        <v>30</v>
      </c>
      <c r="C510" s="32">
        <v>194.20500000000001</v>
      </c>
      <c r="D510" s="32">
        <v>267.46600000000001</v>
      </c>
      <c r="E510" s="38">
        <v>812.32899999999995</v>
      </c>
      <c r="F510" s="32">
        <v>1274</v>
      </c>
      <c r="G510" s="32">
        <v>50</v>
      </c>
      <c r="H510" s="40">
        <v>600</v>
      </c>
      <c r="I510" s="32">
        <v>695</v>
      </c>
      <c r="J510" s="32">
        <v>0</v>
      </c>
      <c r="K510" s="33"/>
      <c r="L510" s="33"/>
      <c r="M510" s="33"/>
      <c r="N510" s="33"/>
      <c r="O510" s="33"/>
      <c r="P510" s="33"/>
      <c r="Q510" s="33"/>
      <c r="R510" s="33"/>
      <c r="S510" s="33"/>
      <c r="T510" s="33"/>
    </row>
    <row r="511" spans="1:20" ht="15.6">
      <c r="A511" s="13">
        <v>57649</v>
      </c>
      <c r="B511" s="41">
        <v>31</v>
      </c>
      <c r="C511" s="32">
        <v>131.881</v>
      </c>
      <c r="D511" s="32">
        <v>277.16699999999997</v>
      </c>
      <c r="E511" s="38">
        <v>829.952</v>
      </c>
      <c r="F511" s="32">
        <v>1239</v>
      </c>
      <c r="G511" s="32">
        <v>75</v>
      </c>
      <c r="H511" s="40">
        <v>600</v>
      </c>
      <c r="I511" s="32">
        <v>695</v>
      </c>
      <c r="J511" s="32">
        <v>0</v>
      </c>
      <c r="K511" s="33"/>
      <c r="L511" s="33"/>
      <c r="M511" s="33"/>
      <c r="N511" s="33"/>
      <c r="O511" s="33"/>
      <c r="P511" s="33"/>
      <c r="Q511" s="33"/>
      <c r="R511" s="33"/>
      <c r="S511" s="33"/>
      <c r="T511" s="33"/>
    </row>
    <row r="512" spans="1:20" ht="15.6">
      <c r="A512" s="13">
        <v>57679</v>
      </c>
      <c r="B512" s="41">
        <v>30</v>
      </c>
      <c r="C512" s="32">
        <v>122.58</v>
      </c>
      <c r="D512" s="32">
        <v>297.94099999999997</v>
      </c>
      <c r="E512" s="38">
        <v>729.47900000000004</v>
      </c>
      <c r="F512" s="32">
        <v>1150</v>
      </c>
      <c r="G512" s="32">
        <v>100</v>
      </c>
      <c r="H512" s="40">
        <v>600</v>
      </c>
      <c r="I512" s="32">
        <v>695</v>
      </c>
      <c r="J512" s="32">
        <v>50</v>
      </c>
      <c r="K512" s="33"/>
      <c r="L512" s="33"/>
      <c r="M512" s="33"/>
      <c r="N512" s="33"/>
      <c r="O512" s="33"/>
      <c r="P512" s="33"/>
      <c r="Q512" s="33"/>
      <c r="R512" s="33"/>
      <c r="S512" s="33"/>
      <c r="T512" s="33"/>
    </row>
    <row r="513" spans="1:20" ht="15.6">
      <c r="A513" s="13">
        <v>57710</v>
      </c>
      <c r="B513" s="41">
        <v>31</v>
      </c>
      <c r="C513" s="32">
        <v>122.58</v>
      </c>
      <c r="D513" s="32">
        <v>297.94099999999997</v>
      </c>
      <c r="E513" s="38">
        <v>729.47900000000004</v>
      </c>
      <c r="F513" s="32">
        <v>1150</v>
      </c>
      <c r="G513" s="32">
        <v>100</v>
      </c>
      <c r="H513" s="40">
        <v>600</v>
      </c>
      <c r="I513" s="32">
        <v>695</v>
      </c>
      <c r="J513" s="32">
        <v>50</v>
      </c>
      <c r="K513" s="33"/>
      <c r="L513" s="33"/>
      <c r="M513" s="33"/>
      <c r="N513" s="33"/>
      <c r="O513" s="33"/>
      <c r="P513" s="33"/>
      <c r="Q513" s="33"/>
      <c r="R513" s="33"/>
      <c r="S513" s="33"/>
      <c r="T513" s="33"/>
    </row>
    <row r="514" spans="1:20" ht="15.6">
      <c r="A514" s="13">
        <v>57741</v>
      </c>
      <c r="B514" s="41">
        <v>31</v>
      </c>
      <c r="C514" s="32">
        <v>122.58</v>
      </c>
      <c r="D514" s="32">
        <v>297.94099999999997</v>
      </c>
      <c r="E514" s="38">
        <v>729.47900000000004</v>
      </c>
      <c r="F514" s="32">
        <v>1150</v>
      </c>
      <c r="G514" s="32">
        <v>100</v>
      </c>
      <c r="H514" s="40">
        <v>600</v>
      </c>
      <c r="I514" s="32">
        <v>695</v>
      </c>
      <c r="J514" s="32">
        <v>50</v>
      </c>
      <c r="K514" s="33"/>
      <c r="L514" s="33"/>
      <c r="M514" s="33"/>
      <c r="N514" s="33"/>
      <c r="O514" s="33"/>
      <c r="P514" s="33"/>
      <c r="Q514" s="33"/>
      <c r="R514" s="33"/>
      <c r="S514" s="33"/>
      <c r="T514" s="33"/>
    </row>
    <row r="515" spans="1:20" ht="15.6">
      <c r="A515" s="13">
        <v>57769</v>
      </c>
      <c r="B515" s="41">
        <v>28</v>
      </c>
      <c r="C515" s="32">
        <v>122.58</v>
      </c>
      <c r="D515" s="32">
        <v>297.94099999999997</v>
      </c>
      <c r="E515" s="38">
        <v>729.47900000000004</v>
      </c>
      <c r="F515" s="32">
        <v>1150</v>
      </c>
      <c r="G515" s="32">
        <v>100</v>
      </c>
      <c r="H515" s="40">
        <v>600</v>
      </c>
      <c r="I515" s="32">
        <v>695</v>
      </c>
      <c r="J515" s="32">
        <v>50</v>
      </c>
      <c r="K515" s="33"/>
      <c r="L515" s="33"/>
      <c r="M515" s="33"/>
      <c r="N515" s="33"/>
      <c r="O515" s="33"/>
      <c r="P515" s="33"/>
      <c r="Q515" s="33"/>
      <c r="R515" s="33"/>
      <c r="S515" s="33"/>
      <c r="T515" s="33"/>
    </row>
    <row r="516" spans="1:20" ht="15.6">
      <c r="A516" s="13">
        <v>57800</v>
      </c>
      <c r="B516" s="41">
        <v>31</v>
      </c>
      <c r="C516" s="32">
        <v>122.58</v>
      </c>
      <c r="D516" s="32">
        <v>297.94099999999997</v>
      </c>
      <c r="E516" s="38">
        <v>729.47900000000004</v>
      </c>
      <c r="F516" s="32">
        <v>1150</v>
      </c>
      <c r="G516" s="32">
        <v>100</v>
      </c>
      <c r="H516" s="40">
        <v>600</v>
      </c>
      <c r="I516" s="32">
        <v>695</v>
      </c>
      <c r="J516" s="32">
        <v>50</v>
      </c>
      <c r="K516" s="33"/>
      <c r="L516" s="33"/>
      <c r="M516" s="33"/>
      <c r="N516" s="33"/>
      <c r="O516" s="33"/>
      <c r="P516" s="33"/>
      <c r="Q516" s="33"/>
      <c r="R516" s="33"/>
      <c r="S516" s="33"/>
      <c r="T516" s="33"/>
    </row>
    <row r="517" spans="1:20" ht="15.6">
      <c r="A517" s="13">
        <v>57830</v>
      </c>
      <c r="B517" s="41">
        <v>30</v>
      </c>
      <c r="C517" s="32">
        <v>141.29300000000001</v>
      </c>
      <c r="D517" s="32">
        <v>267.99299999999999</v>
      </c>
      <c r="E517" s="38">
        <v>829.71400000000006</v>
      </c>
      <c r="F517" s="32">
        <v>1239</v>
      </c>
      <c r="G517" s="32">
        <v>100</v>
      </c>
      <c r="H517" s="40">
        <v>600</v>
      </c>
      <c r="I517" s="32">
        <v>695</v>
      </c>
      <c r="J517" s="32">
        <v>50</v>
      </c>
      <c r="K517" s="33"/>
      <c r="L517" s="33"/>
      <c r="M517" s="33"/>
      <c r="N517" s="33"/>
      <c r="O517" s="33"/>
      <c r="P517" s="33"/>
      <c r="Q517" s="33"/>
      <c r="R517" s="33"/>
      <c r="S517" s="33"/>
      <c r="T517" s="33"/>
    </row>
    <row r="518" spans="1:20" ht="15.6">
      <c r="A518" s="13">
        <v>57861</v>
      </c>
      <c r="B518" s="41">
        <v>31</v>
      </c>
      <c r="C518" s="32">
        <v>194.20500000000001</v>
      </c>
      <c r="D518" s="32">
        <v>267.46600000000001</v>
      </c>
      <c r="E518" s="38">
        <v>812.32899999999995</v>
      </c>
      <c r="F518" s="32">
        <v>1274</v>
      </c>
      <c r="G518" s="32">
        <v>75</v>
      </c>
      <c r="H518" s="40">
        <v>600</v>
      </c>
      <c r="I518" s="32">
        <v>695</v>
      </c>
      <c r="J518" s="32">
        <v>50</v>
      </c>
      <c r="K518" s="33"/>
      <c r="L518" s="33"/>
      <c r="M518" s="33"/>
      <c r="N518" s="33"/>
      <c r="O518" s="33"/>
      <c r="P518" s="33"/>
      <c r="Q518" s="33"/>
      <c r="R518" s="33"/>
      <c r="S518" s="33"/>
      <c r="T518" s="33"/>
    </row>
    <row r="519" spans="1:20" ht="15.6">
      <c r="A519" s="13">
        <v>57891</v>
      </c>
      <c r="B519" s="41">
        <v>30</v>
      </c>
      <c r="C519" s="32">
        <v>194.20500000000001</v>
      </c>
      <c r="D519" s="32">
        <v>267.46600000000001</v>
      </c>
      <c r="E519" s="38">
        <v>812.32899999999995</v>
      </c>
      <c r="F519" s="32">
        <v>1274</v>
      </c>
      <c r="G519" s="32">
        <v>50</v>
      </c>
      <c r="H519" s="40">
        <v>600</v>
      </c>
      <c r="I519" s="32">
        <v>695</v>
      </c>
      <c r="J519" s="32">
        <v>50</v>
      </c>
      <c r="K519" s="33"/>
      <c r="L519" s="33"/>
      <c r="M519" s="33"/>
      <c r="N519" s="33"/>
      <c r="O519" s="33"/>
      <c r="P519" s="33"/>
      <c r="Q519" s="33"/>
      <c r="R519" s="33"/>
      <c r="S519" s="33"/>
      <c r="T519" s="33"/>
    </row>
    <row r="520" spans="1:20" ht="15.6">
      <c r="A520" s="13">
        <v>57922</v>
      </c>
      <c r="B520" s="41">
        <v>31</v>
      </c>
      <c r="C520" s="32">
        <v>194.20500000000001</v>
      </c>
      <c r="D520" s="32">
        <v>267.46600000000001</v>
      </c>
      <c r="E520" s="38">
        <v>812.32899999999995</v>
      </c>
      <c r="F520" s="32">
        <v>1274</v>
      </c>
      <c r="G520" s="32">
        <v>50</v>
      </c>
      <c r="H520" s="40">
        <v>600</v>
      </c>
      <c r="I520" s="32">
        <v>695</v>
      </c>
      <c r="J520" s="32">
        <v>0</v>
      </c>
      <c r="K520" s="33"/>
      <c r="L520" s="33"/>
      <c r="M520" s="33"/>
      <c r="N520" s="33"/>
      <c r="O520" s="33"/>
      <c r="P520" s="33"/>
      <c r="Q520" s="33"/>
      <c r="R520" s="33"/>
      <c r="S520" s="33"/>
      <c r="T520" s="33"/>
    </row>
    <row r="521" spans="1:20" ht="15.6">
      <c r="A521" s="13">
        <v>57953</v>
      </c>
      <c r="B521" s="41">
        <v>31</v>
      </c>
      <c r="C521" s="32">
        <v>194.20500000000001</v>
      </c>
      <c r="D521" s="32">
        <v>267.46600000000001</v>
      </c>
      <c r="E521" s="38">
        <v>812.32899999999995</v>
      </c>
      <c r="F521" s="32">
        <v>1274</v>
      </c>
      <c r="G521" s="32">
        <v>50</v>
      </c>
      <c r="H521" s="40">
        <v>600</v>
      </c>
      <c r="I521" s="32">
        <v>695</v>
      </c>
      <c r="J521" s="32">
        <v>0</v>
      </c>
      <c r="K521" s="33"/>
      <c r="L521" s="33"/>
      <c r="M521" s="33"/>
      <c r="N521" s="33"/>
      <c r="O521" s="33"/>
      <c r="P521" s="33"/>
      <c r="Q521" s="33"/>
      <c r="R521" s="33"/>
      <c r="S521" s="33"/>
      <c r="T521" s="33"/>
    </row>
    <row r="522" spans="1:20" ht="15.6">
      <c r="A522" s="13">
        <v>57983</v>
      </c>
      <c r="B522" s="41">
        <v>30</v>
      </c>
      <c r="C522" s="32">
        <v>194.20500000000001</v>
      </c>
      <c r="D522" s="32">
        <v>267.46600000000001</v>
      </c>
      <c r="E522" s="38">
        <v>812.32899999999995</v>
      </c>
      <c r="F522" s="32">
        <v>1274</v>
      </c>
      <c r="G522" s="32">
        <v>50</v>
      </c>
      <c r="H522" s="40">
        <v>600</v>
      </c>
      <c r="I522" s="32">
        <v>695</v>
      </c>
      <c r="J522" s="32">
        <v>0</v>
      </c>
      <c r="K522" s="33"/>
      <c r="L522" s="33"/>
      <c r="M522" s="33"/>
      <c r="N522" s="33"/>
      <c r="O522" s="33"/>
      <c r="P522" s="33"/>
      <c r="Q522" s="33"/>
      <c r="R522" s="33"/>
      <c r="S522" s="33"/>
      <c r="T522" s="33"/>
    </row>
    <row r="523" spans="1:20" ht="15.6">
      <c r="A523" s="13">
        <v>58014</v>
      </c>
      <c r="B523" s="41">
        <v>31</v>
      </c>
      <c r="C523" s="32">
        <v>131.881</v>
      </c>
      <c r="D523" s="32">
        <v>277.16699999999997</v>
      </c>
      <c r="E523" s="38">
        <v>829.952</v>
      </c>
      <c r="F523" s="32">
        <v>1239</v>
      </c>
      <c r="G523" s="32">
        <v>75</v>
      </c>
      <c r="H523" s="40">
        <v>600</v>
      </c>
      <c r="I523" s="32">
        <v>695</v>
      </c>
      <c r="J523" s="32">
        <v>0</v>
      </c>
      <c r="K523" s="33"/>
      <c r="L523" s="33"/>
      <c r="M523" s="33"/>
      <c r="N523" s="33"/>
      <c r="O523" s="33"/>
      <c r="P523" s="33"/>
      <c r="Q523" s="33"/>
      <c r="R523" s="33"/>
      <c r="S523" s="33"/>
      <c r="T523" s="33"/>
    </row>
    <row r="524" spans="1:20" ht="15.6">
      <c r="A524" s="13">
        <v>58044</v>
      </c>
      <c r="B524" s="41">
        <v>30</v>
      </c>
      <c r="C524" s="32">
        <v>122.58</v>
      </c>
      <c r="D524" s="32">
        <v>297.94099999999997</v>
      </c>
      <c r="E524" s="38">
        <v>729.47900000000004</v>
      </c>
      <c r="F524" s="32">
        <v>1150</v>
      </c>
      <c r="G524" s="32">
        <v>100</v>
      </c>
      <c r="H524" s="40">
        <v>600</v>
      </c>
      <c r="I524" s="32">
        <v>695</v>
      </c>
      <c r="J524" s="32">
        <v>50</v>
      </c>
      <c r="K524" s="33"/>
      <c r="L524" s="33"/>
      <c r="M524" s="33"/>
      <c r="N524" s="33"/>
      <c r="O524" s="33"/>
      <c r="P524" s="33"/>
      <c r="Q524" s="33"/>
      <c r="R524" s="33"/>
      <c r="S524" s="33"/>
      <c r="T524" s="33"/>
    </row>
    <row r="525" spans="1:20" ht="15.6">
      <c r="A525" s="13">
        <v>58075</v>
      </c>
      <c r="B525" s="41">
        <v>31</v>
      </c>
      <c r="C525" s="32">
        <v>122.58</v>
      </c>
      <c r="D525" s="32">
        <v>297.94099999999997</v>
      </c>
      <c r="E525" s="38">
        <v>729.47900000000004</v>
      </c>
      <c r="F525" s="32">
        <v>1150</v>
      </c>
      <c r="G525" s="32">
        <v>100</v>
      </c>
      <c r="H525" s="40">
        <v>600</v>
      </c>
      <c r="I525" s="32">
        <v>695</v>
      </c>
      <c r="J525" s="32">
        <v>50</v>
      </c>
      <c r="K525" s="33"/>
      <c r="L525" s="33"/>
      <c r="M525" s="33"/>
      <c r="N525" s="33"/>
      <c r="O525" s="33"/>
      <c r="P525" s="33"/>
      <c r="Q525" s="33"/>
      <c r="R525" s="33"/>
      <c r="S525" s="33"/>
      <c r="T525" s="33"/>
    </row>
    <row r="526" spans="1:20" ht="15.6">
      <c r="A526" s="13">
        <v>58106</v>
      </c>
      <c r="B526" s="41">
        <v>31</v>
      </c>
      <c r="C526" s="32">
        <v>122.58</v>
      </c>
      <c r="D526" s="32">
        <v>297.94099999999997</v>
      </c>
      <c r="E526" s="38">
        <v>729.47900000000004</v>
      </c>
      <c r="F526" s="32">
        <v>1150</v>
      </c>
      <c r="G526" s="32">
        <v>100</v>
      </c>
      <c r="H526" s="40">
        <v>600</v>
      </c>
      <c r="I526" s="32">
        <v>695</v>
      </c>
      <c r="J526" s="32">
        <v>50</v>
      </c>
      <c r="K526" s="33"/>
      <c r="L526" s="33"/>
      <c r="M526" s="33"/>
      <c r="N526" s="33"/>
      <c r="O526" s="33"/>
      <c r="P526" s="33"/>
      <c r="Q526" s="33"/>
      <c r="R526" s="33"/>
      <c r="S526" s="33"/>
      <c r="T526" s="33"/>
    </row>
    <row r="527" spans="1:20" ht="15.6">
      <c r="A527" s="13">
        <v>58134</v>
      </c>
      <c r="B527" s="41">
        <v>28</v>
      </c>
      <c r="C527" s="32">
        <v>122.58</v>
      </c>
      <c r="D527" s="32">
        <v>297.94099999999997</v>
      </c>
      <c r="E527" s="38">
        <v>729.47900000000004</v>
      </c>
      <c r="F527" s="32">
        <v>1150</v>
      </c>
      <c r="G527" s="32">
        <v>100</v>
      </c>
      <c r="H527" s="40">
        <v>600</v>
      </c>
      <c r="I527" s="32">
        <v>695</v>
      </c>
      <c r="J527" s="32">
        <v>50</v>
      </c>
      <c r="K527" s="33"/>
      <c r="L527" s="33"/>
      <c r="M527" s="33"/>
      <c r="N527" s="33"/>
      <c r="O527" s="33"/>
      <c r="P527" s="33"/>
      <c r="Q527" s="33"/>
      <c r="R527" s="33"/>
      <c r="S527" s="33"/>
      <c r="T527" s="33"/>
    </row>
    <row r="528" spans="1:20" ht="15.6">
      <c r="A528" s="13">
        <v>58165</v>
      </c>
      <c r="B528" s="41">
        <v>31</v>
      </c>
      <c r="C528" s="32">
        <v>122.58</v>
      </c>
      <c r="D528" s="32">
        <v>297.94099999999997</v>
      </c>
      <c r="E528" s="38">
        <v>729.47900000000004</v>
      </c>
      <c r="F528" s="32">
        <v>1150</v>
      </c>
      <c r="G528" s="32">
        <v>100</v>
      </c>
      <c r="H528" s="40">
        <v>600</v>
      </c>
      <c r="I528" s="32">
        <v>695</v>
      </c>
      <c r="J528" s="32">
        <v>50</v>
      </c>
      <c r="K528" s="33"/>
      <c r="L528" s="33"/>
      <c r="M528" s="33"/>
      <c r="N528" s="33"/>
      <c r="O528" s="33"/>
      <c r="P528" s="33"/>
      <c r="Q528" s="33"/>
      <c r="R528" s="33"/>
      <c r="S528" s="33"/>
      <c r="T528" s="33"/>
    </row>
    <row r="529" spans="1:20" ht="15.6">
      <c r="A529" s="13">
        <v>58195</v>
      </c>
      <c r="B529" s="41">
        <v>30</v>
      </c>
      <c r="C529" s="32">
        <v>141.29300000000001</v>
      </c>
      <c r="D529" s="32">
        <v>267.99299999999999</v>
      </c>
      <c r="E529" s="38">
        <v>829.71400000000006</v>
      </c>
      <c r="F529" s="32">
        <v>1239</v>
      </c>
      <c r="G529" s="32">
        <v>100</v>
      </c>
      <c r="H529" s="40">
        <v>600</v>
      </c>
      <c r="I529" s="32">
        <v>695</v>
      </c>
      <c r="J529" s="32">
        <v>50</v>
      </c>
      <c r="K529" s="33"/>
      <c r="L529" s="33"/>
      <c r="M529" s="33"/>
      <c r="N529" s="33"/>
      <c r="O529" s="33"/>
      <c r="P529" s="33"/>
      <c r="Q529" s="33"/>
      <c r="R529" s="33"/>
      <c r="S529" s="33"/>
      <c r="T529" s="33"/>
    </row>
    <row r="530" spans="1:20" ht="15.6">
      <c r="A530" s="13">
        <v>58226</v>
      </c>
      <c r="B530" s="41">
        <v>31</v>
      </c>
      <c r="C530" s="32">
        <v>194.20500000000001</v>
      </c>
      <c r="D530" s="32">
        <v>267.46600000000001</v>
      </c>
      <c r="E530" s="38">
        <v>812.32899999999995</v>
      </c>
      <c r="F530" s="32">
        <v>1274</v>
      </c>
      <c r="G530" s="32">
        <v>75</v>
      </c>
      <c r="H530" s="40">
        <v>600</v>
      </c>
      <c r="I530" s="32">
        <v>695</v>
      </c>
      <c r="J530" s="32">
        <v>50</v>
      </c>
      <c r="K530" s="33"/>
      <c r="L530" s="33"/>
      <c r="M530" s="33"/>
      <c r="N530" s="33"/>
      <c r="O530" s="33"/>
      <c r="P530" s="33"/>
      <c r="Q530" s="33"/>
      <c r="R530" s="33"/>
      <c r="S530" s="33"/>
      <c r="T530" s="33"/>
    </row>
    <row r="531" spans="1:20" ht="15.6">
      <c r="A531" s="13">
        <v>58256</v>
      </c>
      <c r="B531" s="41">
        <v>30</v>
      </c>
      <c r="C531" s="32">
        <v>194.20500000000001</v>
      </c>
      <c r="D531" s="32">
        <v>267.46600000000001</v>
      </c>
      <c r="E531" s="38">
        <v>812.32899999999995</v>
      </c>
      <c r="F531" s="32">
        <v>1274</v>
      </c>
      <c r="G531" s="32">
        <v>50</v>
      </c>
      <c r="H531" s="40">
        <v>600</v>
      </c>
      <c r="I531" s="32">
        <v>695</v>
      </c>
      <c r="J531" s="32">
        <v>50</v>
      </c>
      <c r="K531" s="33"/>
      <c r="L531" s="33"/>
      <c r="M531" s="33"/>
      <c r="N531" s="33"/>
      <c r="O531" s="33"/>
      <c r="P531" s="33"/>
      <c r="Q531" s="33"/>
      <c r="R531" s="33"/>
      <c r="S531" s="33"/>
      <c r="T531" s="33"/>
    </row>
    <row r="532" spans="1:20" ht="15.6">
      <c r="A532" s="13">
        <v>58287</v>
      </c>
      <c r="B532" s="41">
        <v>31</v>
      </c>
      <c r="C532" s="32">
        <v>194.20500000000001</v>
      </c>
      <c r="D532" s="32">
        <v>267.46600000000001</v>
      </c>
      <c r="E532" s="38">
        <v>812.32899999999995</v>
      </c>
      <c r="F532" s="32">
        <v>1274</v>
      </c>
      <c r="G532" s="32">
        <v>50</v>
      </c>
      <c r="H532" s="40">
        <v>600</v>
      </c>
      <c r="I532" s="32">
        <v>695</v>
      </c>
      <c r="J532" s="32">
        <v>0</v>
      </c>
      <c r="K532" s="33"/>
      <c r="L532" s="33"/>
      <c r="M532" s="33"/>
      <c r="N532" s="33"/>
      <c r="O532" s="33"/>
      <c r="P532" s="33"/>
      <c r="Q532" s="33"/>
      <c r="R532" s="33"/>
      <c r="S532" s="33"/>
      <c r="T532" s="33"/>
    </row>
    <row r="533" spans="1:20" ht="15.6">
      <c r="A533" s="13">
        <v>58318</v>
      </c>
      <c r="B533" s="41">
        <v>31</v>
      </c>
      <c r="C533" s="32">
        <v>194.20500000000001</v>
      </c>
      <c r="D533" s="32">
        <v>267.46600000000001</v>
      </c>
      <c r="E533" s="38">
        <v>812.32899999999995</v>
      </c>
      <c r="F533" s="32">
        <v>1274</v>
      </c>
      <c r="G533" s="32">
        <v>50</v>
      </c>
      <c r="H533" s="40">
        <v>600</v>
      </c>
      <c r="I533" s="32">
        <v>695</v>
      </c>
      <c r="J533" s="32">
        <v>0</v>
      </c>
      <c r="K533" s="33"/>
      <c r="L533" s="33"/>
      <c r="M533" s="33"/>
      <c r="N533" s="33"/>
      <c r="O533" s="33"/>
      <c r="P533" s="33"/>
      <c r="Q533" s="33"/>
      <c r="R533" s="33"/>
      <c r="S533" s="33"/>
      <c r="T533" s="33"/>
    </row>
    <row r="534" spans="1:20" ht="15.6">
      <c r="A534" s="13">
        <v>58348</v>
      </c>
      <c r="B534" s="41">
        <v>30</v>
      </c>
      <c r="C534" s="32">
        <v>194.20500000000001</v>
      </c>
      <c r="D534" s="32">
        <v>267.46600000000001</v>
      </c>
      <c r="E534" s="38">
        <v>812.32899999999995</v>
      </c>
      <c r="F534" s="32">
        <v>1274</v>
      </c>
      <c r="G534" s="32">
        <v>50</v>
      </c>
      <c r="H534" s="40">
        <v>600</v>
      </c>
      <c r="I534" s="32">
        <v>695</v>
      </c>
      <c r="J534" s="32">
        <v>0</v>
      </c>
      <c r="K534" s="33"/>
      <c r="L534" s="33"/>
      <c r="M534" s="33"/>
      <c r="N534" s="33"/>
      <c r="O534" s="33"/>
      <c r="P534" s="33"/>
      <c r="Q534" s="33"/>
      <c r="R534" s="33"/>
      <c r="S534" s="33"/>
      <c r="T534" s="33"/>
    </row>
    <row r="535" spans="1:20" ht="15.6">
      <c r="A535" s="13">
        <v>58379</v>
      </c>
      <c r="B535" s="41">
        <v>31</v>
      </c>
      <c r="C535" s="32">
        <v>131.881</v>
      </c>
      <c r="D535" s="32">
        <v>277.16699999999997</v>
      </c>
      <c r="E535" s="38">
        <v>829.952</v>
      </c>
      <c r="F535" s="32">
        <v>1239</v>
      </c>
      <c r="G535" s="32">
        <v>75</v>
      </c>
      <c r="H535" s="40">
        <v>600</v>
      </c>
      <c r="I535" s="32">
        <v>695</v>
      </c>
      <c r="J535" s="32">
        <v>0</v>
      </c>
      <c r="K535" s="33"/>
      <c r="L535" s="33"/>
      <c r="M535" s="33"/>
      <c r="N535" s="33"/>
      <c r="O535" s="33"/>
      <c r="P535" s="33"/>
      <c r="Q535" s="33"/>
      <c r="R535" s="33"/>
      <c r="S535" s="33"/>
      <c r="T535" s="33"/>
    </row>
    <row r="536" spans="1:20" ht="15.6">
      <c r="A536" s="13">
        <v>58409</v>
      </c>
      <c r="B536" s="41">
        <v>30</v>
      </c>
      <c r="C536" s="32">
        <v>122.58</v>
      </c>
      <c r="D536" s="32">
        <v>297.94099999999997</v>
      </c>
      <c r="E536" s="38">
        <v>729.47900000000004</v>
      </c>
      <c r="F536" s="32">
        <v>1150</v>
      </c>
      <c r="G536" s="32">
        <v>100</v>
      </c>
      <c r="H536" s="40">
        <v>600</v>
      </c>
      <c r="I536" s="32">
        <v>695</v>
      </c>
      <c r="J536" s="32">
        <v>50</v>
      </c>
      <c r="K536" s="33"/>
      <c r="L536" s="33"/>
      <c r="M536" s="33"/>
      <c r="N536" s="33"/>
      <c r="O536" s="33"/>
      <c r="P536" s="33"/>
      <c r="Q536" s="33"/>
      <c r="R536" s="33"/>
      <c r="S536" s="33"/>
      <c r="T536" s="33"/>
    </row>
    <row r="537" spans="1:20" ht="15.6">
      <c r="A537" s="13">
        <v>58440</v>
      </c>
      <c r="B537" s="41">
        <v>31</v>
      </c>
      <c r="C537" s="32">
        <v>122.58</v>
      </c>
      <c r="D537" s="32">
        <v>297.94099999999997</v>
      </c>
      <c r="E537" s="38">
        <v>729.47900000000004</v>
      </c>
      <c r="F537" s="32">
        <v>1150</v>
      </c>
      <c r="G537" s="32">
        <v>100</v>
      </c>
      <c r="H537" s="40">
        <v>600</v>
      </c>
      <c r="I537" s="32">
        <v>695</v>
      </c>
      <c r="J537" s="32">
        <v>50</v>
      </c>
      <c r="K537" s="33"/>
      <c r="L537" s="33"/>
      <c r="M537" s="33"/>
      <c r="N537" s="33"/>
      <c r="O537" s="33"/>
      <c r="P537" s="33"/>
      <c r="Q537" s="33"/>
      <c r="R537" s="33"/>
      <c r="S537" s="33"/>
      <c r="T537" s="33"/>
    </row>
    <row r="538" spans="1:20" ht="15.6">
      <c r="A538" s="13">
        <v>58471</v>
      </c>
      <c r="B538" s="41">
        <v>31</v>
      </c>
      <c r="C538" s="32">
        <v>122.58</v>
      </c>
      <c r="D538" s="32">
        <v>297.94099999999997</v>
      </c>
      <c r="E538" s="38">
        <v>729.47900000000004</v>
      </c>
      <c r="F538" s="32">
        <v>1150</v>
      </c>
      <c r="G538" s="32">
        <v>100</v>
      </c>
      <c r="H538" s="40">
        <v>600</v>
      </c>
      <c r="I538" s="32">
        <v>695</v>
      </c>
      <c r="J538" s="32">
        <v>50</v>
      </c>
      <c r="K538" s="33"/>
      <c r="L538" s="33"/>
      <c r="M538" s="33"/>
      <c r="N538" s="33"/>
      <c r="O538" s="33"/>
      <c r="P538" s="33"/>
      <c r="Q538" s="33"/>
      <c r="R538" s="33"/>
      <c r="S538" s="33"/>
      <c r="T538" s="33"/>
    </row>
    <row r="539" spans="1:20" ht="15.6">
      <c r="A539" s="13">
        <v>58499</v>
      </c>
      <c r="B539" s="41">
        <v>29</v>
      </c>
      <c r="C539" s="32">
        <v>122.58</v>
      </c>
      <c r="D539" s="32">
        <v>297.94099999999997</v>
      </c>
      <c r="E539" s="38">
        <v>729.47900000000004</v>
      </c>
      <c r="F539" s="32">
        <v>1150</v>
      </c>
      <c r="G539" s="32">
        <v>100</v>
      </c>
      <c r="H539" s="40">
        <v>600</v>
      </c>
      <c r="I539" s="32">
        <v>695</v>
      </c>
      <c r="J539" s="32">
        <v>50</v>
      </c>
      <c r="K539" s="33"/>
      <c r="L539" s="33"/>
      <c r="M539" s="33"/>
      <c r="N539" s="33"/>
      <c r="O539" s="33"/>
      <c r="P539" s="33"/>
      <c r="Q539" s="33"/>
      <c r="R539" s="33"/>
      <c r="S539" s="33"/>
      <c r="T539" s="33"/>
    </row>
    <row r="540" spans="1:20" ht="15.6">
      <c r="A540" s="13">
        <v>58531</v>
      </c>
      <c r="B540" s="41">
        <v>31</v>
      </c>
      <c r="C540" s="32">
        <v>122.58</v>
      </c>
      <c r="D540" s="32">
        <v>297.94099999999997</v>
      </c>
      <c r="E540" s="38">
        <v>729.47900000000004</v>
      </c>
      <c r="F540" s="32">
        <v>1150</v>
      </c>
      <c r="G540" s="32">
        <v>100</v>
      </c>
      <c r="H540" s="40">
        <v>600</v>
      </c>
      <c r="I540" s="32">
        <v>695</v>
      </c>
      <c r="J540" s="32">
        <v>50</v>
      </c>
      <c r="K540" s="33"/>
      <c r="L540" s="33"/>
      <c r="M540" s="33"/>
      <c r="N540" s="33"/>
      <c r="O540" s="33"/>
      <c r="P540" s="33"/>
      <c r="Q540" s="33"/>
      <c r="R540" s="33"/>
      <c r="S540" s="33"/>
      <c r="T540" s="33"/>
    </row>
    <row r="541" spans="1:20" ht="15.6">
      <c r="A541" s="13">
        <v>58561</v>
      </c>
      <c r="B541" s="41">
        <v>30</v>
      </c>
      <c r="C541" s="32">
        <v>141.29300000000001</v>
      </c>
      <c r="D541" s="32">
        <v>267.99299999999999</v>
      </c>
      <c r="E541" s="38">
        <v>829.71400000000006</v>
      </c>
      <c r="F541" s="32">
        <v>1239</v>
      </c>
      <c r="G541" s="32">
        <v>100</v>
      </c>
      <c r="H541" s="40">
        <v>600</v>
      </c>
      <c r="I541" s="32">
        <v>695</v>
      </c>
      <c r="J541" s="32">
        <v>50</v>
      </c>
      <c r="K541" s="33"/>
      <c r="L541" s="33"/>
      <c r="M541" s="33"/>
      <c r="N541" s="33"/>
      <c r="O541" s="33"/>
      <c r="P541" s="33"/>
      <c r="Q541" s="33"/>
      <c r="R541" s="33"/>
      <c r="S541" s="33"/>
      <c r="T541" s="33"/>
    </row>
    <row r="542" spans="1:20" ht="15.6">
      <c r="A542" s="13">
        <v>58592</v>
      </c>
      <c r="B542" s="41">
        <v>31</v>
      </c>
      <c r="C542" s="32">
        <v>194.20500000000001</v>
      </c>
      <c r="D542" s="32">
        <v>267.46600000000001</v>
      </c>
      <c r="E542" s="38">
        <v>812.32899999999995</v>
      </c>
      <c r="F542" s="32">
        <v>1274</v>
      </c>
      <c r="G542" s="32">
        <v>75</v>
      </c>
      <c r="H542" s="40">
        <v>600</v>
      </c>
      <c r="I542" s="32">
        <v>695</v>
      </c>
      <c r="J542" s="32">
        <v>50</v>
      </c>
      <c r="K542" s="33"/>
      <c r="L542" s="33"/>
      <c r="M542" s="33"/>
      <c r="N542" s="33"/>
      <c r="O542" s="33"/>
      <c r="P542" s="33"/>
      <c r="Q542" s="33"/>
      <c r="R542" s="33"/>
      <c r="S542" s="33"/>
      <c r="T542" s="33"/>
    </row>
    <row r="543" spans="1:20" ht="15.6">
      <c r="A543" s="13">
        <v>58622</v>
      </c>
      <c r="B543" s="41">
        <v>30</v>
      </c>
      <c r="C543" s="32">
        <v>194.20500000000001</v>
      </c>
      <c r="D543" s="32">
        <v>267.46600000000001</v>
      </c>
      <c r="E543" s="38">
        <v>812.32899999999995</v>
      </c>
      <c r="F543" s="32">
        <v>1274</v>
      </c>
      <c r="G543" s="32">
        <v>50</v>
      </c>
      <c r="H543" s="40">
        <v>600</v>
      </c>
      <c r="I543" s="32">
        <v>695</v>
      </c>
      <c r="J543" s="32">
        <v>50</v>
      </c>
      <c r="K543" s="33"/>
      <c r="L543" s="33"/>
      <c r="M543" s="33"/>
      <c r="N543" s="33"/>
      <c r="O543" s="33"/>
      <c r="P543" s="33"/>
      <c r="Q543" s="33"/>
      <c r="R543" s="33"/>
      <c r="S543" s="33"/>
      <c r="T543" s="33"/>
    </row>
    <row r="544" spans="1:20" ht="15.6">
      <c r="A544" s="13">
        <v>58653</v>
      </c>
      <c r="B544" s="41">
        <v>31</v>
      </c>
      <c r="C544" s="32">
        <v>194.20500000000001</v>
      </c>
      <c r="D544" s="32">
        <v>267.46600000000001</v>
      </c>
      <c r="E544" s="38">
        <v>812.32899999999995</v>
      </c>
      <c r="F544" s="32">
        <v>1274</v>
      </c>
      <c r="G544" s="32">
        <v>50</v>
      </c>
      <c r="H544" s="40">
        <v>600</v>
      </c>
      <c r="I544" s="32">
        <v>695</v>
      </c>
      <c r="J544" s="32">
        <v>0</v>
      </c>
      <c r="K544" s="33"/>
      <c r="L544" s="33"/>
      <c r="M544" s="33"/>
      <c r="N544" s="33"/>
      <c r="O544" s="33"/>
      <c r="P544" s="33"/>
      <c r="Q544" s="33"/>
      <c r="R544" s="33"/>
      <c r="S544" s="33"/>
      <c r="T544" s="33"/>
    </row>
    <row r="545" spans="1:20" ht="15.6">
      <c r="A545" s="13">
        <v>58684</v>
      </c>
      <c r="B545" s="41">
        <v>31</v>
      </c>
      <c r="C545" s="32">
        <v>194.20500000000001</v>
      </c>
      <c r="D545" s="32">
        <v>267.46600000000001</v>
      </c>
      <c r="E545" s="38">
        <v>812.32899999999995</v>
      </c>
      <c r="F545" s="32">
        <v>1274</v>
      </c>
      <c r="G545" s="32">
        <v>50</v>
      </c>
      <c r="H545" s="40">
        <v>600</v>
      </c>
      <c r="I545" s="32">
        <v>695</v>
      </c>
      <c r="J545" s="32">
        <v>0</v>
      </c>
      <c r="K545" s="33"/>
      <c r="L545" s="33"/>
      <c r="M545" s="33"/>
      <c r="N545" s="33"/>
      <c r="O545" s="33"/>
      <c r="P545" s="33"/>
      <c r="Q545" s="33"/>
      <c r="R545" s="33"/>
      <c r="S545" s="33"/>
      <c r="T545" s="33"/>
    </row>
    <row r="546" spans="1:20" ht="15.6">
      <c r="A546" s="13">
        <v>58714</v>
      </c>
      <c r="B546" s="41">
        <v>30</v>
      </c>
      <c r="C546" s="32">
        <v>194.20500000000001</v>
      </c>
      <c r="D546" s="32">
        <v>267.46600000000001</v>
      </c>
      <c r="E546" s="38">
        <v>812.32899999999995</v>
      </c>
      <c r="F546" s="32">
        <v>1274</v>
      </c>
      <c r="G546" s="32">
        <v>50</v>
      </c>
      <c r="H546" s="40">
        <v>600</v>
      </c>
      <c r="I546" s="32">
        <v>695</v>
      </c>
      <c r="J546" s="32">
        <v>0</v>
      </c>
      <c r="K546" s="33"/>
      <c r="L546" s="33"/>
      <c r="M546" s="33"/>
      <c r="N546" s="33"/>
      <c r="O546" s="33"/>
      <c r="P546" s="33"/>
      <c r="Q546" s="33"/>
      <c r="R546" s="33"/>
      <c r="S546" s="33"/>
      <c r="T546" s="33"/>
    </row>
    <row r="547" spans="1:20" ht="15.6">
      <c r="A547" s="13">
        <v>58745</v>
      </c>
      <c r="B547" s="41">
        <v>31</v>
      </c>
      <c r="C547" s="32">
        <v>131.881</v>
      </c>
      <c r="D547" s="32">
        <v>277.16699999999997</v>
      </c>
      <c r="E547" s="38">
        <v>829.952</v>
      </c>
      <c r="F547" s="32">
        <v>1239</v>
      </c>
      <c r="G547" s="32">
        <v>75</v>
      </c>
      <c r="H547" s="40">
        <v>600</v>
      </c>
      <c r="I547" s="32">
        <v>695</v>
      </c>
      <c r="J547" s="32">
        <v>0</v>
      </c>
      <c r="K547" s="33"/>
      <c r="L547" s="33"/>
      <c r="M547" s="33"/>
      <c r="N547" s="33"/>
      <c r="O547" s="33"/>
      <c r="P547" s="33"/>
      <c r="Q547" s="33"/>
      <c r="R547" s="33"/>
      <c r="S547" s="33"/>
      <c r="T547" s="33"/>
    </row>
    <row r="548" spans="1:20" ht="15.6">
      <c r="A548" s="13">
        <v>58775</v>
      </c>
      <c r="B548" s="41">
        <v>30</v>
      </c>
      <c r="C548" s="32">
        <v>122.58</v>
      </c>
      <c r="D548" s="32">
        <v>297.94099999999997</v>
      </c>
      <c r="E548" s="38">
        <v>729.47900000000004</v>
      </c>
      <c r="F548" s="32">
        <v>1150</v>
      </c>
      <c r="G548" s="32">
        <v>100</v>
      </c>
      <c r="H548" s="40">
        <v>600</v>
      </c>
      <c r="I548" s="32">
        <v>695</v>
      </c>
      <c r="J548" s="32">
        <v>50</v>
      </c>
      <c r="K548" s="33"/>
      <c r="L548" s="33"/>
      <c r="M548" s="33"/>
      <c r="N548" s="33"/>
      <c r="O548" s="33"/>
      <c r="P548" s="33"/>
      <c r="Q548" s="33"/>
      <c r="R548" s="33"/>
      <c r="S548" s="33"/>
      <c r="T548" s="33"/>
    </row>
    <row r="549" spans="1:20" ht="15.6">
      <c r="A549" s="13">
        <v>58806</v>
      </c>
      <c r="B549" s="41">
        <v>31</v>
      </c>
      <c r="C549" s="32">
        <v>122.58</v>
      </c>
      <c r="D549" s="32">
        <v>297.94099999999997</v>
      </c>
      <c r="E549" s="38">
        <v>729.47900000000004</v>
      </c>
      <c r="F549" s="32">
        <v>1150</v>
      </c>
      <c r="G549" s="32">
        <v>100</v>
      </c>
      <c r="H549" s="40">
        <v>600</v>
      </c>
      <c r="I549" s="32">
        <v>695</v>
      </c>
      <c r="J549" s="32">
        <v>50</v>
      </c>
      <c r="K549" s="33"/>
      <c r="L549" s="33"/>
      <c r="M549" s="33"/>
      <c r="N549" s="33"/>
      <c r="O549" s="33"/>
      <c r="P549" s="33"/>
      <c r="Q549" s="33"/>
      <c r="R549" s="33"/>
      <c r="S549" s="33"/>
      <c r="T549" s="33"/>
    </row>
    <row r="550" spans="1:20" ht="15.6">
      <c r="A550" s="13">
        <v>58837</v>
      </c>
      <c r="B550" s="41">
        <v>31</v>
      </c>
      <c r="C550" s="32">
        <v>122.58</v>
      </c>
      <c r="D550" s="32">
        <v>297.94099999999997</v>
      </c>
      <c r="E550" s="38">
        <v>729.47900000000004</v>
      </c>
      <c r="F550" s="32">
        <v>1150</v>
      </c>
      <c r="G550" s="32">
        <v>100</v>
      </c>
      <c r="H550" s="40">
        <v>600</v>
      </c>
      <c r="I550" s="32">
        <v>695</v>
      </c>
      <c r="J550" s="32">
        <v>50</v>
      </c>
      <c r="K550" s="33"/>
      <c r="L550" s="33"/>
      <c r="M550" s="33"/>
      <c r="N550" s="33"/>
      <c r="O550" s="33"/>
      <c r="P550" s="33"/>
      <c r="Q550" s="33"/>
      <c r="R550" s="33"/>
      <c r="S550" s="33"/>
      <c r="T550" s="33"/>
    </row>
    <row r="551" spans="1:20" ht="15.6">
      <c r="A551" s="13">
        <v>58865</v>
      </c>
      <c r="B551" s="41">
        <v>28</v>
      </c>
      <c r="C551" s="32">
        <v>122.58</v>
      </c>
      <c r="D551" s="32">
        <v>297.94099999999997</v>
      </c>
      <c r="E551" s="38">
        <v>729.47900000000004</v>
      </c>
      <c r="F551" s="32">
        <v>1150</v>
      </c>
      <c r="G551" s="32">
        <v>100</v>
      </c>
      <c r="H551" s="40">
        <v>600</v>
      </c>
      <c r="I551" s="32">
        <v>695</v>
      </c>
      <c r="J551" s="32">
        <v>50</v>
      </c>
      <c r="K551" s="33"/>
      <c r="L551" s="33"/>
      <c r="M551" s="33"/>
      <c r="N551" s="33"/>
      <c r="O551" s="33"/>
      <c r="P551" s="33"/>
      <c r="Q551" s="33"/>
      <c r="R551" s="33"/>
      <c r="S551" s="33"/>
      <c r="T551" s="33"/>
    </row>
    <row r="552" spans="1:20" ht="15.6">
      <c r="A552" s="13">
        <v>58893</v>
      </c>
      <c r="B552" s="41">
        <v>31</v>
      </c>
      <c r="C552" s="32">
        <v>122.58</v>
      </c>
      <c r="D552" s="32">
        <v>297.94099999999997</v>
      </c>
      <c r="E552" s="38">
        <v>729.47900000000004</v>
      </c>
      <c r="F552" s="32">
        <v>1150</v>
      </c>
      <c r="G552" s="32">
        <v>100</v>
      </c>
      <c r="H552" s="40">
        <v>600</v>
      </c>
      <c r="I552" s="32">
        <v>695</v>
      </c>
      <c r="J552" s="32">
        <v>50</v>
      </c>
      <c r="K552" s="33"/>
      <c r="L552" s="33"/>
      <c r="M552" s="33"/>
      <c r="N552" s="33"/>
      <c r="O552" s="33"/>
      <c r="P552" s="33"/>
      <c r="Q552" s="33"/>
      <c r="R552" s="33"/>
      <c r="S552" s="33"/>
      <c r="T552" s="33"/>
    </row>
    <row r="553" spans="1:20" ht="15.6">
      <c r="A553" s="13">
        <v>58926</v>
      </c>
      <c r="B553" s="41">
        <v>30</v>
      </c>
      <c r="C553" s="32">
        <v>141.29300000000001</v>
      </c>
      <c r="D553" s="32">
        <v>267.99299999999999</v>
      </c>
      <c r="E553" s="38">
        <v>829.71400000000006</v>
      </c>
      <c r="F553" s="32">
        <v>1239</v>
      </c>
      <c r="G553" s="32">
        <v>100</v>
      </c>
      <c r="H553" s="40">
        <v>600</v>
      </c>
      <c r="I553" s="32">
        <v>695</v>
      </c>
      <c r="J553" s="32">
        <v>50</v>
      </c>
      <c r="K553" s="33"/>
      <c r="L553" s="33"/>
      <c r="M553" s="33"/>
      <c r="N553" s="33"/>
      <c r="O553" s="33"/>
      <c r="P553" s="33"/>
      <c r="Q553" s="33"/>
      <c r="R553" s="33"/>
      <c r="S553" s="33"/>
      <c r="T553" s="33"/>
    </row>
    <row r="554" spans="1:20" ht="15.6">
      <c r="A554" s="13">
        <v>58957</v>
      </c>
      <c r="B554" s="41">
        <v>31</v>
      </c>
      <c r="C554" s="32">
        <v>194.20500000000001</v>
      </c>
      <c r="D554" s="32">
        <v>267.46600000000001</v>
      </c>
      <c r="E554" s="38">
        <v>812.32899999999995</v>
      </c>
      <c r="F554" s="32">
        <v>1274</v>
      </c>
      <c r="G554" s="32">
        <v>75</v>
      </c>
      <c r="H554" s="40">
        <v>600</v>
      </c>
      <c r="I554" s="32">
        <v>695</v>
      </c>
      <c r="J554" s="32">
        <v>50</v>
      </c>
      <c r="K554" s="33"/>
      <c r="L554" s="33"/>
      <c r="M554" s="33"/>
      <c r="N554" s="33"/>
      <c r="O554" s="33"/>
      <c r="P554" s="33"/>
      <c r="Q554" s="33"/>
      <c r="R554" s="33"/>
      <c r="S554" s="33"/>
      <c r="T554" s="33"/>
    </row>
    <row r="555" spans="1:20" ht="15.6">
      <c r="A555" s="13">
        <v>58987</v>
      </c>
      <c r="B555" s="41">
        <v>30</v>
      </c>
      <c r="C555" s="32">
        <v>194.20500000000001</v>
      </c>
      <c r="D555" s="32">
        <v>267.46600000000001</v>
      </c>
      <c r="E555" s="38">
        <v>812.32899999999995</v>
      </c>
      <c r="F555" s="32">
        <v>1274</v>
      </c>
      <c r="G555" s="32">
        <v>50</v>
      </c>
      <c r="H555" s="40">
        <v>600</v>
      </c>
      <c r="I555" s="32">
        <v>695</v>
      </c>
      <c r="J555" s="32">
        <v>50</v>
      </c>
      <c r="K555" s="33"/>
      <c r="L555" s="33"/>
      <c r="M555" s="33"/>
      <c r="N555" s="33"/>
      <c r="O555" s="33"/>
      <c r="P555" s="33"/>
      <c r="Q555" s="33"/>
      <c r="R555" s="33"/>
      <c r="S555" s="33"/>
      <c r="T555" s="33"/>
    </row>
    <row r="556" spans="1:20" ht="15.6">
      <c r="A556" s="13">
        <v>59018</v>
      </c>
      <c r="B556" s="41">
        <v>31</v>
      </c>
      <c r="C556" s="32">
        <v>194.20500000000001</v>
      </c>
      <c r="D556" s="32">
        <v>267.46600000000001</v>
      </c>
      <c r="E556" s="38">
        <v>812.32899999999995</v>
      </c>
      <c r="F556" s="32">
        <v>1274</v>
      </c>
      <c r="G556" s="32">
        <v>50</v>
      </c>
      <c r="H556" s="40">
        <v>600</v>
      </c>
      <c r="I556" s="32">
        <v>695</v>
      </c>
      <c r="J556" s="32">
        <v>0</v>
      </c>
      <c r="K556" s="33"/>
      <c r="L556" s="33"/>
      <c r="M556" s="33"/>
      <c r="N556" s="33"/>
      <c r="O556" s="33"/>
      <c r="P556" s="33"/>
      <c r="Q556" s="33"/>
      <c r="R556" s="33"/>
      <c r="S556" s="33"/>
      <c r="T556" s="33"/>
    </row>
    <row r="557" spans="1:20" ht="15.6">
      <c r="A557" s="13">
        <v>59049</v>
      </c>
      <c r="B557" s="41">
        <v>31</v>
      </c>
      <c r="C557" s="32">
        <v>194.20500000000001</v>
      </c>
      <c r="D557" s="32">
        <v>267.46600000000001</v>
      </c>
      <c r="E557" s="38">
        <v>812.32899999999995</v>
      </c>
      <c r="F557" s="32">
        <v>1274</v>
      </c>
      <c r="G557" s="32">
        <v>50</v>
      </c>
      <c r="H557" s="40">
        <v>600</v>
      </c>
      <c r="I557" s="32">
        <v>695</v>
      </c>
      <c r="J557" s="32">
        <v>0</v>
      </c>
      <c r="K557" s="33"/>
      <c r="L557" s="33"/>
      <c r="M557" s="33"/>
      <c r="N557" s="33"/>
      <c r="O557" s="33"/>
      <c r="P557" s="33"/>
      <c r="Q557" s="33"/>
      <c r="R557" s="33"/>
      <c r="S557" s="33"/>
      <c r="T557" s="33"/>
    </row>
    <row r="558" spans="1:20" ht="15.6">
      <c r="A558" s="13">
        <v>59079</v>
      </c>
      <c r="B558" s="41">
        <v>30</v>
      </c>
      <c r="C558" s="32">
        <v>194.20500000000001</v>
      </c>
      <c r="D558" s="32">
        <v>267.46600000000001</v>
      </c>
      <c r="E558" s="38">
        <v>812.32899999999995</v>
      </c>
      <c r="F558" s="32">
        <v>1274</v>
      </c>
      <c r="G558" s="32">
        <v>50</v>
      </c>
      <c r="H558" s="40">
        <v>600</v>
      </c>
      <c r="I558" s="32">
        <v>695</v>
      </c>
      <c r="J558" s="32">
        <v>0</v>
      </c>
      <c r="K558" s="33"/>
      <c r="L558" s="33"/>
      <c r="M558" s="33"/>
      <c r="N558" s="33"/>
      <c r="O558" s="33"/>
      <c r="P558" s="33"/>
      <c r="Q558" s="33"/>
      <c r="R558" s="33"/>
      <c r="S558" s="33"/>
      <c r="T558" s="33"/>
    </row>
    <row r="559" spans="1:20" ht="15.6">
      <c r="A559" s="13">
        <v>59110</v>
      </c>
      <c r="B559" s="41">
        <v>31</v>
      </c>
      <c r="C559" s="32">
        <v>131.881</v>
      </c>
      <c r="D559" s="32">
        <v>277.16699999999997</v>
      </c>
      <c r="E559" s="38">
        <v>829.952</v>
      </c>
      <c r="F559" s="32">
        <v>1239</v>
      </c>
      <c r="G559" s="32">
        <v>75</v>
      </c>
      <c r="H559" s="40">
        <v>600</v>
      </c>
      <c r="I559" s="32">
        <v>695</v>
      </c>
      <c r="J559" s="32">
        <v>0</v>
      </c>
      <c r="K559" s="33"/>
      <c r="L559" s="33"/>
      <c r="M559" s="33"/>
      <c r="N559" s="33"/>
      <c r="O559" s="33"/>
      <c r="P559" s="33"/>
      <c r="Q559" s="33"/>
      <c r="R559" s="33"/>
      <c r="S559" s="33"/>
      <c r="T559" s="33"/>
    </row>
    <row r="560" spans="1:20" ht="15.6">
      <c r="A560" s="13">
        <v>59140</v>
      </c>
      <c r="B560" s="41">
        <v>30</v>
      </c>
      <c r="C560" s="32">
        <v>122.58</v>
      </c>
      <c r="D560" s="32">
        <v>297.94099999999997</v>
      </c>
      <c r="E560" s="38">
        <v>729.47900000000004</v>
      </c>
      <c r="F560" s="32">
        <v>1150</v>
      </c>
      <c r="G560" s="32">
        <v>100</v>
      </c>
      <c r="H560" s="40">
        <v>600</v>
      </c>
      <c r="I560" s="32">
        <v>695</v>
      </c>
      <c r="J560" s="32">
        <v>50</v>
      </c>
      <c r="K560" s="33"/>
      <c r="L560" s="33"/>
      <c r="M560" s="33"/>
      <c r="N560" s="33"/>
      <c r="O560" s="33"/>
      <c r="P560" s="33"/>
      <c r="Q560" s="33"/>
      <c r="R560" s="33"/>
      <c r="S560" s="33"/>
      <c r="T560" s="33"/>
    </row>
    <row r="561" spans="1:20" ht="15.6">
      <c r="A561" s="13">
        <v>59171</v>
      </c>
      <c r="B561" s="41">
        <v>31</v>
      </c>
      <c r="C561" s="32">
        <v>122.58</v>
      </c>
      <c r="D561" s="32">
        <v>297.94099999999997</v>
      </c>
      <c r="E561" s="38">
        <v>729.47900000000004</v>
      </c>
      <c r="F561" s="32">
        <v>1150</v>
      </c>
      <c r="G561" s="32">
        <v>100</v>
      </c>
      <c r="H561" s="40">
        <v>600</v>
      </c>
      <c r="I561" s="32">
        <v>695</v>
      </c>
      <c r="J561" s="32">
        <v>50</v>
      </c>
      <c r="K561" s="33"/>
      <c r="L561" s="33"/>
      <c r="M561" s="33"/>
      <c r="N561" s="33"/>
      <c r="O561" s="33"/>
      <c r="P561" s="33"/>
      <c r="Q561" s="33"/>
      <c r="R561" s="33"/>
      <c r="S561" s="33"/>
      <c r="T561" s="33"/>
    </row>
    <row r="562" spans="1:20" ht="15.6">
      <c r="A562" s="13">
        <v>59202</v>
      </c>
      <c r="B562" s="41">
        <f t="shared" ref="B562:B625" si="0">EOMONTH(A562,0)-EOMONTH(A562,-1)</f>
        <v>31</v>
      </c>
      <c r="C562" s="32">
        <v>122.58</v>
      </c>
      <c r="D562" s="32">
        <v>297.94099999999997</v>
      </c>
      <c r="E562" s="38">
        <v>729.47900000000004</v>
      </c>
      <c r="F562" s="32">
        <v>1150</v>
      </c>
      <c r="G562" s="32">
        <v>100</v>
      </c>
      <c r="H562" s="40">
        <v>600</v>
      </c>
      <c r="I562" s="32">
        <v>695</v>
      </c>
      <c r="J562" s="32">
        <v>50</v>
      </c>
      <c r="K562" s="33"/>
      <c r="L562" s="33"/>
      <c r="M562" s="33"/>
      <c r="N562" s="33"/>
      <c r="O562" s="33"/>
      <c r="P562" s="33"/>
      <c r="Q562" s="33"/>
      <c r="R562" s="33"/>
      <c r="S562" s="33"/>
      <c r="T562" s="33"/>
    </row>
    <row r="563" spans="1:20" ht="15.6">
      <c r="A563" s="13">
        <v>59230</v>
      </c>
      <c r="B563" s="41">
        <f t="shared" si="0"/>
        <v>28</v>
      </c>
      <c r="C563" s="32">
        <v>122.58</v>
      </c>
      <c r="D563" s="32">
        <v>297.94099999999997</v>
      </c>
      <c r="E563" s="38">
        <v>729.47900000000004</v>
      </c>
      <c r="F563" s="32">
        <v>1150</v>
      </c>
      <c r="G563" s="32">
        <v>100</v>
      </c>
      <c r="H563" s="40">
        <v>600</v>
      </c>
      <c r="I563" s="32">
        <v>695</v>
      </c>
      <c r="J563" s="32">
        <v>50</v>
      </c>
      <c r="K563" s="33"/>
      <c r="L563" s="33"/>
      <c r="M563" s="33"/>
      <c r="N563" s="33"/>
      <c r="O563" s="33"/>
      <c r="P563" s="33"/>
      <c r="Q563" s="33"/>
      <c r="R563" s="33"/>
      <c r="S563" s="33"/>
      <c r="T563" s="33"/>
    </row>
    <row r="564" spans="1:20" ht="15.6">
      <c r="A564" s="13">
        <v>59261</v>
      </c>
      <c r="B564" s="41">
        <f t="shared" si="0"/>
        <v>31</v>
      </c>
      <c r="C564" s="32">
        <v>122.58</v>
      </c>
      <c r="D564" s="32">
        <v>297.94099999999997</v>
      </c>
      <c r="E564" s="38">
        <v>729.47900000000004</v>
      </c>
      <c r="F564" s="32">
        <v>1150</v>
      </c>
      <c r="G564" s="32">
        <v>100</v>
      </c>
      <c r="H564" s="40">
        <v>600</v>
      </c>
      <c r="I564" s="32">
        <v>695</v>
      </c>
      <c r="J564" s="32">
        <v>50</v>
      </c>
      <c r="K564" s="33"/>
      <c r="L564" s="33"/>
      <c r="M564" s="33"/>
      <c r="N564" s="33"/>
      <c r="O564" s="33"/>
      <c r="P564" s="33"/>
      <c r="Q564" s="33"/>
      <c r="R564" s="33"/>
      <c r="S564" s="33"/>
      <c r="T564" s="33"/>
    </row>
    <row r="565" spans="1:20" ht="15.6">
      <c r="A565" s="13">
        <v>59291</v>
      </c>
      <c r="B565" s="41">
        <f t="shared" si="0"/>
        <v>30</v>
      </c>
      <c r="C565" s="32">
        <v>141.29300000000001</v>
      </c>
      <c r="D565" s="32">
        <v>267.99299999999999</v>
      </c>
      <c r="E565" s="38">
        <v>829.71400000000006</v>
      </c>
      <c r="F565" s="32">
        <v>1239</v>
      </c>
      <c r="G565" s="32">
        <v>100</v>
      </c>
      <c r="H565" s="40">
        <v>600</v>
      </c>
      <c r="I565" s="32">
        <v>695</v>
      </c>
      <c r="J565" s="32">
        <v>50</v>
      </c>
      <c r="K565" s="33"/>
      <c r="L565" s="33"/>
      <c r="M565" s="33"/>
      <c r="N565" s="33"/>
      <c r="O565" s="33"/>
      <c r="P565" s="33"/>
      <c r="Q565" s="33"/>
      <c r="R565" s="33"/>
      <c r="S565" s="33"/>
      <c r="T565" s="33"/>
    </row>
    <row r="566" spans="1:20" ht="15.6">
      <c r="A566" s="13">
        <v>59322</v>
      </c>
      <c r="B566" s="41">
        <f t="shared" si="0"/>
        <v>31</v>
      </c>
      <c r="C566" s="32">
        <v>194.20500000000001</v>
      </c>
      <c r="D566" s="32">
        <v>267.46600000000001</v>
      </c>
      <c r="E566" s="38">
        <v>812.32899999999995</v>
      </c>
      <c r="F566" s="32">
        <v>1274</v>
      </c>
      <c r="G566" s="32">
        <v>75</v>
      </c>
      <c r="H566" s="40">
        <v>600</v>
      </c>
      <c r="I566" s="32">
        <v>695</v>
      </c>
      <c r="J566" s="32">
        <v>50</v>
      </c>
      <c r="K566" s="33"/>
      <c r="L566" s="33"/>
      <c r="M566" s="33"/>
      <c r="N566" s="33"/>
      <c r="O566" s="33"/>
      <c r="P566" s="33"/>
      <c r="Q566" s="33"/>
      <c r="R566" s="33"/>
      <c r="S566" s="33"/>
      <c r="T566" s="33"/>
    </row>
    <row r="567" spans="1:20" ht="15.6">
      <c r="A567" s="13">
        <v>59352</v>
      </c>
      <c r="B567" s="41">
        <f t="shared" si="0"/>
        <v>30</v>
      </c>
      <c r="C567" s="32">
        <v>194.20500000000001</v>
      </c>
      <c r="D567" s="32">
        <v>267.46600000000001</v>
      </c>
      <c r="E567" s="38">
        <v>812.32899999999995</v>
      </c>
      <c r="F567" s="32">
        <v>1274</v>
      </c>
      <c r="G567" s="32">
        <v>50</v>
      </c>
      <c r="H567" s="40">
        <v>600</v>
      </c>
      <c r="I567" s="32">
        <v>695</v>
      </c>
      <c r="J567" s="32">
        <v>50</v>
      </c>
      <c r="K567" s="33"/>
      <c r="L567" s="33"/>
      <c r="M567" s="33"/>
      <c r="N567" s="33"/>
      <c r="O567" s="33"/>
      <c r="P567" s="33"/>
      <c r="Q567" s="33"/>
      <c r="R567" s="33"/>
      <c r="S567" s="33"/>
      <c r="T567" s="33"/>
    </row>
    <row r="568" spans="1:20" ht="15.6">
      <c r="A568" s="13">
        <v>59383</v>
      </c>
      <c r="B568" s="41">
        <f t="shared" si="0"/>
        <v>31</v>
      </c>
      <c r="C568" s="32">
        <v>194.20500000000001</v>
      </c>
      <c r="D568" s="32">
        <v>267.46600000000001</v>
      </c>
      <c r="E568" s="38">
        <v>812.32899999999995</v>
      </c>
      <c r="F568" s="32">
        <v>1274</v>
      </c>
      <c r="G568" s="32">
        <v>50</v>
      </c>
      <c r="H568" s="40">
        <v>600</v>
      </c>
      <c r="I568" s="32">
        <v>695</v>
      </c>
      <c r="J568" s="32">
        <v>0</v>
      </c>
      <c r="K568" s="33"/>
      <c r="L568" s="33"/>
      <c r="M568" s="33"/>
      <c r="N568" s="33"/>
      <c r="O568" s="33"/>
      <c r="P568" s="33"/>
      <c r="Q568" s="33"/>
      <c r="R568" s="33"/>
      <c r="S568" s="33"/>
      <c r="T568" s="33"/>
    </row>
    <row r="569" spans="1:20" ht="15.6">
      <c r="A569" s="13">
        <v>59414</v>
      </c>
      <c r="B569" s="41">
        <f t="shared" si="0"/>
        <v>31</v>
      </c>
      <c r="C569" s="32">
        <v>194.20500000000001</v>
      </c>
      <c r="D569" s="32">
        <v>267.46600000000001</v>
      </c>
      <c r="E569" s="38">
        <v>812.32899999999995</v>
      </c>
      <c r="F569" s="32">
        <v>1274</v>
      </c>
      <c r="G569" s="32">
        <v>50</v>
      </c>
      <c r="H569" s="40">
        <v>600</v>
      </c>
      <c r="I569" s="32">
        <v>695</v>
      </c>
      <c r="J569" s="32">
        <v>0</v>
      </c>
      <c r="K569" s="33"/>
      <c r="L569" s="33"/>
      <c r="M569" s="33"/>
      <c r="N569" s="33"/>
      <c r="O569" s="33"/>
      <c r="P569" s="33"/>
      <c r="Q569" s="33"/>
      <c r="R569" s="33"/>
      <c r="S569" s="33"/>
      <c r="T569" s="33"/>
    </row>
    <row r="570" spans="1:20" ht="15.6">
      <c r="A570" s="13">
        <v>59444</v>
      </c>
      <c r="B570" s="41">
        <f t="shared" si="0"/>
        <v>30</v>
      </c>
      <c r="C570" s="32">
        <v>194.20500000000001</v>
      </c>
      <c r="D570" s="32">
        <v>267.46600000000001</v>
      </c>
      <c r="E570" s="38">
        <v>812.32899999999995</v>
      </c>
      <c r="F570" s="32">
        <v>1274</v>
      </c>
      <c r="G570" s="32">
        <v>50</v>
      </c>
      <c r="H570" s="40">
        <v>600</v>
      </c>
      <c r="I570" s="32">
        <v>695</v>
      </c>
      <c r="J570" s="32">
        <v>0</v>
      </c>
      <c r="K570" s="33"/>
      <c r="L570" s="33"/>
      <c r="M570" s="33"/>
      <c r="N570" s="33"/>
      <c r="O570" s="33"/>
      <c r="P570" s="33"/>
      <c r="Q570" s="33"/>
      <c r="R570" s="33"/>
      <c r="S570" s="33"/>
      <c r="T570" s="33"/>
    </row>
    <row r="571" spans="1:20" ht="15.6">
      <c r="A571" s="13">
        <v>59475</v>
      </c>
      <c r="B571" s="41">
        <f t="shared" si="0"/>
        <v>31</v>
      </c>
      <c r="C571" s="32">
        <v>131.881</v>
      </c>
      <c r="D571" s="32">
        <v>277.16699999999997</v>
      </c>
      <c r="E571" s="38">
        <v>829.952</v>
      </c>
      <c r="F571" s="32">
        <v>1239</v>
      </c>
      <c r="G571" s="32">
        <v>75</v>
      </c>
      <c r="H571" s="40">
        <v>600</v>
      </c>
      <c r="I571" s="32">
        <v>695</v>
      </c>
      <c r="J571" s="32">
        <v>0</v>
      </c>
      <c r="K571" s="33"/>
      <c r="L571" s="33"/>
      <c r="M571" s="33"/>
      <c r="N571" s="33"/>
      <c r="O571" s="33"/>
      <c r="P571" s="33"/>
      <c r="Q571" s="33"/>
      <c r="R571" s="33"/>
      <c r="S571" s="33"/>
      <c r="T571" s="33"/>
    </row>
    <row r="572" spans="1:20" ht="15.6">
      <c r="A572" s="13">
        <v>59505</v>
      </c>
      <c r="B572" s="41">
        <f t="shared" si="0"/>
        <v>30</v>
      </c>
      <c r="C572" s="32">
        <v>122.58</v>
      </c>
      <c r="D572" s="32">
        <v>297.94099999999997</v>
      </c>
      <c r="E572" s="38">
        <v>729.47900000000004</v>
      </c>
      <c r="F572" s="32">
        <v>1150</v>
      </c>
      <c r="G572" s="32">
        <v>100</v>
      </c>
      <c r="H572" s="40">
        <v>600</v>
      </c>
      <c r="I572" s="32">
        <v>695</v>
      </c>
      <c r="J572" s="32">
        <v>50</v>
      </c>
      <c r="K572" s="33"/>
      <c r="L572" s="33"/>
      <c r="M572" s="33"/>
      <c r="N572" s="33"/>
      <c r="O572" s="33"/>
      <c r="P572" s="33"/>
      <c r="Q572" s="33"/>
      <c r="R572" s="33"/>
      <c r="S572" s="33"/>
      <c r="T572" s="33"/>
    </row>
    <row r="573" spans="1:20" ht="15.6">
      <c r="A573" s="13">
        <v>59536</v>
      </c>
      <c r="B573" s="41">
        <f t="shared" si="0"/>
        <v>31</v>
      </c>
      <c r="C573" s="32">
        <v>122.58</v>
      </c>
      <c r="D573" s="32">
        <v>297.94099999999997</v>
      </c>
      <c r="E573" s="38">
        <v>729.47900000000004</v>
      </c>
      <c r="F573" s="32">
        <v>1150</v>
      </c>
      <c r="G573" s="32">
        <v>100</v>
      </c>
      <c r="H573" s="40">
        <v>600</v>
      </c>
      <c r="I573" s="32">
        <v>695</v>
      </c>
      <c r="J573" s="32">
        <v>50</v>
      </c>
      <c r="K573" s="33"/>
      <c r="L573" s="33"/>
      <c r="M573" s="33"/>
      <c r="N573" s="33"/>
      <c r="O573" s="33"/>
      <c r="P573" s="33"/>
      <c r="Q573" s="33"/>
      <c r="R573" s="33"/>
      <c r="S573" s="33"/>
      <c r="T573" s="33"/>
    </row>
    <row r="574" spans="1:20" ht="15.6">
      <c r="A574" s="13">
        <v>59567</v>
      </c>
      <c r="B574" s="41">
        <f t="shared" si="0"/>
        <v>31</v>
      </c>
      <c r="C574" s="32">
        <v>122.58</v>
      </c>
      <c r="D574" s="32">
        <v>297.94099999999997</v>
      </c>
      <c r="E574" s="38">
        <v>729.47900000000004</v>
      </c>
      <c r="F574" s="32">
        <v>1150</v>
      </c>
      <c r="G574" s="32">
        <v>100</v>
      </c>
      <c r="H574" s="40">
        <v>600</v>
      </c>
      <c r="I574" s="32">
        <v>695</v>
      </c>
      <c r="J574" s="32">
        <v>50</v>
      </c>
      <c r="K574" s="33"/>
      <c r="L574" s="33"/>
      <c r="M574" s="33"/>
      <c r="N574" s="33"/>
      <c r="O574" s="33"/>
      <c r="P574" s="33"/>
      <c r="Q574" s="33"/>
      <c r="R574" s="33"/>
      <c r="S574" s="33"/>
      <c r="T574" s="33"/>
    </row>
    <row r="575" spans="1:20" ht="15.6">
      <c r="A575" s="13">
        <v>59595</v>
      </c>
      <c r="B575" s="41">
        <f t="shared" si="0"/>
        <v>28</v>
      </c>
      <c r="C575" s="32">
        <v>122.58</v>
      </c>
      <c r="D575" s="32">
        <v>297.94099999999997</v>
      </c>
      <c r="E575" s="38">
        <v>729.47900000000004</v>
      </c>
      <c r="F575" s="32">
        <v>1150</v>
      </c>
      <c r="G575" s="32">
        <v>100</v>
      </c>
      <c r="H575" s="40">
        <v>600</v>
      </c>
      <c r="I575" s="32">
        <v>695</v>
      </c>
      <c r="J575" s="32">
        <v>50</v>
      </c>
      <c r="K575" s="33"/>
      <c r="L575" s="33"/>
      <c r="M575" s="33"/>
      <c r="N575" s="33"/>
      <c r="O575" s="33"/>
      <c r="P575" s="33"/>
      <c r="Q575" s="33"/>
      <c r="R575" s="33"/>
      <c r="S575" s="33"/>
      <c r="T575" s="33"/>
    </row>
    <row r="576" spans="1:20" ht="15.6">
      <c r="A576" s="13">
        <v>59626</v>
      </c>
      <c r="B576" s="41">
        <f t="shared" si="0"/>
        <v>31</v>
      </c>
      <c r="C576" s="32">
        <v>122.58</v>
      </c>
      <c r="D576" s="32">
        <v>297.94099999999997</v>
      </c>
      <c r="E576" s="38">
        <v>729.47900000000004</v>
      </c>
      <c r="F576" s="32">
        <v>1150</v>
      </c>
      <c r="G576" s="32">
        <v>100</v>
      </c>
      <c r="H576" s="40">
        <v>600</v>
      </c>
      <c r="I576" s="32">
        <v>695</v>
      </c>
      <c r="J576" s="32">
        <v>50</v>
      </c>
      <c r="K576" s="33"/>
      <c r="L576" s="33"/>
      <c r="M576" s="33"/>
      <c r="N576" s="33"/>
      <c r="O576" s="33"/>
      <c r="P576" s="33"/>
      <c r="Q576" s="33"/>
      <c r="R576" s="33"/>
      <c r="S576" s="33"/>
      <c r="T576" s="33"/>
    </row>
    <row r="577" spans="1:20" ht="15.6">
      <c r="A577" s="13">
        <v>59656</v>
      </c>
      <c r="B577" s="41">
        <f t="shared" si="0"/>
        <v>30</v>
      </c>
      <c r="C577" s="32">
        <v>141.29300000000001</v>
      </c>
      <c r="D577" s="32">
        <v>267.99299999999999</v>
      </c>
      <c r="E577" s="38">
        <v>829.71400000000006</v>
      </c>
      <c r="F577" s="32">
        <v>1239</v>
      </c>
      <c r="G577" s="32">
        <v>100</v>
      </c>
      <c r="H577" s="40">
        <v>600</v>
      </c>
      <c r="I577" s="32">
        <v>695</v>
      </c>
      <c r="J577" s="32">
        <v>50</v>
      </c>
      <c r="K577" s="33"/>
      <c r="L577" s="33"/>
      <c r="M577" s="33"/>
      <c r="N577" s="33"/>
      <c r="O577" s="33"/>
      <c r="P577" s="33"/>
      <c r="Q577" s="33"/>
      <c r="R577" s="33"/>
      <c r="S577" s="33"/>
      <c r="T577" s="33"/>
    </row>
    <row r="578" spans="1:20" ht="15.6">
      <c r="A578" s="13">
        <v>59687</v>
      </c>
      <c r="B578" s="41">
        <f t="shared" si="0"/>
        <v>31</v>
      </c>
      <c r="C578" s="32">
        <v>194.20500000000001</v>
      </c>
      <c r="D578" s="32">
        <v>267.46600000000001</v>
      </c>
      <c r="E578" s="38">
        <v>812.32899999999995</v>
      </c>
      <c r="F578" s="32">
        <v>1274</v>
      </c>
      <c r="G578" s="32">
        <v>75</v>
      </c>
      <c r="H578" s="40">
        <v>600</v>
      </c>
      <c r="I578" s="32">
        <v>695</v>
      </c>
      <c r="J578" s="32">
        <v>50</v>
      </c>
      <c r="K578" s="33"/>
      <c r="L578" s="33"/>
      <c r="M578" s="33"/>
      <c r="N578" s="33"/>
      <c r="O578" s="33"/>
      <c r="P578" s="33"/>
      <c r="Q578" s="33"/>
      <c r="R578" s="33"/>
      <c r="S578" s="33"/>
      <c r="T578" s="33"/>
    </row>
    <row r="579" spans="1:20" ht="15.6">
      <c r="A579" s="13">
        <v>59717</v>
      </c>
      <c r="B579" s="41">
        <f t="shared" si="0"/>
        <v>30</v>
      </c>
      <c r="C579" s="32">
        <v>194.20500000000001</v>
      </c>
      <c r="D579" s="32">
        <v>267.46600000000001</v>
      </c>
      <c r="E579" s="38">
        <v>812.32899999999995</v>
      </c>
      <c r="F579" s="32">
        <v>1274</v>
      </c>
      <c r="G579" s="32">
        <v>50</v>
      </c>
      <c r="H579" s="40">
        <v>600</v>
      </c>
      <c r="I579" s="32">
        <v>695</v>
      </c>
      <c r="J579" s="32">
        <v>50</v>
      </c>
      <c r="K579" s="33"/>
      <c r="L579" s="33"/>
      <c r="M579" s="33"/>
      <c r="N579" s="33"/>
      <c r="O579" s="33"/>
      <c r="P579" s="33"/>
      <c r="Q579" s="33"/>
      <c r="R579" s="33"/>
      <c r="S579" s="33"/>
      <c r="T579" s="33"/>
    </row>
    <row r="580" spans="1:20" ht="15.6">
      <c r="A580" s="13">
        <v>59748</v>
      </c>
      <c r="B580" s="41">
        <f t="shared" si="0"/>
        <v>31</v>
      </c>
      <c r="C580" s="32">
        <v>194.20500000000001</v>
      </c>
      <c r="D580" s="32">
        <v>267.46600000000001</v>
      </c>
      <c r="E580" s="38">
        <v>812.32899999999995</v>
      </c>
      <c r="F580" s="32">
        <v>1274</v>
      </c>
      <c r="G580" s="32">
        <v>50</v>
      </c>
      <c r="H580" s="40">
        <v>600</v>
      </c>
      <c r="I580" s="32">
        <v>695</v>
      </c>
      <c r="J580" s="32">
        <v>0</v>
      </c>
      <c r="K580" s="33"/>
      <c r="L580" s="33"/>
      <c r="M580" s="33"/>
      <c r="N580" s="33"/>
      <c r="O580" s="33"/>
      <c r="P580" s="33"/>
      <c r="Q580" s="33"/>
      <c r="R580" s="33"/>
      <c r="S580" s="33"/>
      <c r="T580" s="33"/>
    </row>
    <row r="581" spans="1:20" ht="15.6">
      <c r="A581" s="13">
        <v>59779</v>
      </c>
      <c r="B581" s="41">
        <f t="shared" si="0"/>
        <v>31</v>
      </c>
      <c r="C581" s="32">
        <v>194.20500000000001</v>
      </c>
      <c r="D581" s="32">
        <v>267.46600000000001</v>
      </c>
      <c r="E581" s="38">
        <v>812.32899999999995</v>
      </c>
      <c r="F581" s="32">
        <v>1274</v>
      </c>
      <c r="G581" s="32">
        <v>50</v>
      </c>
      <c r="H581" s="40">
        <v>600</v>
      </c>
      <c r="I581" s="32">
        <v>695</v>
      </c>
      <c r="J581" s="32">
        <v>0</v>
      </c>
      <c r="K581" s="33"/>
      <c r="L581" s="33"/>
      <c r="M581" s="33"/>
      <c r="N581" s="33"/>
      <c r="O581" s="33"/>
      <c r="P581" s="33"/>
      <c r="Q581" s="33"/>
      <c r="R581" s="33"/>
      <c r="S581" s="33"/>
      <c r="T581" s="33"/>
    </row>
    <row r="582" spans="1:20" ht="15.6">
      <c r="A582" s="13">
        <v>59809</v>
      </c>
      <c r="B582" s="41">
        <f t="shared" si="0"/>
        <v>30</v>
      </c>
      <c r="C582" s="32">
        <v>194.20500000000001</v>
      </c>
      <c r="D582" s="32">
        <v>267.46600000000001</v>
      </c>
      <c r="E582" s="38">
        <v>812.32899999999995</v>
      </c>
      <c r="F582" s="32">
        <v>1274</v>
      </c>
      <c r="G582" s="32">
        <v>50</v>
      </c>
      <c r="H582" s="40">
        <v>600</v>
      </c>
      <c r="I582" s="32">
        <v>695</v>
      </c>
      <c r="J582" s="32">
        <v>0</v>
      </c>
      <c r="K582" s="33"/>
      <c r="L582" s="33"/>
      <c r="M582" s="33"/>
      <c r="N582" s="33"/>
      <c r="O582" s="33"/>
      <c r="P582" s="33"/>
      <c r="Q582" s="33"/>
      <c r="R582" s="33"/>
      <c r="S582" s="33"/>
      <c r="T582" s="33"/>
    </row>
    <row r="583" spans="1:20" ht="15.6">
      <c r="A583" s="13">
        <v>59840</v>
      </c>
      <c r="B583" s="41">
        <f t="shared" si="0"/>
        <v>31</v>
      </c>
      <c r="C583" s="32">
        <v>131.881</v>
      </c>
      <c r="D583" s="32">
        <v>277.16699999999997</v>
      </c>
      <c r="E583" s="38">
        <v>829.952</v>
      </c>
      <c r="F583" s="32">
        <v>1239</v>
      </c>
      <c r="G583" s="32">
        <v>75</v>
      </c>
      <c r="H583" s="40">
        <v>600</v>
      </c>
      <c r="I583" s="32">
        <v>695</v>
      </c>
      <c r="J583" s="32">
        <v>0</v>
      </c>
      <c r="K583" s="33"/>
      <c r="L583" s="33"/>
      <c r="M583" s="33"/>
      <c r="N583" s="33"/>
      <c r="O583" s="33"/>
      <c r="P583" s="33"/>
      <c r="Q583" s="33"/>
      <c r="R583" s="33"/>
      <c r="S583" s="33"/>
      <c r="T583" s="33"/>
    </row>
    <row r="584" spans="1:20" ht="15.6">
      <c r="A584" s="13">
        <v>59870</v>
      </c>
      <c r="B584" s="41">
        <f t="shared" si="0"/>
        <v>30</v>
      </c>
      <c r="C584" s="32">
        <v>122.58</v>
      </c>
      <c r="D584" s="32">
        <v>297.94099999999997</v>
      </c>
      <c r="E584" s="38">
        <v>729.47900000000004</v>
      </c>
      <c r="F584" s="32">
        <v>1150</v>
      </c>
      <c r="G584" s="32">
        <v>100</v>
      </c>
      <c r="H584" s="40">
        <v>600</v>
      </c>
      <c r="I584" s="32">
        <v>695</v>
      </c>
      <c r="J584" s="32">
        <v>50</v>
      </c>
      <c r="K584" s="33"/>
      <c r="L584" s="33"/>
      <c r="M584" s="33"/>
      <c r="N584" s="33"/>
      <c r="O584" s="33"/>
      <c r="P584" s="33"/>
      <c r="Q584" s="33"/>
      <c r="R584" s="33"/>
      <c r="S584" s="33"/>
      <c r="T584" s="33"/>
    </row>
    <row r="585" spans="1:20" ht="15.6">
      <c r="A585" s="13">
        <v>59901</v>
      </c>
      <c r="B585" s="41">
        <f t="shared" si="0"/>
        <v>31</v>
      </c>
      <c r="C585" s="32">
        <v>122.58</v>
      </c>
      <c r="D585" s="32">
        <v>297.94099999999997</v>
      </c>
      <c r="E585" s="38">
        <v>729.47900000000004</v>
      </c>
      <c r="F585" s="32">
        <v>1150</v>
      </c>
      <c r="G585" s="32">
        <v>100</v>
      </c>
      <c r="H585" s="40">
        <v>600</v>
      </c>
      <c r="I585" s="32">
        <v>695</v>
      </c>
      <c r="J585" s="32">
        <v>50</v>
      </c>
      <c r="K585" s="33"/>
      <c r="L585" s="33"/>
      <c r="M585" s="33"/>
      <c r="N585" s="33"/>
      <c r="O585" s="33"/>
      <c r="P585" s="33"/>
      <c r="Q585" s="33"/>
      <c r="R585" s="33"/>
      <c r="S585" s="33"/>
      <c r="T585" s="33"/>
    </row>
    <row r="586" spans="1:20" ht="15.6">
      <c r="A586" s="13">
        <v>59932</v>
      </c>
      <c r="B586" s="41">
        <f t="shared" si="0"/>
        <v>31</v>
      </c>
      <c r="C586" s="32">
        <v>122.58</v>
      </c>
      <c r="D586" s="32">
        <v>297.94099999999997</v>
      </c>
      <c r="E586" s="38">
        <v>729.47900000000004</v>
      </c>
      <c r="F586" s="32">
        <v>1150</v>
      </c>
      <c r="G586" s="32">
        <v>100</v>
      </c>
      <c r="H586" s="40">
        <v>600</v>
      </c>
      <c r="I586" s="32">
        <v>695</v>
      </c>
      <c r="J586" s="32">
        <v>50</v>
      </c>
      <c r="K586" s="33"/>
      <c r="L586" s="33"/>
      <c r="M586" s="33"/>
      <c r="N586" s="33"/>
      <c r="O586" s="33"/>
      <c r="P586" s="33"/>
      <c r="Q586" s="33"/>
      <c r="R586" s="33"/>
      <c r="S586" s="33"/>
      <c r="T586" s="33"/>
    </row>
    <row r="587" spans="1:20" ht="15.6">
      <c r="A587" s="13">
        <v>59961</v>
      </c>
      <c r="B587" s="41">
        <f t="shared" si="0"/>
        <v>29</v>
      </c>
      <c r="C587" s="32">
        <v>122.58</v>
      </c>
      <c r="D587" s="32">
        <v>297.94099999999997</v>
      </c>
      <c r="E587" s="38">
        <v>729.47900000000004</v>
      </c>
      <c r="F587" s="32">
        <v>1150</v>
      </c>
      <c r="G587" s="32">
        <v>100</v>
      </c>
      <c r="H587" s="40">
        <v>600</v>
      </c>
      <c r="I587" s="32">
        <v>695</v>
      </c>
      <c r="J587" s="32">
        <v>50</v>
      </c>
      <c r="K587" s="33"/>
      <c r="L587" s="33"/>
      <c r="M587" s="33"/>
      <c r="N587" s="33"/>
      <c r="O587" s="33"/>
      <c r="P587" s="33"/>
      <c r="Q587" s="33"/>
      <c r="R587" s="33"/>
      <c r="S587" s="33"/>
      <c r="T587" s="33"/>
    </row>
    <row r="588" spans="1:20" ht="15.6">
      <c r="A588" s="13">
        <v>59992</v>
      </c>
      <c r="B588" s="41">
        <f t="shared" si="0"/>
        <v>31</v>
      </c>
      <c r="C588" s="32">
        <v>122.58</v>
      </c>
      <c r="D588" s="32">
        <v>297.94099999999997</v>
      </c>
      <c r="E588" s="38">
        <v>729.47900000000004</v>
      </c>
      <c r="F588" s="32">
        <v>1150</v>
      </c>
      <c r="G588" s="32">
        <v>100</v>
      </c>
      <c r="H588" s="40">
        <v>600</v>
      </c>
      <c r="I588" s="32">
        <v>695</v>
      </c>
      <c r="J588" s="32">
        <v>50</v>
      </c>
      <c r="K588" s="33"/>
      <c r="L588" s="33"/>
      <c r="M588" s="33"/>
      <c r="N588" s="33"/>
      <c r="O588" s="33"/>
      <c r="P588" s="33"/>
      <c r="Q588" s="33"/>
      <c r="R588" s="33"/>
      <c r="S588" s="33"/>
      <c r="T588" s="33"/>
    </row>
    <row r="589" spans="1:20" ht="15.6">
      <c r="A589" s="13">
        <v>60022</v>
      </c>
      <c r="B589" s="41">
        <f t="shared" si="0"/>
        <v>30</v>
      </c>
      <c r="C589" s="32">
        <v>141.29300000000001</v>
      </c>
      <c r="D589" s="32">
        <v>267.99299999999999</v>
      </c>
      <c r="E589" s="38">
        <v>829.71400000000006</v>
      </c>
      <c r="F589" s="32">
        <v>1239</v>
      </c>
      <c r="G589" s="32">
        <v>100</v>
      </c>
      <c r="H589" s="40">
        <v>600</v>
      </c>
      <c r="I589" s="32">
        <v>695</v>
      </c>
      <c r="J589" s="32">
        <v>50</v>
      </c>
      <c r="K589" s="33"/>
      <c r="L589" s="33"/>
      <c r="M589" s="33"/>
      <c r="N589" s="33"/>
      <c r="O589" s="33"/>
      <c r="P589" s="33"/>
      <c r="Q589" s="33"/>
      <c r="R589" s="33"/>
      <c r="S589" s="33"/>
      <c r="T589" s="33"/>
    </row>
    <row r="590" spans="1:20" ht="15.6">
      <c r="A590" s="13">
        <v>60053</v>
      </c>
      <c r="B590" s="41">
        <f t="shared" si="0"/>
        <v>31</v>
      </c>
      <c r="C590" s="32">
        <v>194.20500000000001</v>
      </c>
      <c r="D590" s="32">
        <v>267.46600000000001</v>
      </c>
      <c r="E590" s="38">
        <v>812.32899999999995</v>
      </c>
      <c r="F590" s="32">
        <v>1274</v>
      </c>
      <c r="G590" s="32">
        <v>75</v>
      </c>
      <c r="H590" s="40">
        <v>600</v>
      </c>
      <c r="I590" s="32">
        <v>695</v>
      </c>
      <c r="J590" s="32">
        <v>50</v>
      </c>
      <c r="K590" s="33"/>
      <c r="L590" s="33"/>
      <c r="M590" s="33"/>
      <c r="N590" s="33"/>
      <c r="O590" s="33"/>
      <c r="P590" s="33"/>
      <c r="Q590" s="33"/>
      <c r="R590" s="33"/>
      <c r="S590" s="33"/>
      <c r="T590" s="33"/>
    </row>
    <row r="591" spans="1:20" ht="15.6">
      <c r="A591" s="13">
        <v>60083</v>
      </c>
      <c r="B591" s="41">
        <f t="shared" si="0"/>
        <v>30</v>
      </c>
      <c r="C591" s="32">
        <v>194.20500000000001</v>
      </c>
      <c r="D591" s="32">
        <v>267.46600000000001</v>
      </c>
      <c r="E591" s="38">
        <v>812.32899999999995</v>
      </c>
      <c r="F591" s="32">
        <v>1274</v>
      </c>
      <c r="G591" s="32">
        <v>50</v>
      </c>
      <c r="H591" s="40">
        <v>600</v>
      </c>
      <c r="I591" s="32">
        <v>695</v>
      </c>
      <c r="J591" s="32">
        <v>50</v>
      </c>
      <c r="K591" s="33"/>
      <c r="L591" s="33"/>
      <c r="M591" s="33"/>
      <c r="N591" s="33"/>
      <c r="O591" s="33"/>
      <c r="P591" s="33"/>
      <c r="Q591" s="33"/>
      <c r="R591" s="33"/>
      <c r="S591" s="33"/>
      <c r="T591" s="33"/>
    </row>
    <row r="592" spans="1:20" ht="15.6">
      <c r="A592" s="13">
        <v>60114</v>
      </c>
      <c r="B592" s="41">
        <f t="shared" si="0"/>
        <v>31</v>
      </c>
      <c r="C592" s="32">
        <v>194.20500000000001</v>
      </c>
      <c r="D592" s="32">
        <v>267.46600000000001</v>
      </c>
      <c r="E592" s="38">
        <v>812.32899999999995</v>
      </c>
      <c r="F592" s="32">
        <v>1274</v>
      </c>
      <c r="G592" s="32">
        <v>50</v>
      </c>
      <c r="H592" s="40">
        <v>600</v>
      </c>
      <c r="I592" s="32">
        <v>695</v>
      </c>
      <c r="J592" s="32">
        <v>0</v>
      </c>
      <c r="K592" s="33"/>
      <c r="L592" s="33"/>
      <c r="M592" s="33"/>
      <c r="N592" s="33"/>
      <c r="O592" s="33"/>
      <c r="P592" s="33"/>
      <c r="Q592" s="33"/>
      <c r="R592" s="33"/>
      <c r="S592" s="33"/>
      <c r="T592" s="33"/>
    </row>
    <row r="593" spans="1:20" ht="15.6">
      <c r="A593" s="13">
        <v>60145</v>
      </c>
      <c r="B593" s="41">
        <f t="shared" si="0"/>
        <v>31</v>
      </c>
      <c r="C593" s="32">
        <v>194.20500000000001</v>
      </c>
      <c r="D593" s="32">
        <v>267.46600000000001</v>
      </c>
      <c r="E593" s="38">
        <v>812.32899999999995</v>
      </c>
      <c r="F593" s="32">
        <v>1274</v>
      </c>
      <c r="G593" s="32">
        <v>50</v>
      </c>
      <c r="H593" s="40">
        <v>600</v>
      </c>
      <c r="I593" s="32">
        <v>695</v>
      </c>
      <c r="J593" s="32">
        <v>0</v>
      </c>
      <c r="K593" s="33"/>
      <c r="L593" s="33"/>
      <c r="M593" s="33"/>
      <c r="N593" s="33"/>
      <c r="O593" s="33"/>
      <c r="P593" s="33"/>
      <c r="Q593" s="33"/>
      <c r="R593" s="33"/>
      <c r="S593" s="33"/>
      <c r="T593" s="33"/>
    </row>
    <row r="594" spans="1:20" ht="15.6">
      <c r="A594" s="13">
        <v>60175</v>
      </c>
      <c r="B594" s="41">
        <f t="shared" si="0"/>
        <v>30</v>
      </c>
      <c r="C594" s="32">
        <v>194.20500000000001</v>
      </c>
      <c r="D594" s="32">
        <v>267.46600000000001</v>
      </c>
      <c r="E594" s="38">
        <v>812.32899999999995</v>
      </c>
      <c r="F594" s="32">
        <v>1274</v>
      </c>
      <c r="G594" s="32">
        <v>50</v>
      </c>
      <c r="H594" s="40">
        <v>600</v>
      </c>
      <c r="I594" s="32">
        <v>695</v>
      </c>
      <c r="J594" s="32">
        <v>0</v>
      </c>
      <c r="K594" s="33"/>
      <c r="L594" s="33"/>
      <c r="M594" s="33"/>
      <c r="N594" s="33"/>
      <c r="O594" s="33"/>
      <c r="P594" s="33"/>
      <c r="Q594" s="33"/>
      <c r="R594" s="33"/>
      <c r="S594" s="33"/>
      <c r="T594" s="33"/>
    </row>
    <row r="595" spans="1:20" ht="15.6">
      <c r="A595" s="13">
        <v>60206</v>
      </c>
      <c r="B595" s="41">
        <f t="shared" si="0"/>
        <v>31</v>
      </c>
      <c r="C595" s="32">
        <v>131.881</v>
      </c>
      <c r="D595" s="32">
        <v>277.16699999999997</v>
      </c>
      <c r="E595" s="38">
        <v>829.952</v>
      </c>
      <c r="F595" s="32">
        <v>1239</v>
      </c>
      <c r="G595" s="32">
        <v>75</v>
      </c>
      <c r="H595" s="40">
        <v>600</v>
      </c>
      <c r="I595" s="32">
        <v>695</v>
      </c>
      <c r="J595" s="32">
        <v>0</v>
      </c>
      <c r="K595" s="33"/>
      <c r="L595" s="33"/>
      <c r="M595" s="33"/>
      <c r="N595" s="33"/>
      <c r="O595" s="33"/>
      <c r="P595" s="33"/>
      <c r="Q595" s="33"/>
      <c r="R595" s="33"/>
      <c r="S595" s="33"/>
      <c r="T595" s="33"/>
    </row>
    <row r="596" spans="1:20" ht="15.6">
      <c r="A596" s="13">
        <v>60236</v>
      </c>
      <c r="B596" s="41">
        <f t="shared" si="0"/>
        <v>30</v>
      </c>
      <c r="C596" s="32">
        <v>122.58</v>
      </c>
      <c r="D596" s="32">
        <v>297.94099999999997</v>
      </c>
      <c r="E596" s="38">
        <v>729.47900000000004</v>
      </c>
      <c r="F596" s="32">
        <v>1150</v>
      </c>
      <c r="G596" s="32">
        <v>100</v>
      </c>
      <c r="H596" s="40">
        <v>600</v>
      </c>
      <c r="I596" s="32">
        <v>695</v>
      </c>
      <c r="J596" s="32">
        <v>50</v>
      </c>
      <c r="K596" s="33"/>
      <c r="L596" s="33"/>
      <c r="M596" s="33"/>
      <c r="N596" s="33"/>
      <c r="O596" s="33"/>
      <c r="P596" s="33"/>
      <c r="Q596" s="33"/>
      <c r="R596" s="33"/>
      <c r="S596" s="33"/>
      <c r="T596" s="33"/>
    </row>
    <row r="597" spans="1:20" ht="15.6">
      <c r="A597" s="13">
        <v>60267</v>
      </c>
      <c r="B597" s="41">
        <f t="shared" si="0"/>
        <v>31</v>
      </c>
      <c r="C597" s="32">
        <v>122.58</v>
      </c>
      <c r="D597" s="32">
        <v>297.94099999999997</v>
      </c>
      <c r="E597" s="38">
        <v>729.47900000000004</v>
      </c>
      <c r="F597" s="32">
        <v>1150</v>
      </c>
      <c r="G597" s="32">
        <v>100</v>
      </c>
      <c r="H597" s="40">
        <v>600</v>
      </c>
      <c r="I597" s="32">
        <v>695</v>
      </c>
      <c r="J597" s="32">
        <v>50</v>
      </c>
      <c r="K597" s="33"/>
      <c r="L597" s="33"/>
      <c r="M597" s="33"/>
      <c r="N597" s="33"/>
      <c r="O597" s="33"/>
      <c r="P597" s="33"/>
      <c r="Q597" s="33"/>
      <c r="R597" s="33"/>
      <c r="S597" s="33"/>
      <c r="T597" s="33"/>
    </row>
    <row r="598" spans="1:20" ht="15.6">
      <c r="A598" s="13">
        <v>60298</v>
      </c>
      <c r="B598" s="41">
        <f t="shared" si="0"/>
        <v>31</v>
      </c>
      <c r="C598" s="32">
        <v>122.58</v>
      </c>
      <c r="D598" s="32">
        <v>297.94099999999997</v>
      </c>
      <c r="E598" s="38">
        <v>729.47900000000004</v>
      </c>
      <c r="F598" s="32">
        <v>1150</v>
      </c>
      <c r="G598" s="32">
        <v>100</v>
      </c>
      <c r="H598" s="40">
        <v>600</v>
      </c>
      <c r="I598" s="32">
        <v>695</v>
      </c>
      <c r="J598" s="32">
        <v>50</v>
      </c>
      <c r="K598" s="33"/>
      <c r="L598" s="33"/>
      <c r="M598" s="33"/>
      <c r="N598" s="33"/>
      <c r="O598" s="33"/>
      <c r="P598" s="33"/>
      <c r="Q598" s="33"/>
      <c r="R598" s="33"/>
      <c r="S598" s="33"/>
      <c r="T598" s="33"/>
    </row>
    <row r="599" spans="1:20" ht="15.6">
      <c r="A599" s="13">
        <v>60326</v>
      </c>
      <c r="B599" s="41">
        <f t="shared" si="0"/>
        <v>28</v>
      </c>
      <c r="C599" s="32">
        <v>122.58</v>
      </c>
      <c r="D599" s="32">
        <v>297.94099999999997</v>
      </c>
      <c r="E599" s="38">
        <v>729.47900000000004</v>
      </c>
      <c r="F599" s="32">
        <v>1150</v>
      </c>
      <c r="G599" s="32">
        <v>100</v>
      </c>
      <c r="H599" s="40">
        <v>600</v>
      </c>
      <c r="I599" s="32">
        <v>695</v>
      </c>
      <c r="J599" s="32">
        <v>50</v>
      </c>
      <c r="K599" s="33"/>
      <c r="L599" s="33"/>
      <c r="M599" s="33"/>
      <c r="N599" s="33"/>
      <c r="O599" s="33"/>
      <c r="P599" s="33"/>
      <c r="Q599" s="33"/>
      <c r="R599" s="33"/>
      <c r="S599" s="33"/>
      <c r="T599" s="33"/>
    </row>
    <row r="600" spans="1:20" ht="15.6">
      <c r="A600" s="13">
        <v>60357</v>
      </c>
      <c r="B600" s="41">
        <f t="shared" si="0"/>
        <v>31</v>
      </c>
      <c r="C600" s="32">
        <v>122.58</v>
      </c>
      <c r="D600" s="32">
        <v>297.94099999999997</v>
      </c>
      <c r="E600" s="38">
        <v>729.47900000000004</v>
      </c>
      <c r="F600" s="32">
        <v>1150</v>
      </c>
      <c r="G600" s="32">
        <v>100</v>
      </c>
      <c r="H600" s="40">
        <v>600</v>
      </c>
      <c r="I600" s="32">
        <v>695</v>
      </c>
      <c r="J600" s="32">
        <v>50</v>
      </c>
      <c r="K600" s="33"/>
      <c r="L600" s="33"/>
      <c r="M600" s="33"/>
      <c r="N600" s="33"/>
      <c r="O600" s="33"/>
      <c r="P600" s="33"/>
      <c r="Q600" s="33"/>
      <c r="R600" s="33"/>
      <c r="S600" s="33"/>
      <c r="T600" s="33"/>
    </row>
    <row r="601" spans="1:20" ht="15.6">
      <c r="A601" s="13">
        <v>60387</v>
      </c>
      <c r="B601" s="41">
        <f t="shared" si="0"/>
        <v>30</v>
      </c>
      <c r="C601" s="32">
        <v>141.29300000000001</v>
      </c>
      <c r="D601" s="32">
        <v>267.99299999999999</v>
      </c>
      <c r="E601" s="38">
        <v>829.71400000000006</v>
      </c>
      <c r="F601" s="32">
        <v>1239</v>
      </c>
      <c r="G601" s="32">
        <v>100</v>
      </c>
      <c r="H601" s="40">
        <v>600</v>
      </c>
      <c r="I601" s="32">
        <v>695</v>
      </c>
      <c r="J601" s="32">
        <v>50</v>
      </c>
      <c r="K601" s="33"/>
      <c r="L601" s="33"/>
      <c r="M601" s="33"/>
      <c r="N601" s="33"/>
      <c r="O601" s="33"/>
      <c r="P601" s="33"/>
      <c r="Q601" s="33"/>
      <c r="R601" s="33"/>
      <c r="S601" s="33"/>
      <c r="T601" s="33"/>
    </row>
    <row r="602" spans="1:20" ht="15.6">
      <c r="A602" s="13">
        <v>60418</v>
      </c>
      <c r="B602" s="41">
        <f t="shared" si="0"/>
        <v>31</v>
      </c>
      <c r="C602" s="32">
        <v>194.20500000000001</v>
      </c>
      <c r="D602" s="32">
        <v>267.46600000000001</v>
      </c>
      <c r="E602" s="38">
        <v>812.32899999999995</v>
      </c>
      <c r="F602" s="32">
        <v>1274</v>
      </c>
      <c r="G602" s="32">
        <v>75</v>
      </c>
      <c r="H602" s="40">
        <v>600</v>
      </c>
      <c r="I602" s="32">
        <v>695</v>
      </c>
      <c r="J602" s="32">
        <v>50</v>
      </c>
      <c r="K602" s="33"/>
      <c r="L602" s="33"/>
      <c r="M602" s="33"/>
      <c r="N602" s="33"/>
      <c r="O602" s="33"/>
      <c r="P602" s="33"/>
      <c r="Q602" s="33"/>
      <c r="R602" s="33"/>
      <c r="S602" s="33"/>
      <c r="T602" s="33"/>
    </row>
    <row r="603" spans="1:20" ht="15.6">
      <c r="A603" s="13">
        <v>60448</v>
      </c>
      <c r="B603" s="41">
        <f t="shared" si="0"/>
        <v>30</v>
      </c>
      <c r="C603" s="32">
        <v>194.20500000000001</v>
      </c>
      <c r="D603" s="32">
        <v>267.46600000000001</v>
      </c>
      <c r="E603" s="38">
        <v>812.32899999999995</v>
      </c>
      <c r="F603" s="32">
        <v>1274</v>
      </c>
      <c r="G603" s="32">
        <v>50</v>
      </c>
      <c r="H603" s="40">
        <v>600</v>
      </c>
      <c r="I603" s="32">
        <v>695</v>
      </c>
      <c r="J603" s="32">
        <v>50</v>
      </c>
      <c r="K603" s="33"/>
      <c r="L603" s="33"/>
      <c r="M603" s="33"/>
      <c r="N603" s="33"/>
      <c r="O603" s="33"/>
      <c r="P603" s="33"/>
      <c r="Q603" s="33"/>
      <c r="R603" s="33"/>
      <c r="S603" s="33"/>
      <c r="T603" s="33"/>
    </row>
    <row r="604" spans="1:20" ht="15.6">
      <c r="A604" s="13">
        <v>60479</v>
      </c>
      <c r="B604" s="41">
        <f t="shared" si="0"/>
        <v>31</v>
      </c>
      <c r="C604" s="32">
        <v>194.20500000000001</v>
      </c>
      <c r="D604" s="32">
        <v>267.46600000000001</v>
      </c>
      <c r="E604" s="38">
        <v>812.32899999999995</v>
      </c>
      <c r="F604" s="32">
        <v>1274</v>
      </c>
      <c r="G604" s="32">
        <v>50</v>
      </c>
      <c r="H604" s="40">
        <v>600</v>
      </c>
      <c r="I604" s="32">
        <v>695</v>
      </c>
      <c r="J604" s="32">
        <v>0</v>
      </c>
      <c r="K604" s="33"/>
      <c r="L604" s="33"/>
      <c r="M604" s="33"/>
      <c r="N604" s="33"/>
      <c r="O604" s="33"/>
      <c r="P604" s="33"/>
      <c r="Q604" s="33"/>
      <c r="R604" s="33"/>
      <c r="S604" s="33"/>
      <c r="T604" s="33"/>
    </row>
    <row r="605" spans="1:20" ht="15.6">
      <c r="A605" s="13">
        <v>60510</v>
      </c>
      <c r="B605" s="41">
        <f t="shared" si="0"/>
        <v>31</v>
      </c>
      <c r="C605" s="32">
        <v>194.20500000000001</v>
      </c>
      <c r="D605" s="32">
        <v>267.46600000000001</v>
      </c>
      <c r="E605" s="38">
        <v>812.32899999999995</v>
      </c>
      <c r="F605" s="32">
        <v>1274</v>
      </c>
      <c r="G605" s="32">
        <v>50</v>
      </c>
      <c r="H605" s="40">
        <v>600</v>
      </c>
      <c r="I605" s="32">
        <v>695</v>
      </c>
      <c r="J605" s="32">
        <v>0</v>
      </c>
      <c r="K605" s="33"/>
      <c r="L605" s="33"/>
      <c r="M605" s="33"/>
      <c r="N605" s="33"/>
      <c r="O605" s="33"/>
      <c r="P605" s="33"/>
      <c r="Q605" s="33"/>
      <c r="R605" s="33"/>
      <c r="S605" s="33"/>
      <c r="T605" s="33"/>
    </row>
    <row r="606" spans="1:20" ht="15.6">
      <c r="A606" s="13">
        <v>60540</v>
      </c>
      <c r="B606" s="41">
        <f t="shared" si="0"/>
        <v>30</v>
      </c>
      <c r="C606" s="32">
        <v>194.20500000000001</v>
      </c>
      <c r="D606" s="32">
        <v>267.46600000000001</v>
      </c>
      <c r="E606" s="38">
        <v>812.32899999999995</v>
      </c>
      <c r="F606" s="32">
        <v>1274</v>
      </c>
      <c r="G606" s="32">
        <v>50</v>
      </c>
      <c r="H606" s="40">
        <v>600</v>
      </c>
      <c r="I606" s="32">
        <v>695</v>
      </c>
      <c r="J606" s="32">
        <v>0</v>
      </c>
      <c r="K606" s="33"/>
      <c r="L606" s="33"/>
      <c r="M606" s="33"/>
      <c r="N606" s="33"/>
      <c r="O606" s="33"/>
      <c r="P606" s="33"/>
      <c r="Q606" s="33"/>
      <c r="R606" s="33"/>
      <c r="S606" s="33"/>
      <c r="T606" s="33"/>
    </row>
    <row r="607" spans="1:20" ht="15.6">
      <c r="A607" s="13">
        <v>60571</v>
      </c>
      <c r="B607" s="41">
        <f t="shared" si="0"/>
        <v>31</v>
      </c>
      <c r="C607" s="32">
        <v>131.881</v>
      </c>
      <c r="D607" s="32">
        <v>277.16699999999997</v>
      </c>
      <c r="E607" s="38">
        <v>829.952</v>
      </c>
      <c r="F607" s="32">
        <v>1239</v>
      </c>
      <c r="G607" s="32">
        <v>75</v>
      </c>
      <c r="H607" s="40">
        <v>600</v>
      </c>
      <c r="I607" s="32">
        <v>695</v>
      </c>
      <c r="J607" s="32">
        <v>0</v>
      </c>
      <c r="K607" s="33"/>
      <c r="L607" s="33"/>
      <c r="M607" s="33"/>
      <c r="N607" s="33"/>
      <c r="O607" s="33"/>
      <c r="P607" s="33"/>
      <c r="Q607" s="33"/>
      <c r="R607" s="33"/>
      <c r="S607" s="33"/>
      <c r="T607" s="33"/>
    </row>
    <row r="608" spans="1:20" ht="15.6">
      <c r="A608" s="13">
        <v>60601</v>
      </c>
      <c r="B608" s="41">
        <f t="shared" si="0"/>
        <v>30</v>
      </c>
      <c r="C608" s="32">
        <v>122.58</v>
      </c>
      <c r="D608" s="32">
        <v>297.94099999999997</v>
      </c>
      <c r="E608" s="38">
        <v>729.47900000000004</v>
      </c>
      <c r="F608" s="32">
        <v>1150</v>
      </c>
      <c r="G608" s="32">
        <v>100</v>
      </c>
      <c r="H608" s="40">
        <v>600</v>
      </c>
      <c r="I608" s="32">
        <v>695</v>
      </c>
      <c r="J608" s="32">
        <v>50</v>
      </c>
      <c r="K608" s="33"/>
      <c r="L608" s="33"/>
      <c r="M608" s="33"/>
      <c r="N608" s="33"/>
      <c r="O608" s="33"/>
      <c r="P608" s="33"/>
      <c r="Q608" s="33"/>
      <c r="R608" s="33"/>
      <c r="S608" s="33"/>
      <c r="T608" s="33"/>
    </row>
    <row r="609" spans="1:20" ht="15.6">
      <c r="A609" s="13">
        <v>60632</v>
      </c>
      <c r="B609" s="41">
        <f t="shared" si="0"/>
        <v>31</v>
      </c>
      <c r="C609" s="32">
        <v>122.58</v>
      </c>
      <c r="D609" s="32">
        <v>297.94099999999997</v>
      </c>
      <c r="E609" s="38">
        <v>729.47900000000004</v>
      </c>
      <c r="F609" s="32">
        <v>1150</v>
      </c>
      <c r="G609" s="32">
        <v>100</v>
      </c>
      <c r="H609" s="40">
        <v>600</v>
      </c>
      <c r="I609" s="32">
        <v>695</v>
      </c>
      <c r="J609" s="32">
        <v>50</v>
      </c>
      <c r="K609" s="33"/>
      <c r="L609" s="33"/>
      <c r="M609" s="33"/>
      <c r="N609" s="33"/>
      <c r="O609" s="33"/>
      <c r="P609" s="33"/>
      <c r="Q609" s="33"/>
      <c r="R609" s="33"/>
      <c r="S609" s="33"/>
      <c r="T609" s="33"/>
    </row>
    <row r="610" spans="1:20" ht="15.6">
      <c r="A610" s="13">
        <v>60663</v>
      </c>
      <c r="B610" s="41">
        <f t="shared" si="0"/>
        <v>31</v>
      </c>
      <c r="C610" s="32">
        <v>122.58</v>
      </c>
      <c r="D610" s="32">
        <v>297.94099999999997</v>
      </c>
      <c r="E610" s="38">
        <v>729.47900000000004</v>
      </c>
      <c r="F610" s="32">
        <v>1150</v>
      </c>
      <c r="G610" s="32">
        <v>100</v>
      </c>
      <c r="H610" s="40">
        <v>600</v>
      </c>
      <c r="I610" s="32">
        <v>695</v>
      </c>
      <c r="J610" s="32">
        <v>50</v>
      </c>
      <c r="K610" s="33"/>
      <c r="L610" s="33"/>
      <c r="M610" s="33"/>
      <c r="N610" s="33"/>
      <c r="O610" s="33"/>
      <c r="P610" s="33"/>
      <c r="Q610" s="33"/>
      <c r="R610" s="33"/>
      <c r="S610" s="33"/>
      <c r="T610" s="33"/>
    </row>
    <row r="611" spans="1:20" ht="15.6">
      <c r="A611" s="13">
        <v>60691</v>
      </c>
      <c r="B611" s="41">
        <f t="shared" si="0"/>
        <v>28</v>
      </c>
      <c r="C611" s="32">
        <v>122.58</v>
      </c>
      <c r="D611" s="32">
        <v>297.94099999999997</v>
      </c>
      <c r="E611" s="38">
        <v>729.47900000000004</v>
      </c>
      <c r="F611" s="32">
        <v>1150</v>
      </c>
      <c r="G611" s="32">
        <v>100</v>
      </c>
      <c r="H611" s="40">
        <v>600</v>
      </c>
      <c r="I611" s="32">
        <v>695</v>
      </c>
      <c r="J611" s="32">
        <v>50</v>
      </c>
      <c r="K611" s="33"/>
      <c r="L611" s="33"/>
      <c r="M611" s="33"/>
      <c r="N611" s="33"/>
      <c r="O611" s="33"/>
      <c r="P611" s="33"/>
      <c r="Q611" s="33"/>
      <c r="R611" s="33"/>
      <c r="S611" s="33"/>
      <c r="T611" s="33"/>
    </row>
    <row r="612" spans="1:20" ht="15.6">
      <c r="A612" s="13">
        <v>60722</v>
      </c>
      <c r="B612" s="41">
        <f t="shared" si="0"/>
        <v>31</v>
      </c>
      <c r="C612" s="32">
        <v>122.58</v>
      </c>
      <c r="D612" s="32">
        <v>297.94099999999997</v>
      </c>
      <c r="E612" s="38">
        <v>729.47900000000004</v>
      </c>
      <c r="F612" s="32">
        <v>1150</v>
      </c>
      <c r="G612" s="32">
        <v>100</v>
      </c>
      <c r="H612" s="40">
        <v>600</v>
      </c>
      <c r="I612" s="32">
        <v>695</v>
      </c>
      <c r="J612" s="32">
        <v>50</v>
      </c>
      <c r="K612" s="33"/>
      <c r="L612" s="33"/>
      <c r="M612" s="33"/>
      <c r="N612" s="33"/>
      <c r="O612" s="33"/>
      <c r="P612" s="33"/>
      <c r="Q612" s="33"/>
      <c r="R612" s="33"/>
      <c r="S612" s="33"/>
      <c r="T612" s="33"/>
    </row>
    <row r="613" spans="1:20" ht="15.6">
      <c r="A613" s="13">
        <v>60752</v>
      </c>
      <c r="B613" s="41">
        <f t="shared" si="0"/>
        <v>30</v>
      </c>
      <c r="C613" s="32">
        <v>141.29300000000001</v>
      </c>
      <c r="D613" s="32">
        <v>267.99299999999999</v>
      </c>
      <c r="E613" s="38">
        <v>829.71400000000006</v>
      </c>
      <c r="F613" s="32">
        <v>1239</v>
      </c>
      <c r="G613" s="32">
        <v>100</v>
      </c>
      <c r="H613" s="40">
        <v>600</v>
      </c>
      <c r="I613" s="32">
        <v>695</v>
      </c>
      <c r="J613" s="32">
        <v>50</v>
      </c>
      <c r="K613" s="33"/>
      <c r="L613" s="33"/>
      <c r="M613" s="33"/>
      <c r="N613" s="33"/>
      <c r="O613" s="33"/>
      <c r="P613" s="33"/>
      <c r="Q613" s="33"/>
      <c r="R613" s="33"/>
      <c r="S613" s="33"/>
      <c r="T613" s="33"/>
    </row>
    <row r="614" spans="1:20" ht="15.6">
      <c r="A614" s="13">
        <v>60783</v>
      </c>
      <c r="B614" s="41">
        <f t="shared" si="0"/>
        <v>31</v>
      </c>
      <c r="C614" s="32">
        <v>194.20500000000001</v>
      </c>
      <c r="D614" s="32">
        <v>267.46600000000001</v>
      </c>
      <c r="E614" s="38">
        <v>812.32899999999995</v>
      </c>
      <c r="F614" s="32">
        <v>1274</v>
      </c>
      <c r="G614" s="32">
        <v>75</v>
      </c>
      <c r="H614" s="40">
        <v>600</v>
      </c>
      <c r="I614" s="32">
        <v>695</v>
      </c>
      <c r="J614" s="32">
        <v>50</v>
      </c>
      <c r="K614" s="33"/>
      <c r="L614" s="33"/>
      <c r="M614" s="33"/>
      <c r="N614" s="33"/>
      <c r="O614" s="33"/>
      <c r="P614" s="33"/>
      <c r="Q614" s="33"/>
      <c r="R614" s="33"/>
      <c r="S614" s="33"/>
      <c r="T614" s="33"/>
    </row>
    <row r="615" spans="1:20" ht="15.6">
      <c r="A615" s="13">
        <v>60813</v>
      </c>
      <c r="B615" s="41">
        <f t="shared" si="0"/>
        <v>30</v>
      </c>
      <c r="C615" s="32">
        <v>194.20500000000001</v>
      </c>
      <c r="D615" s="32">
        <v>267.46600000000001</v>
      </c>
      <c r="E615" s="38">
        <v>812.32899999999995</v>
      </c>
      <c r="F615" s="32">
        <v>1274</v>
      </c>
      <c r="G615" s="32">
        <v>50</v>
      </c>
      <c r="H615" s="40">
        <v>600</v>
      </c>
      <c r="I615" s="32">
        <v>695</v>
      </c>
      <c r="J615" s="32">
        <v>50</v>
      </c>
      <c r="K615" s="33"/>
      <c r="L615" s="33"/>
      <c r="M615" s="33"/>
      <c r="N615" s="33"/>
      <c r="O615" s="33"/>
      <c r="P615" s="33"/>
      <c r="Q615" s="33"/>
      <c r="R615" s="33"/>
      <c r="S615" s="33"/>
      <c r="T615" s="33"/>
    </row>
    <row r="616" spans="1:20" ht="15.6">
      <c r="A616" s="13">
        <v>60844</v>
      </c>
      <c r="B616" s="41">
        <f t="shared" si="0"/>
        <v>31</v>
      </c>
      <c r="C616" s="32">
        <v>194.20500000000001</v>
      </c>
      <c r="D616" s="32">
        <v>267.46600000000001</v>
      </c>
      <c r="E616" s="38">
        <v>812.32899999999995</v>
      </c>
      <c r="F616" s="32">
        <v>1274</v>
      </c>
      <c r="G616" s="32">
        <v>50</v>
      </c>
      <c r="H616" s="40">
        <v>600</v>
      </c>
      <c r="I616" s="32">
        <v>695</v>
      </c>
      <c r="J616" s="32">
        <v>0</v>
      </c>
      <c r="K616" s="33"/>
      <c r="L616" s="33"/>
      <c r="M616" s="33"/>
      <c r="N616" s="33"/>
      <c r="O616" s="33"/>
      <c r="P616" s="33"/>
      <c r="Q616" s="33"/>
      <c r="R616" s="33"/>
      <c r="S616" s="33"/>
      <c r="T616" s="33"/>
    </row>
    <row r="617" spans="1:20" ht="15.6">
      <c r="A617" s="13">
        <v>60875</v>
      </c>
      <c r="B617" s="41">
        <f t="shared" si="0"/>
        <v>31</v>
      </c>
      <c r="C617" s="32">
        <v>194.20500000000001</v>
      </c>
      <c r="D617" s="32">
        <v>267.46600000000001</v>
      </c>
      <c r="E617" s="38">
        <v>812.32899999999995</v>
      </c>
      <c r="F617" s="32">
        <v>1274</v>
      </c>
      <c r="G617" s="32">
        <v>50</v>
      </c>
      <c r="H617" s="40">
        <v>600</v>
      </c>
      <c r="I617" s="32">
        <v>695</v>
      </c>
      <c r="J617" s="32">
        <v>0</v>
      </c>
      <c r="K617" s="33"/>
      <c r="L617" s="33"/>
      <c r="M617" s="33"/>
      <c r="N617" s="33"/>
      <c r="O617" s="33"/>
      <c r="P617" s="33"/>
      <c r="Q617" s="33"/>
      <c r="R617" s="33"/>
      <c r="S617" s="33"/>
      <c r="T617" s="33"/>
    </row>
    <row r="618" spans="1:20" ht="15.6">
      <c r="A618" s="13">
        <v>60905</v>
      </c>
      <c r="B618" s="41">
        <f t="shared" si="0"/>
        <v>30</v>
      </c>
      <c r="C618" s="32">
        <v>194.20500000000001</v>
      </c>
      <c r="D618" s="32">
        <v>267.46600000000001</v>
      </c>
      <c r="E618" s="38">
        <v>812.32899999999995</v>
      </c>
      <c r="F618" s="32">
        <v>1274</v>
      </c>
      <c r="G618" s="32">
        <v>50</v>
      </c>
      <c r="H618" s="40">
        <v>600</v>
      </c>
      <c r="I618" s="32">
        <v>695</v>
      </c>
      <c r="J618" s="32">
        <v>0</v>
      </c>
      <c r="K618" s="33"/>
      <c r="L618" s="33"/>
      <c r="M618" s="33"/>
      <c r="N618" s="33"/>
      <c r="O618" s="33"/>
      <c r="P618" s="33"/>
      <c r="Q618" s="33"/>
      <c r="R618" s="33"/>
      <c r="S618" s="33"/>
      <c r="T618" s="33"/>
    </row>
    <row r="619" spans="1:20" ht="15.6">
      <c r="A619" s="13">
        <v>60936</v>
      </c>
      <c r="B619" s="41">
        <f t="shared" si="0"/>
        <v>31</v>
      </c>
      <c r="C619" s="32">
        <v>131.881</v>
      </c>
      <c r="D619" s="32">
        <v>277.16699999999997</v>
      </c>
      <c r="E619" s="38">
        <v>829.952</v>
      </c>
      <c r="F619" s="32">
        <v>1239</v>
      </c>
      <c r="G619" s="32">
        <v>75</v>
      </c>
      <c r="H619" s="40">
        <v>600</v>
      </c>
      <c r="I619" s="32">
        <v>695</v>
      </c>
      <c r="J619" s="32">
        <v>0</v>
      </c>
      <c r="K619" s="33"/>
      <c r="L619" s="33"/>
      <c r="M619" s="33"/>
      <c r="N619" s="33"/>
      <c r="O619" s="33"/>
      <c r="P619" s="33"/>
      <c r="Q619" s="33"/>
      <c r="R619" s="33"/>
      <c r="S619" s="33"/>
      <c r="T619" s="33"/>
    </row>
    <row r="620" spans="1:20" ht="15.6">
      <c r="A620" s="13">
        <v>60966</v>
      </c>
      <c r="B620" s="41">
        <f t="shared" si="0"/>
        <v>30</v>
      </c>
      <c r="C620" s="32">
        <v>122.58</v>
      </c>
      <c r="D620" s="32">
        <v>297.94099999999997</v>
      </c>
      <c r="E620" s="38">
        <v>729.47900000000004</v>
      </c>
      <c r="F620" s="32">
        <v>1150</v>
      </c>
      <c r="G620" s="32">
        <v>100</v>
      </c>
      <c r="H620" s="40">
        <v>600</v>
      </c>
      <c r="I620" s="32">
        <v>695</v>
      </c>
      <c r="J620" s="32">
        <v>50</v>
      </c>
      <c r="K620" s="33"/>
      <c r="L620" s="33"/>
      <c r="M620" s="33"/>
      <c r="N620" s="33"/>
      <c r="O620" s="33"/>
      <c r="P620" s="33"/>
      <c r="Q620" s="33"/>
      <c r="R620" s="33"/>
      <c r="S620" s="33"/>
      <c r="T620" s="33"/>
    </row>
    <row r="621" spans="1:20" ht="15.6">
      <c r="A621" s="13">
        <v>60997</v>
      </c>
      <c r="B621" s="41">
        <f t="shared" si="0"/>
        <v>31</v>
      </c>
      <c r="C621" s="32">
        <v>122.58</v>
      </c>
      <c r="D621" s="32">
        <v>297.94099999999997</v>
      </c>
      <c r="E621" s="38">
        <v>729.47900000000004</v>
      </c>
      <c r="F621" s="32">
        <v>1150</v>
      </c>
      <c r="G621" s="32">
        <v>100</v>
      </c>
      <c r="H621" s="40">
        <v>600</v>
      </c>
      <c r="I621" s="32">
        <v>695</v>
      </c>
      <c r="J621" s="32">
        <v>50</v>
      </c>
      <c r="K621" s="33"/>
      <c r="L621" s="33"/>
      <c r="M621" s="33"/>
      <c r="N621" s="33"/>
      <c r="O621" s="33"/>
      <c r="P621" s="33"/>
      <c r="Q621" s="33"/>
      <c r="R621" s="33"/>
      <c r="S621" s="33"/>
      <c r="T621" s="33"/>
    </row>
    <row r="622" spans="1:20" ht="15.6">
      <c r="A622" s="13">
        <v>61028</v>
      </c>
      <c r="B622" s="41">
        <f t="shared" si="0"/>
        <v>31</v>
      </c>
      <c r="C622" s="32">
        <v>122.58</v>
      </c>
      <c r="D622" s="32">
        <v>297.94099999999997</v>
      </c>
      <c r="E622" s="38">
        <v>729.47900000000004</v>
      </c>
      <c r="F622" s="32">
        <v>1150</v>
      </c>
      <c r="G622" s="32">
        <v>100</v>
      </c>
      <c r="H622" s="40">
        <v>600</v>
      </c>
      <c r="I622" s="32">
        <v>695</v>
      </c>
      <c r="J622" s="32">
        <v>50</v>
      </c>
      <c r="K622" s="33"/>
      <c r="L622" s="33"/>
      <c r="M622" s="33"/>
      <c r="N622" s="33"/>
      <c r="O622" s="33"/>
      <c r="P622" s="33"/>
      <c r="Q622" s="33"/>
      <c r="R622" s="33"/>
      <c r="S622" s="33"/>
      <c r="T622" s="33"/>
    </row>
    <row r="623" spans="1:20" ht="15.6">
      <c r="A623" s="13">
        <v>61056</v>
      </c>
      <c r="B623" s="41">
        <f t="shared" si="0"/>
        <v>28</v>
      </c>
      <c r="C623" s="32">
        <v>122.58</v>
      </c>
      <c r="D623" s="32">
        <v>297.94099999999997</v>
      </c>
      <c r="E623" s="38">
        <v>729.47900000000004</v>
      </c>
      <c r="F623" s="32">
        <v>1150</v>
      </c>
      <c r="G623" s="32">
        <v>100</v>
      </c>
      <c r="H623" s="40">
        <v>600</v>
      </c>
      <c r="I623" s="32">
        <v>695</v>
      </c>
      <c r="J623" s="32">
        <v>50</v>
      </c>
      <c r="K623" s="33"/>
      <c r="L623" s="33"/>
      <c r="M623" s="33"/>
      <c r="N623" s="33"/>
      <c r="O623" s="33"/>
      <c r="P623" s="33"/>
      <c r="Q623" s="33"/>
      <c r="R623" s="33"/>
      <c r="S623" s="33"/>
      <c r="T623" s="33"/>
    </row>
    <row r="624" spans="1:20" ht="15.6">
      <c r="A624" s="13">
        <v>61087</v>
      </c>
      <c r="B624" s="41">
        <f t="shared" si="0"/>
        <v>31</v>
      </c>
      <c r="C624" s="32">
        <v>122.58</v>
      </c>
      <c r="D624" s="32">
        <v>297.94099999999997</v>
      </c>
      <c r="E624" s="38">
        <v>729.47900000000004</v>
      </c>
      <c r="F624" s="32">
        <v>1150</v>
      </c>
      <c r="G624" s="32">
        <v>100</v>
      </c>
      <c r="H624" s="40">
        <v>600</v>
      </c>
      <c r="I624" s="32">
        <v>695</v>
      </c>
      <c r="J624" s="32">
        <v>50</v>
      </c>
      <c r="K624" s="33"/>
      <c r="L624" s="33"/>
      <c r="M624" s="33"/>
      <c r="N624" s="33"/>
      <c r="O624" s="33"/>
      <c r="P624" s="33"/>
      <c r="Q624" s="33"/>
      <c r="R624" s="33"/>
      <c r="S624" s="33"/>
      <c r="T624" s="33"/>
    </row>
    <row r="625" spans="1:20" ht="15.6">
      <c r="A625" s="13">
        <v>61117</v>
      </c>
      <c r="B625" s="41">
        <f t="shared" si="0"/>
        <v>30</v>
      </c>
      <c r="C625" s="32">
        <v>141.29300000000001</v>
      </c>
      <c r="D625" s="32">
        <v>267.99299999999999</v>
      </c>
      <c r="E625" s="38">
        <v>829.71400000000006</v>
      </c>
      <c r="F625" s="32">
        <v>1239</v>
      </c>
      <c r="G625" s="32">
        <v>100</v>
      </c>
      <c r="H625" s="40">
        <v>600</v>
      </c>
      <c r="I625" s="32">
        <v>695</v>
      </c>
      <c r="J625" s="32">
        <v>50</v>
      </c>
      <c r="K625" s="33"/>
      <c r="L625" s="33"/>
      <c r="M625" s="33"/>
      <c r="N625" s="33"/>
      <c r="O625" s="33"/>
      <c r="P625" s="33"/>
      <c r="Q625" s="33"/>
      <c r="R625" s="33"/>
      <c r="S625" s="33"/>
      <c r="T625" s="33"/>
    </row>
    <row r="626" spans="1:20" ht="15.6">
      <c r="A626" s="13">
        <v>61148</v>
      </c>
      <c r="B626" s="41">
        <f t="shared" ref="B626:B689" si="1">EOMONTH(A626,0)-EOMONTH(A626,-1)</f>
        <v>31</v>
      </c>
      <c r="C626" s="32">
        <v>194.20500000000001</v>
      </c>
      <c r="D626" s="32">
        <v>267.46600000000001</v>
      </c>
      <c r="E626" s="38">
        <v>812.32899999999995</v>
      </c>
      <c r="F626" s="32">
        <v>1274</v>
      </c>
      <c r="G626" s="32">
        <v>75</v>
      </c>
      <c r="H626" s="40">
        <v>600</v>
      </c>
      <c r="I626" s="32">
        <v>695</v>
      </c>
      <c r="J626" s="32">
        <v>50</v>
      </c>
      <c r="K626" s="33"/>
      <c r="L626" s="33"/>
      <c r="M626" s="33"/>
      <c r="N626" s="33"/>
      <c r="O626" s="33"/>
      <c r="P626" s="33"/>
      <c r="Q626" s="33"/>
      <c r="R626" s="33"/>
      <c r="S626" s="33"/>
      <c r="T626" s="33"/>
    </row>
    <row r="627" spans="1:20" ht="15.6">
      <c r="A627" s="13">
        <v>61178</v>
      </c>
      <c r="B627" s="41">
        <f t="shared" si="1"/>
        <v>30</v>
      </c>
      <c r="C627" s="32">
        <v>194.20500000000001</v>
      </c>
      <c r="D627" s="32">
        <v>267.46600000000001</v>
      </c>
      <c r="E627" s="38">
        <v>812.32899999999995</v>
      </c>
      <c r="F627" s="32">
        <v>1274</v>
      </c>
      <c r="G627" s="32">
        <v>50</v>
      </c>
      <c r="H627" s="40">
        <v>600</v>
      </c>
      <c r="I627" s="32">
        <v>695</v>
      </c>
      <c r="J627" s="32">
        <v>50</v>
      </c>
      <c r="K627" s="33"/>
      <c r="L627" s="33"/>
      <c r="M627" s="33"/>
      <c r="N627" s="33"/>
      <c r="O627" s="33"/>
      <c r="P627" s="33"/>
      <c r="Q627" s="33"/>
      <c r="R627" s="33"/>
      <c r="S627" s="33"/>
      <c r="T627" s="33"/>
    </row>
    <row r="628" spans="1:20" ht="15.6">
      <c r="A628" s="13">
        <v>61209</v>
      </c>
      <c r="B628" s="41">
        <f t="shared" si="1"/>
        <v>31</v>
      </c>
      <c r="C628" s="32">
        <v>194.20500000000001</v>
      </c>
      <c r="D628" s="32">
        <v>267.46600000000001</v>
      </c>
      <c r="E628" s="38">
        <v>812.32899999999995</v>
      </c>
      <c r="F628" s="32">
        <v>1274</v>
      </c>
      <c r="G628" s="32">
        <v>50</v>
      </c>
      <c r="H628" s="40">
        <v>600</v>
      </c>
      <c r="I628" s="32">
        <v>695</v>
      </c>
      <c r="J628" s="32">
        <v>0</v>
      </c>
      <c r="K628" s="33"/>
      <c r="L628" s="33"/>
      <c r="M628" s="33"/>
      <c r="N628" s="33"/>
      <c r="O628" s="33"/>
      <c r="P628" s="33"/>
      <c r="Q628" s="33"/>
      <c r="R628" s="33"/>
      <c r="S628" s="33"/>
      <c r="T628" s="33"/>
    </row>
    <row r="629" spans="1:20" ht="15.6">
      <c r="A629" s="13">
        <v>61240</v>
      </c>
      <c r="B629" s="41">
        <f t="shared" si="1"/>
        <v>31</v>
      </c>
      <c r="C629" s="32">
        <v>194.20500000000001</v>
      </c>
      <c r="D629" s="32">
        <v>267.46600000000001</v>
      </c>
      <c r="E629" s="38">
        <v>812.32899999999995</v>
      </c>
      <c r="F629" s="32">
        <v>1274</v>
      </c>
      <c r="G629" s="32">
        <v>50</v>
      </c>
      <c r="H629" s="40">
        <v>600</v>
      </c>
      <c r="I629" s="32">
        <v>695</v>
      </c>
      <c r="J629" s="32">
        <v>0</v>
      </c>
      <c r="K629" s="33"/>
      <c r="L629" s="33"/>
      <c r="M629" s="33"/>
      <c r="N629" s="33"/>
      <c r="O629" s="33"/>
      <c r="P629" s="33"/>
      <c r="Q629" s="33"/>
      <c r="R629" s="33"/>
      <c r="S629" s="33"/>
      <c r="T629" s="33"/>
    </row>
    <row r="630" spans="1:20" ht="15.6">
      <c r="A630" s="13">
        <v>61270</v>
      </c>
      <c r="B630" s="41">
        <f t="shared" si="1"/>
        <v>30</v>
      </c>
      <c r="C630" s="32">
        <v>194.20500000000001</v>
      </c>
      <c r="D630" s="32">
        <v>267.46600000000001</v>
      </c>
      <c r="E630" s="38">
        <v>812.32899999999995</v>
      </c>
      <c r="F630" s="32">
        <v>1274</v>
      </c>
      <c r="G630" s="32">
        <v>50</v>
      </c>
      <c r="H630" s="40">
        <v>600</v>
      </c>
      <c r="I630" s="32">
        <v>695</v>
      </c>
      <c r="J630" s="32">
        <v>0</v>
      </c>
      <c r="K630" s="33"/>
      <c r="L630" s="33"/>
      <c r="M630" s="33"/>
      <c r="N630" s="33"/>
      <c r="O630" s="33"/>
      <c r="P630" s="33"/>
      <c r="Q630" s="33"/>
      <c r="R630" s="33"/>
      <c r="S630" s="33"/>
      <c r="T630" s="33"/>
    </row>
    <row r="631" spans="1:20" ht="15.6">
      <c r="A631" s="13">
        <v>61301</v>
      </c>
      <c r="B631" s="41">
        <f t="shared" si="1"/>
        <v>31</v>
      </c>
      <c r="C631" s="32">
        <v>131.881</v>
      </c>
      <c r="D631" s="32">
        <v>277.16699999999997</v>
      </c>
      <c r="E631" s="38">
        <v>829.952</v>
      </c>
      <c r="F631" s="32">
        <v>1239</v>
      </c>
      <c r="G631" s="32">
        <v>75</v>
      </c>
      <c r="H631" s="40">
        <v>600</v>
      </c>
      <c r="I631" s="32">
        <v>695</v>
      </c>
      <c r="J631" s="32">
        <v>0</v>
      </c>
      <c r="K631" s="33"/>
      <c r="L631" s="33"/>
      <c r="M631" s="33"/>
      <c r="N631" s="33"/>
      <c r="O631" s="33"/>
      <c r="P631" s="33"/>
      <c r="Q631" s="33"/>
      <c r="R631" s="33"/>
      <c r="S631" s="33"/>
      <c r="T631" s="33"/>
    </row>
    <row r="632" spans="1:20" ht="15.6">
      <c r="A632" s="13">
        <v>61331</v>
      </c>
      <c r="B632" s="41">
        <f t="shared" si="1"/>
        <v>30</v>
      </c>
      <c r="C632" s="32">
        <v>122.58</v>
      </c>
      <c r="D632" s="32">
        <v>297.94099999999997</v>
      </c>
      <c r="E632" s="38">
        <v>729.47900000000004</v>
      </c>
      <c r="F632" s="32">
        <v>1150</v>
      </c>
      <c r="G632" s="32">
        <v>100</v>
      </c>
      <c r="H632" s="40">
        <v>600</v>
      </c>
      <c r="I632" s="32">
        <v>695</v>
      </c>
      <c r="J632" s="32">
        <v>50</v>
      </c>
      <c r="K632" s="33"/>
      <c r="L632" s="33"/>
      <c r="M632" s="33"/>
      <c r="N632" s="33"/>
      <c r="O632" s="33"/>
      <c r="P632" s="33"/>
      <c r="Q632" s="33"/>
      <c r="R632" s="33"/>
      <c r="S632" s="33"/>
      <c r="T632" s="33"/>
    </row>
    <row r="633" spans="1:20" ht="15.6">
      <c r="A633" s="13">
        <v>61362</v>
      </c>
      <c r="B633" s="41">
        <f t="shared" si="1"/>
        <v>31</v>
      </c>
      <c r="C633" s="32">
        <v>122.58</v>
      </c>
      <c r="D633" s="32">
        <v>297.94099999999997</v>
      </c>
      <c r="E633" s="38">
        <v>729.47900000000004</v>
      </c>
      <c r="F633" s="32">
        <v>1150</v>
      </c>
      <c r="G633" s="32">
        <v>100</v>
      </c>
      <c r="H633" s="40">
        <v>600</v>
      </c>
      <c r="I633" s="32">
        <v>695</v>
      </c>
      <c r="J633" s="32">
        <v>50</v>
      </c>
      <c r="K633" s="33"/>
      <c r="L633" s="33"/>
      <c r="M633" s="33"/>
      <c r="N633" s="33"/>
      <c r="O633" s="33"/>
      <c r="P633" s="33"/>
      <c r="Q633" s="33"/>
      <c r="R633" s="33"/>
      <c r="S633" s="33"/>
      <c r="T633" s="33"/>
    </row>
    <row r="634" spans="1:20" ht="15.6">
      <c r="A634" s="13">
        <v>61393</v>
      </c>
      <c r="B634" s="41">
        <f t="shared" si="1"/>
        <v>31</v>
      </c>
      <c r="C634" s="32">
        <v>122.58</v>
      </c>
      <c r="D634" s="32">
        <v>297.94099999999997</v>
      </c>
      <c r="E634" s="38">
        <v>729.47900000000004</v>
      </c>
      <c r="F634" s="32">
        <v>1150</v>
      </c>
      <c r="G634" s="32">
        <v>100</v>
      </c>
      <c r="H634" s="40">
        <v>600</v>
      </c>
      <c r="I634" s="32">
        <v>695</v>
      </c>
      <c r="J634" s="32">
        <v>50</v>
      </c>
      <c r="K634" s="33"/>
      <c r="L634" s="33"/>
      <c r="M634" s="33"/>
      <c r="N634" s="33"/>
      <c r="O634" s="33"/>
      <c r="P634" s="33"/>
      <c r="Q634" s="33"/>
      <c r="R634" s="33"/>
      <c r="S634" s="33"/>
      <c r="T634" s="33"/>
    </row>
    <row r="635" spans="1:20" ht="15.6">
      <c r="A635" s="13">
        <v>61422</v>
      </c>
      <c r="B635" s="41">
        <f t="shared" si="1"/>
        <v>29</v>
      </c>
      <c r="C635" s="32">
        <v>122.58</v>
      </c>
      <c r="D635" s="32">
        <v>297.94099999999997</v>
      </c>
      <c r="E635" s="38">
        <v>729.47900000000004</v>
      </c>
      <c r="F635" s="32">
        <v>1150</v>
      </c>
      <c r="G635" s="32">
        <v>100</v>
      </c>
      <c r="H635" s="40">
        <v>600</v>
      </c>
      <c r="I635" s="32">
        <v>695</v>
      </c>
      <c r="J635" s="32">
        <v>50</v>
      </c>
      <c r="K635" s="33"/>
      <c r="L635" s="33"/>
      <c r="M635" s="33"/>
      <c r="N635" s="33"/>
      <c r="O635" s="33"/>
      <c r="P635" s="33"/>
      <c r="Q635" s="33"/>
      <c r="R635" s="33"/>
      <c r="S635" s="33"/>
      <c r="T635" s="33"/>
    </row>
    <row r="636" spans="1:20" ht="15.6">
      <c r="A636" s="13">
        <v>61453</v>
      </c>
      <c r="B636" s="41">
        <f t="shared" si="1"/>
        <v>31</v>
      </c>
      <c r="C636" s="32">
        <v>122.58</v>
      </c>
      <c r="D636" s="32">
        <v>297.94099999999997</v>
      </c>
      <c r="E636" s="38">
        <v>729.47900000000004</v>
      </c>
      <c r="F636" s="32">
        <v>1150</v>
      </c>
      <c r="G636" s="32">
        <v>100</v>
      </c>
      <c r="H636" s="40">
        <v>600</v>
      </c>
      <c r="I636" s="32">
        <v>695</v>
      </c>
      <c r="J636" s="32">
        <v>50</v>
      </c>
      <c r="K636" s="33"/>
      <c r="L636" s="33"/>
      <c r="M636" s="33"/>
      <c r="N636" s="33"/>
      <c r="O636" s="33"/>
      <c r="P636" s="33"/>
      <c r="Q636" s="33"/>
      <c r="R636" s="33"/>
      <c r="S636" s="33"/>
      <c r="T636" s="33"/>
    </row>
    <row r="637" spans="1:20" ht="15.6">
      <c r="A637" s="13">
        <v>61483</v>
      </c>
      <c r="B637" s="41">
        <f t="shared" si="1"/>
        <v>30</v>
      </c>
      <c r="C637" s="32">
        <v>141.29300000000001</v>
      </c>
      <c r="D637" s="32">
        <v>267.99299999999999</v>
      </c>
      <c r="E637" s="38">
        <v>829.71400000000006</v>
      </c>
      <c r="F637" s="32">
        <v>1239</v>
      </c>
      <c r="G637" s="32">
        <v>100</v>
      </c>
      <c r="H637" s="40">
        <v>600</v>
      </c>
      <c r="I637" s="32">
        <v>695</v>
      </c>
      <c r="J637" s="32">
        <v>50</v>
      </c>
      <c r="K637" s="33"/>
      <c r="L637" s="33"/>
      <c r="M637" s="33"/>
      <c r="N637" s="33"/>
      <c r="O637" s="33"/>
      <c r="P637" s="33"/>
      <c r="Q637" s="33"/>
      <c r="R637" s="33"/>
      <c r="S637" s="33"/>
      <c r="T637" s="33"/>
    </row>
    <row r="638" spans="1:20" ht="15.6">
      <c r="A638" s="13">
        <v>61514</v>
      </c>
      <c r="B638" s="41">
        <f t="shared" si="1"/>
        <v>31</v>
      </c>
      <c r="C638" s="32">
        <v>194.20500000000001</v>
      </c>
      <c r="D638" s="32">
        <v>267.46600000000001</v>
      </c>
      <c r="E638" s="38">
        <v>812.32899999999995</v>
      </c>
      <c r="F638" s="32">
        <v>1274</v>
      </c>
      <c r="G638" s="32">
        <v>75</v>
      </c>
      <c r="H638" s="40">
        <v>600</v>
      </c>
      <c r="I638" s="32">
        <v>695</v>
      </c>
      <c r="J638" s="32">
        <v>50</v>
      </c>
      <c r="K638" s="33"/>
      <c r="L638" s="33"/>
      <c r="M638" s="33"/>
      <c r="N638" s="33"/>
      <c r="O638" s="33"/>
      <c r="P638" s="33"/>
      <c r="Q638" s="33"/>
      <c r="R638" s="33"/>
      <c r="S638" s="33"/>
      <c r="T638" s="33"/>
    </row>
    <row r="639" spans="1:20" ht="15.6">
      <c r="A639" s="13">
        <v>61544</v>
      </c>
      <c r="B639" s="41">
        <f t="shared" si="1"/>
        <v>30</v>
      </c>
      <c r="C639" s="32">
        <v>194.20500000000001</v>
      </c>
      <c r="D639" s="32">
        <v>267.46600000000001</v>
      </c>
      <c r="E639" s="38">
        <v>812.32899999999995</v>
      </c>
      <c r="F639" s="32">
        <v>1274</v>
      </c>
      <c r="G639" s="32">
        <v>50</v>
      </c>
      <c r="H639" s="40">
        <v>600</v>
      </c>
      <c r="I639" s="32">
        <v>695</v>
      </c>
      <c r="J639" s="32">
        <v>50</v>
      </c>
      <c r="K639" s="33"/>
      <c r="L639" s="33"/>
      <c r="M639" s="33"/>
      <c r="N639" s="33"/>
      <c r="O639" s="33"/>
      <c r="P639" s="33"/>
      <c r="Q639" s="33"/>
      <c r="R639" s="33"/>
      <c r="S639" s="33"/>
      <c r="T639" s="33"/>
    </row>
    <row r="640" spans="1:20" ht="15.6">
      <c r="A640" s="13">
        <v>61575</v>
      </c>
      <c r="B640" s="41">
        <f t="shared" si="1"/>
        <v>31</v>
      </c>
      <c r="C640" s="32">
        <v>194.20500000000001</v>
      </c>
      <c r="D640" s="32">
        <v>267.46600000000001</v>
      </c>
      <c r="E640" s="38">
        <v>812.32899999999995</v>
      </c>
      <c r="F640" s="32">
        <v>1274</v>
      </c>
      <c r="G640" s="32">
        <v>50</v>
      </c>
      <c r="H640" s="40">
        <v>600</v>
      </c>
      <c r="I640" s="32">
        <v>695</v>
      </c>
      <c r="J640" s="32">
        <v>0</v>
      </c>
      <c r="K640" s="33"/>
      <c r="L640" s="33"/>
      <c r="M640" s="33"/>
      <c r="N640" s="33"/>
      <c r="O640" s="33"/>
      <c r="P640" s="33"/>
      <c r="Q640" s="33"/>
      <c r="R640" s="33"/>
      <c r="S640" s="33"/>
      <c r="T640" s="33"/>
    </row>
    <row r="641" spans="1:20" ht="15.6">
      <c r="A641" s="13">
        <v>61606</v>
      </c>
      <c r="B641" s="41">
        <f t="shared" si="1"/>
        <v>31</v>
      </c>
      <c r="C641" s="32">
        <v>194.20500000000001</v>
      </c>
      <c r="D641" s="32">
        <v>267.46600000000001</v>
      </c>
      <c r="E641" s="38">
        <v>812.32899999999995</v>
      </c>
      <c r="F641" s="32">
        <v>1274</v>
      </c>
      <c r="G641" s="32">
        <v>50</v>
      </c>
      <c r="H641" s="40">
        <v>600</v>
      </c>
      <c r="I641" s="32">
        <v>695</v>
      </c>
      <c r="J641" s="32">
        <v>0</v>
      </c>
      <c r="K641" s="33"/>
      <c r="L641" s="33"/>
      <c r="M641" s="33"/>
      <c r="N641" s="33"/>
      <c r="O641" s="33"/>
      <c r="P641" s="33"/>
      <c r="Q641" s="33"/>
      <c r="R641" s="33"/>
      <c r="S641" s="33"/>
      <c r="T641" s="33"/>
    </row>
    <row r="642" spans="1:20" ht="15.6">
      <c r="A642" s="13">
        <v>61636</v>
      </c>
      <c r="B642" s="41">
        <f t="shared" si="1"/>
        <v>30</v>
      </c>
      <c r="C642" s="32">
        <v>194.20500000000001</v>
      </c>
      <c r="D642" s="32">
        <v>267.46600000000001</v>
      </c>
      <c r="E642" s="38">
        <v>812.32899999999995</v>
      </c>
      <c r="F642" s="32">
        <v>1274</v>
      </c>
      <c r="G642" s="32">
        <v>50</v>
      </c>
      <c r="H642" s="40">
        <v>600</v>
      </c>
      <c r="I642" s="32">
        <v>695</v>
      </c>
      <c r="J642" s="32">
        <v>0</v>
      </c>
      <c r="K642" s="33"/>
      <c r="L642" s="33"/>
      <c r="M642" s="33"/>
      <c r="N642" s="33"/>
      <c r="O642" s="33"/>
      <c r="P642" s="33"/>
      <c r="Q642" s="33"/>
      <c r="R642" s="33"/>
      <c r="S642" s="33"/>
      <c r="T642" s="33"/>
    </row>
    <row r="643" spans="1:20" ht="15.6">
      <c r="A643" s="13">
        <v>61667</v>
      </c>
      <c r="B643" s="41">
        <f t="shared" si="1"/>
        <v>31</v>
      </c>
      <c r="C643" s="32">
        <v>131.881</v>
      </c>
      <c r="D643" s="32">
        <v>277.16699999999997</v>
      </c>
      <c r="E643" s="38">
        <v>829.952</v>
      </c>
      <c r="F643" s="32">
        <v>1239</v>
      </c>
      <c r="G643" s="32">
        <v>75</v>
      </c>
      <c r="H643" s="40">
        <v>600</v>
      </c>
      <c r="I643" s="32">
        <v>695</v>
      </c>
      <c r="J643" s="32">
        <v>0</v>
      </c>
      <c r="K643" s="33"/>
      <c r="L643" s="33"/>
      <c r="M643" s="33"/>
      <c r="N643" s="33"/>
      <c r="O643" s="33"/>
      <c r="P643" s="33"/>
      <c r="Q643" s="33"/>
      <c r="R643" s="33"/>
      <c r="S643" s="33"/>
      <c r="T643" s="33"/>
    </row>
    <row r="644" spans="1:20" ht="15.6">
      <c r="A644" s="13">
        <v>61697</v>
      </c>
      <c r="B644" s="41">
        <f t="shared" si="1"/>
        <v>30</v>
      </c>
      <c r="C644" s="32">
        <v>122.58</v>
      </c>
      <c r="D644" s="32">
        <v>297.94099999999997</v>
      </c>
      <c r="E644" s="38">
        <v>729.47900000000004</v>
      </c>
      <c r="F644" s="32">
        <v>1150</v>
      </c>
      <c r="G644" s="32">
        <v>100</v>
      </c>
      <c r="H644" s="40">
        <v>600</v>
      </c>
      <c r="I644" s="32">
        <v>695</v>
      </c>
      <c r="J644" s="32">
        <v>50</v>
      </c>
      <c r="K644" s="33"/>
      <c r="L644" s="33"/>
      <c r="M644" s="33"/>
      <c r="N644" s="33"/>
      <c r="O644" s="33"/>
      <c r="P644" s="33"/>
      <c r="Q644" s="33"/>
      <c r="R644" s="33"/>
      <c r="S644" s="33"/>
      <c r="T644" s="33"/>
    </row>
    <row r="645" spans="1:20" ht="15.6">
      <c r="A645" s="13">
        <v>61728</v>
      </c>
      <c r="B645" s="41">
        <f t="shared" si="1"/>
        <v>31</v>
      </c>
      <c r="C645" s="32">
        <v>122.58</v>
      </c>
      <c r="D645" s="32">
        <v>297.94099999999997</v>
      </c>
      <c r="E645" s="38">
        <v>729.47900000000004</v>
      </c>
      <c r="F645" s="32">
        <v>1150</v>
      </c>
      <c r="G645" s="32">
        <v>100</v>
      </c>
      <c r="H645" s="40">
        <v>600</v>
      </c>
      <c r="I645" s="32">
        <v>695</v>
      </c>
      <c r="J645" s="32">
        <v>50</v>
      </c>
      <c r="K645" s="33"/>
      <c r="L645" s="33"/>
      <c r="M645" s="33"/>
      <c r="N645" s="33"/>
      <c r="O645" s="33"/>
      <c r="P645" s="33"/>
      <c r="Q645" s="33"/>
      <c r="R645" s="33"/>
      <c r="S645" s="33"/>
      <c r="T645" s="33"/>
    </row>
    <row r="646" spans="1:20" ht="15.6">
      <c r="A646" s="13">
        <v>61759</v>
      </c>
      <c r="B646" s="41">
        <f t="shared" si="1"/>
        <v>31</v>
      </c>
      <c r="C646" s="32">
        <v>122.58</v>
      </c>
      <c r="D646" s="32">
        <v>297.94099999999997</v>
      </c>
      <c r="E646" s="38">
        <v>729.47900000000004</v>
      </c>
      <c r="F646" s="32">
        <v>1150</v>
      </c>
      <c r="G646" s="32">
        <v>100</v>
      </c>
      <c r="H646" s="40">
        <v>600</v>
      </c>
      <c r="I646" s="32">
        <v>695</v>
      </c>
      <c r="J646" s="32">
        <v>50</v>
      </c>
      <c r="K646" s="33"/>
      <c r="L646" s="33"/>
      <c r="M646" s="33"/>
      <c r="N646" s="33"/>
      <c r="O646" s="33"/>
      <c r="P646" s="33"/>
      <c r="Q646" s="33"/>
      <c r="R646" s="33"/>
      <c r="S646" s="33"/>
      <c r="T646" s="33"/>
    </row>
    <row r="647" spans="1:20" ht="15.6">
      <c r="A647" s="13">
        <v>61787</v>
      </c>
      <c r="B647" s="41">
        <f t="shared" si="1"/>
        <v>28</v>
      </c>
      <c r="C647" s="32">
        <v>122.58</v>
      </c>
      <c r="D647" s="32">
        <v>297.94099999999997</v>
      </c>
      <c r="E647" s="38">
        <v>729.47900000000004</v>
      </c>
      <c r="F647" s="32">
        <v>1150</v>
      </c>
      <c r="G647" s="32">
        <v>100</v>
      </c>
      <c r="H647" s="40">
        <v>600</v>
      </c>
      <c r="I647" s="32">
        <v>695</v>
      </c>
      <c r="J647" s="32">
        <v>50</v>
      </c>
      <c r="K647" s="33"/>
      <c r="L647" s="33"/>
      <c r="M647" s="33"/>
      <c r="N647" s="33"/>
      <c r="O647" s="33"/>
      <c r="P647" s="33"/>
      <c r="Q647" s="33"/>
      <c r="R647" s="33"/>
      <c r="S647" s="33"/>
      <c r="T647" s="33"/>
    </row>
    <row r="648" spans="1:20" ht="15.6">
      <c r="A648" s="13">
        <v>61818</v>
      </c>
      <c r="B648" s="41">
        <f t="shared" si="1"/>
        <v>31</v>
      </c>
      <c r="C648" s="32">
        <v>122.58</v>
      </c>
      <c r="D648" s="32">
        <v>297.94099999999997</v>
      </c>
      <c r="E648" s="38">
        <v>729.47900000000004</v>
      </c>
      <c r="F648" s="32">
        <v>1150</v>
      </c>
      <c r="G648" s="32">
        <v>100</v>
      </c>
      <c r="H648" s="40">
        <v>600</v>
      </c>
      <c r="I648" s="32">
        <v>695</v>
      </c>
      <c r="J648" s="32">
        <v>50</v>
      </c>
      <c r="K648" s="33"/>
      <c r="L648" s="33"/>
      <c r="M648" s="33"/>
      <c r="N648" s="33"/>
      <c r="O648" s="33"/>
      <c r="P648" s="33"/>
      <c r="Q648" s="33"/>
      <c r="R648" s="33"/>
      <c r="S648" s="33"/>
      <c r="T648" s="33"/>
    </row>
    <row r="649" spans="1:20" ht="15.6">
      <c r="A649" s="13">
        <v>61848</v>
      </c>
      <c r="B649" s="41">
        <f t="shared" si="1"/>
        <v>30</v>
      </c>
      <c r="C649" s="32">
        <v>141.29300000000001</v>
      </c>
      <c r="D649" s="32">
        <v>267.99299999999999</v>
      </c>
      <c r="E649" s="38">
        <v>829.71400000000006</v>
      </c>
      <c r="F649" s="32">
        <v>1239</v>
      </c>
      <c r="G649" s="32">
        <v>100</v>
      </c>
      <c r="H649" s="40">
        <v>600</v>
      </c>
      <c r="I649" s="32">
        <v>695</v>
      </c>
      <c r="J649" s="32">
        <v>50</v>
      </c>
      <c r="K649" s="33"/>
      <c r="L649" s="33"/>
      <c r="M649" s="33"/>
      <c r="N649" s="33"/>
      <c r="O649" s="33"/>
      <c r="P649" s="33"/>
      <c r="Q649" s="33"/>
      <c r="R649" s="33"/>
      <c r="S649" s="33"/>
      <c r="T649" s="33"/>
    </row>
    <row r="650" spans="1:20" ht="15.6">
      <c r="A650" s="13">
        <v>61879</v>
      </c>
      <c r="B650" s="41">
        <f t="shared" si="1"/>
        <v>31</v>
      </c>
      <c r="C650" s="32">
        <v>194.20500000000001</v>
      </c>
      <c r="D650" s="32">
        <v>267.46600000000001</v>
      </c>
      <c r="E650" s="38">
        <v>812.32899999999995</v>
      </c>
      <c r="F650" s="32">
        <v>1274</v>
      </c>
      <c r="G650" s="32">
        <v>75</v>
      </c>
      <c r="H650" s="40">
        <v>600</v>
      </c>
      <c r="I650" s="32">
        <v>695</v>
      </c>
      <c r="J650" s="32">
        <v>50</v>
      </c>
      <c r="K650" s="33"/>
      <c r="L650" s="33"/>
      <c r="M650" s="33"/>
      <c r="N650" s="33"/>
      <c r="O650" s="33"/>
      <c r="P650" s="33"/>
      <c r="Q650" s="33"/>
      <c r="R650" s="33"/>
      <c r="S650" s="33"/>
      <c r="T650" s="33"/>
    </row>
    <row r="651" spans="1:20" ht="15.6">
      <c r="A651" s="13">
        <v>61909</v>
      </c>
      <c r="B651" s="41">
        <f t="shared" si="1"/>
        <v>30</v>
      </c>
      <c r="C651" s="32">
        <v>194.20500000000001</v>
      </c>
      <c r="D651" s="32">
        <v>267.46600000000001</v>
      </c>
      <c r="E651" s="38">
        <v>812.32899999999995</v>
      </c>
      <c r="F651" s="32">
        <v>1274</v>
      </c>
      <c r="G651" s="32">
        <v>50</v>
      </c>
      <c r="H651" s="40">
        <v>600</v>
      </c>
      <c r="I651" s="32">
        <v>695</v>
      </c>
      <c r="J651" s="32">
        <v>50</v>
      </c>
      <c r="K651" s="33"/>
      <c r="L651" s="33"/>
      <c r="M651" s="33"/>
      <c r="N651" s="33"/>
      <c r="O651" s="33"/>
      <c r="P651" s="33"/>
      <c r="Q651" s="33"/>
      <c r="R651" s="33"/>
      <c r="S651" s="33"/>
      <c r="T651" s="33"/>
    </row>
    <row r="652" spans="1:20" ht="15.6">
      <c r="A652" s="13">
        <v>61940</v>
      </c>
      <c r="B652" s="41">
        <f t="shared" si="1"/>
        <v>31</v>
      </c>
      <c r="C652" s="32">
        <v>194.20500000000001</v>
      </c>
      <c r="D652" s="32">
        <v>267.46600000000001</v>
      </c>
      <c r="E652" s="38">
        <v>812.32899999999995</v>
      </c>
      <c r="F652" s="32">
        <v>1274</v>
      </c>
      <c r="G652" s="32">
        <v>50</v>
      </c>
      <c r="H652" s="40">
        <v>600</v>
      </c>
      <c r="I652" s="32">
        <v>695</v>
      </c>
      <c r="J652" s="32">
        <v>0</v>
      </c>
      <c r="K652" s="33"/>
      <c r="L652" s="33"/>
      <c r="M652" s="33"/>
      <c r="N652" s="33"/>
      <c r="O652" s="33"/>
      <c r="P652" s="33"/>
      <c r="Q652" s="33"/>
      <c r="R652" s="33"/>
      <c r="S652" s="33"/>
      <c r="T652" s="33"/>
    </row>
    <row r="653" spans="1:20" ht="15.6">
      <c r="A653" s="13">
        <v>61971</v>
      </c>
      <c r="B653" s="41">
        <f t="shared" si="1"/>
        <v>31</v>
      </c>
      <c r="C653" s="32">
        <v>194.20500000000001</v>
      </c>
      <c r="D653" s="32">
        <v>267.46600000000001</v>
      </c>
      <c r="E653" s="38">
        <v>812.32899999999995</v>
      </c>
      <c r="F653" s="32">
        <v>1274</v>
      </c>
      <c r="G653" s="32">
        <v>50</v>
      </c>
      <c r="H653" s="40">
        <v>600</v>
      </c>
      <c r="I653" s="32">
        <v>695</v>
      </c>
      <c r="J653" s="32">
        <v>0</v>
      </c>
      <c r="K653" s="33"/>
      <c r="L653" s="33"/>
      <c r="M653" s="33"/>
      <c r="N653" s="33"/>
      <c r="O653" s="33"/>
      <c r="P653" s="33"/>
      <c r="Q653" s="33"/>
      <c r="R653" s="33"/>
      <c r="S653" s="33"/>
      <c r="T653" s="33"/>
    </row>
    <row r="654" spans="1:20" ht="15.6">
      <c r="A654" s="13">
        <v>62001</v>
      </c>
      <c r="B654" s="41">
        <f t="shared" si="1"/>
        <v>30</v>
      </c>
      <c r="C654" s="32">
        <v>194.20500000000001</v>
      </c>
      <c r="D654" s="32">
        <v>267.46600000000001</v>
      </c>
      <c r="E654" s="38">
        <v>812.32899999999995</v>
      </c>
      <c r="F654" s="32">
        <v>1274</v>
      </c>
      <c r="G654" s="32">
        <v>50</v>
      </c>
      <c r="H654" s="40">
        <v>600</v>
      </c>
      <c r="I654" s="32">
        <v>695</v>
      </c>
      <c r="J654" s="32">
        <v>0</v>
      </c>
      <c r="K654" s="33"/>
      <c r="L654" s="33"/>
      <c r="M654" s="33"/>
      <c r="N654" s="33"/>
      <c r="O654" s="33"/>
      <c r="P654" s="33"/>
      <c r="Q654" s="33"/>
      <c r="R654" s="33"/>
      <c r="S654" s="33"/>
      <c r="T654" s="33"/>
    </row>
    <row r="655" spans="1:20" ht="15.6">
      <c r="A655" s="13">
        <v>62032</v>
      </c>
      <c r="B655" s="41">
        <f t="shared" si="1"/>
        <v>31</v>
      </c>
      <c r="C655" s="32">
        <v>131.881</v>
      </c>
      <c r="D655" s="32">
        <v>277.16699999999997</v>
      </c>
      <c r="E655" s="38">
        <v>829.952</v>
      </c>
      <c r="F655" s="32">
        <v>1239</v>
      </c>
      <c r="G655" s="32">
        <v>75</v>
      </c>
      <c r="H655" s="40">
        <v>600</v>
      </c>
      <c r="I655" s="32">
        <v>695</v>
      </c>
      <c r="J655" s="32">
        <v>0</v>
      </c>
      <c r="K655" s="33"/>
      <c r="L655" s="33"/>
      <c r="M655" s="33"/>
      <c r="N655" s="33"/>
      <c r="O655" s="33"/>
      <c r="P655" s="33"/>
      <c r="Q655" s="33"/>
      <c r="R655" s="33"/>
      <c r="S655" s="33"/>
      <c r="T655" s="33"/>
    </row>
    <row r="656" spans="1:20" ht="15.6">
      <c r="A656" s="13">
        <v>62062</v>
      </c>
      <c r="B656" s="41">
        <f t="shared" si="1"/>
        <v>30</v>
      </c>
      <c r="C656" s="32">
        <v>122.58</v>
      </c>
      <c r="D656" s="32">
        <v>297.94099999999997</v>
      </c>
      <c r="E656" s="38">
        <v>729.47900000000004</v>
      </c>
      <c r="F656" s="32">
        <v>1150</v>
      </c>
      <c r="G656" s="32">
        <v>100</v>
      </c>
      <c r="H656" s="40">
        <v>600</v>
      </c>
      <c r="I656" s="32">
        <v>695</v>
      </c>
      <c r="J656" s="32">
        <v>50</v>
      </c>
      <c r="K656" s="33"/>
      <c r="L656" s="33"/>
      <c r="M656" s="33"/>
      <c r="N656" s="33"/>
      <c r="O656" s="33"/>
      <c r="P656" s="33"/>
      <c r="Q656" s="33"/>
      <c r="R656" s="33"/>
      <c r="S656" s="33"/>
      <c r="T656" s="33"/>
    </row>
    <row r="657" spans="1:20" ht="15.6">
      <c r="A657" s="13">
        <v>62093</v>
      </c>
      <c r="B657" s="41">
        <f t="shared" si="1"/>
        <v>31</v>
      </c>
      <c r="C657" s="32">
        <v>122.58</v>
      </c>
      <c r="D657" s="32">
        <v>297.94099999999997</v>
      </c>
      <c r="E657" s="38">
        <v>729.47900000000004</v>
      </c>
      <c r="F657" s="32">
        <v>1150</v>
      </c>
      <c r="G657" s="32">
        <v>100</v>
      </c>
      <c r="H657" s="40">
        <v>600</v>
      </c>
      <c r="I657" s="32">
        <v>695</v>
      </c>
      <c r="J657" s="32">
        <v>50</v>
      </c>
      <c r="K657" s="33"/>
      <c r="L657" s="33"/>
      <c r="M657" s="33"/>
      <c r="N657" s="33"/>
      <c r="O657" s="33"/>
      <c r="P657" s="33"/>
      <c r="Q657" s="33"/>
      <c r="R657" s="33"/>
      <c r="S657" s="33"/>
      <c r="T657" s="33"/>
    </row>
    <row r="658" spans="1:20" ht="15.6">
      <c r="A658" s="13">
        <v>62124</v>
      </c>
      <c r="B658" s="41">
        <f t="shared" si="1"/>
        <v>31</v>
      </c>
      <c r="C658" s="32">
        <v>122.58</v>
      </c>
      <c r="D658" s="32">
        <v>297.94099999999997</v>
      </c>
      <c r="E658" s="38">
        <v>729.47900000000004</v>
      </c>
      <c r="F658" s="32">
        <v>1150</v>
      </c>
      <c r="G658" s="32">
        <v>100</v>
      </c>
      <c r="H658" s="40">
        <v>600</v>
      </c>
      <c r="I658" s="32">
        <v>695</v>
      </c>
      <c r="J658" s="32">
        <v>50</v>
      </c>
      <c r="K658" s="33"/>
      <c r="L658" s="33"/>
      <c r="M658" s="33"/>
      <c r="N658" s="33"/>
      <c r="O658" s="33"/>
      <c r="P658" s="33"/>
      <c r="Q658" s="33"/>
      <c r="R658" s="33"/>
      <c r="S658" s="33"/>
      <c r="T658" s="33"/>
    </row>
    <row r="659" spans="1:20" ht="15.6">
      <c r="A659" s="13">
        <v>62152</v>
      </c>
      <c r="B659" s="41">
        <f t="shared" si="1"/>
        <v>28</v>
      </c>
      <c r="C659" s="32">
        <v>122.58</v>
      </c>
      <c r="D659" s="32">
        <v>297.94099999999997</v>
      </c>
      <c r="E659" s="38">
        <v>729.47900000000004</v>
      </c>
      <c r="F659" s="32">
        <v>1150</v>
      </c>
      <c r="G659" s="32">
        <v>100</v>
      </c>
      <c r="H659" s="40">
        <v>600</v>
      </c>
      <c r="I659" s="32">
        <v>695</v>
      </c>
      <c r="J659" s="32">
        <v>50</v>
      </c>
      <c r="K659" s="33"/>
      <c r="L659" s="33"/>
      <c r="M659" s="33"/>
      <c r="N659" s="33"/>
      <c r="O659" s="33"/>
      <c r="P659" s="33"/>
      <c r="Q659" s="33"/>
      <c r="R659" s="33"/>
      <c r="S659" s="33"/>
      <c r="T659" s="33"/>
    </row>
    <row r="660" spans="1:20" ht="15.6">
      <c r="A660" s="13">
        <v>62183</v>
      </c>
      <c r="B660" s="41">
        <f t="shared" si="1"/>
        <v>31</v>
      </c>
      <c r="C660" s="32">
        <v>122.58</v>
      </c>
      <c r="D660" s="32">
        <v>297.94099999999997</v>
      </c>
      <c r="E660" s="38">
        <v>729.47900000000004</v>
      </c>
      <c r="F660" s="32">
        <v>1150</v>
      </c>
      <c r="G660" s="32">
        <v>100</v>
      </c>
      <c r="H660" s="40">
        <v>600</v>
      </c>
      <c r="I660" s="32">
        <v>695</v>
      </c>
      <c r="J660" s="32">
        <v>50</v>
      </c>
      <c r="K660" s="33"/>
      <c r="L660" s="33"/>
      <c r="M660" s="33"/>
      <c r="N660" s="33"/>
      <c r="O660" s="33"/>
      <c r="P660" s="33"/>
      <c r="Q660" s="33"/>
      <c r="R660" s="33"/>
      <c r="S660" s="33"/>
      <c r="T660" s="33"/>
    </row>
    <row r="661" spans="1:20" ht="15.6">
      <c r="A661" s="13">
        <v>62213</v>
      </c>
      <c r="B661" s="41">
        <f t="shared" si="1"/>
        <v>30</v>
      </c>
      <c r="C661" s="32">
        <v>141.29300000000001</v>
      </c>
      <c r="D661" s="32">
        <v>267.99299999999999</v>
      </c>
      <c r="E661" s="38">
        <v>829.71400000000006</v>
      </c>
      <c r="F661" s="32">
        <v>1239</v>
      </c>
      <c r="G661" s="32">
        <v>100</v>
      </c>
      <c r="H661" s="40">
        <v>600</v>
      </c>
      <c r="I661" s="32">
        <v>695</v>
      </c>
      <c r="J661" s="32">
        <v>50</v>
      </c>
      <c r="K661" s="33"/>
      <c r="L661" s="33"/>
      <c r="M661" s="33"/>
      <c r="N661" s="33"/>
      <c r="O661" s="33"/>
      <c r="P661" s="33"/>
      <c r="Q661" s="33"/>
      <c r="R661" s="33"/>
      <c r="S661" s="33"/>
      <c r="T661" s="33"/>
    </row>
    <row r="662" spans="1:20" ht="15.6">
      <c r="A662" s="13">
        <v>62244</v>
      </c>
      <c r="B662" s="41">
        <f t="shared" si="1"/>
        <v>31</v>
      </c>
      <c r="C662" s="32">
        <v>194.20500000000001</v>
      </c>
      <c r="D662" s="32">
        <v>267.46600000000001</v>
      </c>
      <c r="E662" s="38">
        <v>812.32899999999995</v>
      </c>
      <c r="F662" s="32">
        <v>1274</v>
      </c>
      <c r="G662" s="32">
        <v>75</v>
      </c>
      <c r="H662" s="40">
        <v>600</v>
      </c>
      <c r="I662" s="32">
        <v>695</v>
      </c>
      <c r="J662" s="32">
        <v>50</v>
      </c>
      <c r="K662" s="33"/>
      <c r="L662" s="33"/>
      <c r="M662" s="33"/>
      <c r="N662" s="33"/>
      <c r="O662" s="33"/>
      <c r="P662" s="33"/>
      <c r="Q662" s="33"/>
      <c r="R662" s="33"/>
      <c r="S662" s="33"/>
      <c r="T662" s="33"/>
    </row>
    <row r="663" spans="1:20" ht="15.6">
      <c r="A663" s="13">
        <v>62274</v>
      </c>
      <c r="B663" s="41">
        <f t="shared" si="1"/>
        <v>30</v>
      </c>
      <c r="C663" s="32">
        <v>194.20500000000001</v>
      </c>
      <c r="D663" s="32">
        <v>267.46600000000001</v>
      </c>
      <c r="E663" s="38">
        <v>812.32899999999995</v>
      </c>
      <c r="F663" s="32">
        <v>1274</v>
      </c>
      <c r="G663" s="32">
        <v>50</v>
      </c>
      <c r="H663" s="40">
        <v>600</v>
      </c>
      <c r="I663" s="32">
        <v>695</v>
      </c>
      <c r="J663" s="32">
        <v>50</v>
      </c>
      <c r="K663" s="33"/>
      <c r="L663" s="33"/>
      <c r="M663" s="33"/>
      <c r="N663" s="33"/>
      <c r="O663" s="33"/>
      <c r="P663" s="33"/>
      <c r="Q663" s="33"/>
      <c r="R663" s="33"/>
      <c r="S663" s="33"/>
      <c r="T663" s="33"/>
    </row>
    <row r="664" spans="1:20" ht="15.6">
      <c r="A664" s="13">
        <v>62305</v>
      </c>
      <c r="B664" s="41">
        <f t="shared" si="1"/>
        <v>31</v>
      </c>
      <c r="C664" s="32">
        <v>194.20500000000001</v>
      </c>
      <c r="D664" s="32">
        <v>267.46600000000001</v>
      </c>
      <c r="E664" s="38">
        <v>812.32899999999995</v>
      </c>
      <c r="F664" s="32">
        <v>1274</v>
      </c>
      <c r="G664" s="32">
        <v>50</v>
      </c>
      <c r="H664" s="40">
        <v>600</v>
      </c>
      <c r="I664" s="32">
        <v>695</v>
      </c>
      <c r="J664" s="32">
        <v>0</v>
      </c>
      <c r="K664" s="33"/>
      <c r="L664" s="33"/>
      <c r="M664" s="33"/>
      <c r="N664" s="33"/>
      <c r="O664" s="33"/>
      <c r="P664" s="33"/>
      <c r="Q664" s="33"/>
      <c r="R664" s="33"/>
      <c r="S664" s="33"/>
      <c r="T664" s="33"/>
    </row>
    <row r="665" spans="1:20" ht="15.6">
      <c r="A665" s="13">
        <v>62336</v>
      </c>
      <c r="B665" s="41">
        <f t="shared" si="1"/>
        <v>31</v>
      </c>
      <c r="C665" s="32">
        <v>194.20500000000001</v>
      </c>
      <c r="D665" s="32">
        <v>267.46600000000001</v>
      </c>
      <c r="E665" s="38">
        <v>812.32899999999995</v>
      </c>
      <c r="F665" s="32">
        <v>1274</v>
      </c>
      <c r="G665" s="32">
        <v>50</v>
      </c>
      <c r="H665" s="40">
        <v>600</v>
      </c>
      <c r="I665" s="32">
        <v>695</v>
      </c>
      <c r="J665" s="32">
        <v>0</v>
      </c>
      <c r="K665" s="33"/>
      <c r="L665" s="33"/>
      <c r="M665" s="33"/>
      <c r="N665" s="33"/>
      <c r="O665" s="33"/>
      <c r="P665" s="33"/>
      <c r="Q665" s="33"/>
      <c r="R665" s="33"/>
      <c r="S665" s="33"/>
      <c r="T665" s="33"/>
    </row>
    <row r="666" spans="1:20" ht="15.6">
      <c r="A666" s="13">
        <v>62366</v>
      </c>
      <c r="B666" s="41">
        <f t="shared" si="1"/>
        <v>30</v>
      </c>
      <c r="C666" s="32">
        <v>194.20500000000001</v>
      </c>
      <c r="D666" s="32">
        <v>267.46600000000001</v>
      </c>
      <c r="E666" s="38">
        <v>812.32899999999995</v>
      </c>
      <c r="F666" s="32">
        <v>1274</v>
      </c>
      <c r="G666" s="32">
        <v>50</v>
      </c>
      <c r="H666" s="40">
        <v>600</v>
      </c>
      <c r="I666" s="32">
        <v>695</v>
      </c>
      <c r="J666" s="32">
        <v>0</v>
      </c>
      <c r="K666" s="33"/>
      <c r="L666" s="33"/>
      <c r="M666" s="33"/>
      <c r="N666" s="33"/>
      <c r="O666" s="33"/>
      <c r="P666" s="33"/>
      <c r="Q666" s="33"/>
      <c r="R666" s="33"/>
      <c r="S666" s="33"/>
      <c r="T666" s="33"/>
    </row>
    <row r="667" spans="1:20" ht="15.6">
      <c r="A667" s="13">
        <v>62397</v>
      </c>
      <c r="B667" s="41">
        <f t="shared" si="1"/>
        <v>31</v>
      </c>
      <c r="C667" s="32">
        <v>131.881</v>
      </c>
      <c r="D667" s="32">
        <v>277.16699999999997</v>
      </c>
      <c r="E667" s="38">
        <v>829.952</v>
      </c>
      <c r="F667" s="32">
        <v>1239</v>
      </c>
      <c r="G667" s="32">
        <v>75</v>
      </c>
      <c r="H667" s="40">
        <v>600</v>
      </c>
      <c r="I667" s="32">
        <v>695</v>
      </c>
      <c r="J667" s="32">
        <v>0</v>
      </c>
      <c r="K667" s="33"/>
      <c r="L667" s="33"/>
      <c r="M667" s="33"/>
      <c r="N667" s="33"/>
      <c r="O667" s="33"/>
      <c r="P667" s="33"/>
      <c r="Q667" s="33"/>
      <c r="R667" s="33"/>
      <c r="S667" s="33"/>
      <c r="T667" s="33"/>
    </row>
    <row r="668" spans="1:20" ht="15.6">
      <c r="A668" s="13">
        <v>62427</v>
      </c>
      <c r="B668" s="41">
        <f t="shared" si="1"/>
        <v>30</v>
      </c>
      <c r="C668" s="32">
        <v>122.58</v>
      </c>
      <c r="D668" s="32">
        <v>297.94099999999997</v>
      </c>
      <c r="E668" s="38">
        <v>729.47900000000004</v>
      </c>
      <c r="F668" s="32">
        <v>1150</v>
      </c>
      <c r="G668" s="32">
        <v>100</v>
      </c>
      <c r="H668" s="40">
        <v>600</v>
      </c>
      <c r="I668" s="32">
        <v>695</v>
      </c>
      <c r="J668" s="32">
        <v>50</v>
      </c>
      <c r="K668" s="33"/>
      <c r="L668" s="33"/>
      <c r="M668" s="33"/>
      <c r="N668" s="33"/>
      <c r="O668" s="33"/>
      <c r="P668" s="33"/>
      <c r="Q668" s="33"/>
      <c r="R668" s="33"/>
      <c r="S668" s="33"/>
      <c r="T668" s="33"/>
    </row>
    <row r="669" spans="1:20" ht="15.6">
      <c r="A669" s="13">
        <v>62458</v>
      </c>
      <c r="B669" s="41">
        <f t="shared" si="1"/>
        <v>31</v>
      </c>
      <c r="C669" s="32">
        <v>122.58</v>
      </c>
      <c r="D669" s="32">
        <v>297.94099999999997</v>
      </c>
      <c r="E669" s="38">
        <v>729.47900000000004</v>
      </c>
      <c r="F669" s="32">
        <v>1150</v>
      </c>
      <c r="G669" s="32">
        <v>100</v>
      </c>
      <c r="H669" s="40">
        <v>600</v>
      </c>
      <c r="I669" s="32">
        <v>695</v>
      </c>
      <c r="J669" s="32">
        <v>50</v>
      </c>
      <c r="K669" s="33"/>
      <c r="L669" s="33"/>
      <c r="M669" s="33"/>
      <c r="N669" s="33"/>
      <c r="O669" s="33"/>
      <c r="P669" s="33"/>
      <c r="Q669" s="33"/>
      <c r="R669" s="33"/>
      <c r="S669" s="33"/>
      <c r="T669" s="33"/>
    </row>
    <row r="670" spans="1:20" ht="15.6">
      <c r="A670" s="13">
        <v>62489</v>
      </c>
      <c r="B670" s="41">
        <f t="shared" si="1"/>
        <v>31</v>
      </c>
      <c r="C670" s="32">
        <v>122.58</v>
      </c>
      <c r="D670" s="32">
        <v>297.94099999999997</v>
      </c>
      <c r="E670" s="38">
        <v>729.47900000000004</v>
      </c>
      <c r="F670" s="32">
        <v>1150</v>
      </c>
      <c r="G670" s="32">
        <v>100</v>
      </c>
      <c r="H670" s="40">
        <v>600</v>
      </c>
      <c r="I670" s="32">
        <v>695</v>
      </c>
      <c r="J670" s="32">
        <v>50</v>
      </c>
      <c r="K670" s="33"/>
      <c r="L670" s="33"/>
      <c r="M670" s="33"/>
      <c r="N670" s="33"/>
      <c r="O670" s="33"/>
      <c r="P670" s="33"/>
      <c r="Q670" s="33"/>
      <c r="R670" s="33"/>
      <c r="S670" s="33"/>
      <c r="T670" s="33"/>
    </row>
    <row r="671" spans="1:20" ht="15.6">
      <c r="A671" s="13">
        <v>62517</v>
      </c>
      <c r="B671" s="41">
        <f t="shared" si="1"/>
        <v>28</v>
      </c>
      <c r="C671" s="32">
        <v>122.58</v>
      </c>
      <c r="D671" s="32">
        <v>297.94099999999997</v>
      </c>
      <c r="E671" s="38">
        <v>729.47900000000004</v>
      </c>
      <c r="F671" s="32">
        <v>1150</v>
      </c>
      <c r="G671" s="32">
        <v>100</v>
      </c>
      <c r="H671" s="40">
        <v>600</v>
      </c>
      <c r="I671" s="32">
        <v>695</v>
      </c>
      <c r="J671" s="32">
        <v>50</v>
      </c>
      <c r="K671" s="33"/>
      <c r="L671" s="33"/>
      <c r="M671" s="33"/>
      <c r="N671" s="33"/>
      <c r="O671" s="33"/>
      <c r="P671" s="33"/>
      <c r="Q671" s="33"/>
      <c r="R671" s="33"/>
      <c r="S671" s="33"/>
      <c r="T671" s="33"/>
    </row>
    <row r="672" spans="1:20" ht="15.6">
      <c r="A672" s="13">
        <v>62548</v>
      </c>
      <c r="B672" s="41">
        <f t="shared" si="1"/>
        <v>31</v>
      </c>
      <c r="C672" s="32">
        <v>122.58</v>
      </c>
      <c r="D672" s="32">
        <v>297.94099999999997</v>
      </c>
      <c r="E672" s="38">
        <v>729.47900000000004</v>
      </c>
      <c r="F672" s="32">
        <v>1150</v>
      </c>
      <c r="G672" s="32">
        <v>100</v>
      </c>
      <c r="H672" s="40">
        <v>600</v>
      </c>
      <c r="I672" s="32">
        <v>695</v>
      </c>
      <c r="J672" s="32">
        <v>50</v>
      </c>
      <c r="K672" s="33"/>
      <c r="L672" s="33"/>
      <c r="M672" s="33"/>
      <c r="N672" s="33"/>
      <c r="O672" s="33"/>
      <c r="P672" s="33"/>
      <c r="Q672" s="33"/>
      <c r="R672" s="33"/>
      <c r="S672" s="33"/>
      <c r="T672" s="33"/>
    </row>
    <row r="673" spans="1:20" ht="15.6">
      <c r="A673" s="13">
        <v>62578</v>
      </c>
      <c r="B673" s="41">
        <f t="shared" si="1"/>
        <v>30</v>
      </c>
      <c r="C673" s="32">
        <v>141.29300000000001</v>
      </c>
      <c r="D673" s="32">
        <v>267.99299999999999</v>
      </c>
      <c r="E673" s="38">
        <v>829.71400000000006</v>
      </c>
      <c r="F673" s="32">
        <v>1239</v>
      </c>
      <c r="G673" s="32">
        <v>100</v>
      </c>
      <c r="H673" s="40">
        <v>600</v>
      </c>
      <c r="I673" s="32">
        <v>695</v>
      </c>
      <c r="J673" s="32">
        <v>50</v>
      </c>
      <c r="K673" s="33"/>
      <c r="L673" s="33"/>
      <c r="M673" s="33"/>
      <c r="N673" s="33"/>
      <c r="O673" s="33"/>
      <c r="P673" s="33"/>
      <c r="Q673" s="33"/>
      <c r="R673" s="33"/>
      <c r="S673" s="33"/>
      <c r="T673" s="33"/>
    </row>
    <row r="674" spans="1:20" ht="15.6">
      <c r="A674" s="13">
        <v>62609</v>
      </c>
      <c r="B674" s="41">
        <f t="shared" si="1"/>
        <v>31</v>
      </c>
      <c r="C674" s="32">
        <v>194.20500000000001</v>
      </c>
      <c r="D674" s="32">
        <v>267.46600000000001</v>
      </c>
      <c r="E674" s="38">
        <v>812.32899999999995</v>
      </c>
      <c r="F674" s="32">
        <v>1274</v>
      </c>
      <c r="G674" s="32">
        <v>75</v>
      </c>
      <c r="H674" s="40">
        <v>600</v>
      </c>
      <c r="I674" s="32">
        <v>695</v>
      </c>
      <c r="J674" s="32">
        <v>50</v>
      </c>
      <c r="K674" s="33"/>
      <c r="L674" s="33"/>
      <c r="M674" s="33"/>
      <c r="N674" s="33"/>
      <c r="O674" s="33"/>
      <c r="P674" s="33"/>
      <c r="Q674" s="33"/>
      <c r="R674" s="33"/>
      <c r="S674" s="33"/>
      <c r="T674" s="33"/>
    </row>
    <row r="675" spans="1:20" ht="15.6">
      <c r="A675" s="13">
        <v>62639</v>
      </c>
      <c r="B675" s="41">
        <f t="shared" si="1"/>
        <v>30</v>
      </c>
      <c r="C675" s="32">
        <v>194.20500000000001</v>
      </c>
      <c r="D675" s="32">
        <v>267.46600000000001</v>
      </c>
      <c r="E675" s="38">
        <v>812.32899999999995</v>
      </c>
      <c r="F675" s="32">
        <v>1274</v>
      </c>
      <c r="G675" s="32">
        <v>50</v>
      </c>
      <c r="H675" s="40">
        <v>600</v>
      </c>
      <c r="I675" s="32">
        <v>695</v>
      </c>
      <c r="J675" s="32">
        <v>50</v>
      </c>
      <c r="K675" s="33"/>
      <c r="L675" s="33"/>
      <c r="M675" s="33"/>
      <c r="N675" s="33"/>
      <c r="O675" s="33"/>
      <c r="P675" s="33"/>
      <c r="Q675" s="33"/>
      <c r="R675" s="33"/>
      <c r="S675" s="33"/>
      <c r="T675" s="33"/>
    </row>
    <row r="676" spans="1:20" ht="15.6">
      <c r="A676" s="13">
        <v>62670</v>
      </c>
      <c r="B676" s="41">
        <f t="shared" si="1"/>
        <v>31</v>
      </c>
      <c r="C676" s="32">
        <v>194.20500000000001</v>
      </c>
      <c r="D676" s="32">
        <v>267.46600000000001</v>
      </c>
      <c r="E676" s="38">
        <v>812.32899999999995</v>
      </c>
      <c r="F676" s="32">
        <v>1274</v>
      </c>
      <c r="G676" s="32">
        <v>50</v>
      </c>
      <c r="H676" s="40">
        <v>600</v>
      </c>
      <c r="I676" s="32">
        <v>695</v>
      </c>
      <c r="J676" s="32">
        <v>0</v>
      </c>
      <c r="K676" s="33"/>
      <c r="L676" s="33"/>
      <c r="M676" s="33"/>
      <c r="N676" s="33"/>
      <c r="O676" s="33"/>
      <c r="P676" s="33"/>
      <c r="Q676" s="33"/>
      <c r="R676" s="33"/>
      <c r="S676" s="33"/>
      <c r="T676" s="33"/>
    </row>
    <row r="677" spans="1:20" ht="15.6">
      <c r="A677" s="13">
        <v>62701</v>
      </c>
      <c r="B677" s="41">
        <f t="shared" si="1"/>
        <v>31</v>
      </c>
      <c r="C677" s="32">
        <v>194.20500000000001</v>
      </c>
      <c r="D677" s="32">
        <v>267.46600000000001</v>
      </c>
      <c r="E677" s="38">
        <v>812.32899999999995</v>
      </c>
      <c r="F677" s="32">
        <v>1274</v>
      </c>
      <c r="G677" s="32">
        <v>50</v>
      </c>
      <c r="H677" s="40">
        <v>600</v>
      </c>
      <c r="I677" s="32">
        <v>695</v>
      </c>
      <c r="J677" s="32">
        <v>0</v>
      </c>
      <c r="K677" s="33"/>
      <c r="L677" s="33"/>
      <c r="M677" s="33"/>
      <c r="N677" s="33"/>
      <c r="O677" s="33"/>
      <c r="P677" s="33"/>
      <c r="Q677" s="33"/>
      <c r="R677" s="33"/>
      <c r="S677" s="33"/>
      <c r="T677" s="33"/>
    </row>
    <row r="678" spans="1:20" ht="15.6">
      <c r="A678" s="13">
        <v>62731</v>
      </c>
      <c r="B678" s="41">
        <f t="shared" si="1"/>
        <v>30</v>
      </c>
      <c r="C678" s="32">
        <v>194.20500000000001</v>
      </c>
      <c r="D678" s="32">
        <v>267.46600000000001</v>
      </c>
      <c r="E678" s="38">
        <v>812.32899999999995</v>
      </c>
      <c r="F678" s="32">
        <v>1274</v>
      </c>
      <c r="G678" s="32">
        <v>50</v>
      </c>
      <c r="H678" s="40">
        <v>600</v>
      </c>
      <c r="I678" s="32">
        <v>695</v>
      </c>
      <c r="J678" s="32">
        <v>0</v>
      </c>
      <c r="K678" s="33"/>
      <c r="L678" s="33"/>
      <c r="M678" s="33"/>
      <c r="N678" s="33"/>
      <c r="O678" s="33"/>
      <c r="P678" s="33"/>
      <c r="Q678" s="33"/>
      <c r="R678" s="33"/>
      <c r="S678" s="33"/>
      <c r="T678" s="33"/>
    </row>
    <row r="679" spans="1:20" ht="15.6">
      <c r="A679" s="13">
        <v>62762</v>
      </c>
      <c r="B679" s="41">
        <f t="shared" si="1"/>
        <v>31</v>
      </c>
      <c r="C679" s="32">
        <v>131.881</v>
      </c>
      <c r="D679" s="32">
        <v>277.16699999999997</v>
      </c>
      <c r="E679" s="38">
        <v>829.952</v>
      </c>
      <c r="F679" s="32">
        <v>1239</v>
      </c>
      <c r="G679" s="32">
        <v>75</v>
      </c>
      <c r="H679" s="40">
        <v>600</v>
      </c>
      <c r="I679" s="32">
        <v>695</v>
      </c>
      <c r="J679" s="32">
        <v>0</v>
      </c>
      <c r="K679" s="33"/>
      <c r="L679" s="33"/>
      <c r="M679" s="33"/>
      <c r="N679" s="33"/>
      <c r="O679" s="33"/>
      <c r="P679" s="33"/>
      <c r="Q679" s="33"/>
      <c r="R679" s="33"/>
      <c r="S679" s="33"/>
      <c r="T679" s="33"/>
    </row>
    <row r="680" spans="1:20" ht="15.6">
      <c r="A680" s="13">
        <v>62792</v>
      </c>
      <c r="B680" s="41">
        <f t="shared" si="1"/>
        <v>30</v>
      </c>
      <c r="C680" s="32">
        <v>122.58</v>
      </c>
      <c r="D680" s="32">
        <v>297.94099999999997</v>
      </c>
      <c r="E680" s="38">
        <v>729.47900000000004</v>
      </c>
      <c r="F680" s="32">
        <v>1150</v>
      </c>
      <c r="G680" s="32">
        <v>100</v>
      </c>
      <c r="H680" s="40">
        <v>600</v>
      </c>
      <c r="I680" s="32">
        <v>695</v>
      </c>
      <c r="J680" s="32">
        <v>50</v>
      </c>
      <c r="K680" s="33"/>
      <c r="L680" s="33"/>
      <c r="M680" s="33"/>
      <c r="N680" s="33"/>
      <c r="O680" s="33"/>
      <c r="P680" s="33"/>
      <c r="Q680" s="33"/>
      <c r="R680" s="33"/>
      <c r="S680" s="33"/>
      <c r="T680" s="33"/>
    </row>
    <row r="681" spans="1:20" ht="15.6">
      <c r="A681" s="13">
        <v>62823</v>
      </c>
      <c r="B681" s="41">
        <f t="shared" si="1"/>
        <v>31</v>
      </c>
      <c r="C681" s="32">
        <v>122.58</v>
      </c>
      <c r="D681" s="32">
        <v>297.94099999999997</v>
      </c>
      <c r="E681" s="38">
        <v>729.47900000000004</v>
      </c>
      <c r="F681" s="32">
        <v>1150</v>
      </c>
      <c r="G681" s="32">
        <v>100</v>
      </c>
      <c r="H681" s="40">
        <v>600</v>
      </c>
      <c r="I681" s="32">
        <v>695</v>
      </c>
      <c r="J681" s="32">
        <v>50</v>
      </c>
      <c r="K681" s="33"/>
      <c r="L681" s="33"/>
      <c r="M681" s="33"/>
      <c r="N681" s="33"/>
      <c r="O681" s="33"/>
      <c r="P681" s="33"/>
      <c r="Q681" s="33"/>
      <c r="R681" s="33"/>
      <c r="S681" s="33"/>
      <c r="T681" s="33"/>
    </row>
    <row r="682" spans="1:20" ht="15.6">
      <c r="A682" s="13">
        <v>62854</v>
      </c>
      <c r="B682" s="41">
        <f t="shared" si="1"/>
        <v>31</v>
      </c>
      <c r="C682" s="32">
        <v>122.58</v>
      </c>
      <c r="D682" s="32">
        <v>297.94099999999997</v>
      </c>
      <c r="E682" s="38">
        <v>729.47900000000004</v>
      </c>
      <c r="F682" s="32">
        <v>1150</v>
      </c>
      <c r="G682" s="32">
        <v>100</v>
      </c>
      <c r="H682" s="40">
        <v>600</v>
      </c>
      <c r="I682" s="32">
        <v>695</v>
      </c>
      <c r="J682" s="32">
        <v>50</v>
      </c>
      <c r="K682" s="33"/>
      <c r="L682" s="33"/>
      <c r="M682" s="33"/>
      <c r="N682" s="33"/>
      <c r="O682" s="33"/>
      <c r="P682" s="33"/>
      <c r="Q682" s="33"/>
      <c r="R682" s="33"/>
      <c r="S682" s="33"/>
      <c r="T682" s="33"/>
    </row>
    <row r="683" spans="1:20" ht="15.6">
      <c r="A683" s="13">
        <v>62883</v>
      </c>
      <c r="B683" s="41">
        <f t="shared" si="1"/>
        <v>29</v>
      </c>
      <c r="C683" s="32">
        <v>122.58</v>
      </c>
      <c r="D683" s="32">
        <v>297.94099999999997</v>
      </c>
      <c r="E683" s="38">
        <v>729.47900000000004</v>
      </c>
      <c r="F683" s="32">
        <v>1150</v>
      </c>
      <c r="G683" s="32">
        <v>100</v>
      </c>
      <c r="H683" s="40">
        <v>600</v>
      </c>
      <c r="I683" s="32">
        <v>695</v>
      </c>
      <c r="J683" s="32">
        <v>50</v>
      </c>
      <c r="K683" s="33"/>
      <c r="L683" s="33"/>
      <c r="M683" s="33"/>
      <c r="N683" s="33"/>
      <c r="O683" s="33"/>
      <c r="P683" s="33"/>
      <c r="Q683" s="33"/>
      <c r="R683" s="33"/>
      <c r="S683" s="33"/>
      <c r="T683" s="33"/>
    </row>
    <row r="684" spans="1:20" ht="15.6">
      <c r="A684" s="13">
        <v>62914</v>
      </c>
      <c r="B684" s="41">
        <f t="shared" si="1"/>
        <v>31</v>
      </c>
      <c r="C684" s="32">
        <v>122.58</v>
      </c>
      <c r="D684" s="32">
        <v>297.94099999999997</v>
      </c>
      <c r="E684" s="38">
        <v>729.47900000000004</v>
      </c>
      <c r="F684" s="32">
        <v>1150</v>
      </c>
      <c r="G684" s="32">
        <v>100</v>
      </c>
      <c r="H684" s="40">
        <v>600</v>
      </c>
      <c r="I684" s="32">
        <v>695</v>
      </c>
      <c r="J684" s="32">
        <v>50</v>
      </c>
      <c r="K684" s="33"/>
      <c r="L684" s="33"/>
      <c r="M684" s="33"/>
      <c r="N684" s="33"/>
      <c r="O684" s="33"/>
      <c r="P684" s="33"/>
      <c r="Q684" s="33"/>
      <c r="R684" s="33"/>
      <c r="S684" s="33"/>
      <c r="T684" s="33"/>
    </row>
    <row r="685" spans="1:20" ht="15.6">
      <c r="A685" s="13">
        <v>62944</v>
      </c>
      <c r="B685" s="41">
        <f t="shared" si="1"/>
        <v>30</v>
      </c>
      <c r="C685" s="32">
        <v>141.29300000000001</v>
      </c>
      <c r="D685" s="32">
        <v>267.99299999999999</v>
      </c>
      <c r="E685" s="38">
        <v>829.71400000000006</v>
      </c>
      <c r="F685" s="32">
        <v>1239</v>
      </c>
      <c r="G685" s="32">
        <v>100</v>
      </c>
      <c r="H685" s="40">
        <v>600</v>
      </c>
      <c r="I685" s="32">
        <v>695</v>
      </c>
      <c r="J685" s="32">
        <v>50</v>
      </c>
      <c r="K685" s="33"/>
      <c r="L685" s="33"/>
      <c r="M685" s="33"/>
      <c r="N685" s="33"/>
      <c r="O685" s="33"/>
      <c r="P685" s="33"/>
      <c r="Q685" s="33"/>
      <c r="R685" s="33"/>
      <c r="S685" s="33"/>
      <c r="T685" s="33"/>
    </row>
    <row r="686" spans="1:20" ht="15.6">
      <c r="A686" s="13">
        <v>62975</v>
      </c>
      <c r="B686" s="41">
        <f t="shared" si="1"/>
        <v>31</v>
      </c>
      <c r="C686" s="32">
        <v>194.20500000000001</v>
      </c>
      <c r="D686" s="32">
        <v>267.46600000000001</v>
      </c>
      <c r="E686" s="38">
        <v>812.32899999999995</v>
      </c>
      <c r="F686" s="32">
        <v>1274</v>
      </c>
      <c r="G686" s="32">
        <v>75</v>
      </c>
      <c r="H686" s="40">
        <v>600</v>
      </c>
      <c r="I686" s="32">
        <v>695</v>
      </c>
      <c r="J686" s="32">
        <v>50</v>
      </c>
      <c r="K686" s="33"/>
      <c r="L686" s="33"/>
      <c r="M686" s="33"/>
      <c r="N686" s="33"/>
      <c r="O686" s="33"/>
      <c r="P686" s="33"/>
      <c r="Q686" s="33"/>
      <c r="R686" s="33"/>
      <c r="S686" s="33"/>
      <c r="T686" s="33"/>
    </row>
    <row r="687" spans="1:20" ht="15.6">
      <c r="A687" s="13">
        <v>63005</v>
      </c>
      <c r="B687" s="41">
        <f t="shared" si="1"/>
        <v>30</v>
      </c>
      <c r="C687" s="32">
        <v>194.20500000000001</v>
      </c>
      <c r="D687" s="32">
        <v>267.46600000000001</v>
      </c>
      <c r="E687" s="38">
        <v>812.32899999999995</v>
      </c>
      <c r="F687" s="32">
        <v>1274</v>
      </c>
      <c r="G687" s="32">
        <v>50</v>
      </c>
      <c r="H687" s="40">
        <v>600</v>
      </c>
      <c r="I687" s="32">
        <v>695</v>
      </c>
      <c r="J687" s="32">
        <v>50</v>
      </c>
      <c r="K687" s="33"/>
      <c r="L687" s="33"/>
      <c r="M687" s="33"/>
      <c r="N687" s="33"/>
      <c r="O687" s="33"/>
      <c r="P687" s="33"/>
      <c r="Q687" s="33"/>
      <c r="R687" s="33"/>
      <c r="S687" s="33"/>
      <c r="T687" s="33"/>
    </row>
    <row r="688" spans="1:20" ht="15.6">
      <c r="A688" s="13">
        <v>63036</v>
      </c>
      <c r="B688" s="41">
        <f t="shared" si="1"/>
        <v>31</v>
      </c>
      <c r="C688" s="32">
        <v>194.20500000000001</v>
      </c>
      <c r="D688" s="32">
        <v>267.46600000000001</v>
      </c>
      <c r="E688" s="38">
        <v>812.32899999999995</v>
      </c>
      <c r="F688" s="32">
        <v>1274</v>
      </c>
      <c r="G688" s="32">
        <v>50</v>
      </c>
      <c r="H688" s="40">
        <v>600</v>
      </c>
      <c r="I688" s="32">
        <v>695</v>
      </c>
      <c r="J688" s="32">
        <v>0</v>
      </c>
      <c r="K688" s="33"/>
      <c r="L688" s="33"/>
      <c r="M688" s="33"/>
      <c r="N688" s="33"/>
      <c r="O688" s="33"/>
      <c r="P688" s="33"/>
      <c r="Q688" s="33"/>
      <c r="R688" s="33"/>
      <c r="S688" s="33"/>
      <c r="T688" s="33"/>
    </row>
    <row r="689" spans="1:20" ht="15.6">
      <c r="A689" s="13">
        <v>63067</v>
      </c>
      <c r="B689" s="41">
        <f t="shared" si="1"/>
        <v>31</v>
      </c>
      <c r="C689" s="32">
        <v>194.20500000000001</v>
      </c>
      <c r="D689" s="32">
        <v>267.46600000000001</v>
      </c>
      <c r="E689" s="38">
        <v>812.32899999999995</v>
      </c>
      <c r="F689" s="32">
        <v>1274</v>
      </c>
      <c r="G689" s="32">
        <v>50</v>
      </c>
      <c r="H689" s="40">
        <v>600</v>
      </c>
      <c r="I689" s="32">
        <v>695</v>
      </c>
      <c r="J689" s="32">
        <v>0</v>
      </c>
      <c r="K689" s="33"/>
      <c r="L689" s="33"/>
      <c r="M689" s="33"/>
      <c r="N689" s="33"/>
      <c r="O689" s="33"/>
      <c r="P689" s="33"/>
      <c r="Q689" s="33"/>
      <c r="R689" s="33"/>
      <c r="S689" s="33"/>
      <c r="T689" s="33"/>
    </row>
    <row r="690" spans="1:20" ht="15.6">
      <c r="A690" s="13">
        <v>63097</v>
      </c>
      <c r="B690" s="41">
        <f t="shared" ref="B690:B753" si="2">EOMONTH(A690,0)-EOMONTH(A690,-1)</f>
        <v>30</v>
      </c>
      <c r="C690" s="32">
        <v>194.20500000000001</v>
      </c>
      <c r="D690" s="32">
        <v>267.46600000000001</v>
      </c>
      <c r="E690" s="38">
        <v>812.32899999999995</v>
      </c>
      <c r="F690" s="32">
        <v>1274</v>
      </c>
      <c r="G690" s="32">
        <v>50</v>
      </c>
      <c r="H690" s="40">
        <v>600</v>
      </c>
      <c r="I690" s="32">
        <v>695</v>
      </c>
      <c r="J690" s="32">
        <v>0</v>
      </c>
      <c r="K690" s="33"/>
      <c r="L690" s="33"/>
      <c r="M690" s="33"/>
      <c r="N690" s="33"/>
      <c r="O690" s="33"/>
      <c r="P690" s="33"/>
      <c r="Q690" s="33"/>
      <c r="R690" s="33"/>
      <c r="S690" s="33"/>
      <c r="T690" s="33"/>
    </row>
    <row r="691" spans="1:20" ht="15.6">
      <c r="A691" s="13">
        <v>63128</v>
      </c>
      <c r="B691" s="41">
        <f t="shared" si="2"/>
        <v>31</v>
      </c>
      <c r="C691" s="32">
        <v>131.881</v>
      </c>
      <c r="D691" s="32">
        <v>277.16699999999997</v>
      </c>
      <c r="E691" s="38">
        <v>829.952</v>
      </c>
      <c r="F691" s="32">
        <v>1239</v>
      </c>
      <c r="G691" s="32">
        <v>75</v>
      </c>
      <c r="H691" s="40">
        <v>600</v>
      </c>
      <c r="I691" s="32">
        <v>695</v>
      </c>
      <c r="J691" s="32">
        <v>0</v>
      </c>
      <c r="K691" s="33"/>
      <c r="L691" s="33"/>
      <c r="M691" s="33"/>
      <c r="N691" s="33"/>
      <c r="O691" s="33"/>
      <c r="P691" s="33"/>
      <c r="Q691" s="33"/>
      <c r="R691" s="33"/>
      <c r="S691" s="33"/>
      <c r="T691" s="33"/>
    </row>
    <row r="692" spans="1:20" ht="15.6">
      <c r="A692" s="13">
        <v>63158</v>
      </c>
      <c r="B692" s="41">
        <f t="shared" si="2"/>
        <v>30</v>
      </c>
      <c r="C692" s="32">
        <v>122.58</v>
      </c>
      <c r="D692" s="32">
        <v>297.94099999999997</v>
      </c>
      <c r="E692" s="38">
        <v>729.47900000000004</v>
      </c>
      <c r="F692" s="32">
        <v>1150</v>
      </c>
      <c r="G692" s="32">
        <v>100</v>
      </c>
      <c r="H692" s="40">
        <v>600</v>
      </c>
      <c r="I692" s="32">
        <v>695</v>
      </c>
      <c r="J692" s="32">
        <v>50</v>
      </c>
      <c r="K692" s="33"/>
      <c r="L692" s="33"/>
      <c r="M692" s="33"/>
      <c r="N692" s="33"/>
      <c r="O692" s="33"/>
      <c r="P692" s="33"/>
      <c r="Q692" s="33"/>
      <c r="R692" s="33"/>
      <c r="S692" s="33"/>
      <c r="T692" s="33"/>
    </row>
    <row r="693" spans="1:20" ht="15.6">
      <c r="A693" s="13">
        <v>63189</v>
      </c>
      <c r="B693" s="41">
        <f t="shared" si="2"/>
        <v>31</v>
      </c>
      <c r="C693" s="32">
        <v>122.58</v>
      </c>
      <c r="D693" s="32">
        <v>297.94099999999997</v>
      </c>
      <c r="E693" s="38">
        <v>729.47900000000004</v>
      </c>
      <c r="F693" s="32">
        <v>1150</v>
      </c>
      <c r="G693" s="32">
        <v>100</v>
      </c>
      <c r="H693" s="40">
        <v>600</v>
      </c>
      <c r="I693" s="32">
        <v>695</v>
      </c>
      <c r="J693" s="32">
        <v>50</v>
      </c>
      <c r="K693" s="33"/>
      <c r="L693" s="33"/>
      <c r="M693" s="33"/>
      <c r="N693" s="33"/>
      <c r="O693" s="33"/>
      <c r="P693" s="33"/>
      <c r="Q693" s="33"/>
      <c r="R693" s="33"/>
      <c r="S693" s="33"/>
      <c r="T693" s="33"/>
    </row>
    <row r="694" spans="1:20" ht="15.6">
      <c r="A694" s="13">
        <v>63220</v>
      </c>
      <c r="B694" s="41">
        <f t="shared" si="2"/>
        <v>31</v>
      </c>
      <c r="C694" s="32">
        <v>122.58</v>
      </c>
      <c r="D694" s="32">
        <v>297.94099999999997</v>
      </c>
      <c r="E694" s="38">
        <v>729.47900000000004</v>
      </c>
      <c r="F694" s="32">
        <v>1150</v>
      </c>
      <c r="G694" s="32">
        <v>100</v>
      </c>
      <c r="H694" s="40">
        <v>600</v>
      </c>
      <c r="I694" s="32">
        <v>695</v>
      </c>
      <c r="J694" s="32">
        <v>50</v>
      </c>
      <c r="K694" s="33"/>
      <c r="L694" s="33"/>
      <c r="M694" s="33"/>
      <c r="N694" s="33"/>
      <c r="O694" s="33"/>
      <c r="P694" s="33"/>
      <c r="Q694" s="33"/>
      <c r="R694" s="33"/>
      <c r="S694" s="33"/>
      <c r="T694" s="33"/>
    </row>
    <row r="695" spans="1:20" ht="15.6">
      <c r="A695" s="13">
        <v>63248</v>
      </c>
      <c r="B695" s="41">
        <f t="shared" si="2"/>
        <v>28</v>
      </c>
      <c r="C695" s="32">
        <v>122.58</v>
      </c>
      <c r="D695" s="32">
        <v>297.94099999999997</v>
      </c>
      <c r="E695" s="38">
        <v>729.47900000000004</v>
      </c>
      <c r="F695" s="32">
        <v>1150</v>
      </c>
      <c r="G695" s="32">
        <v>100</v>
      </c>
      <c r="H695" s="40">
        <v>600</v>
      </c>
      <c r="I695" s="32">
        <v>695</v>
      </c>
      <c r="J695" s="32">
        <v>50</v>
      </c>
      <c r="K695" s="33"/>
      <c r="L695" s="33"/>
      <c r="M695" s="33"/>
      <c r="N695" s="33"/>
      <c r="O695" s="33"/>
      <c r="P695" s="33"/>
      <c r="Q695" s="33"/>
      <c r="R695" s="33"/>
      <c r="S695" s="33"/>
      <c r="T695" s="33"/>
    </row>
    <row r="696" spans="1:20" ht="15.6">
      <c r="A696" s="13">
        <v>63279</v>
      </c>
      <c r="B696" s="41">
        <f t="shared" si="2"/>
        <v>31</v>
      </c>
      <c r="C696" s="32">
        <v>122.58</v>
      </c>
      <c r="D696" s="32">
        <v>297.94099999999997</v>
      </c>
      <c r="E696" s="38">
        <v>729.47900000000004</v>
      </c>
      <c r="F696" s="32">
        <v>1150</v>
      </c>
      <c r="G696" s="32">
        <v>100</v>
      </c>
      <c r="H696" s="40">
        <v>600</v>
      </c>
      <c r="I696" s="32">
        <v>695</v>
      </c>
      <c r="J696" s="32">
        <v>50</v>
      </c>
      <c r="K696" s="33"/>
      <c r="L696" s="33"/>
      <c r="M696" s="33"/>
      <c r="N696" s="33"/>
      <c r="O696" s="33"/>
      <c r="P696" s="33"/>
      <c r="Q696" s="33"/>
      <c r="R696" s="33"/>
      <c r="S696" s="33"/>
      <c r="T696" s="33"/>
    </row>
    <row r="697" spans="1:20" ht="15.6">
      <c r="A697" s="13">
        <v>63309</v>
      </c>
      <c r="B697" s="41">
        <f t="shared" si="2"/>
        <v>30</v>
      </c>
      <c r="C697" s="32">
        <v>141.29300000000001</v>
      </c>
      <c r="D697" s="32">
        <v>267.99299999999999</v>
      </c>
      <c r="E697" s="38">
        <v>829.71400000000006</v>
      </c>
      <c r="F697" s="32">
        <v>1239</v>
      </c>
      <c r="G697" s="32">
        <v>100</v>
      </c>
      <c r="H697" s="40">
        <v>600</v>
      </c>
      <c r="I697" s="32">
        <v>695</v>
      </c>
      <c r="J697" s="32">
        <v>50</v>
      </c>
      <c r="K697" s="33"/>
      <c r="L697" s="33"/>
      <c r="M697" s="33"/>
      <c r="N697" s="33"/>
      <c r="O697" s="33"/>
      <c r="P697" s="33"/>
      <c r="Q697" s="33"/>
      <c r="R697" s="33"/>
      <c r="S697" s="33"/>
      <c r="T697" s="33"/>
    </row>
    <row r="698" spans="1:20" ht="15.6">
      <c r="A698" s="13">
        <v>63340</v>
      </c>
      <c r="B698" s="41">
        <f t="shared" si="2"/>
        <v>31</v>
      </c>
      <c r="C698" s="32">
        <v>194.20500000000001</v>
      </c>
      <c r="D698" s="32">
        <v>267.46600000000001</v>
      </c>
      <c r="E698" s="38">
        <v>812.32899999999995</v>
      </c>
      <c r="F698" s="32">
        <v>1274</v>
      </c>
      <c r="G698" s="32">
        <v>75</v>
      </c>
      <c r="H698" s="40">
        <v>600</v>
      </c>
      <c r="I698" s="32">
        <v>695</v>
      </c>
      <c r="J698" s="32">
        <v>50</v>
      </c>
      <c r="K698" s="33"/>
      <c r="L698" s="33"/>
      <c r="M698" s="33"/>
      <c r="N698" s="33"/>
      <c r="O698" s="33"/>
      <c r="P698" s="33"/>
      <c r="Q698" s="33"/>
      <c r="R698" s="33"/>
      <c r="S698" s="33"/>
      <c r="T698" s="33"/>
    </row>
    <row r="699" spans="1:20" ht="15.6">
      <c r="A699" s="13">
        <v>63370</v>
      </c>
      <c r="B699" s="41">
        <f t="shared" si="2"/>
        <v>30</v>
      </c>
      <c r="C699" s="32">
        <v>194.20500000000001</v>
      </c>
      <c r="D699" s="32">
        <v>267.46600000000001</v>
      </c>
      <c r="E699" s="38">
        <v>812.32899999999995</v>
      </c>
      <c r="F699" s="32">
        <v>1274</v>
      </c>
      <c r="G699" s="32">
        <v>50</v>
      </c>
      <c r="H699" s="40">
        <v>600</v>
      </c>
      <c r="I699" s="32">
        <v>695</v>
      </c>
      <c r="J699" s="32">
        <v>50</v>
      </c>
      <c r="K699" s="33"/>
      <c r="L699" s="33"/>
      <c r="M699" s="33"/>
      <c r="N699" s="33"/>
      <c r="O699" s="33"/>
      <c r="P699" s="33"/>
      <c r="Q699" s="33"/>
      <c r="R699" s="33"/>
      <c r="S699" s="33"/>
      <c r="T699" s="33"/>
    </row>
    <row r="700" spans="1:20" ht="15.6">
      <c r="A700" s="13">
        <v>63401</v>
      </c>
      <c r="B700" s="41">
        <f t="shared" si="2"/>
        <v>31</v>
      </c>
      <c r="C700" s="32">
        <v>194.20500000000001</v>
      </c>
      <c r="D700" s="32">
        <v>267.46600000000001</v>
      </c>
      <c r="E700" s="38">
        <v>812.32899999999995</v>
      </c>
      <c r="F700" s="32">
        <v>1274</v>
      </c>
      <c r="G700" s="32">
        <v>50</v>
      </c>
      <c r="H700" s="40">
        <v>600</v>
      </c>
      <c r="I700" s="32">
        <v>695</v>
      </c>
      <c r="J700" s="32">
        <v>0</v>
      </c>
      <c r="K700" s="33"/>
      <c r="L700" s="33"/>
      <c r="M700" s="33"/>
      <c r="N700" s="33"/>
      <c r="O700" s="33"/>
      <c r="P700" s="33"/>
      <c r="Q700" s="33"/>
      <c r="R700" s="33"/>
      <c r="S700" s="33"/>
      <c r="T700" s="33"/>
    </row>
    <row r="701" spans="1:20" ht="15.6">
      <c r="A701" s="13">
        <v>63432</v>
      </c>
      <c r="B701" s="41">
        <f t="shared" si="2"/>
        <v>31</v>
      </c>
      <c r="C701" s="32">
        <v>194.20500000000001</v>
      </c>
      <c r="D701" s="32">
        <v>267.46600000000001</v>
      </c>
      <c r="E701" s="38">
        <v>812.32899999999995</v>
      </c>
      <c r="F701" s="32">
        <v>1274</v>
      </c>
      <c r="G701" s="32">
        <v>50</v>
      </c>
      <c r="H701" s="40">
        <v>600</v>
      </c>
      <c r="I701" s="32">
        <v>695</v>
      </c>
      <c r="J701" s="32">
        <v>0</v>
      </c>
      <c r="K701" s="33"/>
      <c r="L701" s="33"/>
      <c r="M701" s="33"/>
      <c r="N701" s="33"/>
      <c r="O701" s="33"/>
      <c r="P701" s="33"/>
      <c r="Q701" s="33"/>
      <c r="R701" s="33"/>
      <c r="S701" s="33"/>
      <c r="T701" s="33"/>
    </row>
    <row r="702" spans="1:20" ht="15.6">
      <c r="A702" s="13">
        <v>63462</v>
      </c>
      <c r="B702" s="41">
        <f t="shared" si="2"/>
        <v>30</v>
      </c>
      <c r="C702" s="32">
        <v>194.20500000000001</v>
      </c>
      <c r="D702" s="32">
        <v>267.46600000000001</v>
      </c>
      <c r="E702" s="38">
        <v>812.32899999999995</v>
      </c>
      <c r="F702" s="32">
        <v>1274</v>
      </c>
      <c r="G702" s="32">
        <v>50</v>
      </c>
      <c r="H702" s="40">
        <v>600</v>
      </c>
      <c r="I702" s="32">
        <v>695</v>
      </c>
      <c r="J702" s="32">
        <v>0</v>
      </c>
      <c r="K702" s="33"/>
      <c r="L702" s="33"/>
      <c r="M702" s="33"/>
      <c r="N702" s="33"/>
      <c r="O702" s="33"/>
      <c r="P702" s="33"/>
      <c r="Q702" s="33"/>
      <c r="R702" s="33"/>
      <c r="S702" s="33"/>
      <c r="T702" s="33"/>
    </row>
    <row r="703" spans="1:20" ht="15.6">
      <c r="A703" s="13">
        <v>63493</v>
      </c>
      <c r="B703" s="41">
        <f t="shared" si="2"/>
        <v>31</v>
      </c>
      <c r="C703" s="32">
        <v>131.881</v>
      </c>
      <c r="D703" s="32">
        <v>277.16699999999997</v>
      </c>
      <c r="E703" s="38">
        <v>829.952</v>
      </c>
      <c r="F703" s="32">
        <v>1239</v>
      </c>
      <c r="G703" s="32">
        <v>75</v>
      </c>
      <c r="H703" s="40">
        <v>600</v>
      </c>
      <c r="I703" s="32">
        <v>695</v>
      </c>
      <c r="J703" s="32">
        <v>0</v>
      </c>
      <c r="K703" s="33"/>
      <c r="L703" s="33"/>
      <c r="M703" s="33"/>
      <c r="N703" s="33"/>
      <c r="O703" s="33"/>
      <c r="P703" s="33"/>
      <c r="Q703" s="33"/>
      <c r="R703" s="33"/>
      <c r="S703" s="33"/>
      <c r="T703" s="33"/>
    </row>
    <row r="704" spans="1:20" ht="15.6">
      <c r="A704" s="13">
        <v>63523</v>
      </c>
      <c r="B704" s="41">
        <f t="shared" si="2"/>
        <v>30</v>
      </c>
      <c r="C704" s="32">
        <v>122.58</v>
      </c>
      <c r="D704" s="32">
        <v>297.94099999999997</v>
      </c>
      <c r="E704" s="38">
        <v>729.47900000000004</v>
      </c>
      <c r="F704" s="32">
        <v>1150</v>
      </c>
      <c r="G704" s="32">
        <v>100</v>
      </c>
      <c r="H704" s="40">
        <v>600</v>
      </c>
      <c r="I704" s="32">
        <v>695</v>
      </c>
      <c r="J704" s="32">
        <v>50</v>
      </c>
      <c r="K704" s="33"/>
      <c r="L704" s="33"/>
      <c r="M704" s="33"/>
      <c r="N704" s="33"/>
      <c r="O704" s="33"/>
      <c r="P704" s="33"/>
      <c r="Q704" s="33"/>
      <c r="R704" s="33"/>
      <c r="S704" s="33"/>
      <c r="T704" s="33"/>
    </row>
    <row r="705" spans="1:20" ht="15.6">
      <c r="A705" s="13">
        <v>63554</v>
      </c>
      <c r="B705" s="41">
        <f t="shared" si="2"/>
        <v>31</v>
      </c>
      <c r="C705" s="32">
        <v>122.58</v>
      </c>
      <c r="D705" s="32">
        <v>297.94099999999997</v>
      </c>
      <c r="E705" s="38">
        <v>729.47900000000004</v>
      </c>
      <c r="F705" s="32">
        <v>1150</v>
      </c>
      <c r="G705" s="32">
        <v>100</v>
      </c>
      <c r="H705" s="40">
        <v>600</v>
      </c>
      <c r="I705" s="32">
        <v>695</v>
      </c>
      <c r="J705" s="32">
        <v>50</v>
      </c>
      <c r="K705" s="33"/>
      <c r="L705" s="33"/>
      <c r="M705" s="33"/>
      <c r="N705" s="33"/>
      <c r="O705" s="33"/>
      <c r="P705" s="33"/>
      <c r="Q705" s="33"/>
      <c r="R705" s="33"/>
      <c r="S705" s="33"/>
      <c r="T705" s="33"/>
    </row>
    <row r="706" spans="1:20" ht="15.6">
      <c r="A706" s="13">
        <v>63585</v>
      </c>
      <c r="B706" s="41">
        <f t="shared" si="2"/>
        <v>31</v>
      </c>
      <c r="C706" s="32">
        <v>122.58</v>
      </c>
      <c r="D706" s="32">
        <v>297.94099999999997</v>
      </c>
      <c r="E706" s="38">
        <v>729.47900000000004</v>
      </c>
      <c r="F706" s="32">
        <v>1150</v>
      </c>
      <c r="G706" s="32">
        <v>100</v>
      </c>
      <c r="H706" s="40">
        <v>600</v>
      </c>
      <c r="I706" s="32">
        <v>695</v>
      </c>
      <c r="J706" s="32">
        <v>50</v>
      </c>
      <c r="K706" s="33"/>
      <c r="L706" s="33"/>
      <c r="M706" s="33"/>
      <c r="N706" s="33"/>
      <c r="O706" s="33"/>
      <c r="P706" s="33"/>
      <c r="Q706" s="33"/>
      <c r="R706" s="33"/>
      <c r="S706" s="33"/>
      <c r="T706" s="33"/>
    </row>
    <row r="707" spans="1:20" ht="15.6">
      <c r="A707" s="13">
        <v>63613</v>
      </c>
      <c r="B707" s="41">
        <f t="shared" si="2"/>
        <v>28</v>
      </c>
      <c r="C707" s="32">
        <v>122.58</v>
      </c>
      <c r="D707" s="32">
        <v>297.94099999999997</v>
      </c>
      <c r="E707" s="38">
        <v>729.47900000000004</v>
      </c>
      <c r="F707" s="32">
        <v>1150</v>
      </c>
      <c r="G707" s="32">
        <v>100</v>
      </c>
      <c r="H707" s="40">
        <v>600</v>
      </c>
      <c r="I707" s="32">
        <v>695</v>
      </c>
      <c r="J707" s="32">
        <v>50</v>
      </c>
      <c r="K707" s="33"/>
      <c r="L707" s="33"/>
      <c r="M707" s="33"/>
      <c r="N707" s="33"/>
      <c r="O707" s="33"/>
      <c r="P707" s="33"/>
      <c r="Q707" s="33"/>
      <c r="R707" s="33"/>
      <c r="S707" s="33"/>
      <c r="T707" s="33"/>
    </row>
    <row r="708" spans="1:20" ht="15.6">
      <c r="A708" s="13">
        <v>63644</v>
      </c>
      <c r="B708" s="41">
        <f t="shared" si="2"/>
        <v>31</v>
      </c>
      <c r="C708" s="32">
        <v>122.58</v>
      </c>
      <c r="D708" s="32">
        <v>297.94099999999997</v>
      </c>
      <c r="E708" s="38">
        <v>729.47900000000004</v>
      </c>
      <c r="F708" s="32">
        <v>1150</v>
      </c>
      <c r="G708" s="32">
        <v>100</v>
      </c>
      <c r="H708" s="40">
        <v>600</v>
      </c>
      <c r="I708" s="32">
        <v>695</v>
      </c>
      <c r="J708" s="32">
        <v>50</v>
      </c>
      <c r="K708" s="33"/>
      <c r="L708" s="33"/>
      <c r="M708" s="33"/>
      <c r="N708" s="33"/>
      <c r="O708" s="33"/>
      <c r="P708" s="33"/>
      <c r="Q708" s="33"/>
      <c r="R708" s="33"/>
      <c r="S708" s="33"/>
      <c r="T708" s="33"/>
    </row>
    <row r="709" spans="1:20" ht="15.6">
      <c r="A709" s="13">
        <v>63674</v>
      </c>
      <c r="B709" s="41">
        <f t="shared" si="2"/>
        <v>30</v>
      </c>
      <c r="C709" s="32">
        <v>141.29300000000001</v>
      </c>
      <c r="D709" s="32">
        <v>267.99299999999999</v>
      </c>
      <c r="E709" s="38">
        <v>829.71400000000006</v>
      </c>
      <c r="F709" s="32">
        <v>1239</v>
      </c>
      <c r="G709" s="32">
        <v>100</v>
      </c>
      <c r="H709" s="40">
        <v>600</v>
      </c>
      <c r="I709" s="32">
        <v>695</v>
      </c>
      <c r="J709" s="32">
        <v>50</v>
      </c>
      <c r="K709" s="33"/>
      <c r="L709" s="33"/>
      <c r="M709" s="33"/>
      <c r="N709" s="33"/>
      <c r="O709" s="33"/>
      <c r="P709" s="33"/>
      <c r="Q709" s="33"/>
      <c r="R709" s="33"/>
      <c r="S709" s="33"/>
      <c r="T709" s="33"/>
    </row>
    <row r="710" spans="1:20" ht="15.6">
      <c r="A710" s="13">
        <v>63705</v>
      </c>
      <c r="B710" s="41">
        <f t="shared" si="2"/>
        <v>31</v>
      </c>
      <c r="C710" s="32">
        <v>194.20500000000001</v>
      </c>
      <c r="D710" s="32">
        <v>267.46600000000001</v>
      </c>
      <c r="E710" s="38">
        <v>812.32899999999995</v>
      </c>
      <c r="F710" s="32">
        <v>1274</v>
      </c>
      <c r="G710" s="32">
        <v>75</v>
      </c>
      <c r="H710" s="40">
        <v>600</v>
      </c>
      <c r="I710" s="32">
        <v>695</v>
      </c>
      <c r="J710" s="32">
        <v>50</v>
      </c>
      <c r="K710" s="33"/>
      <c r="L710" s="33"/>
      <c r="M710" s="33"/>
      <c r="N710" s="33"/>
      <c r="O710" s="33"/>
      <c r="P710" s="33"/>
      <c r="Q710" s="33"/>
      <c r="R710" s="33"/>
      <c r="S710" s="33"/>
      <c r="T710" s="33"/>
    </row>
    <row r="711" spans="1:20" ht="15.6">
      <c r="A711" s="13">
        <v>63735</v>
      </c>
      <c r="B711" s="41">
        <f t="shared" si="2"/>
        <v>30</v>
      </c>
      <c r="C711" s="32">
        <v>194.20500000000001</v>
      </c>
      <c r="D711" s="32">
        <v>267.46600000000001</v>
      </c>
      <c r="E711" s="38">
        <v>812.32899999999995</v>
      </c>
      <c r="F711" s="32">
        <v>1274</v>
      </c>
      <c r="G711" s="32">
        <v>50</v>
      </c>
      <c r="H711" s="40">
        <v>600</v>
      </c>
      <c r="I711" s="32">
        <v>695</v>
      </c>
      <c r="J711" s="32">
        <v>50</v>
      </c>
      <c r="K711" s="33"/>
      <c r="L711" s="33"/>
      <c r="M711" s="33"/>
      <c r="N711" s="33"/>
      <c r="O711" s="33"/>
      <c r="P711" s="33"/>
      <c r="Q711" s="33"/>
      <c r="R711" s="33"/>
      <c r="S711" s="33"/>
      <c r="T711" s="33"/>
    </row>
    <row r="712" spans="1:20" ht="15.6">
      <c r="A712" s="13">
        <v>63766</v>
      </c>
      <c r="B712" s="41">
        <f t="shared" si="2"/>
        <v>31</v>
      </c>
      <c r="C712" s="32">
        <v>194.20500000000001</v>
      </c>
      <c r="D712" s="32">
        <v>267.46600000000001</v>
      </c>
      <c r="E712" s="38">
        <v>812.32899999999995</v>
      </c>
      <c r="F712" s="32">
        <v>1274</v>
      </c>
      <c r="G712" s="32">
        <v>50</v>
      </c>
      <c r="H712" s="40">
        <v>600</v>
      </c>
      <c r="I712" s="32">
        <v>695</v>
      </c>
      <c r="J712" s="32">
        <v>0</v>
      </c>
      <c r="K712" s="33"/>
      <c r="L712" s="33"/>
      <c r="M712" s="33"/>
      <c r="N712" s="33"/>
      <c r="O712" s="33"/>
      <c r="P712" s="33"/>
      <c r="Q712" s="33"/>
      <c r="R712" s="33"/>
      <c r="S712" s="33"/>
      <c r="T712" s="33"/>
    </row>
    <row r="713" spans="1:20" ht="15.6">
      <c r="A713" s="13">
        <v>63797</v>
      </c>
      <c r="B713" s="41">
        <f t="shared" si="2"/>
        <v>31</v>
      </c>
      <c r="C713" s="32">
        <v>194.20500000000001</v>
      </c>
      <c r="D713" s="32">
        <v>267.46600000000001</v>
      </c>
      <c r="E713" s="38">
        <v>812.32899999999995</v>
      </c>
      <c r="F713" s="32">
        <v>1274</v>
      </c>
      <c r="G713" s="32">
        <v>50</v>
      </c>
      <c r="H713" s="40">
        <v>600</v>
      </c>
      <c r="I713" s="32">
        <v>695</v>
      </c>
      <c r="J713" s="32">
        <v>0</v>
      </c>
      <c r="K713" s="33"/>
      <c r="L713" s="33"/>
      <c r="M713" s="33"/>
      <c r="N713" s="33"/>
      <c r="O713" s="33"/>
      <c r="P713" s="33"/>
      <c r="Q713" s="33"/>
      <c r="R713" s="33"/>
      <c r="S713" s="33"/>
      <c r="T713" s="33"/>
    </row>
    <row r="714" spans="1:20" ht="15.6">
      <c r="A714" s="13">
        <v>63827</v>
      </c>
      <c r="B714" s="41">
        <f t="shared" si="2"/>
        <v>30</v>
      </c>
      <c r="C714" s="32">
        <v>194.20500000000001</v>
      </c>
      <c r="D714" s="32">
        <v>267.46600000000001</v>
      </c>
      <c r="E714" s="38">
        <v>812.32899999999995</v>
      </c>
      <c r="F714" s="32">
        <v>1274</v>
      </c>
      <c r="G714" s="32">
        <v>50</v>
      </c>
      <c r="H714" s="40">
        <v>600</v>
      </c>
      <c r="I714" s="32">
        <v>695</v>
      </c>
      <c r="J714" s="32">
        <v>0</v>
      </c>
      <c r="K714" s="33"/>
      <c r="L714" s="33"/>
      <c r="M714" s="33"/>
      <c r="N714" s="33"/>
      <c r="O714" s="33"/>
      <c r="P714" s="33"/>
      <c r="Q714" s="33"/>
      <c r="R714" s="33"/>
      <c r="S714" s="33"/>
      <c r="T714" s="33"/>
    </row>
    <row r="715" spans="1:20" ht="15.6">
      <c r="A715" s="13">
        <v>63858</v>
      </c>
      <c r="B715" s="41">
        <f t="shared" si="2"/>
        <v>31</v>
      </c>
      <c r="C715" s="32">
        <v>131.881</v>
      </c>
      <c r="D715" s="32">
        <v>277.16699999999997</v>
      </c>
      <c r="E715" s="38">
        <v>829.952</v>
      </c>
      <c r="F715" s="32">
        <v>1239</v>
      </c>
      <c r="G715" s="32">
        <v>75</v>
      </c>
      <c r="H715" s="40">
        <v>600</v>
      </c>
      <c r="I715" s="32">
        <v>695</v>
      </c>
      <c r="J715" s="32">
        <v>0</v>
      </c>
      <c r="K715" s="33"/>
      <c r="L715" s="33"/>
      <c r="M715" s="33"/>
      <c r="N715" s="33"/>
      <c r="O715" s="33"/>
      <c r="P715" s="33"/>
      <c r="Q715" s="33"/>
      <c r="R715" s="33"/>
      <c r="S715" s="33"/>
      <c r="T715" s="33"/>
    </row>
    <row r="716" spans="1:20" ht="15.6">
      <c r="A716" s="13">
        <v>63888</v>
      </c>
      <c r="B716" s="41">
        <f t="shared" si="2"/>
        <v>30</v>
      </c>
      <c r="C716" s="32">
        <v>122.58</v>
      </c>
      <c r="D716" s="32">
        <v>297.94099999999997</v>
      </c>
      <c r="E716" s="38">
        <v>729.47900000000004</v>
      </c>
      <c r="F716" s="32">
        <v>1150</v>
      </c>
      <c r="G716" s="32">
        <v>100</v>
      </c>
      <c r="H716" s="40">
        <v>600</v>
      </c>
      <c r="I716" s="32">
        <v>695</v>
      </c>
      <c r="J716" s="32">
        <v>50</v>
      </c>
      <c r="K716" s="33"/>
      <c r="L716" s="33"/>
      <c r="M716" s="33"/>
      <c r="N716" s="33"/>
      <c r="O716" s="33"/>
      <c r="P716" s="33"/>
      <c r="Q716" s="33"/>
      <c r="R716" s="33"/>
      <c r="S716" s="33"/>
      <c r="T716" s="33"/>
    </row>
    <row r="717" spans="1:20" ht="15.6">
      <c r="A717" s="13">
        <v>63919</v>
      </c>
      <c r="B717" s="41">
        <f t="shared" si="2"/>
        <v>31</v>
      </c>
      <c r="C717" s="32">
        <v>122.58</v>
      </c>
      <c r="D717" s="32">
        <v>297.94099999999997</v>
      </c>
      <c r="E717" s="38">
        <v>729.47900000000004</v>
      </c>
      <c r="F717" s="32">
        <v>1150</v>
      </c>
      <c r="G717" s="32">
        <v>100</v>
      </c>
      <c r="H717" s="40">
        <v>600</v>
      </c>
      <c r="I717" s="32">
        <v>695</v>
      </c>
      <c r="J717" s="32">
        <v>50</v>
      </c>
      <c r="K717" s="33"/>
      <c r="L717" s="33"/>
      <c r="M717" s="33"/>
      <c r="N717" s="33"/>
      <c r="O717" s="33"/>
      <c r="P717" s="33"/>
      <c r="Q717" s="33"/>
      <c r="R717" s="33"/>
      <c r="S717" s="33"/>
      <c r="T717" s="33"/>
    </row>
    <row r="718" spans="1:20" ht="15.6">
      <c r="A718" s="13">
        <v>63950</v>
      </c>
      <c r="B718" s="41">
        <f t="shared" si="2"/>
        <v>31</v>
      </c>
      <c r="C718" s="32">
        <v>122.58</v>
      </c>
      <c r="D718" s="32">
        <v>297.94099999999997</v>
      </c>
      <c r="E718" s="38">
        <v>729.47900000000004</v>
      </c>
      <c r="F718" s="32">
        <v>1150</v>
      </c>
      <c r="G718" s="32">
        <v>100</v>
      </c>
      <c r="H718" s="40">
        <v>600</v>
      </c>
      <c r="I718" s="32">
        <v>695</v>
      </c>
      <c r="J718" s="32">
        <v>50</v>
      </c>
      <c r="K718" s="33"/>
      <c r="L718" s="33"/>
      <c r="M718" s="33"/>
      <c r="N718" s="33"/>
      <c r="O718" s="33"/>
      <c r="P718" s="33"/>
      <c r="Q718" s="33"/>
      <c r="R718" s="33"/>
      <c r="S718" s="33"/>
      <c r="T718" s="33"/>
    </row>
    <row r="719" spans="1:20" ht="15.6">
      <c r="A719" s="13">
        <v>63978</v>
      </c>
      <c r="B719" s="41">
        <f t="shared" si="2"/>
        <v>28</v>
      </c>
      <c r="C719" s="32">
        <v>122.58</v>
      </c>
      <c r="D719" s="32">
        <v>297.94099999999997</v>
      </c>
      <c r="E719" s="38">
        <v>729.47900000000004</v>
      </c>
      <c r="F719" s="32">
        <v>1150</v>
      </c>
      <c r="G719" s="32">
        <v>100</v>
      </c>
      <c r="H719" s="40">
        <v>600</v>
      </c>
      <c r="I719" s="32">
        <v>695</v>
      </c>
      <c r="J719" s="32">
        <v>50</v>
      </c>
      <c r="K719" s="33"/>
      <c r="L719" s="33"/>
      <c r="M719" s="33"/>
      <c r="N719" s="33"/>
      <c r="O719" s="33"/>
      <c r="P719" s="33"/>
      <c r="Q719" s="33"/>
      <c r="R719" s="33"/>
      <c r="S719" s="33"/>
      <c r="T719" s="33"/>
    </row>
    <row r="720" spans="1:20" ht="15.6">
      <c r="A720" s="13">
        <v>64009</v>
      </c>
      <c r="B720" s="41">
        <f t="shared" si="2"/>
        <v>31</v>
      </c>
      <c r="C720" s="32">
        <v>122.58</v>
      </c>
      <c r="D720" s="32">
        <v>297.94099999999997</v>
      </c>
      <c r="E720" s="38">
        <v>729.47900000000004</v>
      </c>
      <c r="F720" s="32">
        <v>1150</v>
      </c>
      <c r="G720" s="32">
        <v>100</v>
      </c>
      <c r="H720" s="40">
        <v>600</v>
      </c>
      <c r="I720" s="32">
        <v>695</v>
      </c>
      <c r="J720" s="32">
        <v>50</v>
      </c>
      <c r="K720" s="33"/>
      <c r="L720" s="33"/>
      <c r="M720" s="33"/>
      <c r="N720" s="33"/>
      <c r="O720" s="33"/>
      <c r="P720" s="33"/>
      <c r="Q720" s="33"/>
      <c r="R720" s="33"/>
      <c r="S720" s="33"/>
      <c r="T720" s="33"/>
    </row>
    <row r="721" spans="1:20" ht="15.6">
      <c r="A721" s="13">
        <v>64039</v>
      </c>
      <c r="B721" s="41">
        <f t="shared" si="2"/>
        <v>30</v>
      </c>
      <c r="C721" s="32">
        <v>141.29300000000001</v>
      </c>
      <c r="D721" s="32">
        <v>267.99299999999999</v>
      </c>
      <c r="E721" s="38">
        <v>829.71400000000006</v>
      </c>
      <c r="F721" s="32">
        <v>1239</v>
      </c>
      <c r="G721" s="32">
        <v>100</v>
      </c>
      <c r="H721" s="40">
        <v>600</v>
      </c>
      <c r="I721" s="32">
        <v>695</v>
      </c>
      <c r="J721" s="32">
        <v>50</v>
      </c>
      <c r="K721" s="33"/>
      <c r="L721" s="33"/>
      <c r="M721" s="33"/>
      <c r="N721" s="33"/>
      <c r="O721" s="33"/>
      <c r="P721" s="33"/>
      <c r="Q721" s="33"/>
      <c r="R721" s="33"/>
      <c r="S721" s="33"/>
      <c r="T721" s="33"/>
    </row>
    <row r="722" spans="1:20" ht="15.6">
      <c r="A722" s="13">
        <v>64070</v>
      </c>
      <c r="B722" s="41">
        <f t="shared" si="2"/>
        <v>31</v>
      </c>
      <c r="C722" s="32">
        <v>194.20500000000001</v>
      </c>
      <c r="D722" s="32">
        <v>267.46600000000001</v>
      </c>
      <c r="E722" s="38">
        <v>812.32899999999995</v>
      </c>
      <c r="F722" s="32">
        <v>1274</v>
      </c>
      <c r="G722" s="32">
        <v>75</v>
      </c>
      <c r="H722" s="40">
        <v>600</v>
      </c>
      <c r="I722" s="32">
        <v>695</v>
      </c>
      <c r="J722" s="32">
        <v>50</v>
      </c>
      <c r="K722" s="33"/>
      <c r="L722" s="33"/>
      <c r="M722" s="33"/>
      <c r="N722" s="33"/>
      <c r="O722" s="33"/>
      <c r="P722" s="33"/>
      <c r="Q722" s="33"/>
      <c r="R722" s="33"/>
      <c r="S722" s="33"/>
      <c r="T722" s="33"/>
    </row>
    <row r="723" spans="1:20" ht="15.6">
      <c r="A723" s="13">
        <v>64100</v>
      </c>
      <c r="B723" s="41">
        <f t="shared" si="2"/>
        <v>30</v>
      </c>
      <c r="C723" s="32">
        <v>194.20500000000001</v>
      </c>
      <c r="D723" s="32">
        <v>267.46600000000001</v>
      </c>
      <c r="E723" s="38">
        <v>812.32899999999995</v>
      </c>
      <c r="F723" s="32">
        <v>1274</v>
      </c>
      <c r="G723" s="32">
        <v>50</v>
      </c>
      <c r="H723" s="40">
        <v>600</v>
      </c>
      <c r="I723" s="32">
        <v>695</v>
      </c>
      <c r="J723" s="32">
        <v>50</v>
      </c>
      <c r="K723" s="33"/>
      <c r="L723" s="33"/>
      <c r="M723" s="33"/>
      <c r="N723" s="33"/>
      <c r="O723" s="33"/>
      <c r="P723" s="33"/>
      <c r="Q723" s="33"/>
      <c r="R723" s="33"/>
      <c r="S723" s="33"/>
      <c r="T723" s="33"/>
    </row>
    <row r="724" spans="1:20" ht="15.6">
      <c r="A724" s="13">
        <v>64131</v>
      </c>
      <c r="B724" s="41">
        <f t="shared" si="2"/>
        <v>31</v>
      </c>
      <c r="C724" s="32">
        <v>194.20500000000001</v>
      </c>
      <c r="D724" s="32">
        <v>267.46600000000001</v>
      </c>
      <c r="E724" s="38">
        <v>812.32899999999995</v>
      </c>
      <c r="F724" s="32">
        <v>1274</v>
      </c>
      <c r="G724" s="32">
        <v>50</v>
      </c>
      <c r="H724" s="40">
        <v>600</v>
      </c>
      <c r="I724" s="32">
        <v>695</v>
      </c>
      <c r="J724" s="32">
        <v>0</v>
      </c>
      <c r="K724" s="33"/>
      <c r="L724" s="33"/>
      <c r="M724" s="33"/>
      <c r="N724" s="33"/>
      <c r="O724" s="33"/>
      <c r="P724" s="33"/>
      <c r="Q724" s="33"/>
      <c r="R724" s="33"/>
      <c r="S724" s="33"/>
      <c r="T724" s="33"/>
    </row>
    <row r="725" spans="1:20" ht="15.6">
      <c r="A725" s="13">
        <v>64162</v>
      </c>
      <c r="B725" s="41">
        <f t="shared" si="2"/>
        <v>31</v>
      </c>
      <c r="C725" s="32">
        <v>194.20500000000001</v>
      </c>
      <c r="D725" s="32">
        <v>267.46600000000001</v>
      </c>
      <c r="E725" s="38">
        <v>812.32899999999995</v>
      </c>
      <c r="F725" s="32">
        <v>1274</v>
      </c>
      <c r="G725" s="32">
        <v>50</v>
      </c>
      <c r="H725" s="40">
        <v>600</v>
      </c>
      <c r="I725" s="32">
        <v>695</v>
      </c>
      <c r="J725" s="32">
        <v>0</v>
      </c>
      <c r="K725" s="33"/>
      <c r="L725" s="33"/>
      <c r="M725" s="33"/>
      <c r="N725" s="33"/>
      <c r="O725" s="33"/>
      <c r="P725" s="33"/>
      <c r="Q725" s="33"/>
      <c r="R725" s="33"/>
      <c r="S725" s="33"/>
      <c r="T725" s="33"/>
    </row>
    <row r="726" spans="1:20" ht="15.6">
      <c r="A726" s="13">
        <v>64192</v>
      </c>
      <c r="B726" s="41">
        <f t="shared" si="2"/>
        <v>30</v>
      </c>
      <c r="C726" s="32">
        <v>194.20500000000001</v>
      </c>
      <c r="D726" s="32">
        <v>267.46600000000001</v>
      </c>
      <c r="E726" s="38">
        <v>812.32899999999995</v>
      </c>
      <c r="F726" s="32">
        <v>1274</v>
      </c>
      <c r="G726" s="32">
        <v>50</v>
      </c>
      <c r="H726" s="40">
        <v>600</v>
      </c>
      <c r="I726" s="32">
        <v>695</v>
      </c>
      <c r="J726" s="32">
        <v>0</v>
      </c>
      <c r="K726" s="33"/>
      <c r="L726" s="33"/>
      <c r="M726" s="33"/>
      <c r="N726" s="33"/>
      <c r="O726" s="33"/>
      <c r="P726" s="33"/>
      <c r="Q726" s="33"/>
      <c r="R726" s="33"/>
      <c r="S726" s="33"/>
      <c r="T726" s="33"/>
    </row>
    <row r="727" spans="1:20" ht="15.6">
      <c r="A727" s="13">
        <v>64223</v>
      </c>
      <c r="B727" s="41">
        <f t="shared" si="2"/>
        <v>31</v>
      </c>
      <c r="C727" s="32">
        <v>131.881</v>
      </c>
      <c r="D727" s="32">
        <v>277.16699999999997</v>
      </c>
      <c r="E727" s="38">
        <v>829.952</v>
      </c>
      <c r="F727" s="32">
        <v>1239</v>
      </c>
      <c r="G727" s="32">
        <v>75</v>
      </c>
      <c r="H727" s="40">
        <v>600</v>
      </c>
      <c r="I727" s="32">
        <v>695</v>
      </c>
      <c r="J727" s="32">
        <v>0</v>
      </c>
      <c r="K727" s="33"/>
      <c r="L727" s="33"/>
      <c r="M727" s="33"/>
      <c r="N727" s="33"/>
      <c r="O727" s="33"/>
      <c r="P727" s="33"/>
      <c r="Q727" s="33"/>
      <c r="R727" s="33"/>
      <c r="S727" s="33"/>
      <c r="T727" s="33"/>
    </row>
    <row r="728" spans="1:20" ht="15.6">
      <c r="A728" s="13">
        <v>64253</v>
      </c>
      <c r="B728" s="41">
        <f t="shared" si="2"/>
        <v>30</v>
      </c>
      <c r="C728" s="32">
        <v>122.58</v>
      </c>
      <c r="D728" s="32">
        <v>297.94099999999997</v>
      </c>
      <c r="E728" s="38">
        <v>729.47900000000004</v>
      </c>
      <c r="F728" s="32">
        <v>1150</v>
      </c>
      <c r="G728" s="32">
        <v>100</v>
      </c>
      <c r="H728" s="40">
        <v>600</v>
      </c>
      <c r="I728" s="32">
        <v>695</v>
      </c>
      <c r="J728" s="32">
        <v>50</v>
      </c>
      <c r="K728" s="33"/>
      <c r="L728" s="33"/>
      <c r="M728" s="33"/>
      <c r="N728" s="33"/>
      <c r="O728" s="33"/>
      <c r="P728" s="33"/>
      <c r="Q728" s="33"/>
      <c r="R728" s="33"/>
      <c r="S728" s="33"/>
      <c r="T728" s="33"/>
    </row>
    <row r="729" spans="1:20" ht="15.6">
      <c r="A729" s="13">
        <v>64284</v>
      </c>
      <c r="B729" s="41">
        <f t="shared" si="2"/>
        <v>31</v>
      </c>
      <c r="C729" s="32">
        <v>122.58</v>
      </c>
      <c r="D729" s="32">
        <v>297.94099999999997</v>
      </c>
      <c r="E729" s="38">
        <v>729.47900000000004</v>
      </c>
      <c r="F729" s="32">
        <v>1150</v>
      </c>
      <c r="G729" s="32">
        <v>100</v>
      </c>
      <c r="H729" s="40">
        <v>600</v>
      </c>
      <c r="I729" s="32">
        <v>695</v>
      </c>
      <c r="J729" s="32">
        <v>50</v>
      </c>
      <c r="K729" s="33"/>
      <c r="L729" s="33"/>
      <c r="M729" s="33"/>
      <c r="N729" s="33"/>
      <c r="O729" s="33"/>
      <c r="P729" s="33"/>
      <c r="Q729" s="33"/>
      <c r="R729" s="33"/>
      <c r="S729" s="33"/>
      <c r="T729" s="33"/>
    </row>
    <row r="730" spans="1:20" ht="15.6">
      <c r="A730" s="13">
        <v>64315</v>
      </c>
      <c r="B730" s="41">
        <f t="shared" si="2"/>
        <v>31</v>
      </c>
      <c r="C730" s="32">
        <v>122.58</v>
      </c>
      <c r="D730" s="32">
        <v>297.94099999999997</v>
      </c>
      <c r="E730" s="38">
        <v>729.47900000000004</v>
      </c>
      <c r="F730" s="32">
        <v>1150</v>
      </c>
      <c r="G730" s="32">
        <v>100</v>
      </c>
      <c r="H730" s="40">
        <v>600</v>
      </c>
      <c r="I730" s="32">
        <v>695</v>
      </c>
      <c r="J730" s="32">
        <v>50</v>
      </c>
      <c r="K730" s="33"/>
      <c r="L730" s="33"/>
      <c r="M730" s="33"/>
      <c r="N730" s="33"/>
      <c r="O730" s="33"/>
      <c r="P730" s="33"/>
      <c r="Q730" s="33"/>
      <c r="R730" s="33"/>
      <c r="S730" s="33"/>
      <c r="T730" s="33"/>
    </row>
    <row r="731" spans="1:20" ht="15.6">
      <c r="A731" s="13">
        <v>64344</v>
      </c>
      <c r="B731" s="41">
        <f t="shared" si="2"/>
        <v>29</v>
      </c>
      <c r="C731" s="32">
        <v>122.58</v>
      </c>
      <c r="D731" s="32">
        <v>297.94099999999997</v>
      </c>
      <c r="E731" s="38">
        <v>729.47900000000004</v>
      </c>
      <c r="F731" s="32">
        <v>1150</v>
      </c>
      <c r="G731" s="32">
        <v>100</v>
      </c>
      <c r="H731" s="40">
        <v>600</v>
      </c>
      <c r="I731" s="32">
        <v>695</v>
      </c>
      <c r="J731" s="32">
        <v>50</v>
      </c>
      <c r="K731" s="33"/>
      <c r="L731" s="33"/>
      <c r="M731" s="33"/>
      <c r="N731" s="33"/>
      <c r="O731" s="33"/>
      <c r="P731" s="33"/>
      <c r="Q731" s="33"/>
      <c r="R731" s="33"/>
      <c r="S731" s="33"/>
      <c r="T731" s="33"/>
    </row>
    <row r="732" spans="1:20" ht="15.6">
      <c r="A732" s="13">
        <v>64375</v>
      </c>
      <c r="B732" s="41">
        <f t="shared" si="2"/>
        <v>31</v>
      </c>
      <c r="C732" s="32">
        <v>122.58</v>
      </c>
      <c r="D732" s="32">
        <v>297.94099999999997</v>
      </c>
      <c r="E732" s="38">
        <v>729.47900000000004</v>
      </c>
      <c r="F732" s="32">
        <v>1150</v>
      </c>
      <c r="G732" s="32">
        <v>100</v>
      </c>
      <c r="H732" s="40">
        <v>600</v>
      </c>
      <c r="I732" s="32">
        <v>695</v>
      </c>
      <c r="J732" s="32">
        <v>50</v>
      </c>
      <c r="K732" s="33"/>
      <c r="L732" s="33"/>
      <c r="M732" s="33"/>
      <c r="N732" s="33"/>
      <c r="O732" s="33"/>
      <c r="P732" s="33"/>
      <c r="Q732" s="33"/>
      <c r="R732" s="33"/>
      <c r="S732" s="33"/>
      <c r="T732" s="33"/>
    </row>
    <row r="733" spans="1:20" ht="15.6">
      <c r="A733" s="13">
        <v>64405</v>
      </c>
      <c r="B733" s="41">
        <f t="shared" si="2"/>
        <v>30</v>
      </c>
      <c r="C733" s="32">
        <v>141.29300000000001</v>
      </c>
      <c r="D733" s="32">
        <v>267.99299999999999</v>
      </c>
      <c r="E733" s="38">
        <v>829.71400000000006</v>
      </c>
      <c r="F733" s="32">
        <v>1239</v>
      </c>
      <c r="G733" s="32">
        <v>100</v>
      </c>
      <c r="H733" s="40">
        <v>600</v>
      </c>
      <c r="I733" s="32">
        <v>695</v>
      </c>
      <c r="J733" s="32">
        <v>50</v>
      </c>
      <c r="K733" s="33"/>
      <c r="L733" s="33"/>
      <c r="M733" s="33"/>
      <c r="N733" s="33"/>
      <c r="O733" s="33"/>
      <c r="P733" s="33"/>
      <c r="Q733" s="33"/>
      <c r="R733" s="33"/>
      <c r="S733" s="33"/>
      <c r="T733" s="33"/>
    </row>
    <row r="734" spans="1:20" ht="15.6">
      <c r="A734" s="13">
        <v>64436</v>
      </c>
      <c r="B734" s="41">
        <f t="shared" si="2"/>
        <v>31</v>
      </c>
      <c r="C734" s="32">
        <v>194.20500000000001</v>
      </c>
      <c r="D734" s="32">
        <v>267.46600000000001</v>
      </c>
      <c r="E734" s="38">
        <v>812.32899999999995</v>
      </c>
      <c r="F734" s="32">
        <v>1274</v>
      </c>
      <c r="G734" s="32">
        <v>75</v>
      </c>
      <c r="H734" s="40">
        <v>600</v>
      </c>
      <c r="I734" s="32">
        <v>695</v>
      </c>
      <c r="J734" s="32">
        <v>50</v>
      </c>
      <c r="K734" s="33"/>
      <c r="L734" s="33"/>
      <c r="M734" s="33"/>
      <c r="N734" s="33"/>
      <c r="O734" s="33"/>
      <c r="P734" s="33"/>
      <c r="Q734" s="33"/>
      <c r="R734" s="33"/>
      <c r="S734" s="33"/>
      <c r="T734" s="33"/>
    </row>
    <row r="735" spans="1:20" ht="15.6">
      <c r="A735" s="13">
        <v>64466</v>
      </c>
      <c r="B735" s="41">
        <f t="shared" si="2"/>
        <v>30</v>
      </c>
      <c r="C735" s="32">
        <v>194.20500000000001</v>
      </c>
      <c r="D735" s="32">
        <v>267.46600000000001</v>
      </c>
      <c r="E735" s="38">
        <v>812.32899999999995</v>
      </c>
      <c r="F735" s="32">
        <v>1274</v>
      </c>
      <c r="G735" s="32">
        <v>50</v>
      </c>
      <c r="H735" s="40">
        <v>600</v>
      </c>
      <c r="I735" s="32">
        <v>695</v>
      </c>
      <c r="J735" s="32">
        <v>50</v>
      </c>
      <c r="K735" s="33"/>
      <c r="L735" s="33"/>
      <c r="M735" s="33"/>
      <c r="N735" s="33"/>
      <c r="O735" s="33"/>
      <c r="P735" s="33"/>
      <c r="Q735" s="33"/>
      <c r="R735" s="33"/>
      <c r="S735" s="33"/>
      <c r="T735" s="33"/>
    </row>
    <row r="736" spans="1:20" ht="15.6">
      <c r="A736" s="13">
        <v>64497</v>
      </c>
      <c r="B736" s="41">
        <f t="shared" si="2"/>
        <v>31</v>
      </c>
      <c r="C736" s="32">
        <v>194.20500000000001</v>
      </c>
      <c r="D736" s="32">
        <v>267.46600000000001</v>
      </c>
      <c r="E736" s="38">
        <v>812.32899999999995</v>
      </c>
      <c r="F736" s="32">
        <v>1274</v>
      </c>
      <c r="G736" s="32">
        <v>50</v>
      </c>
      <c r="H736" s="40">
        <v>600</v>
      </c>
      <c r="I736" s="32">
        <v>695</v>
      </c>
      <c r="J736" s="32">
        <v>0</v>
      </c>
      <c r="K736" s="33"/>
      <c r="L736" s="33"/>
      <c r="M736" s="33"/>
      <c r="N736" s="33"/>
      <c r="O736" s="33"/>
      <c r="P736" s="33"/>
      <c r="Q736" s="33"/>
      <c r="R736" s="33"/>
      <c r="S736" s="33"/>
      <c r="T736" s="33"/>
    </row>
    <row r="737" spans="1:20" ht="15.6">
      <c r="A737" s="13">
        <v>64528</v>
      </c>
      <c r="B737" s="41">
        <f t="shared" si="2"/>
        <v>31</v>
      </c>
      <c r="C737" s="32">
        <v>194.20500000000001</v>
      </c>
      <c r="D737" s="32">
        <v>267.46600000000001</v>
      </c>
      <c r="E737" s="38">
        <v>812.32899999999995</v>
      </c>
      <c r="F737" s="32">
        <v>1274</v>
      </c>
      <c r="G737" s="32">
        <v>50</v>
      </c>
      <c r="H737" s="40">
        <v>600</v>
      </c>
      <c r="I737" s="32">
        <v>695</v>
      </c>
      <c r="J737" s="32">
        <v>0</v>
      </c>
      <c r="K737" s="33"/>
      <c r="L737" s="33"/>
      <c r="M737" s="33"/>
      <c r="N737" s="33"/>
      <c r="O737" s="33"/>
      <c r="P737" s="33"/>
      <c r="Q737" s="33"/>
      <c r="R737" s="33"/>
      <c r="S737" s="33"/>
      <c r="T737" s="33"/>
    </row>
    <row r="738" spans="1:20" ht="15.6">
      <c r="A738" s="13">
        <v>64558</v>
      </c>
      <c r="B738" s="41">
        <f t="shared" si="2"/>
        <v>30</v>
      </c>
      <c r="C738" s="32">
        <v>194.20500000000001</v>
      </c>
      <c r="D738" s="32">
        <v>267.46600000000001</v>
      </c>
      <c r="E738" s="38">
        <v>812.32899999999995</v>
      </c>
      <c r="F738" s="32">
        <v>1274</v>
      </c>
      <c r="G738" s="32">
        <v>50</v>
      </c>
      <c r="H738" s="40">
        <v>600</v>
      </c>
      <c r="I738" s="32">
        <v>695</v>
      </c>
      <c r="J738" s="32">
        <v>0</v>
      </c>
      <c r="K738" s="33"/>
      <c r="L738" s="33"/>
      <c r="M738" s="33"/>
      <c r="N738" s="33"/>
      <c r="O738" s="33"/>
      <c r="P738" s="33"/>
      <c r="Q738" s="33"/>
      <c r="R738" s="33"/>
      <c r="S738" s="33"/>
      <c r="T738" s="33"/>
    </row>
    <row r="739" spans="1:20" ht="15.6">
      <c r="A739" s="13">
        <v>64589</v>
      </c>
      <c r="B739" s="41">
        <f t="shared" si="2"/>
        <v>31</v>
      </c>
      <c r="C739" s="32">
        <v>131.881</v>
      </c>
      <c r="D739" s="32">
        <v>277.16699999999997</v>
      </c>
      <c r="E739" s="38">
        <v>829.952</v>
      </c>
      <c r="F739" s="32">
        <v>1239</v>
      </c>
      <c r="G739" s="32">
        <v>75</v>
      </c>
      <c r="H739" s="40">
        <v>600</v>
      </c>
      <c r="I739" s="32">
        <v>695</v>
      </c>
      <c r="J739" s="32">
        <v>0</v>
      </c>
      <c r="K739" s="33"/>
      <c r="L739" s="33"/>
      <c r="M739" s="33"/>
      <c r="N739" s="33"/>
      <c r="O739" s="33"/>
      <c r="P739" s="33"/>
      <c r="Q739" s="33"/>
      <c r="R739" s="33"/>
      <c r="S739" s="33"/>
      <c r="T739" s="33"/>
    </row>
    <row r="740" spans="1:20" ht="15.6">
      <c r="A740" s="13">
        <v>64619</v>
      </c>
      <c r="B740" s="41">
        <f t="shared" si="2"/>
        <v>30</v>
      </c>
      <c r="C740" s="32">
        <v>122.58</v>
      </c>
      <c r="D740" s="32">
        <v>297.94099999999997</v>
      </c>
      <c r="E740" s="38">
        <v>729.47900000000004</v>
      </c>
      <c r="F740" s="32">
        <v>1150</v>
      </c>
      <c r="G740" s="32">
        <v>100</v>
      </c>
      <c r="H740" s="40">
        <v>600</v>
      </c>
      <c r="I740" s="32">
        <v>695</v>
      </c>
      <c r="J740" s="32">
        <v>50</v>
      </c>
      <c r="K740" s="33"/>
      <c r="L740" s="33"/>
      <c r="M740" s="33"/>
      <c r="N740" s="33"/>
      <c r="O740" s="33"/>
      <c r="P740" s="33"/>
      <c r="Q740" s="33"/>
      <c r="R740" s="33"/>
      <c r="S740" s="33"/>
      <c r="T740" s="33"/>
    </row>
    <row r="741" spans="1:20" ht="15.6">
      <c r="A741" s="13">
        <v>64650</v>
      </c>
      <c r="B741" s="41">
        <f t="shared" si="2"/>
        <v>31</v>
      </c>
      <c r="C741" s="32">
        <v>122.58</v>
      </c>
      <c r="D741" s="32">
        <v>297.94099999999997</v>
      </c>
      <c r="E741" s="38">
        <v>729.47900000000004</v>
      </c>
      <c r="F741" s="32">
        <v>1150</v>
      </c>
      <c r="G741" s="32">
        <v>100</v>
      </c>
      <c r="H741" s="40">
        <v>600</v>
      </c>
      <c r="I741" s="32">
        <v>695</v>
      </c>
      <c r="J741" s="32">
        <v>50</v>
      </c>
      <c r="K741" s="33"/>
      <c r="L741" s="33"/>
      <c r="M741" s="33"/>
      <c r="N741" s="33"/>
      <c r="O741" s="33"/>
      <c r="P741" s="33"/>
      <c r="Q741" s="33"/>
      <c r="R741" s="33"/>
      <c r="S741" s="33"/>
      <c r="T741" s="33"/>
    </row>
    <row r="742" spans="1:20" ht="15.6">
      <c r="A742" s="13">
        <v>64681</v>
      </c>
      <c r="B742" s="41">
        <f t="shared" si="2"/>
        <v>31</v>
      </c>
      <c r="C742" s="32">
        <v>122.58</v>
      </c>
      <c r="D742" s="32">
        <v>297.94099999999997</v>
      </c>
      <c r="E742" s="38">
        <v>729.47900000000004</v>
      </c>
      <c r="F742" s="32">
        <v>1150</v>
      </c>
      <c r="G742" s="32">
        <v>100</v>
      </c>
      <c r="H742" s="40">
        <v>600</v>
      </c>
      <c r="I742" s="32">
        <v>695</v>
      </c>
      <c r="J742" s="32">
        <v>50</v>
      </c>
      <c r="K742" s="33"/>
      <c r="L742" s="33"/>
      <c r="M742" s="33"/>
      <c r="N742" s="33"/>
      <c r="O742" s="33"/>
      <c r="P742" s="33"/>
      <c r="Q742" s="33"/>
      <c r="R742" s="33"/>
      <c r="S742" s="33"/>
      <c r="T742" s="33"/>
    </row>
    <row r="743" spans="1:20" ht="15.6">
      <c r="A743" s="13">
        <v>64709</v>
      </c>
      <c r="B743" s="41">
        <f t="shared" si="2"/>
        <v>28</v>
      </c>
      <c r="C743" s="32">
        <v>122.58</v>
      </c>
      <c r="D743" s="32">
        <v>297.94099999999997</v>
      </c>
      <c r="E743" s="38">
        <v>729.47900000000004</v>
      </c>
      <c r="F743" s="32">
        <v>1150</v>
      </c>
      <c r="G743" s="32">
        <v>100</v>
      </c>
      <c r="H743" s="40">
        <v>600</v>
      </c>
      <c r="I743" s="32">
        <v>695</v>
      </c>
      <c r="J743" s="32">
        <v>50</v>
      </c>
      <c r="K743" s="33"/>
      <c r="L743" s="33"/>
      <c r="M743" s="33"/>
      <c r="N743" s="33"/>
      <c r="O743" s="33"/>
      <c r="P743" s="33"/>
      <c r="Q743" s="33"/>
      <c r="R743" s="33"/>
      <c r="S743" s="33"/>
      <c r="T743" s="33"/>
    </row>
    <row r="744" spans="1:20" ht="15.6">
      <c r="A744" s="13">
        <v>64740</v>
      </c>
      <c r="B744" s="41">
        <f t="shared" si="2"/>
        <v>31</v>
      </c>
      <c r="C744" s="32">
        <v>122.58</v>
      </c>
      <c r="D744" s="32">
        <v>297.94099999999997</v>
      </c>
      <c r="E744" s="38">
        <v>729.47900000000004</v>
      </c>
      <c r="F744" s="32">
        <v>1150</v>
      </c>
      <c r="G744" s="32">
        <v>100</v>
      </c>
      <c r="H744" s="40">
        <v>600</v>
      </c>
      <c r="I744" s="32">
        <v>695</v>
      </c>
      <c r="J744" s="32">
        <v>50</v>
      </c>
      <c r="K744" s="33"/>
      <c r="L744" s="33"/>
      <c r="M744" s="33"/>
      <c r="N744" s="33"/>
      <c r="O744" s="33"/>
      <c r="P744" s="33"/>
      <c r="Q744" s="33"/>
      <c r="R744" s="33"/>
      <c r="S744" s="33"/>
      <c r="T744" s="33"/>
    </row>
    <row r="745" spans="1:20" ht="15.6">
      <c r="A745" s="13">
        <v>64770</v>
      </c>
      <c r="B745" s="41">
        <f t="shared" si="2"/>
        <v>30</v>
      </c>
      <c r="C745" s="32">
        <v>141.29300000000001</v>
      </c>
      <c r="D745" s="32">
        <v>267.99299999999999</v>
      </c>
      <c r="E745" s="38">
        <v>829.71400000000006</v>
      </c>
      <c r="F745" s="32">
        <v>1239</v>
      </c>
      <c r="G745" s="32">
        <v>100</v>
      </c>
      <c r="H745" s="40">
        <v>600</v>
      </c>
      <c r="I745" s="32">
        <v>695</v>
      </c>
      <c r="J745" s="32">
        <v>50</v>
      </c>
      <c r="K745" s="33"/>
      <c r="L745" s="33"/>
      <c r="M745" s="33"/>
      <c r="N745" s="33"/>
      <c r="O745" s="33"/>
      <c r="P745" s="33"/>
      <c r="Q745" s="33"/>
      <c r="R745" s="33"/>
      <c r="S745" s="33"/>
      <c r="T745" s="33"/>
    </row>
    <row r="746" spans="1:20" ht="15.6">
      <c r="A746" s="13">
        <v>64801</v>
      </c>
      <c r="B746" s="41">
        <f t="shared" si="2"/>
        <v>31</v>
      </c>
      <c r="C746" s="32">
        <v>194.20500000000001</v>
      </c>
      <c r="D746" s="32">
        <v>267.46600000000001</v>
      </c>
      <c r="E746" s="38">
        <v>812.32899999999995</v>
      </c>
      <c r="F746" s="32">
        <v>1274</v>
      </c>
      <c r="G746" s="32">
        <v>75</v>
      </c>
      <c r="H746" s="40">
        <v>600</v>
      </c>
      <c r="I746" s="32">
        <v>695</v>
      </c>
      <c r="J746" s="32">
        <v>50</v>
      </c>
      <c r="K746" s="33"/>
      <c r="L746" s="33"/>
      <c r="M746" s="33"/>
      <c r="N746" s="33"/>
      <c r="O746" s="33"/>
      <c r="P746" s="33"/>
      <c r="Q746" s="33"/>
      <c r="R746" s="33"/>
      <c r="S746" s="33"/>
      <c r="T746" s="33"/>
    </row>
    <row r="747" spans="1:20" ht="15.6">
      <c r="A747" s="13">
        <v>64831</v>
      </c>
      <c r="B747" s="41">
        <f t="shared" si="2"/>
        <v>30</v>
      </c>
      <c r="C747" s="32">
        <v>194.20500000000001</v>
      </c>
      <c r="D747" s="32">
        <v>267.46600000000001</v>
      </c>
      <c r="E747" s="38">
        <v>812.32899999999995</v>
      </c>
      <c r="F747" s="32">
        <v>1274</v>
      </c>
      <c r="G747" s="32">
        <v>50</v>
      </c>
      <c r="H747" s="40">
        <v>600</v>
      </c>
      <c r="I747" s="32">
        <v>695</v>
      </c>
      <c r="J747" s="32">
        <v>50</v>
      </c>
      <c r="K747" s="33"/>
      <c r="L747" s="33"/>
      <c r="M747" s="33"/>
      <c r="N747" s="33"/>
      <c r="O747" s="33"/>
      <c r="P747" s="33"/>
      <c r="Q747" s="33"/>
      <c r="R747" s="33"/>
      <c r="S747" s="33"/>
      <c r="T747" s="33"/>
    </row>
    <row r="748" spans="1:20" ht="15.6">
      <c r="A748" s="13">
        <v>64862</v>
      </c>
      <c r="B748" s="41">
        <f t="shared" si="2"/>
        <v>31</v>
      </c>
      <c r="C748" s="32">
        <v>194.20500000000001</v>
      </c>
      <c r="D748" s="32">
        <v>267.46600000000001</v>
      </c>
      <c r="E748" s="38">
        <v>812.32899999999995</v>
      </c>
      <c r="F748" s="32">
        <v>1274</v>
      </c>
      <c r="G748" s="32">
        <v>50</v>
      </c>
      <c r="H748" s="40">
        <v>600</v>
      </c>
      <c r="I748" s="32">
        <v>695</v>
      </c>
      <c r="J748" s="32">
        <v>0</v>
      </c>
      <c r="K748" s="33"/>
      <c r="L748" s="33"/>
      <c r="M748" s="33"/>
      <c r="N748" s="33"/>
      <c r="O748" s="33"/>
      <c r="P748" s="33"/>
      <c r="Q748" s="33"/>
      <c r="R748" s="33"/>
      <c r="S748" s="33"/>
      <c r="T748" s="33"/>
    </row>
    <row r="749" spans="1:20" ht="15.6">
      <c r="A749" s="13">
        <v>64893</v>
      </c>
      <c r="B749" s="41">
        <f t="shared" si="2"/>
        <v>31</v>
      </c>
      <c r="C749" s="32">
        <v>194.20500000000001</v>
      </c>
      <c r="D749" s="32">
        <v>267.46600000000001</v>
      </c>
      <c r="E749" s="38">
        <v>812.32899999999995</v>
      </c>
      <c r="F749" s="32">
        <v>1274</v>
      </c>
      <c r="G749" s="32">
        <v>50</v>
      </c>
      <c r="H749" s="40">
        <v>600</v>
      </c>
      <c r="I749" s="32">
        <v>695</v>
      </c>
      <c r="J749" s="32">
        <v>0</v>
      </c>
      <c r="K749" s="33"/>
      <c r="L749" s="33"/>
      <c r="M749" s="33"/>
      <c r="N749" s="33"/>
      <c r="O749" s="33"/>
      <c r="P749" s="33"/>
      <c r="Q749" s="33"/>
      <c r="R749" s="33"/>
      <c r="S749" s="33"/>
      <c r="T749" s="33"/>
    </row>
    <row r="750" spans="1:20" ht="15.6">
      <c r="A750" s="13">
        <v>64923</v>
      </c>
      <c r="B750" s="41">
        <f t="shared" si="2"/>
        <v>30</v>
      </c>
      <c r="C750" s="32">
        <v>194.20500000000001</v>
      </c>
      <c r="D750" s="32">
        <v>267.46600000000001</v>
      </c>
      <c r="E750" s="38">
        <v>812.32899999999995</v>
      </c>
      <c r="F750" s="32">
        <v>1274</v>
      </c>
      <c r="G750" s="32">
        <v>50</v>
      </c>
      <c r="H750" s="40">
        <v>600</v>
      </c>
      <c r="I750" s="32">
        <v>695</v>
      </c>
      <c r="J750" s="32">
        <v>0</v>
      </c>
      <c r="K750" s="33"/>
      <c r="L750" s="33"/>
      <c r="M750" s="33"/>
      <c r="N750" s="33"/>
      <c r="O750" s="33"/>
      <c r="P750" s="33"/>
      <c r="Q750" s="33"/>
      <c r="R750" s="33"/>
      <c r="S750" s="33"/>
      <c r="T750" s="33"/>
    </row>
    <row r="751" spans="1:20" ht="15.6">
      <c r="A751" s="13">
        <v>64954</v>
      </c>
      <c r="B751" s="41">
        <f t="shared" si="2"/>
        <v>31</v>
      </c>
      <c r="C751" s="32">
        <v>131.881</v>
      </c>
      <c r="D751" s="32">
        <v>277.16699999999997</v>
      </c>
      <c r="E751" s="38">
        <v>829.952</v>
      </c>
      <c r="F751" s="32">
        <v>1239</v>
      </c>
      <c r="G751" s="32">
        <v>75</v>
      </c>
      <c r="H751" s="40">
        <v>600</v>
      </c>
      <c r="I751" s="32">
        <v>695</v>
      </c>
      <c r="J751" s="32">
        <v>0</v>
      </c>
      <c r="K751" s="33"/>
      <c r="L751" s="33"/>
      <c r="M751" s="33"/>
      <c r="N751" s="33"/>
      <c r="O751" s="33"/>
      <c r="P751" s="33"/>
      <c r="Q751" s="33"/>
      <c r="R751" s="33"/>
      <c r="S751" s="33"/>
      <c r="T751" s="33"/>
    </row>
    <row r="752" spans="1:20" ht="15.6">
      <c r="A752" s="13">
        <v>64984</v>
      </c>
      <c r="B752" s="41">
        <f t="shared" si="2"/>
        <v>30</v>
      </c>
      <c r="C752" s="32">
        <v>122.58</v>
      </c>
      <c r="D752" s="32">
        <v>297.94099999999997</v>
      </c>
      <c r="E752" s="38">
        <v>729.47900000000004</v>
      </c>
      <c r="F752" s="32">
        <v>1150</v>
      </c>
      <c r="G752" s="32">
        <v>100</v>
      </c>
      <c r="H752" s="40">
        <v>600</v>
      </c>
      <c r="I752" s="32">
        <v>695</v>
      </c>
      <c r="J752" s="32">
        <v>50</v>
      </c>
      <c r="K752" s="33"/>
      <c r="L752" s="33"/>
      <c r="M752" s="33"/>
      <c r="N752" s="33"/>
      <c r="O752" s="33"/>
      <c r="P752" s="33"/>
      <c r="Q752" s="33"/>
      <c r="R752" s="33"/>
      <c r="S752" s="33"/>
      <c r="T752" s="33"/>
    </row>
    <row r="753" spans="1:20" ht="15.6">
      <c r="A753" s="13">
        <v>65015</v>
      </c>
      <c r="B753" s="41">
        <f t="shared" si="2"/>
        <v>31</v>
      </c>
      <c r="C753" s="32">
        <v>122.58</v>
      </c>
      <c r="D753" s="32">
        <v>297.94099999999997</v>
      </c>
      <c r="E753" s="38">
        <v>729.47900000000004</v>
      </c>
      <c r="F753" s="32">
        <v>1150</v>
      </c>
      <c r="G753" s="32">
        <v>100</v>
      </c>
      <c r="H753" s="40">
        <v>600</v>
      </c>
      <c r="I753" s="32">
        <v>695</v>
      </c>
      <c r="J753" s="32">
        <v>50</v>
      </c>
      <c r="K753" s="33"/>
      <c r="L753" s="33"/>
      <c r="M753" s="33"/>
      <c r="N753" s="33"/>
      <c r="O753" s="33"/>
      <c r="P753" s="33"/>
      <c r="Q753" s="33"/>
      <c r="R753" s="33"/>
      <c r="S753" s="33"/>
      <c r="T753" s="33"/>
    </row>
    <row r="754" spans="1:20" ht="15.6">
      <c r="A754" s="13">
        <v>65046</v>
      </c>
      <c r="B754" s="41">
        <f t="shared" ref="B754:B817" si="3">EOMONTH(A754,0)-EOMONTH(A754,-1)</f>
        <v>31</v>
      </c>
      <c r="C754" s="32">
        <v>122.58</v>
      </c>
      <c r="D754" s="32">
        <v>297.94099999999997</v>
      </c>
      <c r="E754" s="38">
        <v>729.47900000000004</v>
      </c>
      <c r="F754" s="32">
        <v>1150</v>
      </c>
      <c r="G754" s="32">
        <v>100</v>
      </c>
      <c r="H754" s="40">
        <v>600</v>
      </c>
      <c r="I754" s="32">
        <v>695</v>
      </c>
      <c r="J754" s="32">
        <v>50</v>
      </c>
      <c r="K754" s="33"/>
      <c r="L754" s="33"/>
      <c r="M754" s="33"/>
      <c r="N754" s="33"/>
      <c r="O754" s="33"/>
      <c r="P754" s="33"/>
      <c r="Q754" s="33"/>
      <c r="R754" s="33"/>
      <c r="S754" s="33"/>
      <c r="T754" s="33"/>
    </row>
    <row r="755" spans="1:20" ht="15.6">
      <c r="A755" s="13">
        <v>65074</v>
      </c>
      <c r="B755" s="41">
        <f t="shared" si="3"/>
        <v>28</v>
      </c>
      <c r="C755" s="32">
        <v>122.58</v>
      </c>
      <c r="D755" s="32">
        <v>297.94099999999997</v>
      </c>
      <c r="E755" s="38">
        <v>729.47900000000004</v>
      </c>
      <c r="F755" s="32">
        <v>1150</v>
      </c>
      <c r="G755" s="32">
        <v>100</v>
      </c>
      <c r="H755" s="40">
        <v>600</v>
      </c>
      <c r="I755" s="32">
        <v>695</v>
      </c>
      <c r="J755" s="32">
        <v>50</v>
      </c>
      <c r="K755" s="33"/>
      <c r="L755" s="33"/>
      <c r="M755" s="33"/>
      <c r="N755" s="33"/>
      <c r="O755" s="33"/>
      <c r="P755" s="33"/>
      <c r="Q755" s="33"/>
      <c r="R755" s="33"/>
      <c r="S755" s="33"/>
      <c r="T755" s="33"/>
    </row>
    <row r="756" spans="1:20" ht="15.6">
      <c r="A756" s="13">
        <v>65105</v>
      </c>
      <c r="B756" s="41">
        <f t="shared" si="3"/>
        <v>31</v>
      </c>
      <c r="C756" s="32">
        <v>122.58</v>
      </c>
      <c r="D756" s="32">
        <v>297.94099999999997</v>
      </c>
      <c r="E756" s="38">
        <v>729.47900000000004</v>
      </c>
      <c r="F756" s="32">
        <v>1150</v>
      </c>
      <c r="G756" s="32">
        <v>100</v>
      </c>
      <c r="H756" s="40">
        <v>600</v>
      </c>
      <c r="I756" s="32">
        <v>695</v>
      </c>
      <c r="J756" s="32">
        <v>50</v>
      </c>
      <c r="K756" s="33"/>
      <c r="L756" s="33"/>
      <c r="M756" s="33"/>
      <c r="N756" s="33"/>
      <c r="O756" s="33"/>
      <c r="P756" s="33"/>
      <c r="Q756" s="33"/>
      <c r="R756" s="33"/>
      <c r="S756" s="33"/>
      <c r="T756" s="33"/>
    </row>
    <row r="757" spans="1:20" ht="15.6">
      <c r="A757" s="13">
        <v>65135</v>
      </c>
      <c r="B757" s="41">
        <f t="shared" si="3"/>
        <v>30</v>
      </c>
      <c r="C757" s="32">
        <v>141.29300000000001</v>
      </c>
      <c r="D757" s="32">
        <v>267.99299999999999</v>
      </c>
      <c r="E757" s="38">
        <v>829.71400000000006</v>
      </c>
      <c r="F757" s="32">
        <v>1239</v>
      </c>
      <c r="G757" s="32">
        <v>100</v>
      </c>
      <c r="H757" s="40">
        <v>600</v>
      </c>
      <c r="I757" s="32">
        <v>695</v>
      </c>
      <c r="J757" s="32">
        <v>50</v>
      </c>
      <c r="K757" s="33"/>
      <c r="L757" s="33"/>
      <c r="M757" s="33"/>
      <c r="N757" s="33"/>
      <c r="O757" s="33"/>
      <c r="P757" s="33"/>
      <c r="Q757" s="33"/>
      <c r="R757" s="33"/>
      <c r="S757" s="33"/>
      <c r="T757" s="33"/>
    </row>
    <row r="758" spans="1:20" ht="15.6">
      <c r="A758" s="13">
        <v>65166</v>
      </c>
      <c r="B758" s="41">
        <f t="shared" si="3"/>
        <v>31</v>
      </c>
      <c r="C758" s="32">
        <v>194.20500000000001</v>
      </c>
      <c r="D758" s="32">
        <v>267.46600000000001</v>
      </c>
      <c r="E758" s="38">
        <v>812.32899999999995</v>
      </c>
      <c r="F758" s="32">
        <v>1274</v>
      </c>
      <c r="G758" s="32">
        <v>75</v>
      </c>
      <c r="H758" s="40">
        <v>600</v>
      </c>
      <c r="I758" s="32">
        <v>695</v>
      </c>
      <c r="J758" s="32">
        <v>50</v>
      </c>
      <c r="K758" s="33"/>
      <c r="L758" s="33"/>
      <c r="M758" s="33"/>
      <c r="N758" s="33"/>
      <c r="O758" s="33"/>
      <c r="P758" s="33"/>
      <c r="Q758" s="33"/>
      <c r="R758" s="33"/>
      <c r="S758" s="33"/>
      <c r="T758" s="33"/>
    </row>
    <row r="759" spans="1:20" ht="15.6">
      <c r="A759" s="13">
        <v>65196</v>
      </c>
      <c r="B759" s="41">
        <f t="shared" si="3"/>
        <v>30</v>
      </c>
      <c r="C759" s="32">
        <v>194.20500000000001</v>
      </c>
      <c r="D759" s="32">
        <v>267.46600000000001</v>
      </c>
      <c r="E759" s="38">
        <v>812.32899999999995</v>
      </c>
      <c r="F759" s="32">
        <v>1274</v>
      </c>
      <c r="G759" s="32">
        <v>50</v>
      </c>
      <c r="H759" s="40">
        <v>600</v>
      </c>
      <c r="I759" s="32">
        <v>695</v>
      </c>
      <c r="J759" s="32">
        <v>50</v>
      </c>
      <c r="K759" s="33"/>
      <c r="L759" s="33"/>
      <c r="M759" s="33"/>
      <c r="N759" s="33"/>
      <c r="O759" s="33"/>
      <c r="P759" s="33"/>
      <c r="Q759" s="33"/>
      <c r="R759" s="33"/>
      <c r="S759" s="33"/>
      <c r="T759" s="33"/>
    </row>
    <row r="760" spans="1:20" ht="15.6">
      <c r="A760" s="13">
        <v>65227</v>
      </c>
      <c r="B760" s="41">
        <f t="shared" si="3"/>
        <v>31</v>
      </c>
      <c r="C760" s="32">
        <v>194.20500000000001</v>
      </c>
      <c r="D760" s="32">
        <v>267.46600000000001</v>
      </c>
      <c r="E760" s="38">
        <v>812.32899999999995</v>
      </c>
      <c r="F760" s="32">
        <v>1274</v>
      </c>
      <c r="G760" s="32">
        <v>50</v>
      </c>
      <c r="H760" s="40">
        <v>600</v>
      </c>
      <c r="I760" s="32">
        <v>695</v>
      </c>
      <c r="J760" s="32">
        <v>0</v>
      </c>
      <c r="K760" s="33"/>
      <c r="L760" s="33"/>
      <c r="M760" s="33"/>
      <c r="N760" s="33"/>
      <c r="O760" s="33"/>
      <c r="P760" s="33"/>
      <c r="Q760" s="33"/>
      <c r="R760" s="33"/>
      <c r="S760" s="33"/>
      <c r="T760" s="33"/>
    </row>
    <row r="761" spans="1:20" ht="15.6">
      <c r="A761" s="13">
        <v>65258</v>
      </c>
      <c r="B761" s="41">
        <f t="shared" si="3"/>
        <v>31</v>
      </c>
      <c r="C761" s="32">
        <v>194.20500000000001</v>
      </c>
      <c r="D761" s="32">
        <v>267.46600000000001</v>
      </c>
      <c r="E761" s="38">
        <v>812.32899999999995</v>
      </c>
      <c r="F761" s="32">
        <v>1274</v>
      </c>
      <c r="G761" s="32">
        <v>50</v>
      </c>
      <c r="H761" s="40">
        <v>600</v>
      </c>
      <c r="I761" s="32">
        <v>695</v>
      </c>
      <c r="J761" s="32">
        <v>0</v>
      </c>
      <c r="K761" s="33"/>
      <c r="L761" s="33"/>
      <c r="M761" s="33"/>
      <c r="N761" s="33"/>
      <c r="O761" s="33"/>
      <c r="P761" s="33"/>
      <c r="Q761" s="33"/>
      <c r="R761" s="33"/>
      <c r="S761" s="33"/>
      <c r="T761" s="33"/>
    </row>
    <row r="762" spans="1:20" ht="15.6">
      <c r="A762" s="13">
        <v>65288</v>
      </c>
      <c r="B762" s="41">
        <f t="shared" si="3"/>
        <v>30</v>
      </c>
      <c r="C762" s="32">
        <v>194.20500000000001</v>
      </c>
      <c r="D762" s="32">
        <v>267.46600000000001</v>
      </c>
      <c r="E762" s="38">
        <v>812.32899999999995</v>
      </c>
      <c r="F762" s="32">
        <v>1274</v>
      </c>
      <c r="G762" s="32">
        <v>50</v>
      </c>
      <c r="H762" s="40">
        <v>600</v>
      </c>
      <c r="I762" s="32">
        <v>695</v>
      </c>
      <c r="J762" s="32">
        <v>0</v>
      </c>
      <c r="K762" s="33"/>
      <c r="L762" s="33"/>
      <c r="M762" s="33"/>
      <c r="N762" s="33"/>
      <c r="O762" s="33"/>
      <c r="P762" s="33"/>
      <c r="Q762" s="33"/>
      <c r="R762" s="33"/>
      <c r="S762" s="33"/>
      <c r="T762" s="33"/>
    </row>
    <row r="763" spans="1:20" ht="15.6">
      <c r="A763" s="13">
        <v>65319</v>
      </c>
      <c r="B763" s="41">
        <f t="shared" si="3"/>
        <v>31</v>
      </c>
      <c r="C763" s="32">
        <v>131.881</v>
      </c>
      <c r="D763" s="32">
        <v>277.16699999999997</v>
      </c>
      <c r="E763" s="38">
        <v>829.952</v>
      </c>
      <c r="F763" s="32">
        <v>1239</v>
      </c>
      <c r="G763" s="32">
        <v>75</v>
      </c>
      <c r="H763" s="40">
        <v>600</v>
      </c>
      <c r="I763" s="32">
        <v>695</v>
      </c>
      <c r="J763" s="32">
        <v>0</v>
      </c>
      <c r="K763" s="33"/>
      <c r="L763" s="33"/>
      <c r="M763" s="33"/>
      <c r="N763" s="33"/>
      <c r="O763" s="33"/>
      <c r="P763" s="33"/>
      <c r="Q763" s="33"/>
      <c r="R763" s="33"/>
      <c r="S763" s="33"/>
      <c r="T763" s="33"/>
    </row>
    <row r="764" spans="1:20" ht="15.6">
      <c r="A764" s="13">
        <v>65349</v>
      </c>
      <c r="B764" s="41">
        <f t="shared" si="3"/>
        <v>30</v>
      </c>
      <c r="C764" s="32">
        <v>122.58</v>
      </c>
      <c r="D764" s="32">
        <v>297.94099999999997</v>
      </c>
      <c r="E764" s="38">
        <v>729.47900000000004</v>
      </c>
      <c r="F764" s="32">
        <v>1150</v>
      </c>
      <c r="G764" s="32">
        <v>100</v>
      </c>
      <c r="H764" s="40">
        <v>600</v>
      </c>
      <c r="I764" s="32">
        <v>695</v>
      </c>
      <c r="J764" s="32">
        <v>50</v>
      </c>
      <c r="K764" s="33"/>
      <c r="L764" s="33"/>
      <c r="M764" s="33"/>
      <c r="N764" s="33"/>
      <c r="O764" s="33"/>
      <c r="P764" s="33"/>
      <c r="Q764" s="33"/>
      <c r="R764" s="33"/>
      <c r="S764" s="33"/>
      <c r="T764" s="33"/>
    </row>
    <row r="765" spans="1:20" ht="15.6">
      <c r="A765" s="13">
        <v>65380</v>
      </c>
      <c r="B765" s="41">
        <f t="shared" si="3"/>
        <v>31</v>
      </c>
      <c r="C765" s="32">
        <v>122.58</v>
      </c>
      <c r="D765" s="32">
        <v>297.94099999999997</v>
      </c>
      <c r="E765" s="38">
        <v>729.47900000000004</v>
      </c>
      <c r="F765" s="32">
        <v>1150</v>
      </c>
      <c r="G765" s="32">
        <v>100</v>
      </c>
      <c r="H765" s="40">
        <v>600</v>
      </c>
      <c r="I765" s="32">
        <v>695</v>
      </c>
      <c r="J765" s="32">
        <v>50</v>
      </c>
      <c r="K765" s="33"/>
      <c r="L765" s="33"/>
      <c r="M765" s="33"/>
      <c r="N765" s="33"/>
      <c r="O765" s="33"/>
      <c r="P765" s="33"/>
      <c r="Q765" s="33"/>
      <c r="R765" s="33"/>
      <c r="S765" s="33"/>
      <c r="T765" s="33"/>
    </row>
    <row r="766" spans="1:20" ht="15.6">
      <c r="A766" s="13">
        <v>65411</v>
      </c>
      <c r="B766" s="41">
        <f t="shared" si="3"/>
        <v>31</v>
      </c>
      <c r="C766" s="32">
        <v>122.58</v>
      </c>
      <c r="D766" s="32">
        <v>297.94099999999997</v>
      </c>
      <c r="E766" s="38">
        <v>729.47900000000004</v>
      </c>
      <c r="F766" s="32">
        <v>1150</v>
      </c>
      <c r="G766" s="32">
        <v>100</v>
      </c>
      <c r="H766" s="40">
        <v>600</v>
      </c>
      <c r="I766" s="32">
        <v>695</v>
      </c>
      <c r="J766" s="32">
        <v>50</v>
      </c>
      <c r="K766" s="33"/>
      <c r="L766" s="33"/>
      <c r="M766" s="33"/>
      <c r="N766" s="33"/>
      <c r="O766" s="33"/>
      <c r="P766" s="33"/>
      <c r="Q766" s="33"/>
      <c r="R766" s="33"/>
      <c r="S766" s="33"/>
      <c r="T766" s="33"/>
    </row>
    <row r="767" spans="1:20" ht="15.6">
      <c r="A767" s="13">
        <v>65439</v>
      </c>
      <c r="B767" s="41">
        <f t="shared" si="3"/>
        <v>28</v>
      </c>
      <c r="C767" s="32">
        <v>122.58</v>
      </c>
      <c r="D767" s="32">
        <v>297.94099999999997</v>
      </c>
      <c r="E767" s="38">
        <v>729.47900000000004</v>
      </c>
      <c r="F767" s="32">
        <v>1150</v>
      </c>
      <c r="G767" s="32">
        <v>100</v>
      </c>
      <c r="H767" s="40">
        <v>600</v>
      </c>
      <c r="I767" s="32">
        <v>695</v>
      </c>
      <c r="J767" s="32">
        <v>50</v>
      </c>
      <c r="K767" s="33"/>
      <c r="L767" s="33"/>
      <c r="M767" s="33"/>
      <c r="N767" s="33"/>
      <c r="O767" s="33"/>
      <c r="P767" s="33"/>
      <c r="Q767" s="33"/>
      <c r="R767" s="33"/>
      <c r="S767" s="33"/>
      <c r="T767" s="33"/>
    </row>
    <row r="768" spans="1:20" ht="15.6">
      <c r="A768" s="13">
        <v>65470</v>
      </c>
      <c r="B768" s="41">
        <f t="shared" si="3"/>
        <v>31</v>
      </c>
      <c r="C768" s="32">
        <v>122.58</v>
      </c>
      <c r="D768" s="32">
        <v>297.94099999999997</v>
      </c>
      <c r="E768" s="38">
        <v>729.47900000000004</v>
      </c>
      <c r="F768" s="32">
        <v>1150</v>
      </c>
      <c r="G768" s="32">
        <v>100</v>
      </c>
      <c r="H768" s="40">
        <v>600</v>
      </c>
      <c r="I768" s="32">
        <v>695</v>
      </c>
      <c r="J768" s="32">
        <v>50</v>
      </c>
      <c r="K768" s="33"/>
      <c r="L768" s="33"/>
      <c r="M768" s="33"/>
      <c r="N768" s="33"/>
      <c r="O768" s="33"/>
      <c r="P768" s="33"/>
      <c r="Q768" s="33"/>
      <c r="R768" s="33"/>
      <c r="S768" s="33"/>
      <c r="T768" s="33"/>
    </row>
    <row r="769" spans="1:20" ht="15.6">
      <c r="A769" s="13">
        <v>65500</v>
      </c>
      <c r="B769" s="41">
        <f t="shared" si="3"/>
        <v>30</v>
      </c>
      <c r="C769" s="32">
        <v>141.29300000000001</v>
      </c>
      <c r="D769" s="32">
        <v>267.99299999999999</v>
      </c>
      <c r="E769" s="38">
        <v>829.71400000000006</v>
      </c>
      <c r="F769" s="32">
        <v>1239</v>
      </c>
      <c r="G769" s="32">
        <v>100</v>
      </c>
      <c r="H769" s="40">
        <v>600</v>
      </c>
      <c r="I769" s="32">
        <v>695</v>
      </c>
      <c r="J769" s="32">
        <v>50</v>
      </c>
      <c r="K769" s="33"/>
      <c r="L769" s="33"/>
      <c r="M769" s="33"/>
      <c r="N769" s="33"/>
      <c r="O769" s="33"/>
      <c r="P769" s="33"/>
      <c r="Q769" s="33"/>
      <c r="R769" s="33"/>
      <c r="S769" s="33"/>
      <c r="T769" s="33"/>
    </row>
    <row r="770" spans="1:20" ht="15.6">
      <c r="A770" s="13">
        <v>65531</v>
      </c>
      <c r="B770" s="41">
        <f t="shared" si="3"/>
        <v>31</v>
      </c>
      <c r="C770" s="32">
        <v>194.20500000000001</v>
      </c>
      <c r="D770" s="32">
        <v>267.46600000000001</v>
      </c>
      <c r="E770" s="38">
        <v>812.32899999999995</v>
      </c>
      <c r="F770" s="32">
        <v>1274</v>
      </c>
      <c r="G770" s="32">
        <v>75</v>
      </c>
      <c r="H770" s="40">
        <v>600</v>
      </c>
      <c r="I770" s="32">
        <v>695</v>
      </c>
      <c r="J770" s="32">
        <v>50</v>
      </c>
      <c r="K770" s="33"/>
      <c r="L770" s="33"/>
      <c r="M770" s="33"/>
      <c r="N770" s="33"/>
      <c r="O770" s="33"/>
      <c r="P770" s="33"/>
      <c r="Q770" s="33"/>
      <c r="R770" s="33"/>
      <c r="S770" s="33"/>
      <c r="T770" s="33"/>
    </row>
    <row r="771" spans="1:20" ht="15.6">
      <c r="A771" s="13">
        <v>65561</v>
      </c>
      <c r="B771" s="41">
        <f t="shared" si="3"/>
        <v>30</v>
      </c>
      <c r="C771" s="32">
        <v>194.20500000000001</v>
      </c>
      <c r="D771" s="32">
        <v>267.46600000000001</v>
      </c>
      <c r="E771" s="38">
        <v>812.32899999999995</v>
      </c>
      <c r="F771" s="32">
        <v>1274</v>
      </c>
      <c r="G771" s="32">
        <v>50</v>
      </c>
      <c r="H771" s="40">
        <v>600</v>
      </c>
      <c r="I771" s="32">
        <v>695</v>
      </c>
      <c r="J771" s="32">
        <v>50</v>
      </c>
      <c r="K771" s="33"/>
      <c r="L771" s="33"/>
      <c r="M771" s="33"/>
      <c r="N771" s="33"/>
      <c r="O771" s="33"/>
      <c r="P771" s="33"/>
      <c r="Q771" s="33"/>
      <c r="R771" s="33"/>
      <c r="S771" s="33"/>
      <c r="T771" s="33"/>
    </row>
    <row r="772" spans="1:20" ht="15.6">
      <c r="A772" s="13">
        <v>65592</v>
      </c>
      <c r="B772" s="41">
        <f t="shared" si="3"/>
        <v>31</v>
      </c>
      <c r="C772" s="32">
        <v>194.20500000000001</v>
      </c>
      <c r="D772" s="32">
        <v>267.46600000000001</v>
      </c>
      <c r="E772" s="38">
        <v>812.32899999999995</v>
      </c>
      <c r="F772" s="32">
        <v>1274</v>
      </c>
      <c r="G772" s="32">
        <v>50</v>
      </c>
      <c r="H772" s="40">
        <v>600</v>
      </c>
      <c r="I772" s="32">
        <v>695</v>
      </c>
      <c r="J772" s="32">
        <v>0</v>
      </c>
      <c r="K772" s="33"/>
      <c r="L772" s="33"/>
      <c r="M772" s="33"/>
      <c r="N772" s="33"/>
      <c r="O772" s="33"/>
      <c r="P772" s="33"/>
      <c r="Q772" s="33"/>
      <c r="R772" s="33"/>
      <c r="S772" s="33"/>
      <c r="T772" s="33"/>
    </row>
    <row r="773" spans="1:20" ht="15.6">
      <c r="A773" s="13">
        <v>65623</v>
      </c>
      <c r="B773" s="41">
        <f t="shared" si="3"/>
        <v>31</v>
      </c>
      <c r="C773" s="32">
        <v>194.20500000000001</v>
      </c>
      <c r="D773" s="32">
        <v>267.46600000000001</v>
      </c>
      <c r="E773" s="38">
        <v>812.32899999999995</v>
      </c>
      <c r="F773" s="32">
        <v>1274</v>
      </c>
      <c r="G773" s="32">
        <v>50</v>
      </c>
      <c r="H773" s="40">
        <v>600</v>
      </c>
      <c r="I773" s="32">
        <v>695</v>
      </c>
      <c r="J773" s="32">
        <v>0</v>
      </c>
      <c r="K773" s="33"/>
      <c r="L773" s="33"/>
      <c r="M773" s="33"/>
      <c r="N773" s="33"/>
      <c r="O773" s="33"/>
      <c r="P773" s="33"/>
      <c r="Q773" s="33"/>
      <c r="R773" s="33"/>
      <c r="S773" s="33"/>
      <c r="T773" s="33"/>
    </row>
    <row r="774" spans="1:20" ht="15.6">
      <c r="A774" s="13">
        <v>65653</v>
      </c>
      <c r="B774" s="41">
        <f t="shared" si="3"/>
        <v>30</v>
      </c>
      <c r="C774" s="32">
        <v>194.20500000000001</v>
      </c>
      <c r="D774" s="32">
        <v>267.46600000000001</v>
      </c>
      <c r="E774" s="38">
        <v>812.32899999999995</v>
      </c>
      <c r="F774" s="32">
        <v>1274</v>
      </c>
      <c r="G774" s="32">
        <v>50</v>
      </c>
      <c r="H774" s="40">
        <v>600</v>
      </c>
      <c r="I774" s="32">
        <v>695</v>
      </c>
      <c r="J774" s="32">
        <v>0</v>
      </c>
      <c r="K774" s="33"/>
      <c r="L774" s="33"/>
      <c r="M774" s="33"/>
      <c r="N774" s="33"/>
      <c r="O774" s="33"/>
      <c r="P774" s="33"/>
      <c r="Q774" s="33"/>
      <c r="R774" s="33"/>
      <c r="S774" s="33"/>
      <c r="T774" s="33"/>
    </row>
    <row r="775" spans="1:20" ht="15.6">
      <c r="A775" s="13">
        <v>65684</v>
      </c>
      <c r="B775" s="41">
        <f t="shared" si="3"/>
        <v>31</v>
      </c>
      <c r="C775" s="32">
        <v>131.881</v>
      </c>
      <c r="D775" s="32">
        <v>277.16699999999997</v>
      </c>
      <c r="E775" s="38">
        <v>829.952</v>
      </c>
      <c r="F775" s="32">
        <v>1239</v>
      </c>
      <c r="G775" s="32">
        <v>75</v>
      </c>
      <c r="H775" s="40">
        <v>600</v>
      </c>
      <c r="I775" s="32">
        <v>695</v>
      </c>
      <c r="J775" s="32">
        <v>0</v>
      </c>
      <c r="K775" s="33"/>
      <c r="L775" s="33"/>
      <c r="M775" s="33"/>
      <c r="N775" s="33"/>
      <c r="O775" s="33"/>
      <c r="P775" s="33"/>
      <c r="Q775" s="33"/>
      <c r="R775" s="33"/>
      <c r="S775" s="33"/>
      <c r="T775" s="33"/>
    </row>
    <row r="776" spans="1:20" ht="15.6">
      <c r="A776" s="13">
        <v>65714</v>
      </c>
      <c r="B776" s="41">
        <f t="shared" si="3"/>
        <v>30</v>
      </c>
      <c r="C776" s="32">
        <v>122.58</v>
      </c>
      <c r="D776" s="32">
        <v>297.94099999999997</v>
      </c>
      <c r="E776" s="38">
        <v>729.47900000000004</v>
      </c>
      <c r="F776" s="32">
        <v>1150</v>
      </c>
      <c r="G776" s="32">
        <v>100</v>
      </c>
      <c r="H776" s="40">
        <v>600</v>
      </c>
      <c r="I776" s="32">
        <v>695</v>
      </c>
      <c r="J776" s="32">
        <v>50</v>
      </c>
      <c r="K776" s="33"/>
      <c r="L776" s="33"/>
      <c r="M776" s="33"/>
      <c r="N776" s="33"/>
      <c r="O776" s="33"/>
      <c r="P776" s="33"/>
      <c r="Q776" s="33"/>
      <c r="R776" s="33"/>
      <c r="S776" s="33"/>
      <c r="T776" s="33"/>
    </row>
    <row r="777" spans="1:20" ht="15.6">
      <c r="A777" s="13">
        <v>65745</v>
      </c>
      <c r="B777" s="41">
        <f t="shared" si="3"/>
        <v>31</v>
      </c>
      <c r="C777" s="32">
        <v>122.58</v>
      </c>
      <c r="D777" s="32">
        <v>297.94099999999997</v>
      </c>
      <c r="E777" s="38">
        <v>729.47900000000004</v>
      </c>
      <c r="F777" s="32">
        <v>1150</v>
      </c>
      <c r="G777" s="32">
        <v>100</v>
      </c>
      <c r="H777" s="40">
        <v>600</v>
      </c>
      <c r="I777" s="32">
        <v>695</v>
      </c>
      <c r="J777" s="32">
        <v>50</v>
      </c>
      <c r="K777" s="33"/>
      <c r="L777" s="33"/>
      <c r="M777" s="33"/>
      <c r="N777" s="33"/>
      <c r="O777" s="33"/>
      <c r="P777" s="33"/>
      <c r="Q777" s="33"/>
      <c r="R777" s="33"/>
      <c r="S777" s="33"/>
      <c r="T777" s="33"/>
    </row>
    <row r="778" spans="1:20" ht="15.6">
      <c r="A778" s="13">
        <v>65776</v>
      </c>
      <c r="B778" s="41">
        <f t="shared" si="3"/>
        <v>31</v>
      </c>
      <c r="C778" s="32">
        <v>122.58</v>
      </c>
      <c r="D778" s="32">
        <v>297.94099999999997</v>
      </c>
      <c r="E778" s="38">
        <v>729.47900000000004</v>
      </c>
      <c r="F778" s="32">
        <v>1150</v>
      </c>
      <c r="G778" s="32">
        <v>100</v>
      </c>
      <c r="H778" s="40">
        <v>600</v>
      </c>
      <c r="I778" s="32">
        <v>695</v>
      </c>
      <c r="J778" s="32">
        <v>50</v>
      </c>
      <c r="K778" s="33"/>
      <c r="L778" s="33"/>
      <c r="M778" s="33"/>
      <c r="N778" s="33"/>
      <c r="O778" s="33"/>
      <c r="P778" s="33"/>
      <c r="Q778" s="33"/>
      <c r="R778" s="33"/>
      <c r="S778" s="33"/>
      <c r="T778" s="33"/>
    </row>
    <row r="779" spans="1:20" ht="15.6">
      <c r="A779" s="13">
        <v>65805</v>
      </c>
      <c r="B779" s="41">
        <f t="shared" si="3"/>
        <v>29</v>
      </c>
      <c r="C779" s="32">
        <v>122.58</v>
      </c>
      <c r="D779" s="32">
        <v>297.94099999999997</v>
      </c>
      <c r="E779" s="38">
        <v>729.47900000000004</v>
      </c>
      <c r="F779" s="32">
        <v>1150</v>
      </c>
      <c r="G779" s="32">
        <v>100</v>
      </c>
      <c r="H779" s="40">
        <v>600</v>
      </c>
      <c r="I779" s="32">
        <v>695</v>
      </c>
      <c r="J779" s="32">
        <v>50</v>
      </c>
      <c r="K779" s="33"/>
      <c r="L779" s="33"/>
      <c r="M779" s="33"/>
      <c r="N779" s="33"/>
      <c r="O779" s="33"/>
      <c r="P779" s="33"/>
      <c r="Q779" s="33"/>
      <c r="R779" s="33"/>
      <c r="S779" s="33"/>
      <c r="T779" s="33"/>
    </row>
    <row r="780" spans="1:20" ht="15.6">
      <c r="A780" s="13">
        <v>65836</v>
      </c>
      <c r="B780" s="41">
        <f t="shared" si="3"/>
        <v>31</v>
      </c>
      <c r="C780" s="32">
        <v>122.58</v>
      </c>
      <c r="D780" s="32">
        <v>297.94099999999997</v>
      </c>
      <c r="E780" s="38">
        <v>729.47900000000004</v>
      </c>
      <c r="F780" s="32">
        <v>1150</v>
      </c>
      <c r="G780" s="32">
        <v>100</v>
      </c>
      <c r="H780" s="40">
        <v>600</v>
      </c>
      <c r="I780" s="32">
        <v>695</v>
      </c>
      <c r="J780" s="32">
        <v>50</v>
      </c>
      <c r="K780" s="33"/>
      <c r="L780" s="33"/>
      <c r="M780" s="33"/>
      <c r="N780" s="33"/>
      <c r="O780" s="33"/>
      <c r="P780" s="33"/>
      <c r="Q780" s="33"/>
      <c r="R780" s="33"/>
      <c r="S780" s="33"/>
      <c r="T780" s="33"/>
    </row>
    <row r="781" spans="1:20" ht="15.6">
      <c r="A781" s="13">
        <v>65866</v>
      </c>
      <c r="B781" s="41">
        <f t="shared" si="3"/>
        <v>30</v>
      </c>
      <c r="C781" s="32">
        <v>141.29300000000001</v>
      </c>
      <c r="D781" s="32">
        <v>267.99299999999999</v>
      </c>
      <c r="E781" s="38">
        <v>829.71400000000006</v>
      </c>
      <c r="F781" s="32">
        <v>1239</v>
      </c>
      <c r="G781" s="32">
        <v>100</v>
      </c>
      <c r="H781" s="40">
        <v>600</v>
      </c>
      <c r="I781" s="32">
        <v>695</v>
      </c>
      <c r="J781" s="32">
        <v>50</v>
      </c>
      <c r="K781" s="33"/>
      <c r="L781" s="33"/>
      <c r="M781" s="33"/>
      <c r="N781" s="33"/>
      <c r="O781" s="33"/>
      <c r="P781" s="33"/>
      <c r="Q781" s="33"/>
      <c r="R781" s="33"/>
      <c r="S781" s="33"/>
      <c r="T781" s="33"/>
    </row>
    <row r="782" spans="1:20" ht="15.6">
      <c r="A782" s="13">
        <v>65897</v>
      </c>
      <c r="B782" s="41">
        <f t="shared" si="3"/>
        <v>31</v>
      </c>
      <c r="C782" s="32">
        <v>194.20500000000001</v>
      </c>
      <c r="D782" s="32">
        <v>267.46600000000001</v>
      </c>
      <c r="E782" s="38">
        <v>812.32899999999995</v>
      </c>
      <c r="F782" s="32">
        <v>1274</v>
      </c>
      <c r="G782" s="32">
        <v>75</v>
      </c>
      <c r="H782" s="40">
        <v>600</v>
      </c>
      <c r="I782" s="32">
        <v>695</v>
      </c>
      <c r="J782" s="32">
        <v>50</v>
      </c>
      <c r="K782" s="33"/>
      <c r="L782" s="33"/>
      <c r="M782" s="33"/>
      <c r="N782" s="33"/>
      <c r="O782" s="33"/>
      <c r="P782" s="33"/>
      <c r="Q782" s="33"/>
      <c r="R782" s="33"/>
      <c r="S782" s="33"/>
      <c r="T782" s="33"/>
    </row>
    <row r="783" spans="1:20" ht="15.6">
      <c r="A783" s="13">
        <v>65927</v>
      </c>
      <c r="B783" s="41">
        <f t="shared" si="3"/>
        <v>30</v>
      </c>
      <c r="C783" s="32">
        <v>194.20500000000001</v>
      </c>
      <c r="D783" s="32">
        <v>267.46600000000001</v>
      </c>
      <c r="E783" s="38">
        <v>812.32899999999995</v>
      </c>
      <c r="F783" s="32">
        <v>1274</v>
      </c>
      <c r="G783" s="32">
        <v>50</v>
      </c>
      <c r="H783" s="40">
        <v>600</v>
      </c>
      <c r="I783" s="32">
        <v>695</v>
      </c>
      <c r="J783" s="32">
        <v>50</v>
      </c>
      <c r="K783" s="33"/>
      <c r="L783" s="33"/>
      <c r="M783" s="33"/>
      <c r="N783" s="33"/>
      <c r="O783" s="33"/>
      <c r="P783" s="33"/>
      <c r="Q783" s="33"/>
      <c r="R783" s="33"/>
      <c r="S783" s="33"/>
      <c r="T783" s="33"/>
    </row>
    <row r="784" spans="1:20" ht="15.6">
      <c r="A784" s="13">
        <v>65958</v>
      </c>
      <c r="B784" s="41">
        <f t="shared" si="3"/>
        <v>31</v>
      </c>
      <c r="C784" s="32">
        <v>194.20500000000001</v>
      </c>
      <c r="D784" s="32">
        <v>267.46600000000001</v>
      </c>
      <c r="E784" s="38">
        <v>812.32899999999995</v>
      </c>
      <c r="F784" s="32">
        <v>1274</v>
      </c>
      <c r="G784" s="32">
        <v>50</v>
      </c>
      <c r="H784" s="40">
        <v>600</v>
      </c>
      <c r="I784" s="32">
        <v>695</v>
      </c>
      <c r="J784" s="32">
        <v>0</v>
      </c>
      <c r="K784" s="33"/>
      <c r="L784" s="33"/>
      <c r="M784" s="33"/>
      <c r="N784" s="33"/>
      <c r="O784" s="33"/>
      <c r="P784" s="33"/>
      <c r="Q784" s="33"/>
      <c r="R784" s="33"/>
      <c r="S784" s="33"/>
      <c r="T784" s="33"/>
    </row>
    <row r="785" spans="1:20" ht="15.6">
      <c r="A785" s="13">
        <v>65989</v>
      </c>
      <c r="B785" s="41">
        <f t="shared" si="3"/>
        <v>31</v>
      </c>
      <c r="C785" s="32">
        <v>194.20500000000001</v>
      </c>
      <c r="D785" s="32">
        <v>267.46600000000001</v>
      </c>
      <c r="E785" s="38">
        <v>812.32899999999995</v>
      </c>
      <c r="F785" s="32">
        <v>1274</v>
      </c>
      <c r="G785" s="32">
        <v>50</v>
      </c>
      <c r="H785" s="40">
        <v>600</v>
      </c>
      <c r="I785" s="32">
        <v>695</v>
      </c>
      <c r="J785" s="32">
        <v>0</v>
      </c>
      <c r="K785" s="33"/>
      <c r="L785" s="33"/>
      <c r="M785" s="33"/>
      <c r="N785" s="33"/>
      <c r="O785" s="33"/>
      <c r="P785" s="33"/>
      <c r="Q785" s="33"/>
      <c r="R785" s="33"/>
      <c r="S785" s="33"/>
      <c r="T785" s="33"/>
    </row>
    <row r="786" spans="1:20" ht="15.6">
      <c r="A786" s="13">
        <v>66019</v>
      </c>
      <c r="B786" s="41">
        <f t="shared" si="3"/>
        <v>30</v>
      </c>
      <c r="C786" s="32">
        <v>194.20500000000001</v>
      </c>
      <c r="D786" s="32">
        <v>267.46600000000001</v>
      </c>
      <c r="E786" s="38">
        <v>812.32899999999995</v>
      </c>
      <c r="F786" s="32">
        <v>1274</v>
      </c>
      <c r="G786" s="32">
        <v>50</v>
      </c>
      <c r="H786" s="40">
        <v>600</v>
      </c>
      <c r="I786" s="32">
        <v>695</v>
      </c>
      <c r="J786" s="32">
        <v>0</v>
      </c>
      <c r="K786" s="33"/>
      <c r="L786" s="33"/>
      <c r="M786" s="33"/>
      <c r="N786" s="33"/>
      <c r="O786" s="33"/>
      <c r="P786" s="33"/>
      <c r="Q786" s="33"/>
      <c r="R786" s="33"/>
      <c r="S786" s="33"/>
      <c r="T786" s="33"/>
    </row>
    <row r="787" spans="1:20" ht="15.6">
      <c r="A787" s="13">
        <v>66050</v>
      </c>
      <c r="B787" s="41">
        <f t="shared" si="3"/>
        <v>31</v>
      </c>
      <c r="C787" s="32">
        <v>131.881</v>
      </c>
      <c r="D787" s="32">
        <v>277.16699999999997</v>
      </c>
      <c r="E787" s="38">
        <v>829.952</v>
      </c>
      <c r="F787" s="32">
        <v>1239</v>
      </c>
      <c r="G787" s="32">
        <v>75</v>
      </c>
      <c r="H787" s="40">
        <v>600</v>
      </c>
      <c r="I787" s="32">
        <v>695</v>
      </c>
      <c r="J787" s="32">
        <v>0</v>
      </c>
      <c r="K787" s="33"/>
      <c r="L787" s="33"/>
      <c r="M787" s="33"/>
      <c r="N787" s="33"/>
      <c r="O787" s="33"/>
      <c r="P787" s="33"/>
      <c r="Q787" s="33"/>
      <c r="R787" s="33"/>
      <c r="S787" s="33"/>
      <c r="T787" s="33"/>
    </row>
    <row r="788" spans="1:20" ht="15.6">
      <c r="A788" s="13">
        <v>66080</v>
      </c>
      <c r="B788" s="41">
        <f t="shared" si="3"/>
        <v>30</v>
      </c>
      <c r="C788" s="32">
        <v>122.58</v>
      </c>
      <c r="D788" s="32">
        <v>297.94099999999997</v>
      </c>
      <c r="E788" s="38">
        <v>729.47900000000004</v>
      </c>
      <c r="F788" s="32">
        <v>1150</v>
      </c>
      <c r="G788" s="32">
        <v>100</v>
      </c>
      <c r="H788" s="40">
        <v>600</v>
      </c>
      <c r="I788" s="32">
        <v>695</v>
      </c>
      <c r="J788" s="32">
        <v>50</v>
      </c>
      <c r="K788" s="33"/>
      <c r="L788" s="33"/>
      <c r="M788" s="33"/>
      <c r="N788" s="33"/>
      <c r="O788" s="33"/>
      <c r="P788" s="33"/>
      <c r="Q788" s="33"/>
      <c r="R788" s="33"/>
      <c r="S788" s="33"/>
      <c r="T788" s="33"/>
    </row>
    <row r="789" spans="1:20" ht="15.6">
      <c r="A789" s="13">
        <v>66111</v>
      </c>
      <c r="B789" s="41">
        <f t="shared" si="3"/>
        <v>31</v>
      </c>
      <c r="C789" s="32">
        <v>122.58</v>
      </c>
      <c r="D789" s="32">
        <v>297.94099999999997</v>
      </c>
      <c r="E789" s="38">
        <v>729.47900000000004</v>
      </c>
      <c r="F789" s="32">
        <v>1150</v>
      </c>
      <c r="G789" s="32">
        <v>100</v>
      </c>
      <c r="H789" s="40">
        <v>600</v>
      </c>
      <c r="I789" s="32">
        <v>695</v>
      </c>
      <c r="J789" s="32">
        <v>50</v>
      </c>
      <c r="K789" s="33"/>
      <c r="L789" s="33"/>
      <c r="M789" s="33"/>
      <c r="N789" s="33"/>
      <c r="O789" s="33"/>
      <c r="P789" s="33"/>
      <c r="Q789" s="33"/>
      <c r="R789" s="33"/>
      <c r="S789" s="33"/>
      <c r="T789" s="33"/>
    </row>
    <row r="790" spans="1:20" ht="15.6">
      <c r="A790" s="13">
        <v>66142</v>
      </c>
      <c r="B790" s="41">
        <f t="shared" si="3"/>
        <v>31</v>
      </c>
      <c r="C790" s="32">
        <v>122.58</v>
      </c>
      <c r="D790" s="32">
        <v>297.94099999999997</v>
      </c>
      <c r="E790" s="38">
        <v>729.47900000000004</v>
      </c>
      <c r="F790" s="32">
        <v>1150</v>
      </c>
      <c r="G790" s="32">
        <v>100</v>
      </c>
      <c r="H790" s="40">
        <v>600</v>
      </c>
      <c r="I790" s="32">
        <v>695</v>
      </c>
      <c r="J790" s="32">
        <v>50</v>
      </c>
      <c r="K790" s="33"/>
      <c r="L790" s="33"/>
      <c r="M790" s="33"/>
      <c r="N790" s="33"/>
      <c r="O790" s="33"/>
      <c r="P790" s="33"/>
      <c r="Q790" s="33"/>
      <c r="R790" s="33"/>
      <c r="S790" s="33"/>
      <c r="T790" s="33"/>
    </row>
    <row r="791" spans="1:20" ht="15.6">
      <c r="A791" s="13">
        <v>66170</v>
      </c>
      <c r="B791" s="41">
        <f t="shared" si="3"/>
        <v>28</v>
      </c>
      <c r="C791" s="32">
        <v>122.58</v>
      </c>
      <c r="D791" s="32">
        <v>297.94099999999997</v>
      </c>
      <c r="E791" s="38">
        <v>729.47900000000004</v>
      </c>
      <c r="F791" s="32">
        <v>1150</v>
      </c>
      <c r="G791" s="32">
        <v>100</v>
      </c>
      <c r="H791" s="40">
        <v>600</v>
      </c>
      <c r="I791" s="32">
        <v>695</v>
      </c>
      <c r="J791" s="32">
        <v>50</v>
      </c>
      <c r="K791" s="33"/>
      <c r="L791" s="33"/>
      <c r="M791" s="33"/>
      <c r="N791" s="33"/>
      <c r="O791" s="33"/>
      <c r="P791" s="33"/>
      <c r="Q791" s="33"/>
      <c r="R791" s="33"/>
      <c r="S791" s="33"/>
      <c r="T791" s="33"/>
    </row>
    <row r="792" spans="1:20" ht="15.6">
      <c r="A792" s="13">
        <v>66201</v>
      </c>
      <c r="B792" s="41">
        <f t="shared" si="3"/>
        <v>31</v>
      </c>
      <c r="C792" s="32">
        <v>122.58</v>
      </c>
      <c r="D792" s="32">
        <v>297.94099999999997</v>
      </c>
      <c r="E792" s="38">
        <v>729.47900000000004</v>
      </c>
      <c r="F792" s="32">
        <v>1150</v>
      </c>
      <c r="G792" s="32">
        <v>100</v>
      </c>
      <c r="H792" s="40">
        <v>600</v>
      </c>
      <c r="I792" s="32">
        <v>695</v>
      </c>
      <c r="J792" s="32">
        <v>50</v>
      </c>
      <c r="K792" s="33"/>
      <c r="L792" s="33"/>
      <c r="M792" s="33"/>
      <c r="N792" s="33"/>
      <c r="O792" s="33"/>
      <c r="P792" s="33"/>
      <c r="Q792" s="33"/>
      <c r="R792" s="33"/>
      <c r="S792" s="33"/>
      <c r="T792" s="33"/>
    </row>
    <row r="793" spans="1:20" ht="15.6">
      <c r="A793" s="13">
        <v>66231</v>
      </c>
      <c r="B793" s="41">
        <f t="shared" si="3"/>
        <v>30</v>
      </c>
      <c r="C793" s="32">
        <v>141.29300000000001</v>
      </c>
      <c r="D793" s="32">
        <v>267.99299999999999</v>
      </c>
      <c r="E793" s="38">
        <v>829.71400000000006</v>
      </c>
      <c r="F793" s="32">
        <v>1239</v>
      </c>
      <c r="G793" s="32">
        <v>100</v>
      </c>
      <c r="H793" s="40">
        <v>600</v>
      </c>
      <c r="I793" s="32">
        <v>695</v>
      </c>
      <c r="J793" s="32">
        <v>50</v>
      </c>
      <c r="K793" s="33"/>
      <c r="L793" s="33"/>
      <c r="M793" s="33"/>
      <c r="N793" s="33"/>
      <c r="O793" s="33"/>
      <c r="P793" s="33"/>
      <c r="Q793" s="33"/>
      <c r="R793" s="33"/>
      <c r="S793" s="33"/>
      <c r="T793" s="33"/>
    </row>
    <row r="794" spans="1:20" ht="15.6">
      <c r="A794" s="13">
        <v>66262</v>
      </c>
      <c r="B794" s="41">
        <f t="shared" si="3"/>
        <v>31</v>
      </c>
      <c r="C794" s="32">
        <v>194.20500000000001</v>
      </c>
      <c r="D794" s="32">
        <v>267.46600000000001</v>
      </c>
      <c r="E794" s="38">
        <v>812.32899999999995</v>
      </c>
      <c r="F794" s="32">
        <v>1274</v>
      </c>
      <c r="G794" s="32">
        <v>75</v>
      </c>
      <c r="H794" s="40">
        <v>600</v>
      </c>
      <c r="I794" s="32">
        <v>695</v>
      </c>
      <c r="J794" s="32">
        <v>50</v>
      </c>
      <c r="K794" s="33"/>
      <c r="L794" s="33"/>
      <c r="M794" s="33"/>
      <c r="N794" s="33"/>
      <c r="O794" s="33"/>
      <c r="P794" s="33"/>
      <c r="Q794" s="33"/>
      <c r="R794" s="33"/>
      <c r="S794" s="33"/>
      <c r="T794" s="33"/>
    </row>
    <row r="795" spans="1:20" ht="15.6">
      <c r="A795" s="13">
        <v>66292</v>
      </c>
      <c r="B795" s="41">
        <f t="shared" si="3"/>
        <v>30</v>
      </c>
      <c r="C795" s="32">
        <v>194.20500000000001</v>
      </c>
      <c r="D795" s="32">
        <v>267.46600000000001</v>
      </c>
      <c r="E795" s="38">
        <v>812.32899999999995</v>
      </c>
      <c r="F795" s="32">
        <v>1274</v>
      </c>
      <c r="G795" s="32">
        <v>50</v>
      </c>
      <c r="H795" s="40">
        <v>600</v>
      </c>
      <c r="I795" s="32">
        <v>695</v>
      </c>
      <c r="J795" s="32">
        <v>50</v>
      </c>
      <c r="K795" s="33"/>
      <c r="L795" s="33"/>
      <c r="M795" s="33"/>
      <c r="N795" s="33"/>
      <c r="O795" s="33"/>
      <c r="P795" s="33"/>
      <c r="Q795" s="33"/>
      <c r="R795" s="33"/>
      <c r="S795" s="33"/>
      <c r="T795" s="33"/>
    </row>
    <row r="796" spans="1:20" ht="15.6">
      <c r="A796" s="13">
        <v>66323</v>
      </c>
      <c r="B796" s="41">
        <f t="shared" si="3"/>
        <v>31</v>
      </c>
      <c r="C796" s="32">
        <v>194.20500000000001</v>
      </c>
      <c r="D796" s="32">
        <v>267.46600000000001</v>
      </c>
      <c r="E796" s="38">
        <v>812.32899999999995</v>
      </c>
      <c r="F796" s="32">
        <v>1274</v>
      </c>
      <c r="G796" s="32">
        <v>50</v>
      </c>
      <c r="H796" s="40">
        <v>600</v>
      </c>
      <c r="I796" s="32">
        <v>695</v>
      </c>
      <c r="J796" s="32">
        <v>0</v>
      </c>
      <c r="K796" s="33"/>
      <c r="L796" s="33"/>
      <c r="M796" s="33"/>
      <c r="N796" s="33"/>
      <c r="O796" s="33"/>
      <c r="P796" s="33"/>
      <c r="Q796" s="33"/>
      <c r="R796" s="33"/>
      <c r="S796" s="33"/>
      <c r="T796" s="33"/>
    </row>
    <row r="797" spans="1:20" ht="15.6">
      <c r="A797" s="13">
        <v>66354</v>
      </c>
      <c r="B797" s="41">
        <f t="shared" si="3"/>
        <v>31</v>
      </c>
      <c r="C797" s="32">
        <v>194.20500000000001</v>
      </c>
      <c r="D797" s="32">
        <v>267.46600000000001</v>
      </c>
      <c r="E797" s="38">
        <v>812.32899999999995</v>
      </c>
      <c r="F797" s="32">
        <v>1274</v>
      </c>
      <c r="G797" s="32">
        <v>50</v>
      </c>
      <c r="H797" s="40">
        <v>600</v>
      </c>
      <c r="I797" s="32">
        <v>695</v>
      </c>
      <c r="J797" s="32">
        <v>0</v>
      </c>
      <c r="K797" s="33"/>
      <c r="L797" s="33"/>
      <c r="M797" s="33"/>
      <c r="N797" s="33"/>
      <c r="O797" s="33"/>
      <c r="P797" s="33"/>
      <c r="Q797" s="33"/>
      <c r="R797" s="33"/>
      <c r="S797" s="33"/>
      <c r="T797" s="33"/>
    </row>
    <row r="798" spans="1:20" ht="15.6">
      <c r="A798" s="13">
        <v>66384</v>
      </c>
      <c r="B798" s="41">
        <f t="shared" si="3"/>
        <v>30</v>
      </c>
      <c r="C798" s="32">
        <v>194.20500000000001</v>
      </c>
      <c r="D798" s="32">
        <v>267.46600000000001</v>
      </c>
      <c r="E798" s="38">
        <v>812.32899999999995</v>
      </c>
      <c r="F798" s="32">
        <v>1274</v>
      </c>
      <c r="G798" s="32">
        <v>50</v>
      </c>
      <c r="H798" s="40">
        <v>600</v>
      </c>
      <c r="I798" s="32">
        <v>695</v>
      </c>
      <c r="J798" s="32">
        <v>0</v>
      </c>
      <c r="K798" s="33"/>
      <c r="L798" s="33"/>
      <c r="M798" s="33"/>
      <c r="N798" s="33"/>
      <c r="O798" s="33"/>
      <c r="P798" s="33"/>
      <c r="Q798" s="33"/>
      <c r="R798" s="33"/>
      <c r="S798" s="33"/>
      <c r="T798" s="33"/>
    </row>
    <row r="799" spans="1:20" ht="15.6">
      <c r="A799" s="13">
        <v>66415</v>
      </c>
      <c r="B799" s="41">
        <f t="shared" si="3"/>
        <v>31</v>
      </c>
      <c r="C799" s="32">
        <v>131.881</v>
      </c>
      <c r="D799" s="32">
        <v>277.16699999999997</v>
      </c>
      <c r="E799" s="38">
        <v>829.952</v>
      </c>
      <c r="F799" s="32">
        <v>1239</v>
      </c>
      <c r="G799" s="32">
        <v>75</v>
      </c>
      <c r="H799" s="40">
        <v>600</v>
      </c>
      <c r="I799" s="32">
        <v>695</v>
      </c>
      <c r="J799" s="32">
        <v>0</v>
      </c>
      <c r="K799" s="33"/>
      <c r="L799" s="33"/>
      <c r="M799" s="33"/>
      <c r="N799" s="33"/>
      <c r="O799" s="33"/>
      <c r="P799" s="33"/>
      <c r="Q799" s="33"/>
      <c r="R799" s="33"/>
      <c r="S799" s="33"/>
      <c r="T799" s="33"/>
    </row>
    <row r="800" spans="1:20" ht="15.6">
      <c r="A800" s="13">
        <v>66445</v>
      </c>
      <c r="B800" s="41">
        <f t="shared" si="3"/>
        <v>30</v>
      </c>
      <c r="C800" s="32">
        <v>122.58</v>
      </c>
      <c r="D800" s="32">
        <v>297.94099999999997</v>
      </c>
      <c r="E800" s="38">
        <v>729.47900000000004</v>
      </c>
      <c r="F800" s="32">
        <v>1150</v>
      </c>
      <c r="G800" s="32">
        <v>100</v>
      </c>
      <c r="H800" s="40">
        <v>600</v>
      </c>
      <c r="I800" s="32">
        <v>695</v>
      </c>
      <c r="J800" s="32">
        <v>50</v>
      </c>
      <c r="K800" s="33"/>
      <c r="L800" s="33"/>
      <c r="M800" s="33"/>
      <c r="N800" s="33"/>
      <c r="O800" s="33"/>
      <c r="P800" s="33"/>
      <c r="Q800" s="33"/>
      <c r="R800" s="33"/>
      <c r="S800" s="33"/>
      <c r="T800" s="33"/>
    </row>
    <row r="801" spans="1:20" ht="15.6">
      <c r="A801" s="13">
        <v>66476</v>
      </c>
      <c r="B801" s="41">
        <f t="shared" si="3"/>
        <v>31</v>
      </c>
      <c r="C801" s="32">
        <v>122.58</v>
      </c>
      <c r="D801" s="32">
        <v>297.94099999999997</v>
      </c>
      <c r="E801" s="38">
        <v>729.47900000000004</v>
      </c>
      <c r="F801" s="32">
        <v>1150</v>
      </c>
      <c r="G801" s="32">
        <v>100</v>
      </c>
      <c r="H801" s="40">
        <v>600</v>
      </c>
      <c r="I801" s="32">
        <v>695</v>
      </c>
      <c r="J801" s="32">
        <v>50</v>
      </c>
      <c r="K801" s="33"/>
      <c r="L801" s="33"/>
      <c r="M801" s="33"/>
      <c r="N801" s="33"/>
      <c r="O801" s="33"/>
      <c r="P801" s="33"/>
      <c r="Q801" s="33"/>
      <c r="R801" s="33"/>
      <c r="S801" s="33"/>
      <c r="T801" s="33"/>
    </row>
    <row r="802" spans="1:20" ht="15.6">
      <c r="A802" s="13">
        <v>66507</v>
      </c>
      <c r="B802" s="41">
        <f t="shared" si="3"/>
        <v>31</v>
      </c>
      <c r="C802" s="32">
        <v>122.58</v>
      </c>
      <c r="D802" s="32">
        <v>297.94099999999997</v>
      </c>
      <c r="E802" s="38">
        <v>729.47900000000004</v>
      </c>
      <c r="F802" s="32">
        <v>1150</v>
      </c>
      <c r="G802" s="32">
        <v>100</v>
      </c>
      <c r="H802" s="40">
        <v>600</v>
      </c>
      <c r="I802" s="32">
        <v>695</v>
      </c>
      <c r="J802" s="32">
        <v>50</v>
      </c>
      <c r="K802" s="33"/>
      <c r="L802" s="33"/>
      <c r="M802" s="33"/>
      <c r="N802" s="33"/>
      <c r="O802" s="33"/>
      <c r="P802" s="33"/>
      <c r="Q802" s="33"/>
      <c r="R802" s="33"/>
      <c r="S802" s="33"/>
      <c r="T802" s="33"/>
    </row>
    <row r="803" spans="1:20" ht="15.6">
      <c r="A803" s="13">
        <v>66535</v>
      </c>
      <c r="B803" s="41">
        <f t="shared" si="3"/>
        <v>28</v>
      </c>
      <c r="C803" s="32">
        <v>122.58</v>
      </c>
      <c r="D803" s="32">
        <v>297.94099999999997</v>
      </c>
      <c r="E803" s="38">
        <v>729.47900000000004</v>
      </c>
      <c r="F803" s="32">
        <v>1150</v>
      </c>
      <c r="G803" s="32">
        <v>100</v>
      </c>
      <c r="H803" s="40">
        <v>600</v>
      </c>
      <c r="I803" s="32">
        <v>695</v>
      </c>
      <c r="J803" s="32">
        <v>50</v>
      </c>
      <c r="K803" s="33"/>
      <c r="L803" s="33"/>
      <c r="M803" s="33"/>
      <c r="N803" s="33"/>
      <c r="O803" s="33"/>
      <c r="P803" s="33"/>
      <c r="Q803" s="33"/>
      <c r="R803" s="33"/>
      <c r="S803" s="33"/>
      <c r="T803" s="33"/>
    </row>
    <row r="804" spans="1:20" ht="15.6">
      <c r="A804" s="13">
        <v>66566</v>
      </c>
      <c r="B804" s="41">
        <f t="shared" si="3"/>
        <v>31</v>
      </c>
      <c r="C804" s="32">
        <v>122.58</v>
      </c>
      <c r="D804" s="32">
        <v>297.94099999999997</v>
      </c>
      <c r="E804" s="38">
        <v>729.47900000000004</v>
      </c>
      <c r="F804" s="32">
        <v>1150</v>
      </c>
      <c r="G804" s="32">
        <v>100</v>
      </c>
      <c r="H804" s="40">
        <v>600</v>
      </c>
      <c r="I804" s="32">
        <v>695</v>
      </c>
      <c r="J804" s="32">
        <v>50</v>
      </c>
      <c r="K804" s="33"/>
      <c r="L804" s="33"/>
      <c r="M804" s="33"/>
      <c r="N804" s="33"/>
      <c r="O804" s="33"/>
      <c r="P804" s="33"/>
      <c r="Q804" s="33"/>
      <c r="R804" s="33"/>
      <c r="S804" s="33"/>
      <c r="T804" s="33"/>
    </row>
    <row r="805" spans="1:20" ht="15.6">
      <c r="A805" s="13">
        <v>66596</v>
      </c>
      <c r="B805" s="41">
        <f t="shared" si="3"/>
        <v>30</v>
      </c>
      <c r="C805" s="32">
        <v>141.29300000000001</v>
      </c>
      <c r="D805" s="32">
        <v>267.99299999999999</v>
      </c>
      <c r="E805" s="38">
        <v>829.71400000000006</v>
      </c>
      <c r="F805" s="32">
        <v>1239</v>
      </c>
      <c r="G805" s="32">
        <v>100</v>
      </c>
      <c r="H805" s="40">
        <v>600</v>
      </c>
      <c r="I805" s="32">
        <v>695</v>
      </c>
      <c r="J805" s="32">
        <v>50</v>
      </c>
      <c r="K805" s="33"/>
      <c r="L805" s="33"/>
      <c r="M805" s="33"/>
      <c r="N805" s="33"/>
      <c r="O805" s="33"/>
      <c r="P805" s="33"/>
      <c r="Q805" s="33"/>
      <c r="R805" s="33"/>
      <c r="S805" s="33"/>
      <c r="T805" s="33"/>
    </row>
    <row r="806" spans="1:20" ht="15.6">
      <c r="A806" s="13">
        <v>66627</v>
      </c>
      <c r="B806" s="41">
        <f t="shared" si="3"/>
        <v>31</v>
      </c>
      <c r="C806" s="32">
        <v>194.20500000000001</v>
      </c>
      <c r="D806" s="32">
        <v>267.46600000000001</v>
      </c>
      <c r="E806" s="38">
        <v>812.32899999999995</v>
      </c>
      <c r="F806" s="32">
        <v>1274</v>
      </c>
      <c r="G806" s="32">
        <v>75</v>
      </c>
      <c r="H806" s="40">
        <v>600</v>
      </c>
      <c r="I806" s="32">
        <v>695</v>
      </c>
      <c r="J806" s="32">
        <v>50</v>
      </c>
      <c r="K806" s="33"/>
      <c r="L806" s="33"/>
      <c r="M806" s="33"/>
      <c r="N806" s="33"/>
      <c r="O806" s="33"/>
      <c r="P806" s="33"/>
      <c r="Q806" s="33"/>
      <c r="R806" s="33"/>
      <c r="S806" s="33"/>
      <c r="T806" s="33"/>
    </row>
    <row r="807" spans="1:20" ht="15.6">
      <c r="A807" s="13">
        <v>66657</v>
      </c>
      <c r="B807" s="41">
        <f t="shared" si="3"/>
        <v>30</v>
      </c>
      <c r="C807" s="32">
        <v>194.20500000000001</v>
      </c>
      <c r="D807" s="32">
        <v>267.46600000000001</v>
      </c>
      <c r="E807" s="38">
        <v>812.32899999999995</v>
      </c>
      <c r="F807" s="32">
        <v>1274</v>
      </c>
      <c r="G807" s="32">
        <v>50</v>
      </c>
      <c r="H807" s="40">
        <v>600</v>
      </c>
      <c r="I807" s="32">
        <v>695</v>
      </c>
      <c r="J807" s="32">
        <v>50</v>
      </c>
      <c r="K807" s="33"/>
      <c r="L807" s="33"/>
      <c r="M807" s="33"/>
      <c r="N807" s="33"/>
      <c r="O807" s="33"/>
      <c r="P807" s="33"/>
      <c r="Q807" s="33"/>
      <c r="R807" s="33"/>
      <c r="S807" s="33"/>
      <c r="T807" s="33"/>
    </row>
    <row r="808" spans="1:20" ht="15.6">
      <c r="A808" s="13">
        <v>66688</v>
      </c>
      <c r="B808" s="41">
        <f t="shared" si="3"/>
        <v>31</v>
      </c>
      <c r="C808" s="32">
        <v>194.20500000000001</v>
      </c>
      <c r="D808" s="32">
        <v>267.46600000000001</v>
      </c>
      <c r="E808" s="38">
        <v>812.32899999999995</v>
      </c>
      <c r="F808" s="32">
        <v>1274</v>
      </c>
      <c r="G808" s="32">
        <v>50</v>
      </c>
      <c r="H808" s="40">
        <v>600</v>
      </c>
      <c r="I808" s="32">
        <v>695</v>
      </c>
      <c r="J808" s="32">
        <v>0</v>
      </c>
      <c r="K808" s="33"/>
      <c r="L808" s="33"/>
      <c r="M808" s="33"/>
      <c r="N808" s="33"/>
      <c r="O808" s="33"/>
      <c r="P808" s="33"/>
      <c r="Q808" s="33"/>
      <c r="R808" s="33"/>
      <c r="S808" s="33"/>
      <c r="T808" s="33"/>
    </row>
    <row r="809" spans="1:20" ht="15.6">
      <c r="A809" s="13">
        <v>66719</v>
      </c>
      <c r="B809" s="41">
        <f t="shared" si="3"/>
        <v>31</v>
      </c>
      <c r="C809" s="32">
        <v>194.20500000000001</v>
      </c>
      <c r="D809" s="32">
        <v>267.46600000000001</v>
      </c>
      <c r="E809" s="38">
        <v>812.32899999999995</v>
      </c>
      <c r="F809" s="32">
        <v>1274</v>
      </c>
      <c r="G809" s="32">
        <v>50</v>
      </c>
      <c r="H809" s="40">
        <v>600</v>
      </c>
      <c r="I809" s="32">
        <v>695</v>
      </c>
      <c r="J809" s="32">
        <v>0</v>
      </c>
      <c r="K809" s="33"/>
      <c r="L809" s="33"/>
      <c r="M809" s="33"/>
      <c r="N809" s="33"/>
      <c r="O809" s="33"/>
      <c r="P809" s="33"/>
      <c r="Q809" s="33"/>
      <c r="R809" s="33"/>
      <c r="S809" s="33"/>
      <c r="T809" s="33"/>
    </row>
    <row r="810" spans="1:20" ht="15.6">
      <c r="A810" s="13">
        <v>66749</v>
      </c>
      <c r="B810" s="41">
        <f t="shared" si="3"/>
        <v>30</v>
      </c>
      <c r="C810" s="32">
        <v>194.20500000000001</v>
      </c>
      <c r="D810" s="32">
        <v>267.46600000000001</v>
      </c>
      <c r="E810" s="38">
        <v>812.32899999999995</v>
      </c>
      <c r="F810" s="32">
        <v>1274</v>
      </c>
      <c r="G810" s="32">
        <v>50</v>
      </c>
      <c r="H810" s="40">
        <v>600</v>
      </c>
      <c r="I810" s="32">
        <v>695</v>
      </c>
      <c r="J810" s="32">
        <v>0</v>
      </c>
      <c r="K810" s="33"/>
      <c r="L810" s="33"/>
      <c r="M810" s="33"/>
      <c r="N810" s="33"/>
      <c r="O810" s="33"/>
      <c r="P810" s="33"/>
      <c r="Q810" s="33"/>
      <c r="R810" s="33"/>
      <c r="S810" s="33"/>
      <c r="T810" s="33"/>
    </row>
    <row r="811" spans="1:20" ht="15.6">
      <c r="A811" s="13">
        <v>66780</v>
      </c>
      <c r="B811" s="41">
        <f t="shared" si="3"/>
        <v>31</v>
      </c>
      <c r="C811" s="32">
        <v>131.881</v>
      </c>
      <c r="D811" s="32">
        <v>277.16699999999997</v>
      </c>
      <c r="E811" s="38">
        <v>829.952</v>
      </c>
      <c r="F811" s="32">
        <v>1239</v>
      </c>
      <c r="G811" s="32">
        <v>75</v>
      </c>
      <c r="H811" s="40">
        <v>600</v>
      </c>
      <c r="I811" s="32">
        <v>695</v>
      </c>
      <c r="J811" s="32">
        <v>0</v>
      </c>
      <c r="K811" s="33"/>
      <c r="L811" s="33"/>
      <c r="M811" s="33"/>
      <c r="N811" s="33"/>
      <c r="O811" s="33"/>
      <c r="P811" s="33"/>
      <c r="Q811" s="33"/>
      <c r="R811" s="33"/>
      <c r="S811" s="33"/>
      <c r="T811" s="33"/>
    </row>
    <row r="812" spans="1:20" ht="15.6">
      <c r="A812" s="13">
        <v>66810</v>
      </c>
      <c r="B812" s="41">
        <f t="shared" si="3"/>
        <v>30</v>
      </c>
      <c r="C812" s="32">
        <v>122.58</v>
      </c>
      <c r="D812" s="32">
        <v>297.94099999999997</v>
      </c>
      <c r="E812" s="38">
        <v>729.47900000000004</v>
      </c>
      <c r="F812" s="32">
        <v>1150</v>
      </c>
      <c r="G812" s="32">
        <v>100</v>
      </c>
      <c r="H812" s="40">
        <v>600</v>
      </c>
      <c r="I812" s="32">
        <v>695</v>
      </c>
      <c r="J812" s="32">
        <v>50</v>
      </c>
      <c r="K812" s="33"/>
      <c r="L812" s="33"/>
      <c r="M812" s="33"/>
      <c r="N812" s="33"/>
      <c r="O812" s="33"/>
      <c r="P812" s="33"/>
      <c r="Q812" s="33"/>
      <c r="R812" s="33"/>
      <c r="S812" s="33"/>
      <c r="T812" s="33"/>
    </row>
    <row r="813" spans="1:20" ht="15.6">
      <c r="A813" s="13">
        <v>66841</v>
      </c>
      <c r="B813" s="41">
        <f t="shared" si="3"/>
        <v>31</v>
      </c>
      <c r="C813" s="32">
        <v>122.58</v>
      </c>
      <c r="D813" s="32">
        <v>297.94099999999997</v>
      </c>
      <c r="E813" s="38">
        <v>729.47900000000004</v>
      </c>
      <c r="F813" s="32">
        <v>1150</v>
      </c>
      <c r="G813" s="32">
        <v>100</v>
      </c>
      <c r="H813" s="40">
        <v>600</v>
      </c>
      <c r="I813" s="32">
        <v>695</v>
      </c>
      <c r="J813" s="32">
        <v>50</v>
      </c>
      <c r="K813" s="33"/>
      <c r="L813" s="33"/>
      <c r="M813" s="33"/>
      <c r="N813" s="33"/>
      <c r="O813" s="33"/>
      <c r="P813" s="33"/>
      <c r="Q813" s="33"/>
      <c r="R813" s="33"/>
      <c r="S813" s="33"/>
      <c r="T813" s="33"/>
    </row>
    <row r="814" spans="1:20" ht="15.6">
      <c r="A814" s="13">
        <v>66872</v>
      </c>
      <c r="B814" s="41">
        <f t="shared" si="3"/>
        <v>31</v>
      </c>
      <c r="C814" s="32">
        <v>122.58</v>
      </c>
      <c r="D814" s="32">
        <v>297.94099999999997</v>
      </c>
      <c r="E814" s="38">
        <v>729.47900000000004</v>
      </c>
      <c r="F814" s="32">
        <v>1150</v>
      </c>
      <c r="G814" s="32">
        <v>100</v>
      </c>
      <c r="H814" s="40">
        <v>600</v>
      </c>
      <c r="I814" s="32">
        <v>695</v>
      </c>
      <c r="J814" s="32">
        <v>50</v>
      </c>
      <c r="K814" s="33"/>
      <c r="L814" s="33"/>
      <c r="M814" s="33"/>
      <c r="N814" s="33"/>
      <c r="O814" s="33"/>
      <c r="P814" s="33"/>
      <c r="Q814" s="33"/>
      <c r="R814" s="33"/>
      <c r="S814" s="33"/>
      <c r="T814" s="33"/>
    </row>
    <row r="815" spans="1:20" ht="15.6">
      <c r="A815" s="13">
        <v>66900</v>
      </c>
      <c r="B815" s="41">
        <f t="shared" si="3"/>
        <v>28</v>
      </c>
      <c r="C815" s="32">
        <v>122.58</v>
      </c>
      <c r="D815" s="32">
        <v>297.94099999999997</v>
      </c>
      <c r="E815" s="38">
        <v>729.47900000000004</v>
      </c>
      <c r="F815" s="32">
        <v>1150</v>
      </c>
      <c r="G815" s="32">
        <v>100</v>
      </c>
      <c r="H815" s="40">
        <v>600</v>
      </c>
      <c r="I815" s="32">
        <v>695</v>
      </c>
      <c r="J815" s="32">
        <v>50</v>
      </c>
      <c r="K815" s="33"/>
      <c r="L815" s="33"/>
      <c r="M815" s="33"/>
      <c r="N815" s="33"/>
      <c r="O815" s="33"/>
      <c r="P815" s="33"/>
      <c r="Q815" s="33"/>
      <c r="R815" s="33"/>
      <c r="S815" s="33"/>
      <c r="T815" s="33"/>
    </row>
    <row r="816" spans="1:20" ht="15.6">
      <c r="A816" s="13">
        <v>66931</v>
      </c>
      <c r="B816" s="41">
        <f t="shared" si="3"/>
        <v>31</v>
      </c>
      <c r="C816" s="32">
        <v>122.58</v>
      </c>
      <c r="D816" s="32">
        <v>297.94099999999997</v>
      </c>
      <c r="E816" s="38">
        <v>729.47900000000004</v>
      </c>
      <c r="F816" s="32">
        <v>1150</v>
      </c>
      <c r="G816" s="32">
        <v>100</v>
      </c>
      <c r="H816" s="40">
        <v>600</v>
      </c>
      <c r="I816" s="32">
        <v>695</v>
      </c>
      <c r="J816" s="32">
        <v>50</v>
      </c>
      <c r="K816" s="33"/>
      <c r="L816" s="33"/>
      <c r="M816" s="33"/>
      <c r="N816" s="33"/>
      <c r="O816" s="33"/>
      <c r="P816" s="33"/>
      <c r="Q816" s="33"/>
      <c r="R816" s="33"/>
      <c r="S816" s="33"/>
      <c r="T816" s="33"/>
    </row>
    <row r="817" spans="1:20" ht="15.6">
      <c r="A817" s="13">
        <v>66961</v>
      </c>
      <c r="B817" s="41">
        <f t="shared" si="3"/>
        <v>30</v>
      </c>
      <c r="C817" s="32">
        <v>141.29300000000001</v>
      </c>
      <c r="D817" s="32">
        <v>267.99299999999999</v>
      </c>
      <c r="E817" s="38">
        <v>829.71400000000006</v>
      </c>
      <c r="F817" s="32">
        <v>1239</v>
      </c>
      <c r="G817" s="32">
        <v>100</v>
      </c>
      <c r="H817" s="40">
        <v>600</v>
      </c>
      <c r="I817" s="32">
        <v>695</v>
      </c>
      <c r="J817" s="32">
        <v>50</v>
      </c>
      <c r="K817" s="33"/>
      <c r="L817" s="33"/>
      <c r="M817" s="33"/>
      <c r="N817" s="33"/>
      <c r="O817" s="33"/>
      <c r="P817" s="33"/>
      <c r="Q817" s="33"/>
      <c r="R817" s="33"/>
      <c r="S817" s="33"/>
      <c r="T817" s="33"/>
    </row>
    <row r="818" spans="1:20" ht="15.6">
      <c r="A818" s="13">
        <v>66992</v>
      </c>
      <c r="B818" s="41">
        <f t="shared" ref="B818:B881" si="4">EOMONTH(A818,0)-EOMONTH(A818,-1)</f>
        <v>31</v>
      </c>
      <c r="C818" s="32">
        <v>194.20500000000001</v>
      </c>
      <c r="D818" s="32">
        <v>267.46600000000001</v>
      </c>
      <c r="E818" s="38">
        <v>812.32899999999995</v>
      </c>
      <c r="F818" s="32">
        <v>1274</v>
      </c>
      <c r="G818" s="32">
        <v>75</v>
      </c>
      <c r="H818" s="40">
        <v>600</v>
      </c>
      <c r="I818" s="32">
        <v>695</v>
      </c>
      <c r="J818" s="32">
        <v>50</v>
      </c>
      <c r="K818" s="33"/>
      <c r="L818" s="33"/>
      <c r="M818" s="33"/>
      <c r="N818" s="33"/>
      <c r="O818" s="33"/>
      <c r="P818" s="33"/>
      <c r="Q818" s="33"/>
      <c r="R818" s="33"/>
      <c r="S818" s="33"/>
      <c r="T818" s="33"/>
    </row>
    <row r="819" spans="1:20" ht="15.6">
      <c r="A819" s="13">
        <v>67022</v>
      </c>
      <c r="B819" s="41">
        <f t="shared" si="4"/>
        <v>30</v>
      </c>
      <c r="C819" s="32">
        <v>194.20500000000001</v>
      </c>
      <c r="D819" s="32">
        <v>267.46600000000001</v>
      </c>
      <c r="E819" s="38">
        <v>812.32899999999995</v>
      </c>
      <c r="F819" s="32">
        <v>1274</v>
      </c>
      <c r="G819" s="32">
        <v>50</v>
      </c>
      <c r="H819" s="40">
        <v>600</v>
      </c>
      <c r="I819" s="32">
        <v>695</v>
      </c>
      <c r="J819" s="32">
        <v>50</v>
      </c>
      <c r="K819" s="33"/>
      <c r="L819" s="33"/>
      <c r="M819" s="33"/>
      <c r="N819" s="33"/>
      <c r="O819" s="33"/>
      <c r="P819" s="33"/>
      <c r="Q819" s="33"/>
      <c r="R819" s="33"/>
      <c r="S819" s="33"/>
      <c r="T819" s="33"/>
    </row>
    <row r="820" spans="1:20" ht="15.6">
      <c r="A820" s="13">
        <v>67053</v>
      </c>
      <c r="B820" s="41">
        <f t="shared" si="4"/>
        <v>31</v>
      </c>
      <c r="C820" s="32">
        <v>194.20500000000001</v>
      </c>
      <c r="D820" s="32">
        <v>267.46600000000001</v>
      </c>
      <c r="E820" s="38">
        <v>812.32899999999995</v>
      </c>
      <c r="F820" s="32">
        <v>1274</v>
      </c>
      <c r="G820" s="32">
        <v>50</v>
      </c>
      <c r="H820" s="40">
        <v>600</v>
      </c>
      <c r="I820" s="32">
        <v>695</v>
      </c>
      <c r="J820" s="32">
        <v>0</v>
      </c>
      <c r="K820" s="33"/>
      <c r="L820" s="33"/>
      <c r="M820" s="33"/>
      <c r="N820" s="33"/>
      <c r="O820" s="33"/>
      <c r="P820" s="33"/>
      <c r="Q820" s="33"/>
      <c r="R820" s="33"/>
      <c r="S820" s="33"/>
      <c r="T820" s="33"/>
    </row>
    <row r="821" spans="1:20" ht="15.6">
      <c r="A821" s="13">
        <v>67084</v>
      </c>
      <c r="B821" s="41">
        <f t="shared" si="4"/>
        <v>31</v>
      </c>
      <c r="C821" s="32">
        <v>194.20500000000001</v>
      </c>
      <c r="D821" s="32">
        <v>267.46600000000001</v>
      </c>
      <c r="E821" s="38">
        <v>812.32899999999995</v>
      </c>
      <c r="F821" s="32">
        <v>1274</v>
      </c>
      <c r="G821" s="32">
        <v>50</v>
      </c>
      <c r="H821" s="40">
        <v>600</v>
      </c>
      <c r="I821" s="32">
        <v>695</v>
      </c>
      <c r="J821" s="32">
        <v>0</v>
      </c>
      <c r="K821" s="33"/>
      <c r="L821" s="33"/>
      <c r="M821" s="33"/>
      <c r="N821" s="33"/>
      <c r="O821" s="33"/>
      <c r="P821" s="33"/>
      <c r="Q821" s="33"/>
      <c r="R821" s="33"/>
      <c r="S821" s="33"/>
      <c r="T821" s="33"/>
    </row>
    <row r="822" spans="1:20" ht="15.6">
      <c r="A822" s="13">
        <v>67114</v>
      </c>
      <c r="B822" s="41">
        <f t="shared" si="4"/>
        <v>30</v>
      </c>
      <c r="C822" s="32">
        <v>194.20500000000001</v>
      </c>
      <c r="D822" s="32">
        <v>267.46600000000001</v>
      </c>
      <c r="E822" s="38">
        <v>812.32899999999995</v>
      </c>
      <c r="F822" s="32">
        <v>1274</v>
      </c>
      <c r="G822" s="32">
        <v>50</v>
      </c>
      <c r="H822" s="40">
        <v>600</v>
      </c>
      <c r="I822" s="32">
        <v>695</v>
      </c>
      <c r="J822" s="32">
        <v>0</v>
      </c>
      <c r="K822" s="33"/>
      <c r="L822" s="33"/>
      <c r="M822" s="33"/>
      <c r="N822" s="33"/>
      <c r="O822" s="33"/>
      <c r="P822" s="33"/>
      <c r="Q822" s="33"/>
      <c r="R822" s="33"/>
      <c r="S822" s="33"/>
      <c r="T822" s="33"/>
    </row>
    <row r="823" spans="1:20" ht="15.6">
      <c r="A823" s="13">
        <v>67145</v>
      </c>
      <c r="B823" s="41">
        <f t="shared" si="4"/>
        <v>31</v>
      </c>
      <c r="C823" s="32">
        <v>131.881</v>
      </c>
      <c r="D823" s="32">
        <v>277.16699999999997</v>
      </c>
      <c r="E823" s="38">
        <v>829.952</v>
      </c>
      <c r="F823" s="32">
        <v>1239</v>
      </c>
      <c r="G823" s="32">
        <v>75</v>
      </c>
      <c r="H823" s="40">
        <v>600</v>
      </c>
      <c r="I823" s="32">
        <v>695</v>
      </c>
      <c r="J823" s="32">
        <v>0</v>
      </c>
      <c r="K823" s="33"/>
      <c r="L823" s="33"/>
      <c r="M823" s="33"/>
      <c r="N823" s="33"/>
      <c r="O823" s="33"/>
      <c r="P823" s="33"/>
      <c r="Q823" s="33"/>
      <c r="R823" s="33"/>
      <c r="S823" s="33"/>
      <c r="T823" s="33"/>
    </row>
    <row r="824" spans="1:20" ht="15.6">
      <c r="A824" s="13">
        <v>67175</v>
      </c>
      <c r="B824" s="41">
        <f t="shared" si="4"/>
        <v>30</v>
      </c>
      <c r="C824" s="32">
        <v>122.58</v>
      </c>
      <c r="D824" s="32">
        <v>297.94099999999997</v>
      </c>
      <c r="E824" s="38">
        <v>729.47900000000004</v>
      </c>
      <c r="F824" s="32">
        <v>1150</v>
      </c>
      <c r="G824" s="32">
        <v>100</v>
      </c>
      <c r="H824" s="40">
        <v>600</v>
      </c>
      <c r="I824" s="32">
        <v>695</v>
      </c>
      <c r="J824" s="32">
        <v>50</v>
      </c>
      <c r="K824" s="33"/>
      <c r="L824" s="33"/>
      <c r="M824" s="33"/>
      <c r="N824" s="33"/>
      <c r="O824" s="33"/>
      <c r="P824" s="33"/>
      <c r="Q824" s="33"/>
      <c r="R824" s="33"/>
      <c r="S824" s="33"/>
      <c r="T824" s="33"/>
    </row>
    <row r="825" spans="1:20" ht="15.6">
      <c r="A825" s="13">
        <v>67206</v>
      </c>
      <c r="B825" s="41">
        <f t="shared" si="4"/>
        <v>31</v>
      </c>
      <c r="C825" s="32">
        <v>122.58</v>
      </c>
      <c r="D825" s="32">
        <v>297.94099999999997</v>
      </c>
      <c r="E825" s="38">
        <v>729.47900000000004</v>
      </c>
      <c r="F825" s="32">
        <v>1150</v>
      </c>
      <c r="G825" s="32">
        <v>100</v>
      </c>
      <c r="H825" s="40">
        <v>600</v>
      </c>
      <c r="I825" s="32">
        <v>695</v>
      </c>
      <c r="J825" s="32">
        <v>50</v>
      </c>
      <c r="K825" s="33"/>
      <c r="L825" s="33"/>
      <c r="M825" s="33"/>
      <c r="N825" s="33"/>
      <c r="O825" s="33"/>
      <c r="P825" s="33"/>
      <c r="Q825" s="33"/>
      <c r="R825" s="33"/>
      <c r="S825" s="33"/>
      <c r="T825" s="33"/>
    </row>
    <row r="826" spans="1:20" ht="15.6">
      <c r="A826" s="13">
        <v>67237</v>
      </c>
      <c r="B826" s="41">
        <f t="shared" si="4"/>
        <v>31</v>
      </c>
      <c r="C826" s="32">
        <v>122.58</v>
      </c>
      <c r="D826" s="32">
        <v>297.94099999999997</v>
      </c>
      <c r="E826" s="38">
        <v>729.47900000000004</v>
      </c>
      <c r="F826" s="32">
        <v>1150</v>
      </c>
      <c r="G826" s="32">
        <v>100</v>
      </c>
      <c r="H826" s="40">
        <v>600</v>
      </c>
      <c r="I826" s="32">
        <v>695</v>
      </c>
      <c r="J826" s="32">
        <v>50</v>
      </c>
      <c r="K826" s="33"/>
      <c r="L826" s="33"/>
      <c r="M826" s="33"/>
      <c r="N826" s="33"/>
      <c r="O826" s="33"/>
      <c r="P826" s="33"/>
      <c r="Q826" s="33"/>
      <c r="R826" s="33"/>
      <c r="S826" s="33"/>
      <c r="T826" s="33"/>
    </row>
    <row r="827" spans="1:20" ht="15.6">
      <c r="A827" s="13">
        <v>67266</v>
      </c>
      <c r="B827" s="41">
        <f t="shared" si="4"/>
        <v>29</v>
      </c>
      <c r="C827" s="32">
        <v>122.58</v>
      </c>
      <c r="D827" s="32">
        <v>297.94099999999997</v>
      </c>
      <c r="E827" s="38">
        <v>729.47900000000004</v>
      </c>
      <c r="F827" s="32">
        <v>1150</v>
      </c>
      <c r="G827" s="32">
        <v>100</v>
      </c>
      <c r="H827" s="40">
        <v>600</v>
      </c>
      <c r="I827" s="32">
        <v>695</v>
      </c>
      <c r="J827" s="32">
        <v>50</v>
      </c>
      <c r="K827" s="33"/>
      <c r="L827" s="33"/>
      <c r="M827" s="33"/>
      <c r="N827" s="33"/>
      <c r="O827" s="33"/>
      <c r="P827" s="33"/>
      <c r="Q827" s="33"/>
      <c r="R827" s="33"/>
      <c r="S827" s="33"/>
      <c r="T827" s="33"/>
    </row>
    <row r="828" spans="1:20" ht="15.6">
      <c r="A828" s="13">
        <v>67297</v>
      </c>
      <c r="B828" s="41">
        <f t="shared" si="4"/>
        <v>31</v>
      </c>
      <c r="C828" s="32">
        <v>122.58</v>
      </c>
      <c r="D828" s="32">
        <v>297.94099999999997</v>
      </c>
      <c r="E828" s="38">
        <v>729.47900000000004</v>
      </c>
      <c r="F828" s="32">
        <v>1150</v>
      </c>
      <c r="G828" s="32">
        <v>100</v>
      </c>
      <c r="H828" s="40">
        <v>600</v>
      </c>
      <c r="I828" s="32">
        <v>695</v>
      </c>
      <c r="J828" s="32">
        <v>50</v>
      </c>
      <c r="K828" s="33"/>
      <c r="L828" s="33"/>
      <c r="M828" s="33"/>
      <c r="N828" s="33"/>
      <c r="O828" s="33"/>
      <c r="P828" s="33"/>
      <c r="Q828" s="33"/>
      <c r="R828" s="33"/>
      <c r="S828" s="33"/>
      <c r="T828" s="33"/>
    </row>
    <row r="829" spans="1:20" ht="15.6">
      <c r="A829" s="13">
        <v>67327</v>
      </c>
      <c r="B829" s="41">
        <f t="shared" si="4"/>
        <v>30</v>
      </c>
      <c r="C829" s="32">
        <v>141.29300000000001</v>
      </c>
      <c r="D829" s="32">
        <v>267.99299999999999</v>
      </c>
      <c r="E829" s="38">
        <v>829.71400000000006</v>
      </c>
      <c r="F829" s="32">
        <v>1239</v>
      </c>
      <c r="G829" s="32">
        <v>100</v>
      </c>
      <c r="H829" s="40">
        <v>600</v>
      </c>
      <c r="I829" s="32">
        <v>695</v>
      </c>
      <c r="J829" s="32">
        <v>50</v>
      </c>
      <c r="K829" s="33"/>
      <c r="L829" s="33"/>
      <c r="M829" s="33"/>
      <c r="N829" s="33"/>
      <c r="O829" s="33"/>
      <c r="P829" s="33"/>
      <c r="Q829" s="33"/>
      <c r="R829" s="33"/>
      <c r="S829" s="33"/>
      <c r="T829" s="33"/>
    </row>
    <row r="830" spans="1:20" ht="15.6">
      <c r="A830" s="13">
        <v>67358</v>
      </c>
      <c r="B830" s="41">
        <f t="shared" si="4"/>
        <v>31</v>
      </c>
      <c r="C830" s="32">
        <v>194.20500000000001</v>
      </c>
      <c r="D830" s="32">
        <v>267.46600000000001</v>
      </c>
      <c r="E830" s="38">
        <v>812.32899999999995</v>
      </c>
      <c r="F830" s="32">
        <v>1274</v>
      </c>
      <c r="G830" s="32">
        <v>75</v>
      </c>
      <c r="H830" s="40">
        <v>600</v>
      </c>
      <c r="I830" s="32">
        <v>695</v>
      </c>
      <c r="J830" s="32">
        <v>50</v>
      </c>
      <c r="K830" s="33"/>
      <c r="L830" s="33"/>
      <c r="M830" s="33"/>
      <c r="N830" s="33"/>
      <c r="O830" s="33"/>
      <c r="P830" s="33"/>
      <c r="Q830" s="33"/>
      <c r="R830" s="33"/>
      <c r="S830" s="33"/>
      <c r="T830" s="33"/>
    </row>
    <row r="831" spans="1:20" ht="15.6">
      <c r="A831" s="13">
        <v>67388</v>
      </c>
      <c r="B831" s="41">
        <f t="shared" si="4"/>
        <v>30</v>
      </c>
      <c r="C831" s="32">
        <v>194.20500000000001</v>
      </c>
      <c r="D831" s="32">
        <v>267.46600000000001</v>
      </c>
      <c r="E831" s="38">
        <v>812.32899999999995</v>
      </c>
      <c r="F831" s="32">
        <v>1274</v>
      </c>
      <c r="G831" s="32">
        <v>50</v>
      </c>
      <c r="H831" s="40">
        <v>600</v>
      </c>
      <c r="I831" s="32">
        <v>695</v>
      </c>
      <c r="J831" s="32">
        <v>50</v>
      </c>
      <c r="K831" s="33"/>
      <c r="L831" s="33"/>
      <c r="M831" s="33"/>
      <c r="N831" s="33"/>
      <c r="O831" s="33"/>
      <c r="P831" s="33"/>
      <c r="Q831" s="33"/>
      <c r="R831" s="33"/>
      <c r="S831" s="33"/>
      <c r="T831" s="33"/>
    </row>
    <row r="832" spans="1:20" ht="15.6">
      <c r="A832" s="13">
        <v>67419</v>
      </c>
      <c r="B832" s="41">
        <f t="shared" si="4"/>
        <v>31</v>
      </c>
      <c r="C832" s="32">
        <v>194.20500000000001</v>
      </c>
      <c r="D832" s="32">
        <v>267.46600000000001</v>
      </c>
      <c r="E832" s="38">
        <v>812.32899999999995</v>
      </c>
      <c r="F832" s="32">
        <v>1274</v>
      </c>
      <c r="G832" s="32">
        <v>50</v>
      </c>
      <c r="H832" s="40">
        <v>600</v>
      </c>
      <c r="I832" s="32">
        <v>695</v>
      </c>
      <c r="J832" s="32">
        <v>0</v>
      </c>
      <c r="K832" s="33"/>
      <c r="L832" s="33"/>
      <c r="M832" s="33"/>
      <c r="N832" s="33"/>
      <c r="O832" s="33"/>
      <c r="P832" s="33"/>
      <c r="Q832" s="33"/>
      <c r="R832" s="33"/>
      <c r="S832" s="33"/>
      <c r="T832" s="33"/>
    </row>
    <row r="833" spans="1:20" ht="15.6">
      <c r="A833" s="13">
        <v>67450</v>
      </c>
      <c r="B833" s="41">
        <f t="shared" si="4"/>
        <v>31</v>
      </c>
      <c r="C833" s="32">
        <v>194.20500000000001</v>
      </c>
      <c r="D833" s="32">
        <v>267.46600000000001</v>
      </c>
      <c r="E833" s="38">
        <v>812.32899999999995</v>
      </c>
      <c r="F833" s="32">
        <v>1274</v>
      </c>
      <c r="G833" s="32">
        <v>50</v>
      </c>
      <c r="H833" s="40">
        <v>600</v>
      </c>
      <c r="I833" s="32">
        <v>695</v>
      </c>
      <c r="J833" s="32">
        <v>0</v>
      </c>
      <c r="K833" s="33"/>
      <c r="L833" s="33"/>
      <c r="M833" s="33"/>
      <c r="N833" s="33"/>
      <c r="O833" s="33"/>
      <c r="P833" s="33"/>
      <c r="Q833" s="33"/>
      <c r="R833" s="33"/>
      <c r="S833" s="33"/>
      <c r="T833" s="33"/>
    </row>
    <row r="834" spans="1:20" ht="15.6">
      <c r="A834" s="13">
        <v>67480</v>
      </c>
      <c r="B834" s="41">
        <f t="shared" si="4"/>
        <v>30</v>
      </c>
      <c r="C834" s="32">
        <v>194.20500000000001</v>
      </c>
      <c r="D834" s="32">
        <v>267.46600000000001</v>
      </c>
      <c r="E834" s="38">
        <v>812.32899999999995</v>
      </c>
      <c r="F834" s="32">
        <v>1274</v>
      </c>
      <c r="G834" s="32">
        <v>50</v>
      </c>
      <c r="H834" s="40">
        <v>600</v>
      </c>
      <c r="I834" s="32">
        <v>695</v>
      </c>
      <c r="J834" s="32">
        <v>0</v>
      </c>
      <c r="K834" s="33"/>
      <c r="L834" s="33"/>
      <c r="M834" s="33"/>
      <c r="N834" s="33"/>
      <c r="O834" s="33"/>
      <c r="P834" s="33"/>
      <c r="Q834" s="33"/>
      <c r="R834" s="33"/>
      <c r="S834" s="33"/>
      <c r="T834" s="33"/>
    </row>
    <row r="835" spans="1:20" ht="15.6">
      <c r="A835" s="13">
        <v>67511</v>
      </c>
      <c r="B835" s="41">
        <f t="shared" si="4"/>
        <v>31</v>
      </c>
      <c r="C835" s="32">
        <v>131.881</v>
      </c>
      <c r="D835" s="32">
        <v>277.16699999999997</v>
      </c>
      <c r="E835" s="38">
        <v>829.952</v>
      </c>
      <c r="F835" s="32">
        <v>1239</v>
      </c>
      <c r="G835" s="32">
        <v>75</v>
      </c>
      <c r="H835" s="40">
        <v>600</v>
      </c>
      <c r="I835" s="32">
        <v>695</v>
      </c>
      <c r="J835" s="32">
        <v>0</v>
      </c>
      <c r="K835" s="33"/>
      <c r="L835" s="33"/>
      <c r="M835" s="33"/>
      <c r="N835" s="33"/>
      <c r="O835" s="33"/>
      <c r="P835" s="33"/>
      <c r="Q835" s="33"/>
      <c r="R835" s="33"/>
      <c r="S835" s="33"/>
      <c r="T835" s="33"/>
    </row>
    <row r="836" spans="1:20" ht="15.6">
      <c r="A836" s="13">
        <v>67541</v>
      </c>
      <c r="B836" s="41">
        <f t="shared" si="4"/>
        <v>30</v>
      </c>
      <c r="C836" s="32">
        <v>122.58</v>
      </c>
      <c r="D836" s="32">
        <v>297.94099999999997</v>
      </c>
      <c r="E836" s="38">
        <v>729.47900000000004</v>
      </c>
      <c r="F836" s="32">
        <v>1150</v>
      </c>
      <c r="G836" s="32">
        <v>100</v>
      </c>
      <c r="H836" s="40">
        <v>600</v>
      </c>
      <c r="I836" s="32">
        <v>695</v>
      </c>
      <c r="J836" s="32">
        <v>50</v>
      </c>
      <c r="K836" s="33"/>
      <c r="L836" s="33"/>
      <c r="M836" s="33"/>
      <c r="N836" s="33"/>
      <c r="O836" s="33"/>
      <c r="P836" s="33"/>
      <c r="Q836" s="33"/>
      <c r="R836" s="33"/>
      <c r="S836" s="33"/>
      <c r="T836" s="33"/>
    </row>
    <row r="837" spans="1:20" ht="15.6">
      <c r="A837" s="13">
        <v>67572</v>
      </c>
      <c r="B837" s="41">
        <f t="shared" si="4"/>
        <v>31</v>
      </c>
      <c r="C837" s="32">
        <v>122.58</v>
      </c>
      <c r="D837" s="32">
        <v>297.94099999999997</v>
      </c>
      <c r="E837" s="38">
        <v>729.47900000000004</v>
      </c>
      <c r="F837" s="32">
        <v>1150</v>
      </c>
      <c r="G837" s="32">
        <v>100</v>
      </c>
      <c r="H837" s="40">
        <v>600</v>
      </c>
      <c r="I837" s="32">
        <v>695</v>
      </c>
      <c r="J837" s="32">
        <v>50</v>
      </c>
      <c r="K837" s="33"/>
      <c r="L837" s="33"/>
      <c r="M837" s="33"/>
      <c r="N837" s="33"/>
      <c r="O837" s="33"/>
      <c r="P837" s="33"/>
      <c r="Q837" s="33"/>
      <c r="R837" s="33"/>
      <c r="S837" s="33"/>
      <c r="T837" s="33"/>
    </row>
    <row r="838" spans="1:20" ht="15.6">
      <c r="A838" s="13">
        <v>67603</v>
      </c>
      <c r="B838" s="41">
        <f t="shared" si="4"/>
        <v>31</v>
      </c>
      <c r="C838" s="32">
        <v>122.58</v>
      </c>
      <c r="D838" s="32">
        <v>297.94099999999997</v>
      </c>
      <c r="E838" s="38">
        <v>729.47900000000004</v>
      </c>
      <c r="F838" s="32">
        <v>1150</v>
      </c>
      <c r="G838" s="32">
        <v>100</v>
      </c>
      <c r="H838" s="40">
        <v>600</v>
      </c>
      <c r="I838" s="32">
        <v>695</v>
      </c>
      <c r="J838" s="32">
        <v>50</v>
      </c>
      <c r="K838" s="33"/>
      <c r="L838" s="33"/>
      <c r="M838" s="33"/>
      <c r="N838" s="33"/>
      <c r="O838" s="33"/>
      <c r="P838" s="33"/>
      <c r="Q838" s="33"/>
      <c r="R838" s="33"/>
      <c r="S838" s="33"/>
      <c r="T838" s="33"/>
    </row>
    <row r="839" spans="1:20" ht="15.6">
      <c r="A839" s="13">
        <v>67631</v>
      </c>
      <c r="B839" s="41">
        <f t="shared" si="4"/>
        <v>28</v>
      </c>
      <c r="C839" s="32">
        <v>122.58</v>
      </c>
      <c r="D839" s="32">
        <v>297.94099999999997</v>
      </c>
      <c r="E839" s="38">
        <v>729.47900000000004</v>
      </c>
      <c r="F839" s="32">
        <v>1150</v>
      </c>
      <c r="G839" s="32">
        <v>100</v>
      </c>
      <c r="H839" s="40">
        <v>600</v>
      </c>
      <c r="I839" s="32">
        <v>695</v>
      </c>
      <c r="J839" s="32">
        <v>50</v>
      </c>
      <c r="K839" s="33"/>
      <c r="L839" s="33"/>
      <c r="M839" s="33"/>
      <c r="N839" s="33"/>
      <c r="O839" s="33"/>
      <c r="P839" s="33"/>
      <c r="Q839" s="33"/>
      <c r="R839" s="33"/>
      <c r="S839" s="33"/>
      <c r="T839" s="33"/>
    </row>
    <row r="840" spans="1:20" ht="15.6">
      <c r="A840" s="13">
        <v>67662</v>
      </c>
      <c r="B840" s="41">
        <f t="shared" si="4"/>
        <v>31</v>
      </c>
      <c r="C840" s="32">
        <v>122.58</v>
      </c>
      <c r="D840" s="32">
        <v>297.94099999999997</v>
      </c>
      <c r="E840" s="38">
        <v>729.47900000000004</v>
      </c>
      <c r="F840" s="32">
        <v>1150</v>
      </c>
      <c r="G840" s="32">
        <v>100</v>
      </c>
      <c r="H840" s="40">
        <v>600</v>
      </c>
      <c r="I840" s="32">
        <v>695</v>
      </c>
      <c r="J840" s="32">
        <v>50</v>
      </c>
      <c r="K840" s="33"/>
      <c r="L840" s="33"/>
      <c r="M840" s="33"/>
      <c r="N840" s="33"/>
      <c r="O840" s="33"/>
      <c r="P840" s="33"/>
      <c r="Q840" s="33"/>
      <c r="R840" s="33"/>
      <c r="S840" s="33"/>
      <c r="T840" s="33"/>
    </row>
    <row r="841" spans="1:20" ht="15.6">
      <c r="A841" s="13">
        <v>67692</v>
      </c>
      <c r="B841" s="41">
        <f t="shared" si="4"/>
        <v>30</v>
      </c>
      <c r="C841" s="32">
        <v>141.29300000000001</v>
      </c>
      <c r="D841" s="32">
        <v>267.99299999999999</v>
      </c>
      <c r="E841" s="38">
        <v>829.71400000000006</v>
      </c>
      <c r="F841" s="32">
        <v>1239</v>
      </c>
      <c r="G841" s="32">
        <v>100</v>
      </c>
      <c r="H841" s="40">
        <v>600</v>
      </c>
      <c r="I841" s="32">
        <v>695</v>
      </c>
      <c r="J841" s="32">
        <v>50</v>
      </c>
      <c r="K841" s="33"/>
      <c r="L841" s="33"/>
      <c r="M841" s="33"/>
      <c r="N841" s="33"/>
      <c r="O841" s="33"/>
      <c r="P841" s="33"/>
      <c r="Q841" s="33"/>
      <c r="R841" s="33"/>
      <c r="S841" s="33"/>
      <c r="T841" s="33"/>
    </row>
    <row r="842" spans="1:20" ht="15.6">
      <c r="A842" s="13">
        <v>67723</v>
      </c>
      <c r="B842" s="41">
        <f t="shared" si="4"/>
        <v>31</v>
      </c>
      <c r="C842" s="32">
        <v>194.20500000000001</v>
      </c>
      <c r="D842" s="32">
        <v>267.46600000000001</v>
      </c>
      <c r="E842" s="38">
        <v>812.32899999999995</v>
      </c>
      <c r="F842" s="32">
        <v>1274</v>
      </c>
      <c r="G842" s="32">
        <v>75</v>
      </c>
      <c r="H842" s="40">
        <v>600</v>
      </c>
      <c r="I842" s="32">
        <v>695</v>
      </c>
      <c r="J842" s="32">
        <v>50</v>
      </c>
      <c r="K842" s="33"/>
      <c r="L842" s="33"/>
      <c r="M842" s="33"/>
      <c r="N842" s="33"/>
      <c r="O842" s="33"/>
      <c r="P842" s="33"/>
      <c r="Q842" s="33"/>
      <c r="R842" s="33"/>
      <c r="S842" s="33"/>
      <c r="T842" s="33"/>
    </row>
    <row r="843" spans="1:20" ht="15.6">
      <c r="A843" s="13">
        <v>67753</v>
      </c>
      <c r="B843" s="41">
        <f t="shared" si="4"/>
        <v>30</v>
      </c>
      <c r="C843" s="32">
        <v>194.20500000000001</v>
      </c>
      <c r="D843" s="32">
        <v>267.46600000000001</v>
      </c>
      <c r="E843" s="38">
        <v>812.32899999999995</v>
      </c>
      <c r="F843" s="32">
        <v>1274</v>
      </c>
      <c r="G843" s="32">
        <v>50</v>
      </c>
      <c r="H843" s="40">
        <v>600</v>
      </c>
      <c r="I843" s="32">
        <v>695</v>
      </c>
      <c r="J843" s="32">
        <v>50</v>
      </c>
      <c r="K843" s="33"/>
      <c r="L843" s="33"/>
      <c r="M843" s="33"/>
      <c r="N843" s="33"/>
      <c r="O843" s="33"/>
      <c r="P843" s="33"/>
      <c r="Q843" s="33"/>
      <c r="R843" s="33"/>
      <c r="S843" s="33"/>
      <c r="T843" s="33"/>
    </row>
    <row r="844" spans="1:20" ht="15.6">
      <c r="A844" s="13">
        <v>67784</v>
      </c>
      <c r="B844" s="41">
        <f t="shared" si="4"/>
        <v>31</v>
      </c>
      <c r="C844" s="32">
        <v>194.20500000000001</v>
      </c>
      <c r="D844" s="32">
        <v>267.46600000000001</v>
      </c>
      <c r="E844" s="38">
        <v>812.32899999999995</v>
      </c>
      <c r="F844" s="32">
        <v>1274</v>
      </c>
      <c r="G844" s="32">
        <v>50</v>
      </c>
      <c r="H844" s="40">
        <v>600</v>
      </c>
      <c r="I844" s="32">
        <v>695</v>
      </c>
      <c r="J844" s="32">
        <v>0</v>
      </c>
      <c r="K844" s="33"/>
      <c r="L844" s="33"/>
      <c r="M844" s="33"/>
      <c r="N844" s="33"/>
      <c r="O844" s="33"/>
      <c r="P844" s="33"/>
      <c r="Q844" s="33"/>
      <c r="R844" s="33"/>
      <c r="S844" s="33"/>
      <c r="T844" s="33"/>
    </row>
    <row r="845" spans="1:20" ht="15.6">
      <c r="A845" s="13">
        <v>67815</v>
      </c>
      <c r="B845" s="41">
        <f t="shared" si="4"/>
        <v>31</v>
      </c>
      <c r="C845" s="32">
        <v>194.20500000000001</v>
      </c>
      <c r="D845" s="32">
        <v>267.46600000000001</v>
      </c>
      <c r="E845" s="38">
        <v>812.32899999999995</v>
      </c>
      <c r="F845" s="32">
        <v>1274</v>
      </c>
      <c r="G845" s="32">
        <v>50</v>
      </c>
      <c r="H845" s="40">
        <v>600</v>
      </c>
      <c r="I845" s="32">
        <v>695</v>
      </c>
      <c r="J845" s="32">
        <v>0</v>
      </c>
      <c r="K845" s="33"/>
      <c r="L845" s="33"/>
      <c r="M845" s="33"/>
      <c r="N845" s="33"/>
      <c r="O845" s="33"/>
      <c r="P845" s="33"/>
      <c r="Q845" s="33"/>
      <c r="R845" s="33"/>
      <c r="S845" s="33"/>
      <c r="T845" s="33"/>
    </row>
    <row r="846" spans="1:20" ht="15.6">
      <c r="A846" s="13">
        <v>67845</v>
      </c>
      <c r="B846" s="41">
        <f t="shared" si="4"/>
        <v>30</v>
      </c>
      <c r="C846" s="32">
        <v>194.20500000000001</v>
      </c>
      <c r="D846" s="32">
        <v>267.46600000000001</v>
      </c>
      <c r="E846" s="38">
        <v>812.32899999999995</v>
      </c>
      <c r="F846" s="32">
        <v>1274</v>
      </c>
      <c r="G846" s="32">
        <v>50</v>
      </c>
      <c r="H846" s="40">
        <v>600</v>
      </c>
      <c r="I846" s="32">
        <v>695</v>
      </c>
      <c r="J846" s="32">
        <v>0</v>
      </c>
      <c r="K846" s="33"/>
      <c r="L846" s="33"/>
      <c r="M846" s="33"/>
      <c r="N846" s="33"/>
      <c r="O846" s="33"/>
      <c r="P846" s="33"/>
      <c r="Q846" s="33"/>
      <c r="R846" s="33"/>
      <c r="S846" s="33"/>
      <c r="T846" s="33"/>
    </row>
    <row r="847" spans="1:20" ht="15.6">
      <c r="A847" s="13">
        <v>67876</v>
      </c>
      <c r="B847" s="41">
        <f t="shared" si="4"/>
        <v>31</v>
      </c>
      <c r="C847" s="32">
        <v>131.881</v>
      </c>
      <c r="D847" s="32">
        <v>277.16699999999997</v>
      </c>
      <c r="E847" s="38">
        <v>829.952</v>
      </c>
      <c r="F847" s="32">
        <v>1239</v>
      </c>
      <c r="G847" s="32">
        <v>75</v>
      </c>
      <c r="H847" s="40">
        <v>600</v>
      </c>
      <c r="I847" s="32">
        <v>695</v>
      </c>
      <c r="J847" s="32">
        <v>0</v>
      </c>
      <c r="K847" s="33"/>
      <c r="L847" s="33"/>
      <c r="M847" s="33"/>
      <c r="N847" s="33"/>
      <c r="O847" s="33"/>
      <c r="P847" s="33"/>
      <c r="Q847" s="33"/>
      <c r="R847" s="33"/>
      <c r="S847" s="33"/>
      <c r="T847" s="33"/>
    </row>
    <row r="848" spans="1:20" ht="15.6">
      <c r="A848" s="13">
        <v>67906</v>
      </c>
      <c r="B848" s="41">
        <f t="shared" si="4"/>
        <v>30</v>
      </c>
      <c r="C848" s="32">
        <v>122.58</v>
      </c>
      <c r="D848" s="32">
        <v>297.94099999999997</v>
      </c>
      <c r="E848" s="38">
        <v>729.47900000000004</v>
      </c>
      <c r="F848" s="32">
        <v>1150</v>
      </c>
      <c r="G848" s="32">
        <v>100</v>
      </c>
      <c r="H848" s="40">
        <v>600</v>
      </c>
      <c r="I848" s="32">
        <v>695</v>
      </c>
      <c r="J848" s="32">
        <v>50</v>
      </c>
      <c r="K848" s="33"/>
      <c r="L848" s="33"/>
      <c r="M848" s="33"/>
      <c r="N848" s="33"/>
      <c r="O848" s="33"/>
      <c r="P848" s="33"/>
      <c r="Q848" s="33"/>
      <c r="R848" s="33"/>
      <c r="S848" s="33"/>
      <c r="T848" s="33"/>
    </row>
    <row r="849" spans="1:20" ht="15.6">
      <c r="A849" s="13">
        <v>67937</v>
      </c>
      <c r="B849" s="41">
        <f t="shared" si="4"/>
        <v>31</v>
      </c>
      <c r="C849" s="32">
        <v>122.58</v>
      </c>
      <c r="D849" s="32">
        <v>297.94099999999997</v>
      </c>
      <c r="E849" s="38">
        <v>729.47900000000004</v>
      </c>
      <c r="F849" s="32">
        <v>1150</v>
      </c>
      <c r="G849" s="32">
        <v>100</v>
      </c>
      <c r="H849" s="40">
        <v>600</v>
      </c>
      <c r="I849" s="32">
        <v>695</v>
      </c>
      <c r="J849" s="32">
        <v>50</v>
      </c>
      <c r="K849" s="33"/>
      <c r="L849" s="33"/>
      <c r="M849" s="33"/>
      <c r="N849" s="33"/>
      <c r="O849" s="33"/>
      <c r="P849" s="33"/>
      <c r="Q849" s="33"/>
      <c r="R849" s="33"/>
      <c r="S849" s="33"/>
      <c r="T849" s="33"/>
    </row>
    <row r="850" spans="1:20" ht="15.6">
      <c r="A850" s="13">
        <v>67968</v>
      </c>
      <c r="B850" s="41">
        <f t="shared" si="4"/>
        <v>31</v>
      </c>
      <c r="C850" s="32">
        <v>122.58</v>
      </c>
      <c r="D850" s="32">
        <v>297.94099999999997</v>
      </c>
      <c r="E850" s="38">
        <v>729.47900000000004</v>
      </c>
      <c r="F850" s="32">
        <v>1150</v>
      </c>
      <c r="G850" s="32">
        <v>100</v>
      </c>
      <c r="H850" s="40">
        <v>600</v>
      </c>
      <c r="I850" s="32">
        <v>695</v>
      </c>
      <c r="J850" s="32">
        <v>50</v>
      </c>
      <c r="K850" s="33"/>
      <c r="L850" s="33"/>
      <c r="M850" s="33"/>
      <c r="N850" s="33"/>
      <c r="O850" s="33"/>
      <c r="P850" s="33"/>
      <c r="Q850" s="33"/>
      <c r="R850" s="33"/>
      <c r="S850" s="33"/>
      <c r="T850" s="33"/>
    </row>
    <row r="851" spans="1:20" ht="15.6">
      <c r="A851" s="13">
        <v>67996</v>
      </c>
      <c r="B851" s="41">
        <f t="shared" si="4"/>
        <v>28</v>
      </c>
      <c r="C851" s="32">
        <v>122.58</v>
      </c>
      <c r="D851" s="32">
        <v>297.94099999999997</v>
      </c>
      <c r="E851" s="38">
        <v>729.47900000000004</v>
      </c>
      <c r="F851" s="32">
        <v>1150</v>
      </c>
      <c r="G851" s="32">
        <v>100</v>
      </c>
      <c r="H851" s="40">
        <v>600</v>
      </c>
      <c r="I851" s="32">
        <v>695</v>
      </c>
      <c r="J851" s="32">
        <v>50</v>
      </c>
      <c r="K851" s="33"/>
      <c r="L851" s="33"/>
      <c r="M851" s="33"/>
      <c r="N851" s="33"/>
      <c r="O851" s="33"/>
      <c r="P851" s="33"/>
      <c r="Q851" s="33"/>
      <c r="R851" s="33"/>
      <c r="S851" s="33"/>
      <c r="T851" s="33"/>
    </row>
    <row r="852" spans="1:20" ht="15.6">
      <c r="A852" s="13">
        <v>68027</v>
      </c>
      <c r="B852" s="41">
        <f t="shared" si="4"/>
        <v>31</v>
      </c>
      <c r="C852" s="32">
        <v>122.58</v>
      </c>
      <c r="D852" s="32">
        <v>297.94099999999997</v>
      </c>
      <c r="E852" s="38">
        <v>729.47900000000004</v>
      </c>
      <c r="F852" s="32">
        <v>1150</v>
      </c>
      <c r="G852" s="32">
        <v>100</v>
      </c>
      <c r="H852" s="40">
        <v>600</v>
      </c>
      <c r="I852" s="32">
        <v>695</v>
      </c>
      <c r="J852" s="32">
        <v>50</v>
      </c>
      <c r="K852" s="33"/>
      <c r="L852" s="33"/>
      <c r="M852" s="33"/>
      <c r="N852" s="33"/>
      <c r="O852" s="33"/>
      <c r="P852" s="33"/>
      <c r="Q852" s="33"/>
      <c r="R852" s="33"/>
      <c r="S852" s="33"/>
      <c r="T852" s="33"/>
    </row>
    <row r="853" spans="1:20" ht="15.6">
      <c r="A853" s="13">
        <v>68057</v>
      </c>
      <c r="B853" s="41">
        <f t="shared" si="4"/>
        <v>30</v>
      </c>
      <c r="C853" s="32">
        <v>141.29300000000001</v>
      </c>
      <c r="D853" s="32">
        <v>267.99299999999999</v>
      </c>
      <c r="E853" s="38">
        <v>829.71400000000006</v>
      </c>
      <c r="F853" s="32">
        <v>1239</v>
      </c>
      <c r="G853" s="32">
        <v>100</v>
      </c>
      <c r="H853" s="40">
        <v>600</v>
      </c>
      <c r="I853" s="32">
        <v>695</v>
      </c>
      <c r="J853" s="32">
        <v>50</v>
      </c>
      <c r="K853" s="33"/>
      <c r="L853" s="33"/>
      <c r="M853" s="33"/>
      <c r="N853" s="33"/>
      <c r="O853" s="33"/>
      <c r="P853" s="33"/>
      <c r="Q853" s="33"/>
      <c r="R853" s="33"/>
      <c r="S853" s="33"/>
      <c r="T853" s="33"/>
    </row>
    <row r="854" spans="1:20" ht="15.6">
      <c r="A854" s="13">
        <v>68088</v>
      </c>
      <c r="B854" s="41">
        <f t="shared" si="4"/>
        <v>31</v>
      </c>
      <c r="C854" s="32">
        <v>194.20500000000001</v>
      </c>
      <c r="D854" s="32">
        <v>267.46600000000001</v>
      </c>
      <c r="E854" s="38">
        <v>812.32899999999995</v>
      </c>
      <c r="F854" s="32">
        <v>1274</v>
      </c>
      <c r="G854" s="32">
        <v>75</v>
      </c>
      <c r="H854" s="40">
        <v>600</v>
      </c>
      <c r="I854" s="32">
        <v>695</v>
      </c>
      <c r="J854" s="32">
        <v>50</v>
      </c>
      <c r="K854" s="33"/>
      <c r="L854" s="33"/>
      <c r="M854" s="33"/>
      <c r="N854" s="33"/>
      <c r="O854" s="33"/>
      <c r="P854" s="33"/>
      <c r="Q854" s="33"/>
      <c r="R854" s="33"/>
      <c r="S854" s="33"/>
      <c r="T854" s="33"/>
    </row>
    <row r="855" spans="1:20" ht="15.6">
      <c r="A855" s="13">
        <v>68118</v>
      </c>
      <c r="B855" s="41">
        <f t="shared" si="4"/>
        <v>30</v>
      </c>
      <c r="C855" s="32">
        <v>194.20500000000001</v>
      </c>
      <c r="D855" s="32">
        <v>267.46600000000001</v>
      </c>
      <c r="E855" s="38">
        <v>812.32899999999995</v>
      </c>
      <c r="F855" s="32">
        <v>1274</v>
      </c>
      <c r="G855" s="32">
        <v>50</v>
      </c>
      <c r="H855" s="40">
        <v>600</v>
      </c>
      <c r="I855" s="32">
        <v>695</v>
      </c>
      <c r="J855" s="32">
        <v>50</v>
      </c>
      <c r="K855" s="33"/>
      <c r="L855" s="33"/>
      <c r="M855" s="33"/>
      <c r="N855" s="33"/>
      <c r="O855" s="33"/>
      <c r="P855" s="33"/>
      <c r="Q855" s="33"/>
      <c r="R855" s="33"/>
      <c r="S855" s="33"/>
      <c r="T855" s="33"/>
    </row>
    <row r="856" spans="1:20" ht="15.6">
      <c r="A856" s="13">
        <v>68149</v>
      </c>
      <c r="B856" s="41">
        <f t="shared" si="4"/>
        <v>31</v>
      </c>
      <c r="C856" s="32">
        <v>194.20500000000001</v>
      </c>
      <c r="D856" s="32">
        <v>267.46600000000001</v>
      </c>
      <c r="E856" s="38">
        <v>812.32899999999995</v>
      </c>
      <c r="F856" s="32">
        <v>1274</v>
      </c>
      <c r="G856" s="32">
        <v>50</v>
      </c>
      <c r="H856" s="40">
        <v>600</v>
      </c>
      <c r="I856" s="32">
        <v>695</v>
      </c>
      <c r="J856" s="32">
        <v>0</v>
      </c>
      <c r="K856" s="33"/>
      <c r="L856" s="33"/>
      <c r="M856" s="33"/>
      <c r="N856" s="33"/>
      <c r="O856" s="33"/>
      <c r="P856" s="33"/>
      <c r="Q856" s="33"/>
      <c r="R856" s="33"/>
      <c r="S856" s="33"/>
      <c r="T856" s="33"/>
    </row>
    <row r="857" spans="1:20" ht="15.6">
      <c r="A857" s="13">
        <v>68180</v>
      </c>
      <c r="B857" s="41">
        <f t="shared" si="4"/>
        <v>31</v>
      </c>
      <c r="C857" s="32">
        <v>194.20500000000001</v>
      </c>
      <c r="D857" s="32">
        <v>267.46600000000001</v>
      </c>
      <c r="E857" s="38">
        <v>812.32899999999995</v>
      </c>
      <c r="F857" s="32">
        <v>1274</v>
      </c>
      <c r="G857" s="32">
        <v>50</v>
      </c>
      <c r="H857" s="40">
        <v>600</v>
      </c>
      <c r="I857" s="32">
        <v>695</v>
      </c>
      <c r="J857" s="32">
        <v>0</v>
      </c>
      <c r="K857" s="33"/>
      <c r="L857" s="33"/>
      <c r="M857" s="33"/>
      <c r="N857" s="33"/>
      <c r="O857" s="33"/>
      <c r="P857" s="33"/>
      <c r="Q857" s="33"/>
      <c r="R857" s="33"/>
      <c r="S857" s="33"/>
      <c r="T857" s="33"/>
    </row>
    <row r="858" spans="1:20" ht="15.6">
      <c r="A858" s="13">
        <v>68210</v>
      </c>
      <c r="B858" s="41">
        <f t="shared" si="4"/>
        <v>30</v>
      </c>
      <c r="C858" s="32">
        <v>194.20500000000001</v>
      </c>
      <c r="D858" s="32">
        <v>267.46600000000001</v>
      </c>
      <c r="E858" s="38">
        <v>812.32899999999995</v>
      </c>
      <c r="F858" s="32">
        <v>1274</v>
      </c>
      <c r="G858" s="32">
        <v>50</v>
      </c>
      <c r="H858" s="40">
        <v>600</v>
      </c>
      <c r="I858" s="32">
        <v>695</v>
      </c>
      <c r="J858" s="32">
        <v>0</v>
      </c>
      <c r="K858" s="33"/>
      <c r="L858" s="33"/>
      <c r="M858" s="33"/>
      <c r="N858" s="33"/>
      <c r="O858" s="33"/>
      <c r="P858" s="33"/>
      <c r="Q858" s="33"/>
      <c r="R858" s="33"/>
      <c r="S858" s="33"/>
      <c r="T858" s="33"/>
    </row>
    <row r="859" spans="1:20" ht="15.6">
      <c r="A859" s="13">
        <v>68241</v>
      </c>
      <c r="B859" s="41">
        <f t="shared" si="4"/>
        <v>31</v>
      </c>
      <c r="C859" s="32">
        <v>131.881</v>
      </c>
      <c r="D859" s="32">
        <v>277.16699999999997</v>
      </c>
      <c r="E859" s="38">
        <v>829.952</v>
      </c>
      <c r="F859" s="32">
        <v>1239</v>
      </c>
      <c r="G859" s="32">
        <v>75</v>
      </c>
      <c r="H859" s="40">
        <v>600</v>
      </c>
      <c r="I859" s="32">
        <v>695</v>
      </c>
      <c r="J859" s="32">
        <v>0</v>
      </c>
      <c r="K859" s="33"/>
      <c r="L859" s="33"/>
      <c r="M859" s="33"/>
      <c r="N859" s="33"/>
      <c r="O859" s="33"/>
      <c r="P859" s="33"/>
      <c r="Q859" s="33"/>
      <c r="R859" s="33"/>
      <c r="S859" s="33"/>
      <c r="T859" s="33"/>
    </row>
    <row r="860" spans="1:20" ht="15.6">
      <c r="A860" s="13">
        <v>68271</v>
      </c>
      <c r="B860" s="41">
        <f t="shared" si="4"/>
        <v>30</v>
      </c>
      <c r="C860" s="32">
        <v>122.58</v>
      </c>
      <c r="D860" s="32">
        <v>297.94099999999997</v>
      </c>
      <c r="E860" s="38">
        <v>729.47900000000004</v>
      </c>
      <c r="F860" s="32">
        <v>1150</v>
      </c>
      <c r="G860" s="32">
        <v>100</v>
      </c>
      <c r="H860" s="40">
        <v>600</v>
      </c>
      <c r="I860" s="32">
        <v>695</v>
      </c>
      <c r="J860" s="32">
        <v>50</v>
      </c>
      <c r="K860" s="33"/>
      <c r="L860" s="33"/>
      <c r="M860" s="33"/>
      <c r="N860" s="33"/>
      <c r="O860" s="33"/>
      <c r="P860" s="33"/>
      <c r="Q860" s="33"/>
      <c r="R860" s="33"/>
      <c r="S860" s="33"/>
      <c r="T860" s="33"/>
    </row>
    <row r="861" spans="1:20" ht="15.6">
      <c r="A861" s="13">
        <v>68302</v>
      </c>
      <c r="B861" s="41">
        <f t="shared" si="4"/>
        <v>31</v>
      </c>
      <c r="C861" s="32">
        <v>122.58</v>
      </c>
      <c r="D861" s="32">
        <v>297.94099999999997</v>
      </c>
      <c r="E861" s="38">
        <v>729.47900000000004</v>
      </c>
      <c r="F861" s="32">
        <v>1150</v>
      </c>
      <c r="G861" s="32">
        <v>100</v>
      </c>
      <c r="H861" s="40">
        <v>600</v>
      </c>
      <c r="I861" s="32">
        <v>695</v>
      </c>
      <c r="J861" s="32">
        <v>50</v>
      </c>
      <c r="K861" s="33"/>
      <c r="L861" s="33"/>
      <c r="M861" s="33"/>
      <c r="N861" s="33"/>
      <c r="O861" s="33"/>
      <c r="P861" s="33"/>
      <c r="Q861" s="33"/>
      <c r="R861" s="33"/>
      <c r="S861" s="33"/>
      <c r="T861" s="33"/>
    </row>
    <row r="862" spans="1:20" ht="15.6">
      <c r="A862" s="13">
        <v>68333</v>
      </c>
      <c r="B862" s="41">
        <f t="shared" si="4"/>
        <v>31</v>
      </c>
      <c r="C862" s="32">
        <v>122.58</v>
      </c>
      <c r="D862" s="32">
        <v>297.94099999999997</v>
      </c>
      <c r="E862" s="38">
        <v>729.47900000000004</v>
      </c>
      <c r="F862" s="32">
        <v>1150</v>
      </c>
      <c r="G862" s="32">
        <v>100</v>
      </c>
      <c r="H862" s="40">
        <v>600</v>
      </c>
      <c r="I862" s="32">
        <v>695</v>
      </c>
      <c r="J862" s="32">
        <v>50</v>
      </c>
      <c r="K862" s="33"/>
      <c r="L862" s="33"/>
      <c r="M862" s="33"/>
      <c r="N862" s="33"/>
      <c r="O862" s="33"/>
      <c r="P862" s="33"/>
      <c r="Q862" s="33"/>
      <c r="R862" s="33"/>
      <c r="S862" s="33"/>
      <c r="T862" s="33"/>
    </row>
    <row r="863" spans="1:20" ht="15.6">
      <c r="A863" s="13">
        <v>68361</v>
      </c>
      <c r="B863" s="41">
        <f t="shared" si="4"/>
        <v>28</v>
      </c>
      <c r="C863" s="32">
        <v>122.58</v>
      </c>
      <c r="D863" s="32">
        <v>297.94099999999997</v>
      </c>
      <c r="E863" s="38">
        <v>729.47900000000004</v>
      </c>
      <c r="F863" s="32">
        <v>1150</v>
      </c>
      <c r="G863" s="32">
        <v>100</v>
      </c>
      <c r="H863" s="40">
        <v>600</v>
      </c>
      <c r="I863" s="32">
        <v>695</v>
      </c>
      <c r="J863" s="32">
        <v>50</v>
      </c>
      <c r="K863" s="33"/>
      <c r="L863" s="33"/>
      <c r="M863" s="33"/>
      <c r="N863" s="33"/>
      <c r="O863" s="33"/>
      <c r="P863" s="33"/>
      <c r="Q863" s="33"/>
      <c r="R863" s="33"/>
      <c r="S863" s="33"/>
      <c r="T863" s="33"/>
    </row>
    <row r="864" spans="1:20" ht="15.6">
      <c r="A864" s="13">
        <v>68392</v>
      </c>
      <c r="B864" s="41">
        <f t="shared" si="4"/>
        <v>31</v>
      </c>
      <c r="C864" s="32">
        <v>122.58</v>
      </c>
      <c r="D864" s="32">
        <v>297.94099999999997</v>
      </c>
      <c r="E864" s="38">
        <v>729.47900000000004</v>
      </c>
      <c r="F864" s="32">
        <v>1150</v>
      </c>
      <c r="G864" s="32">
        <v>100</v>
      </c>
      <c r="H864" s="40">
        <v>600</v>
      </c>
      <c r="I864" s="32">
        <v>695</v>
      </c>
      <c r="J864" s="32">
        <v>50</v>
      </c>
      <c r="K864" s="33"/>
      <c r="L864" s="33"/>
      <c r="M864" s="33"/>
      <c r="N864" s="33"/>
      <c r="O864" s="33"/>
      <c r="P864" s="33"/>
      <c r="Q864" s="33"/>
      <c r="R864" s="33"/>
      <c r="S864" s="33"/>
      <c r="T864" s="33"/>
    </row>
    <row r="865" spans="1:20" ht="15.6">
      <c r="A865" s="13">
        <v>68422</v>
      </c>
      <c r="B865" s="41">
        <f t="shared" si="4"/>
        <v>30</v>
      </c>
      <c r="C865" s="32">
        <v>141.29300000000001</v>
      </c>
      <c r="D865" s="32">
        <v>267.99299999999999</v>
      </c>
      <c r="E865" s="38">
        <v>829.71400000000006</v>
      </c>
      <c r="F865" s="32">
        <v>1239</v>
      </c>
      <c r="G865" s="32">
        <v>100</v>
      </c>
      <c r="H865" s="40">
        <v>600</v>
      </c>
      <c r="I865" s="32">
        <v>695</v>
      </c>
      <c r="J865" s="32">
        <v>50</v>
      </c>
      <c r="K865" s="33"/>
      <c r="L865" s="33"/>
      <c r="M865" s="33"/>
      <c r="N865" s="33"/>
      <c r="O865" s="33"/>
      <c r="P865" s="33"/>
      <c r="Q865" s="33"/>
      <c r="R865" s="33"/>
      <c r="S865" s="33"/>
      <c r="T865" s="33"/>
    </row>
    <row r="866" spans="1:20" ht="15.6">
      <c r="A866" s="13">
        <v>68453</v>
      </c>
      <c r="B866" s="41">
        <f t="shared" si="4"/>
        <v>31</v>
      </c>
      <c r="C866" s="32">
        <v>194.20500000000001</v>
      </c>
      <c r="D866" s="32">
        <v>267.46600000000001</v>
      </c>
      <c r="E866" s="38">
        <v>812.32899999999995</v>
      </c>
      <c r="F866" s="32">
        <v>1274</v>
      </c>
      <c r="G866" s="32">
        <v>75</v>
      </c>
      <c r="H866" s="40">
        <v>600</v>
      </c>
      <c r="I866" s="32">
        <v>695</v>
      </c>
      <c r="J866" s="32">
        <v>50</v>
      </c>
      <c r="K866" s="33"/>
      <c r="L866" s="33"/>
      <c r="M866" s="33"/>
      <c r="N866" s="33"/>
      <c r="O866" s="33"/>
      <c r="P866" s="33"/>
      <c r="Q866" s="33"/>
      <c r="R866" s="33"/>
      <c r="S866" s="33"/>
      <c r="T866" s="33"/>
    </row>
    <row r="867" spans="1:20" ht="15.6">
      <c r="A867" s="13">
        <v>68483</v>
      </c>
      <c r="B867" s="41">
        <f t="shared" si="4"/>
        <v>30</v>
      </c>
      <c r="C867" s="32">
        <v>194.20500000000001</v>
      </c>
      <c r="D867" s="32">
        <v>267.46600000000001</v>
      </c>
      <c r="E867" s="38">
        <v>812.32899999999995</v>
      </c>
      <c r="F867" s="32">
        <v>1274</v>
      </c>
      <c r="G867" s="32">
        <v>50</v>
      </c>
      <c r="H867" s="40">
        <v>600</v>
      </c>
      <c r="I867" s="32">
        <v>695</v>
      </c>
      <c r="J867" s="32">
        <v>50</v>
      </c>
      <c r="K867" s="33"/>
      <c r="L867" s="33"/>
      <c r="M867" s="33"/>
      <c r="N867" s="33"/>
      <c r="O867" s="33"/>
      <c r="P867" s="33"/>
      <c r="Q867" s="33"/>
      <c r="R867" s="33"/>
      <c r="S867" s="33"/>
      <c r="T867" s="33"/>
    </row>
    <row r="868" spans="1:20" ht="15.6">
      <c r="A868" s="13">
        <v>68514</v>
      </c>
      <c r="B868" s="41">
        <f t="shared" si="4"/>
        <v>31</v>
      </c>
      <c r="C868" s="32">
        <v>194.20500000000001</v>
      </c>
      <c r="D868" s="32">
        <v>267.46600000000001</v>
      </c>
      <c r="E868" s="38">
        <v>812.32899999999995</v>
      </c>
      <c r="F868" s="32">
        <v>1274</v>
      </c>
      <c r="G868" s="32">
        <v>50</v>
      </c>
      <c r="H868" s="40">
        <v>600</v>
      </c>
      <c r="I868" s="32">
        <v>695</v>
      </c>
      <c r="J868" s="32">
        <v>0</v>
      </c>
      <c r="K868" s="33"/>
      <c r="L868" s="33"/>
      <c r="M868" s="33"/>
      <c r="N868" s="33"/>
      <c r="O868" s="33"/>
      <c r="P868" s="33"/>
      <c r="Q868" s="33"/>
      <c r="R868" s="33"/>
      <c r="S868" s="33"/>
      <c r="T868" s="33"/>
    </row>
    <row r="869" spans="1:20" ht="15.6">
      <c r="A869" s="13">
        <v>68545</v>
      </c>
      <c r="B869" s="41">
        <f t="shared" si="4"/>
        <v>31</v>
      </c>
      <c r="C869" s="32">
        <v>194.20500000000001</v>
      </c>
      <c r="D869" s="32">
        <v>267.46600000000001</v>
      </c>
      <c r="E869" s="38">
        <v>812.32899999999995</v>
      </c>
      <c r="F869" s="32">
        <v>1274</v>
      </c>
      <c r="G869" s="32">
        <v>50</v>
      </c>
      <c r="H869" s="40">
        <v>600</v>
      </c>
      <c r="I869" s="32">
        <v>695</v>
      </c>
      <c r="J869" s="32">
        <v>0</v>
      </c>
      <c r="K869" s="33"/>
      <c r="L869" s="33"/>
      <c r="M869" s="33"/>
      <c r="N869" s="33"/>
      <c r="O869" s="33"/>
      <c r="P869" s="33"/>
      <c r="Q869" s="33"/>
      <c r="R869" s="33"/>
      <c r="S869" s="33"/>
      <c r="T869" s="33"/>
    </row>
    <row r="870" spans="1:20" ht="15.6">
      <c r="A870" s="13">
        <v>68575</v>
      </c>
      <c r="B870" s="41">
        <f t="shared" si="4"/>
        <v>30</v>
      </c>
      <c r="C870" s="32">
        <v>194.20500000000001</v>
      </c>
      <c r="D870" s="32">
        <v>267.46600000000001</v>
      </c>
      <c r="E870" s="38">
        <v>812.32899999999995</v>
      </c>
      <c r="F870" s="32">
        <v>1274</v>
      </c>
      <c r="G870" s="32">
        <v>50</v>
      </c>
      <c r="H870" s="40">
        <v>600</v>
      </c>
      <c r="I870" s="32">
        <v>695</v>
      </c>
      <c r="J870" s="32">
        <v>0</v>
      </c>
      <c r="K870" s="33"/>
      <c r="L870" s="33"/>
      <c r="M870" s="33"/>
      <c r="N870" s="33"/>
      <c r="O870" s="33"/>
      <c r="P870" s="33"/>
      <c r="Q870" s="33"/>
      <c r="R870" s="33"/>
      <c r="S870" s="33"/>
      <c r="T870" s="33"/>
    </row>
    <row r="871" spans="1:20" ht="15.6">
      <c r="A871" s="13">
        <v>68606</v>
      </c>
      <c r="B871" s="41">
        <f t="shared" si="4"/>
        <v>31</v>
      </c>
      <c r="C871" s="32">
        <v>131.881</v>
      </c>
      <c r="D871" s="32">
        <v>277.16699999999997</v>
      </c>
      <c r="E871" s="38">
        <v>829.952</v>
      </c>
      <c r="F871" s="32">
        <v>1239</v>
      </c>
      <c r="G871" s="32">
        <v>75</v>
      </c>
      <c r="H871" s="40">
        <v>600</v>
      </c>
      <c r="I871" s="32">
        <v>695</v>
      </c>
      <c r="J871" s="32">
        <v>0</v>
      </c>
      <c r="K871" s="33"/>
      <c r="L871" s="33"/>
      <c r="M871" s="33"/>
      <c r="N871" s="33"/>
      <c r="O871" s="33"/>
      <c r="P871" s="33"/>
      <c r="Q871" s="33"/>
      <c r="R871" s="33"/>
      <c r="S871" s="33"/>
      <c r="T871" s="33"/>
    </row>
    <row r="872" spans="1:20" ht="15.6">
      <c r="A872" s="13">
        <v>68636</v>
      </c>
      <c r="B872" s="41">
        <f t="shared" si="4"/>
        <v>30</v>
      </c>
      <c r="C872" s="32">
        <v>122.58</v>
      </c>
      <c r="D872" s="32">
        <v>297.94099999999997</v>
      </c>
      <c r="E872" s="38">
        <v>729.47900000000004</v>
      </c>
      <c r="F872" s="32">
        <v>1150</v>
      </c>
      <c r="G872" s="32">
        <v>100</v>
      </c>
      <c r="H872" s="40">
        <v>600</v>
      </c>
      <c r="I872" s="32">
        <v>695</v>
      </c>
      <c r="J872" s="32">
        <v>50</v>
      </c>
      <c r="K872" s="33"/>
      <c r="L872" s="33"/>
      <c r="M872" s="33"/>
      <c r="N872" s="33"/>
      <c r="O872" s="33"/>
      <c r="P872" s="33"/>
      <c r="Q872" s="33"/>
      <c r="R872" s="33"/>
      <c r="S872" s="33"/>
      <c r="T872" s="33"/>
    </row>
    <row r="873" spans="1:20" ht="15.6">
      <c r="A873" s="13">
        <v>68667</v>
      </c>
      <c r="B873" s="41">
        <f t="shared" si="4"/>
        <v>31</v>
      </c>
      <c r="C873" s="32">
        <v>122.58</v>
      </c>
      <c r="D873" s="32">
        <v>297.94099999999997</v>
      </c>
      <c r="E873" s="38">
        <v>729.47900000000004</v>
      </c>
      <c r="F873" s="32">
        <v>1150</v>
      </c>
      <c r="G873" s="32">
        <v>100</v>
      </c>
      <c r="H873" s="40">
        <v>600</v>
      </c>
      <c r="I873" s="32">
        <v>695</v>
      </c>
      <c r="J873" s="32">
        <v>50</v>
      </c>
      <c r="K873" s="33"/>
      <c r="L873" s="33"/>
      <c r="M873" s="33"/>
      <c r="N873" s="33"/>
      <c r="O873" s="33"/>
      <c r="P873" s="33"/>
      <c r="Q873" s="33"/>
      <c r="R873" s="33"/>
      <c r="S873" s="33"/>
      <c r="T873" s="33"/>
    </row>
    <row r="874" spans="1:20" ht="15.6">
      <c r="A874" s="13">
        <v>68698</v>
      </c>
      <c r="B874" s="41">
        <f t="shared" si="4"/>
        <v>31</v>
      </c>
      <c r="C874" s="32">
        <v>122.58</v>
      </c>
      <c r="D874" s="32">
        <v>297.94099999999997</v>
      </c>
      <c r="E874" s="38">
        <v>729.47900000000004</v>
      </c>
      <c r="F874" s="32">
        <v>1150</v>
      </c>
      <c r="G874" s="32">
        <v>100</v>
      </c>
      <c r="H874" s="40">
        <v>600</v>
      </c>
      <c r="I874" s="32">
        <v>695</v>
      </c>
      <c r="J874" s="32">
        <v>50</v>
      </c>
      <c r="K874" s="33"/>
      <c r="L874" s="33"/>
      <c r="M874" s="33"/>
      <c r="N874" s="33"/>
      <c r="O874" s="33"/>
      <c r="P874" s="33"/>
      <c r="Q874" s="33"/>
      <c r="R874" s="33"/>
      <c r="S874" s="33"/>
      <c r="T874" s="33"/>
    </row>
    <row r="875" spans="1:20" ht="15.6">
      <c r="A875" s="13">
        <v>68727</v>
      </c>
      <c r="B875" s="41">
        <f t="shared" si="4"/>
        <v>29</v>
      </c>
      <c r="C875" s="32">
        <v>122.58</v>
      </c>
      <c r="D875" s="32">
        <v>297.94099999999997</v>
      </c>
      <c r="E875" s="38">
        <v>729.47900000000004</v>
      </c>
      <c r="F875" s="32">
        <v>1150</v>
      </c>
      <c r="G875" s="32">
        <v>100</v>
      </c>
      <c r="H875" s="40">
        <v>600</v>
      </c>
      <c r="I875" s="32">
        <v>695</v>
      </c>
      <c r="J875" s="32">
        <v>50</v>
      </c>
      <c r="K875" s="33"/>
      <c r="L875" s="33"/>
      <c r="M875" s="33"/>
      <c r="N875" s="33"/>
      <c r="O875" s="33"/>
      <c r="P875" s="33"/>
      <c r="Q875" s="33"/>
      <c r="R875" s="33"/>
      <c r="S875" s="33"/>
      <c r="T875" s="33"/>
    </row>
    <row r="876" spans="1:20" ht="15.6">
      <c r="A876" s="13">
        <v>68758</v>
      </c>
      <c r="B876" s="41">
        <f t="shared" si="4"/>
        <v>31</v>
      </c>
      <c r="C876" s="32">
        <v>122.58</v>
      </c>
      <c r="D876" s="32">
        <v>297.94099999999997</v>
      </c>
      <c r="E876" s="38">
        <v>729.47900000000004</v>
      </c>
      <c r="F876" s="32">
        <v>1150</v>
      </c>
      <c r="G876" s="32">
        <v>100</v>
      </c>
      <c r="H876" s="40">
        <v>600</v>
      </c>
      <c r="I876" s="32">
        <v>695</v>
      </c>
      <c r="J876" s="32">
        <v>50</v>
      </c>
      <c r="K876" s="33"/>
      <c r="L876" s="33"/>
      <c r="M876" s="33"/>
      <c r="N876" s="33"/>
      <c r="O876" s="33"/>
      <c r="P876" s="33"/>
      <c r="Q876" s="33"/>
      <c r="R876" s="33"/>
      <c r="S876" s="33"/>
      <c r="T876" s="33"/>
    </row>
    <row r="877" spans="1:20" ht="15.6">
      <c r="A877" s="13">
        <v>68788</v>
      </c>
      <c r="B877" s="41">
        <f t="shared" si="4"/>
        <v>30</v>
      </c>
      <c r="C877" s="32">
        <v>141.29300000000001</v>
      </c>
      <c r="D877" s="32">
        <v>267.99299999999999</v>
      </c>
      <c r="E877" s="38">
        <v>829.71400000000006</v>
      </c>
      <c r="F877" s="32">
        <v>1239</v>
      </c>
      <c r="G877" s="32">
        <v>100</v>
      </c>
      <c r="H877" s="40">
        <v>600</v>
      </c>
      <c r="I877" s="32">
        <v>695</v>
      </c>
      <c r="J877" s="32">
        <v>50</v>
      </c>
      <c r="K877" s="33"/>
      <c r="L877" s="33"/>
      <c r="M877" s="33"/>
      <c r="N877" s="33"/>
      <c r="O877" s="33"/>
      <c r="P877" s="33"/>
      <c r="Q877" s="33"/>
      <c r="R877" s="33"/>
      <c r="S877" s="33"/>
      <c r="T877" s="33"/>
    </row>
    <row r="878" spans="1:20" ht="15.6">
      <c r="A878" s="13">
        <v>68819</v>
      </c>
      <c r="B878" s="41">
        <f t="shared" si="4"/>
        <v>31</v>
      </c>
      <c r="C878" s="32">
        <v>194.20500000000001</v>
      </c>
      <c r="D878" s="32">
        <v>267.46600000000001</v>
      </c>
      <c r="E878" s="38">
        <v>812.32899999999995</v>
      </c>
      <c r="F878" s="32">
        <v>1274</v>
      </c>
      <c r="G878" s="32">
        <v>75</v>
      </c>
      <c r="H878" s="40">
        <v>600</v>
      </c>
      <c r="I878" s="32">
        <v>695</v>
      </c>
      <c r="J878" s="32">
        <v>50</v>
      </c>
      <c r="K878" s="33"/>
      <c r="L878" s="33"/>
      <c r="M878" s="33"/>
      <c r="N878" s="33"/>
      <c r="O878" s="33"/>
      <c r="P878" s="33"/>
      <c r="Q878" s="33"/>
      <c r="R878" s="33"/>
      <c r="S878" s="33"/>
      <c r="T878" s="33"/>
    </row>
    <row r="879" spans="1:20" ht="15.6">
      <c r="A879" s="13">
        <v>68849</v>
      </c>
      <c r="B879" s="41">
        <f t="shared" si="4"/>
        <v>30</v>
      </c>
      <c r="C879" s="32">
        <v>194.20500000000001</v>
      </c>
      <c r="D879" s="32">
        <v>267.46600000000001</v>
      </c>
      <c r="E879" s="38">
        <v>812.32899999999995</v>
      </c>
      <c r="F879" s="32">
        <v>1274</v>
      </c>
      <c r="G879" s="32">
        <v>50</v>
      </c>
      <c r="H879" s="40">
        <v>600</v>
      </c>
      <c r="I879" s="32">
        <v>695</v>
      </c>
      <c r="J879" s="32">
        <v>50</v>
      </c>
      <c r="K879" s="33"/>
      <c r="L879" s="33"/>
      <c r="M879" s="33"/>
      <c r="N879" s="33"/>
      <c r="O879" s="33"/>
      <c r="P879" s="33"/>
      <c r="Q879" s="33"/>
      <c r="R879" s="33"/>
      <c r="S879" s="33"/>
      <c r="T879" s="33"/>
    </row>
    <row r="880" spans="1:20" ht="15.6">
      <c r="A880" s="13">
        <v>68880</v>
      </c>
      <c r="B880" s="41">
        <f t="shared" si="4"/>
        <v>31</v>
      </c>
      <c r="C880" s="32">
        <v>194.20500000000001</v>
      </c>
      <c r="D880" s="32">
        <v>267.46600000000001</v>
      </c>
      <c r="E880" s="38">
        <v>812.32899999999995</v>
      </c>
      <c r="F880" s="32">
        <v>1274</v>
      </c>
      <c r="G880" s="32">
        <v>50</v>
      </c>
      <c r="H880" s="40">
        <v>600</v>
      </c>
      <c r="I880" s="32">
        <v>695</v>
      </c>
      <c r="J880" s="32">
        <v>0</v>
      </c>
      <c r="K880" s="33"/>
      <c r="L880" s="33"/>
      <c r="M880" s="33"/>
      <c r="N880" s="33"/>
      <c r="O880" s="33"/>
      <c r="P880" s="33"/>
      <c r="Q880" s="33"/>
      <c r="R880" s="33"/>
      <c r="S880" s="33"/>
      <c r="T880" s="33"/>
    </row>
    <row r="881" spans="1:20" ht="15.6">
      <c r="A881" s="13">
        <v>68911</v>
      </c>
      <c r="B881" s="41">
        <f t="shared" si="4"/>
        <v>31</v>
      </c>
      <c r="C881" s="32">
        <v>194.20500000000001</v>
      </c>
      <c r="D881" s="32">
        <v>267.46600000000001</v>
      </c>
      <c r="E881" s="38">
        <v>812.32899999999995</v>
      </c>
      <c r="F881" s="32">
        <v>1274</v>
      </c>
      <c r="G881" s="32">
        <v>50</v>
      </c>
      <c r="H881" s="40">
        <v>600</v>
      </c>
      <c r="I881" s="32">
        <v>695</v>
      </c>
      <c r="J881" s="32">
        <v>0</v>
      </c>
      <c r="K881" s="33"/>
      <c r="L881" s="33"/>
      <c r="M881" s="33"/>
      <c r="N881" s="33"/>
      <c r="O881" s="33"/>
      <c r="P881" s="33"/>
      <c r="Q881" s="33"/>
      <c r="R881" s="33"/>
      <c r="S881" s="33"/>
      <c r="T881" s="33"/>
    </row>
    <row r="882" spans="1:20" ht="15.6">
      <c r="A882" s="13">
        <v>68941</v>
      </c>
      <c r="B882" s="41">
        <f t="shared" ref="B882:B945" si="5">EOMONTH(A882,0)-EOMONTH(A882,-1)</f>
        <v>30</v>
      </c>
      <c r="C882" s="32">
        <v>194.20500000000001</v>
      </c>
      <c r="D882" s="32">
        <v>267.46600000000001</v>
      </c>
      <c r="E882" s="38">
        <v>812.32899999999995</v>
      </c>
      <c r="F882" s="32">
        <v>1274</v>
      </c>
      <c r="G882" s="32">
        <v>50</v>
      </c>
      <c r="H882" s="40">
        <v>600</v>
      </c>
      <c r="I882" s="32">
        <v>695</v>
      </c>
      <c r="J882" s="32">
        <v>0</v>
      </c>
      <c r="K882" s="33"/>
      <c r="L882" s="33"/>
      <c r="M882" s="33"/>
      <c r="N882" s="33"/>
      <c r="O882" s="33"/>
      <c r="P882" s="33"/>
      <c r="Q882" s="33"/>
      <c r="R882" s="33"/>
      <c r="S882" s="33"/>
      <c r="T882" s="33"/>
    </row>
    <row r="883" spans="1:20" ht="15.6">
      <c r="A883" s="13">
        <v>68972</v>
      </c>
      <c r="B883" s="41">
        <f t="shared" si="5"/>
        <v>31</v>
      </c>
      <c r="C883" s="32">
        <v>131.881</v>
      </c>
      <c r="D883" s="32">
        <v>277.16699999999997</v>
      </c>
      <c r="E883" s="38">
        <v>829.952</v>
      </c>
      <c r="F883" s="32">
        <v>1239</v>
      </c>
      <c r="G883" s="32">
        <v>75</v>
      </c>
      <c r="H883" s="40">
        <v>600</v>
      </c>
      <c r="I883" s="32">
        <v>695</v>
      </c>
      <c r="J883" s="32">
        <v>0</v>
      </c>
      <c r="K883" s="33"/>
      <c r="L883" s="33"/>
      <c r="M883" s="33"/>
      <c r="N883" s="33"/>
      <c r="O883" s="33"/>
      <c r="P883" s="33"/>
      <c r="Q883" s="33"/>
      <c r="R883" s="33"/>
      <c r="S883" s="33"/>
      <c r="T883" s="33"/>
    </row>
    <row r="884" spans="1:20" ht="15.6">
      <c r="A884" s="13">
        <v>69002</v>
      </c>
      <c r="B884" s="41">
        <f t="shared" si="5"/>
        <v>30</v>
      </c>
      <c r="C884" s="32">
        <v>122.58</v>
      </c>
      <c r="D884" s="32">
        <v>297.94099999999997</v>
      </c>
      <c r="E884" s="38">
        <v>729.47900000000004</v>
      </c>
      <c r="F884" s="32">
        <v>1150</v>
      </c>
      <c r="G884" s="32">
        <v>100</v>
      </c>
      <c r="H884" s="40">
        <v>600</v>
      </c>
      <c r="I884" s="32">
        <v>695</v>
      </c>
      <c r="J884" s="32">
        <v>50</v>
      </c>
      <c r="K884" s="33"/>
      <c r="L884" s="33"/>
      <c r="M884" s="33"/>
      <c r="N884" s="33"/>
      <c r="O884" s="33"/>
      <c r="P884" s="33"/>
      <c r="Q884" s="33"/>
      <c r="R884" s="33"/>
      <c r="S884" s="33"/>
      <c r="T884" s="33"/>
    </row>
    <row r="885" spans="1:20" ht="15.6">
      <c r="A885" s="13">
        <v>69033</v>
      </c>
      <c r="B885" s="41">
        <f t="shared" si="5"/>
        <v>31</v>
      </c>
      <c r="C885" s="32">
        <v>122.58</v>
      </c>
      <c r="D885" s="32">
        <v>297.94099999999997</v>
      </c>
      <c r="E885" s="38">
        <v>729.47900000000004</v>
      </c>
      <c r="F885" s="32">
        <v>1150</v>
      </c>
      <c r="G885" s="32">
        <v>100</v>
      </c>
      <c r="H885" s="40">
        <v>600</v>
      </c>
      <c r="I885" s="32">
        <v>695</v>
      </c>
      <c r="J885" s="32">
        <v>50</v>
      </c>
      <c r="K885" s="33"/>
      <c r="L885" s="33"/>
      <c r="M885" s="33"/>
      <c r="N885" s="33"/>
      <c r="O885" s="33"/>
      <c r="P885" s="33"/>
      <c r="Q885" s="33"/>
      <c r="R885" s="33"/>
      <c r="S885" s="33"/>
      <c r="T885" s="33"/>
    </row>
    <row r="886" spans="1:20" ht="15.6">
      <c r="A886" s="13">
        <v>69064</v>
      </c>
      <c r="B886" s="41">
        <f t="shared" si="5"/>
        <v>31</v>
      </c>
      <c r="C886" s="32">
        <v>122.58</v>
      </c>
      <c r="D886" s="32">
        <v>297.94099999999997</v>
      </c>
      <c r="E886" s="38">
        <v>729.47900000000004</v>
      </c>
      <c r="F886" s="32">
        <v>1150</v>
      </c>
      <c r="G886" s="32">
        <v>100</v>
      </c>
      <c r="H886" s="40">
        <v>600</v>
      </c>
      <c r="I886" s="32">
        <v>695</v>
      </c>
      <c r="J886" s="32">
        <v>50</v>
      </c>
      <c r="K886" s="33"/>
      <c r="L886" s="33"/>
      <c r="M886" s="33"/>
      <c r="N886" s="33"/>
      <c r="O886" s="33"/>
      <c r="P886" s="33"/>
      <c r="Q886" s="33"/>
      <c r="R886" s="33"/>
      <c r="S886" s="33"/>
      <c r="T886" s="33"/>
    </row>
    <row r="887" spans="1:20" ht="15.6">
      <c r="A887" s="13">
        <v>69092</v>
      </c>
      <c r="B887" s="41">
        <f t="shared" si="5"/>
        <v>28</v>
      </c>
      <c r="C887" s="32">
        <v>122.58</v>
      </c>
      <c r="D887" s="32">
        <v>297.94099999999997</v>
      </c>
      <c r="E887" s="38">
        <v>729.47900000000004</v>
      </c>
      <c r="F887" s="32">
        <v>1150</v>
      </c>
      <c r="G887" s="32">
        <v>100</v>
      </c>
      <c r="H887" s="40">
        <v>600</v>
      </c>
      <c r="I887" s="32">
        <v>695</v>
      </c>
      <c r="J887" s="32">
        <v>50</v>
      </c>
      <c r="K887" s="33"/>
      <c r="L887" s="33"/>
      <c r="M887" s="33"/>
      <c r="N887" s="33"/>
      <c r="O887" s="33"/>
      <c r="P887" s="33"/>
      <c r="Q887" s="33"/>
      <c r="R887" s="33"/>
      <c r="S887" s="33"/>
      <c r="T887" s="33"/>
    </row>
    <row r="888" spans="1:20" ht="15.6">
      <c r="A888" s="13">
        <v>69123</v>
      </c>
      <c r="B888" s="41">
        <f t="shared" si="5"/>
        <v>31</v>
      </c>
      <c r="C888" s="32">
        <v>122.58</v>
      </c>
      <c r="D888" s="32">
        <v>297.94099999999997</v>
      </c>
      <c r="E888" s="38">
        <v>729.47900000000004</v>
      </c>
      <c r="F888" s="32">
        <v>1150</v>
      </c>
      <c r="G888" s="32">
        <v>100</v>
      </c>
      <c r="H888" s="40">
        <v>600</v>
      </c>
      <c r="I888" s="32">
        <v>695</v>
      </c>
      <c r="J888" s="32">
        <v>50</v>
      </c>
      <c r="K888" s="33"/>
      <c r="L888" s="33"/>
      <c r="M888" s="33"/>
      <c r="N888" s="33"/>
      <c r="O888" s="33"/>
      <c r="P888" s="33"/>
      <c r="Q888" s="33"/>
      <c r="R888" s="33"/>
      <c r="S888" s="33"/>
      <c r="T888" s="33"/>
    </row>
    <row r="889" spans="1:20" ht="15.6">
      <c r="A889" s="13">
        <v>69153</v>
      </c>
      <c r="B889" s="41">
        <f t="shared" si="5"/>
        <v>30</v>
      </c>
      <c r="C889" s="32">
        <v>141.29300000000001</v>
      </c>
      <c r="D889" s="32">
        <v>267.99299999999999</v>
      </c>
      <c r="E889" s="38">
        <v>829.71400000000006</v>
      </c>
      <c r="F889" s="32">
        <v>1239</v>
      </c>
      <c r="G889" s="32">
        <v>100</v>
      </c>
      <c r="H889" s="40">
        <v>600</v>
      </c>
      <c r="I889" s="32">
        <v>695</v>
      </c>
      <c r="J889" s="32">
        <v>50</v>
      </c>
      <c r="K889" s="33"/>
      <c r="L889" s="33"/>
      <c r="M889" s="33"/>
      <c r="N889" s="33"/>
      <c r="O889" s="33"/>
      <c r="P889" s="33"/>
      <c r="Q889" s="33"/>
      <c r="R889" s="33"/>
      <c r="S889" s="33"/>
      <c r="T889" s="33"/>
    </row>
    <row r="890" spans="1:20" ht="15.6">
      <c r="A890" s="13">
        <v>69184</v>
      </c>
      <c r="B890" s="41">
        <f t="shared" si="5"/>
        <v>31</v>
      </c>
      <c r="C890" s="32">
        <v>194.20500000000001</v>
      </c>
      <c r="D890" s="32">
        <v>267.46600000000001</v>
      </c>
      <c r="E890" s="38">
        <v>812.32899999999995</v>
      </c>
      <c r="F890" s="32">
        <v>1274</v>
      </c>
      <c r="G890" s="32">
        <v>75</v>
      </c>
      <c r="H890" s="40">
        <v>600</v>
      </c>
      <c r="I890" s="32">
        <v>695</v>
      </c>
      <c r="J890" s="32">
        <v>50</v>
      </c>
      <c r="K890" s="33"/>
      <c r="L890" s="33"/>
      <c r="M890" s="33"/>
      <c r="N890" s="33"/>
      <c r="O890" s="33"/>
      <c r="P890" s="33"/>
      <c r="Q890" s="33"/>
      <c r="R890" s="33"/>
      <c r="S890" s="33"/>
      <c r="T890" s="33"/>
    </row>
    <row r="891" spans="1:20" ht="15.6">
      <c r="A891" s="13">
        <v>69214</v>
      </c>
      <c r="B891" s="41">
        <f t="shared" si="5"/>
        <v>30</v>
      </c>
      <c r="C891" s="32">
        <v>194.20500000000001</v>
      </c>
      <c r="D891" s="32">
        <v>267.46600000000001</v>
      </c>
      <c r="E891" s="38">
        <v>812.32899999999995</v>
      </c>
      <c r="F891" s="32">
        <v>1274</v>
      </c>
      <c r="G891" s="32">
        <v>50</v>
      </c>
      <c r="H891" s="40">
        <v>600</v>
      </c>
      <c r="I891" s="32">
        <v>695</v>
      </c>
      <c r="J891" s="32">
        <v>50</v>
      </c>
      <c r="K891" s="33"/>
      <c r="L891" s="33"/>
      <c r="M891" s="33"/>
      <c r="N891" s="33"/>
      <c r="O891" s="33"/>
      <c r="P891" s="33"/>
      <c r="Q891" s="33"/>
      <c r="R891" s="33"/>
      <c r="S891" s="33"/>
      <c r="T891" s="33"/>
    </row>
    <row r="892" spans="1:20" ht="15.6">
      <c r="A892" s="13">
        <v>69245</v>
      </c>
      <c r="B892" s="41">
        <f t="shared" si="5"/>
        <v>31</v>
      </c>
      <c r="C892" s="32">
        <v>194.20500000000001</v>
      </c>
      <c r="D892" s="32">
        <v>267.46600000000001</v>
      </c>
      <c r="E892" s="38">
        <v>812.32899999999995</v>
      </c>
      <c r="F892" s="32">
        <v>1274</v>
      </c>
      <c r="G892" s="32">
        <v>50</v>
      </c>
      <c r="H892" s="40">
        <v>600</v>
      </c>
      <c r="I892" s="32">
        <v>695</v>
      </c>
      <c r="J892" s="32">
        <v>0</v>
      </c>
      <c r="K892" s="33"/>
      <c r="L892" s="33"/>
      <c r="M892" s="33"/>
      <c r="N892" s="33"/>
      <c r="O892" s="33"/>
      <c r="P892" s="33"/>
      <c r="Q892" s="33"/>
      <c r="R892" s="33"/>
      <c r="S892" s="33"/>
      <c r="T892" s="33"/>
    </row>
    <row r="893" spans="1:20" ht="15.6">
      <c r="A893" s="13">
        <v>69276</v>
      </c>
      <c r="B893" s="41">
        <f t="shared" si="5"/>
        <v>31</v>
      </c>
      <c r="C893" s="32">
        <v>194.20500000000001</v>
      </c>
      <c r="D893" s="32">
        <v>267.46600000000001</v>
      </c>
      <c r="E893" s="38">
        <v>812.32899999999995</v>
      </c>
      <c r="F893" s="32">
        <v>1274</v>
      </c>
      <c r="G893" s="32">
        <v>50</v>
      </c>
      <c r="H893" s="40">
        <v>600</v>
      </c>
      <c r="I893" s="32">
        <v>695</v>
      </c>
      <c r="J893" s="32">
        <v>0</v>
      </c>
      <c r="K893" s="33"/>
      <c r="L893" s="33"/>
      <c r="M893" s="33"/>
      <c r="N893" s="33"/>
      <c r="O893" s="33"/>
      <c r="P893" s="33"/>
      <c r="Q893" s="33"/>
      <c r="R893" s="33"/>
      <c r="S893" s="33"/>
      <c r="T893" s="33"/>
    </row>
    <row r="894" spans="1:20" ht="15.6">
      <c r="A894" s="13">
        <v>69306</v>
      </c>
      <c r="B894" s="41">
        <f t="shared" si="5"/>
        <v>30</v>
      </c>
      <c r="C894" s="32">
        <v>194.20500000000001</v>
      </c>
      <c r="D894" s="32">
        <v>267.46600000000001</v>
      </c>
      <c r="E894" s="38">
        <v>812.32899999999995</v>
      </c>
      <c r="F894" s="32">
        <v>1274</v>
      </c>
      <c r="G894" s="32">
        <v>50</v>
      </c>
      <c r="H894" s="40">
        <v>600</v>
      </c>
      <c r="I894" s="32">
        <v>695</v>
      </c>
      <c r="J894" s="32">
        <v>0</v>
      </c>
      <c r="K894" s="33"/>
      <c r="L894" s="33"/>
      <c r="M894" s="33"/>
      <c r="N894" s="33"/>
      <c r="O894" s="33"/>
      <c r="P894" s="33"/>
      <c r="Q894" s="33"/>
      <c r="R894" s="33"/>
      <c r="S894" s="33"/>
      <c r="T894" s="33"/>
    </row>
    <row r="895" spans="1:20" ht="15.6">
      <c r="A895" s="13">
        <v>69337</v>
      </c>
      <c r="B895" s="41">
        <f t="shared" si="5"/>
        <v>31</v>
      </c>
      <c r="C895" s="32">
        <v>131.881</v>
      </c>
      <c r="D895" s="32">
        <v>277.16699999999997</v>
      </c>
      <c r="E895" s="38">
        <v>829.952</v>
      </c>
      <c r="F895" s="32">
        <v>1239</v>
      </c>
      <c r="G895" s="32">
        <v>75</v>
      </c>
      <c r="H895" s="40">
        <v>600</v>
      </c>
      <c r="I895" s="32">
        <v>695</v>
      </c>
      <c r="J895" s="32">
        <v>0</v>
      </c>
      <c r="K895" s="33"/>
      <c r="L895" s="33"/>
      <c r="M895" s="33"/>
      <c r="N895" s="33"/>
      <c r="O895" s="33"/>
      <c r="P895" s="33"/>
      <c r="Q895" s="33"/>
      <c r="R895" s="33"/>
      <c r="S895" s="33"/>
      <c r="T895" s="33"/>
    </row>
    <row r="896" spans="1:20" ht="15.6">
      <c r="A896" s="13">
        <v>69367</v>
      </c>
      <c r="B896" s="41">
        <f t="shared" si="5"/>
        <v>30</v>
      </c>
      <c r="C896" s="32">
        <v>122.58</v>
      </c>
      <c r="D896" s="32">
        <v>297.94099999999997</v>
      </c>
      <c r="E896" s="38">
        <v>729.47900000000004</v>
      </c>
      <c r="F896" s="32">
        <v>1150</v>
      </c>
      <c r="G896" s="32">
        <v>100</v>
      </c>
      <c r="H896" s="40">
        <v>600</v>
      </c>
      <c r="I896" s="32">
        <v>695</v>
      </c>
      <c r="J896" s="32">
        <v>50</v>
      </c>
      <c r="K896" s="33"/>
      <c r="L896" s="33"/>
      <c r="M896" s="33"/>
      <c r="N896" s="33"/>
      <c r="O896" s="33"/>
      <c r="P896" s="33"/>
      <c r="Q896" s="33"/>
      <c r="R896" s="33"/>
      <c r="S896" s="33"/>
      <c r="T896" s="33"/>
    </row>
    <row r="897" spans="1:20" ht="15.6">
      <c r="A897" s="13">
        <v>69398</v>
      </c>
      <c r="B897" s="41">
        <f t="shared" si="5"/>
        <v>31</v>
      </c>
      <c r="C897" s="32">
        <v>122.58</v>
      </c>
      <c r="D897" s="32">
        <v>297.94099999999997</v>
      </c>
      <c r="E897" s="38">
        <v>729.47900000000004</v>
      </c>
      <c r="F897" s="32">
        <v>1150</v>
      </c>
      <c r="G897" s="32">
        <v>100</v>
      </c>
      <c r="H897" s="40">
        <v>600</v>
      </c>
      <c r="I897" s="32">
        <v>695</v>
      </c>
      <c r="J897" s="32">
        <v>50</v>
      </c>
      <c r="K897" s="33"/>
      <c r="L897" s="33"/>
      <c r="M897" s="33"/>
      <c r="N897" s="33"/>
      <c r="O897" s="33"/>
      <c r="P897" s="33"/>
      <c r="Q897" s="33"/>
      <c r="R897" s="33"/>
      <c r="S897" s="33"/>
      <c r="T897" s="33"/>
    </row>
    <row r="898" spans="1:20" ht="15.6">
      <c r="A898" s="13">
        <v>69429</v>
      </c>
      <c r="B898" s="41">
        <f t="shared" si="5"/>
        <v>31</v>
      </c>
      <c r="C898" s="32">
        <v>122.58</v>
      </c>
      <c r="D898" s="32">
        <v>297.94099999999997</v>
      </c>
      <c r="E898" s="38">
        <v>729.47900000000004</v>
      </c>
      <c r="F898" s="32">
        <v>1150</v>
      </c>
      <c r="G898" s="32">
        <v>100</v>
      </c>
      <c r="H898" s="40">
        <v>600</v>
      </c>
      <c r="I898" s="32">
        <v>695</v>
      </c>
      <c r="J898" s="32">
        <v>50</v>
      </c>
      <c r="K898" s="33"/>
      <c r="L898" s="33"/>
      <c r="M898" s="33"/>
      <c r="N898" s="33"/>
      <c r="O898" s="33"/>
      <c r="P898" s="33"/>
      <c r="Q898" s="33"/>
      <c r="R898" s="33"/>
      <c r="S898" s="33"/>
      <c r="T898" s="33"/>
    </row>
    <row r="899" spans="1:20" ht="15.6">
      <c r="A899" s="13">
        <v>69457</v>
      </c>
      <c r="B899" s="41">
        <f t="shared" si="5"/>
        <v>28</v>
      </c>
      <c r="C899" s="32">
        <v>122.58</v>
      </c>
      <c r="D899" s="32">
        <v>297.94099999999997</v>
      </c>
      <c r="E899" s="38">
        <v>729.47900000000004</v>
      </c>
      <c r="F899" s="32">
        <v>1150</v>
      </c>
      <c r="G899" s="32">
        <v>100</v>
      </c>
      <c r="H899" s="40">
        <v>600</v>
      </c>
      <c r="I899" s="32">
        <v>695</v>
      </c>
      <c r="J899" s="32">
        <v>50</v>
      </c>
      <c r="K899" s="33"/>
      <c r="L899" s="33"/>
      <c r="M899" s="33"/>
      <c r="N899" s="33"/>
      <c r="O899" s="33"/>
      <c r="P899" s="33"/>
      <c r="Q899" s="33"/>
      <c r="R899" s="33"/>
      <c r="S899" s="33"/>
      <c r="T899" s="33"/>
    </row>
    <row r="900" spans="1:20" ht="15.6">
      <c r="A900" s="13">
        <v>69488</v>
      </c>
      <c r="B900" s="41">
        <f t="shared" si="5"/>
        <v>31</v>
      </c>
      <c r="C900" s="32">
        <v>122.58</v>
      </c>
      <c r="D900" s="32">
        <v>297.94099999999997</v>
      </c>
      <c r="E900" s="38">
        <v>729.47900000000004</v>
      </c>
      <c r="F900" s="32">
        <v>1150</v>
      </c>
      <c r="G900" s="32">
        <v>100</v>
      </c>
      <c r="H900" s="40">
        <v>600</v>
      </c>
      <c r="I900" s="32">
        <v>695</v>
      </c>
      <c r="J900" s="32">
        <v>50</v>
      </c>
      <c r="K900" s="33"/>
      <c r="L900" s="33"/>
      <c r="M900" s="33"/>
      <c r="N900" s="33"/>
      <c r="O900" s="33"/>
      <c r="P900" s="33"/>
      <c r="Q900" s="33"/>
      <c r="R900" s="33"/>
      <c r="S900" s="33"/>
      <c r="T900" s="33"/>
    </row>
    <row r="901" spans="1:20" ht="15.6">
      <c r="A901" s="13">
        <v>69518</v>
      </c>
      <c r="B901" s="41">
        <f t="shared" si="5"/>
        <v>30</v>
      </c>
      <c r="C901" s="32">
        <v>141.29300000000001</v>
      </c>
      <c r="D901" s="32">
        <v>267.99299999999999</v>
      </c>
      <c r="E901" s="38">
        <v>829.71400000000006</v>
      </c>
      <c r="F901" s="32">
        <v>1239</v>
      </c>
      <c r="G901" s="32">
        <v>100</v>
      </c>
      <c r="H901" s="40">
        <v>600</v>
      </c>
      <c r="I901" s="32">
        <v>695</v>
      </c>
      <c r="J901" s="32">
        <v>50</v>
      </c>
      <c r="K901" s="33"/>
      <c r="L901" s="33"/>
      <c r="M901" s="33"/>
      <c r="N901" s="33"/>
      <c r="O901" s="33"/>
      <c r="P901" s="33"/>
      <c r="Q901" s="33"/>
      <c r="R901" s="33"/>
      <c r="S901" s="33"/>
      <c r="T901" s="33"/>
    </row>
    <row r="902" spans="1:20" ht="15.6">
      <c r="A902" s="13">
        <v>69549</v>
      </c>
      <c r="B902" s="41">
        <f t="shared" si="5"/>
        <v>31</v>
      </c>
      <c r="C902" s="32">
        <v>194.20500000000001</v>
      </c>
      <c r="D902" s="32">
        <v>267.46600000000001</v>
      </c>
      <c r="E902" s="38">
        <v>812.32899999999995</v>
      </c>
      <c r="F902" s="32">
        <v>1274</v>
      </c>
      <c r="G902" s="32">
        <v>75</v>
      </c>
      <c r="H902" s="40">
        <v>600</v>
      </c>
      <c r="I902" s="32">
        <v>695</v>
      </c>
      <c r="J902" s="32">
        <v>50</v>
      </c>
      <c r="K902" s="33"/>
      <c r="L902" s="33"/>
      <c r="M902" s="33"/>
      <c r="N902" s="33"/>
      <c r="O902" s="33"/>
      <c r="P902" s="33"/>
      <c r="Q902" s="33"/>
      <c r="R902" s="33"/>
      <c r="S902" s="33"/>
      <c r="T902" s="33"/>
    </row>
    <row r="903" spans="1:20" ht="15.6">
      <c r="A903" s="13">
        <v>69579</v>
      </c>
      <c r="B903" s="41">
        <f t="shared" si="5"/>
        <v>30</v>
      </c>
      <c r="C903" s="32">
        <v>194.20500000000001</v>
      </c>
      <c r="D903" s="32">
        <v>267.46600000000001</v>
      </c>
      <c r="E903" s="38">
        <v>812.32899999999995</v>
      </c>
      <c r="F903" s="32">
        <v>1274</v>
      </c>
      <c r="G903" s="32">
        <v>50</v>
      </c>
      <c r="H903" s="40">
        <v>600</v>
      </c>
      <c r="I903" s="32">
        <v>695</v>
      </c>
      <c r="J903" s="32">
        <v>50</v>
      </c>
      <c r="K903" s="33"/>
      <c r="L903" s="33"/>
      <c r="M903" s="33"/>
      <c r="N903" s="33"/>
      <c r="O903" s="33"/>
      <c r="P903" s="33"/>
      <c r="Q903" s="33"/>
      <c r="R903" s="33"/>
      <c r="S903" s="33"/>
      <c r="T903" s="33"/>
    </row>
    <row r="904" spans="1:20" ht="15.6">
      <c r="A904" s="13">
        <v>69610</v>
      </c>
      <c r="B904" s="41">
        <f t="shared" si="5"/>
        <v>31</v>
      </c>
      <c r="C904" s="32">
        <v>194.20500000000001</v>
      </c>
      <c r="D904" s="32">
        <v>267.46600000000001</v>
      </c>
      <c r="E904" s="38">
        <v>812.32899999999995</v>
      </c>
      <c r="F904" s="32">
        <v>1274</v>
      </c>
      <c r="G904" s="32">
        <v>50</v>
      </c>
      <c r="H904" s="40">
        <v>600</v>
      </c>
      <c r="I904" s="32">
        <v>695</v>
      </c>
      <c r="J904" s="32">
        <v>0</v>
      </c>
      <c r="K904" s="33"/>
      <c r="L904" s="33"/>
      <c r="M904" s="33"/>
      <c r="N904" s="33"/>
      <c r="O904" s="33"/>
      <c r="P904" s="33"/>
      <c r="Q904" s="33"/>
      <c r="R904" s="33"/>
      <c r="S904" s="33"/>
      <c r="T904" s="33"/>
    </row>
    <row r="905" spans="1:20" ht="15.6">
      <c r="A905" s="13">
        <v>69641</v>
      </c>
      <c r="B905" s="41">
        <f t="shared" si="5"/>
        <v>31</v>
      </c>
      <c r="C905" s="32">
        <v>194.20500000000001</v>
      </c>
      <c r="D905" s="32">
        <v>267.46600000000001</v>
      </c>
      <c r="E905" s="38">
        <v>812.32899999999995</v>
      </c>
      <c r="F905" s="32">
        <v>1274</v>
      </c>
      <c r="G905" s="32">
        <v>50</v>
      </c>
      <c r="H905" s="40">
        <v>600</v>
      </c>
      <c r="I905" s="32">
        <v>695</v>
      </c>
      <c r="J905" s="32">
        <v>0</v>
      </c>
      <c r="K905" s="33"/>
      <c r="L905" s="33"/>
      <c r="M905" s="33"/>
      <c r="N905" s="33"/>
      <c r="O905" s="33"/>
      <c r="P905" s="33"/>
      <c r="Q905" s="33"/>
      <c r="R905" s="33"/>
      <c r="S905" s="33"/>
      <c r="T905" s="33"/>
    </row>
    <row r="906" spans="1:20" ht="15.6">
      <c r="A906" s="13">
        <v>69671</v>
      </c>
      <c r="B906" s="41">
        <f t="shared" si="5"/>
        <v>30</v>
      </c>
      <c r="C906" s="32">
        <v>194.20500000000001</v>
      </c>
      <c r="D906" s="32">
        <v>267.46600000000001</v>
      </c>
      <c r="E906" s="38">
        <v>812.32899999999995</v>
      </c>
      <c r="F906" s="32">
        <v>1274</v>
      </c>
      <c r="G906" s="32">
        <v>50</v>
      </c>
      <c r="H906" s="40">
        <v>600</v>
      </c>
      <c r="I906" s="32">
        <v>695</v>
      </c>
      <c r="J906" s="32">
        <v>0</v>
      </c>
      <c r="K906" s="33"/>
      <c r="L906" s="33"/>
      <c r="M906" s="33"/>
      <c r="N906" s="33"/>
      <c r="O906" s="33"/>
      <c r="P906" s="33"/>
      <c r="Q906" s="33"/>
      <c r="R906" s="33"/>
      <c r="S906" s="33"/>
      <c r="T906" s="33"/>
    </row>
    <row r="907" spans="1:20" ht="15.6">
      <c r="A907" s="13">
        <v>69702</v>
      </c>
      <c r="B907" s="41">
        <f t="shared" si="5"/>
        <v>31</v>
      </c>
      <c r="C907" s="32">
        <v>131.881</v>
      </c>
      <c r="D907" s="32">
        <v>277.16699999999997</v>
      </c>
      <c r="E907" s="38">
        <v>829.952</v>
      </c>
      <c r="F907" s="32">
        <v>1239</v>
      </c>
      <c r="G907" s="32">
        <v>75</v>
      </c>
      <c r="H907" s="40">
        <v>600</v>
      </c>
      <c r="I907" s="32">
        <v>695</v>
      </c>
      <c r="J907" s="32">
        <v>0</v>
      </c>
      <c r="K907" s="33"/>
      <c r="L907" s="33"/>
      <c r="M907" s="33"/>
      <c r="N907" s="33"/>
      <c r="O907" s="33"/>
      <c r="P907" s="33"/>
      <c r="Q907" s="33"/>
      <c r="R907" s="33"/>
      <c r="S907" s="33"/>
      <c r="T907" s="33"/>
    </row>
    <row r="908" spans="1:20" ht="15.6">
      <c r="A908" s="13">
        <v>69732</v>
      </c>
      <c r="B908" s="41">
        <f t="shared" si="5"/>
        <v>30</v>
      </c>
      <c r="C908" s="32">
        <v>122.58</v>
      </c>
      <c r="D908" s="32">
        <v>297.94099999999997</v>
      </c>
      <c r="E908" s="38">
        <v>729.47900000000004</v>
      </c>
      <c r="F908" s="32">
        <v>1150</v>
      </c>
      <c r="G908" s="32">
        <v>100</v>
      </c>
      <c r="H908" s="40">
        <v>600</v>
      </c>
      <c r="I908" s="32">
        <v>695</v>
      </c>
      <c r="J908" s="32">
        <v>50</v>
      </c>
      <c r="K908" s="33"/>
      <c r="L908" s="33"/>
      <c r="M908" s="33"/>
      <c r="N908" s="33"/>
      <c r="O908" s="33"/>
      <c r="P908" s="33"/>
      <c r="Q908" s="33"/>
      <c r="R908" s="33"/>
      <c r="S908" s="33"/>
      <c r="T908" s="33"/>
    </row>
    <row r="909" spans="1:20" ht="15.6">
      <c r="A909" s="13">
        <v>69763</v>
      </c>
      <c r="B909" s="41">
        <f t="shared" si="5"/>
        <v>31</v>
      </c>
      <c r="C909" s="32">
        <v>122.58</v>
      </c>
      <c r="D909" s="32">
        <v>297.94099999999997</v>
      </c>
      <c r="E909" s="38">
        <v>729.47900000000004</v>
      </c>
      <c r="F909" s="32">
        <v>1150</v>
      </c>
      <c r="G909" s="32">
        <v>100</v>
      </c>
      <c r="H909" s="40">
        <v>600</v>
      </c>
      <c r="I909" s="32">
        <v>695</v>
      </c>
      <c r="J909" s="32">
        <v>50</v>
      </c>
      <c r="K909" s="33"/>
      <c r="L909" s="33"/>
      <c r="M909" s="33"/>
      <c r="N909" s="33"/>
      <c r="O909" s="33"/>
      <c r="P909" s="33"/>
      <c r="Q909" s="33"/>
      <c r="R909" s="33"/>
      <c r="S909" s="33"/>
      <c r="T909" s="33"/>
    </row>
    <row r="910" spans="1:20" ht="15.6">
      <c r="A910" s="13">
        <v>69794</v>
      </c>
      <c r="B910" s="41">
        <f t="shared" si="5"/>
        <v>31</v>
      </c>
      <c r="C910" s="32">
        <v>122.58</v>
      </c>
      <c r="D910" s="32">
        <v>297.94099999999997</v>
      </c>
      <c r="E910" s="38">
        <v>729.47900000000004</v>
      </c>
      <c r="F910" s="32">
        <v>1150</v>
      </c>
      <c r="G910" s="32">
        <v>100</v>
      </c>
      <c r="H910" s="40">
        <v>600</v>
      </c>
      <c r="I910" s="32">
        <v>695</v>
      </c>
      <c r="J910" s="32">
        <v>50</v>
      </c>
      <c r="K910" s="33"/>
      <c r="L910" s="33"/>
      <c r="M910" s="33"/>
      <c r="N910" s="33"/>
      <c r="O910" s="33"/>
      <c r="P910" s="33"/>
      <c r="Q910" s="33"/>
      <c r="R910" s="33"/>
      <c r="S910" s="33"/>
      <c r="T910" s="33"/>
    </row>
    <row r="911" spans="1:20" ht="15.6">
      <c r="A911" s="13">
        <v>69822</v>
      </c>
      <c r="B911" s="41">
        <f t="shared" si="5"/>
        <v>28</v>
      </c>
      <c r="C911" s="32">
        <v>122.58</v>
      </c>
      <c r="D911" s="32">
        <v>297.94099999999997</v>
      </c>
      <c r="E911" s="38">
        <v>729.47900000000004</v>
      </c>
      <c r="F911" s="32">
        <v>1150</v>
      </c>
      <c r="G911" s="32">
        <v>100</v>
      </c>
      <c r="H911" s="40">
        <v>600</v>
      </c>
      <c r="I911" s="32">
        <v>695</v>
      </c>
      <c r="J911" s="32">
        <v>50</v>
      </c>
      <c r="K911" s="33"/>
      <c r="L911" s="33"/>
      <c r="M911" s="33"/>
      <c r="N911" s="33"/>
      <c r="O911" s="33"/>
      <c r="P911" s="33"/>
      <c r="Q911" s="33"/>
      <c r="R911" s="33"/>
      <c r="S911" s="33"/>
      <c r="T911" s="33"/>
    </row>
    <row r="912" spans="1:20" ht="15.6">
      <c r="A912" s="13">
        <v>69853</v>
      </c>
      <c r="B912" s="41">
        <f t="shared" si="5"/>
        <v>31</v>
      </c>
      <c r="C912" s="32">
        <v>122.58</v>
      </c>
      <c r="D912" s="32">
        <v>297.94099999999997</v>
      </c>
      <c r="E912" s="38">
        <v>729.47900000000004</v>
      </c>
      <c r="F912" s="32">
        <v>1150</v>
      </c>
      <c r="G912" s="32">
        <v>100</v>
      </c>
      <c r="H912" s="40">
        <v>600</v>
      </c>
      <c r="I912" s="32">
        <v>695</v>
      </c>
      <c r="J912" s="32">
        <v>50</v>
      </c>
      <c r="K912" s="33"/>
      <c r="L912" s="33"/>
      <c r="M912" s="33"/>
      <c r="N912" s="33"/>
      <c r="O912" s="33"/>
      <c r="P912" s="33"/>
      <c r="Q912" s="33"/>
      <c r="R912" s="33"/>
      <c r="S912" s="33"/>
      <c r="T912" s="33"/>
    </row>
    <row r="913" spans="1:20" ht="15.6">
      <c r="A913" s="13">
        <v>69883</v>
      </c>
      <c r="B913" s="41">
        <f t="shared" si="5"/>
        <v>30</v>
      </c>
      <c r="C913" s="32">
        <v>141.29300000000001</v>
      </c>
      <c r="D913" s="32">
        <v>267.99299999999999</v>
      </c>
      <c r="E913" s="38">
        <v>829.71400000000006</v>
      </c>
      <c r="F913" s="32">
        <v>1239</v>
      </c>
      <c r="G913" s="32">
        <v>100</v>
      </c>
      <c r="H913" s="40">
        <v>600</v>
      </c>
      <c r="I913" s="32">
        <v>695</v>
      </c>
      <c r="J913" s="32">
        <v>50</v>
      </c>
      <c r="K913" s="33"/>
      <c r="L913" s="33"/>
      <c r="M913" s="33"/>
      <c r="N913" s="33"/>
      <c r="O913" s="33"/>
      <c r="P913" s="33"/>
      <c r="Q913" s="33"/>
      <c r="R913" s="33"/>
      <c r="S913" s="33"/>
      <c r="T913" s="33"/>
    </row>
    <row r="914" spans="1:20" ht="15.6">
      <c r="A914" s="13">
        <v>69914</v>
      </c>
      <c r="B914" s="41">
        <f t="shared" si="5"/>
        <v>31</v>
      </c>
      <c r="C914" s="32">
        <v>194.20500000000001</v>
      </c>
      <c r="D914" s="32">
        <v>267.46600000000001</v>
      </c>
      <c r="E914" s="38">
        <v>812.32899999999995</v>
      </c>
      <c r="F914" s="32">
        <v>1274</v>
      </c>
      <c r="G914" s="32">
        <v>75</v>
      </c>
      <c r="H914" s="40">
        <v>600</v>
      </c>
      <c r="I914" s="32">
        <v>695</v>
      </c>
      <c r="J914" s="32">
        <v>50</v>
      </c>
      <c r="K914" s="33"/>
      <c r="L914" s="33"/>
      <c r="M914" s="33"/>
      <c r="N914" s="33"/>
      <c r="O914" s="33"/>
      <c r="P914" s="33"/>
      <c r="Q914" s="33"/>
      <c r="R914" s="33"/>
      <c r="S914" s="33"/>
      <c r="T914" s="33"/>
    </row>
    <row r="915" spans="1:20" ht="15.6">
      <c r="A915" s="13">
        <v>69944</v>
      </c>
      <c r="B915" s="41">
        <f t="shared" si="5"/>
        <v>30</v>
      </c>
      <c r="C915" s="32">
        <v>194.20500000000001</v>
      </c>
      <c r="D915" s="32">
        <v>267.46600000000001</v>
      </c>
      <c r="E915" s="38">
        <v>812.32899999999995</v>
      </c>
      <c r="F915" s="32">
        <v>1274</v>
      </c>
      <c r="G915" s="32">
        <v>50</v>
      </c>
      <c r="H915" s="40">
        <v>600</v>
      </c>
      <c r="I915" s="32">
        <v>695</v>
      </c>
      <c r="J915" s="32">
        <v>50</v>
      </c>
      <c r="K915" s="33"/>
      <c r="L915" s="33"/>
      <c r="M915" s="33"/>
      <c r="N915" s="33"/>
      <c r="O915" s="33"/>
      <c r="P915" s="33"/>
      <c r="Q915" s="33"/>
      <c r="R915" s="33"/>
      <c r="S915" s="33"/>
      <c r="T915" s="33"/>
    </row>
    <row r="916" spans="1:20" ht="15.6">
      <c r="A916" s="13">
        <v>69975</v>
      </c>
      <c r="B916" s="41">
        <f t="shared" si="5"/>
        <v>31</v>
      </c>
      <c r="C916" s="32">
        <v>194.20500000000001</v>
      </c>
      <c r="D916" s="32">
        <v>267.46600000000001</v>
      </c>
      <c r="E916" s="38">
        <v>812.32899999999995</v>
      </c>
      <c r="F916" s="32">
        <v>1274</v>
      </c>
      <c r="G916" s="32">
        <v>50</v>
      </c>
      <c r="H916" s="40">
        <v>600</v>
      </c>
      <c r="I916" s="32">
        <v>695</v>
      </c>
      <c r="J916" s="32">
        <v>0</v>
      </c>
      <c r="K916" s="33"/>
      <c r="L916" s="33"/>
      <c r="M916" s="33"/>
      <c r="N916" s="33"/>
      <c r="O916" s="33"/>
      <c r="P916" s="33"/>
      <c r="Q916" s="33"/>
      <c r="R916" s="33"/>
      <c r="S916" s="33"/>
      <c r="T916" s="33"/>
    </row>
    <row r="917" spans="1:20" ht="15.6">
      <c r="A917" s="13">
        <v>70006</v>
      </c>
      <c r="B917" s="41">
        <f t="shared" si="5"/>
        <v>31</v>
      </c>
      <c r="C917" s="32">
        <v>194.20500000000001</v>
      </c>
      <c r="D917" s="32">
        <v>267.46600000000001</v>
      </c>
      <c r="E917" s="38">
        <v>812.32899999999995</v>
      </c>
      <c r="F917" s="32">
        <v>1274</v>
      </c>
      <c r="G917" s="32">
        <v>50</v>
      </c>
      <c r="H917" s="40">
        <v>600</v>
      </c>
      <c r="I917" s="32">
        <v>695</v>
      </c>
      <c r="J917" s="32">
        <v>0</v>
      </c>
      <c r="K917" s="33"/>
      <c r="L917" s="33"/>
      <c r="M917" s="33"/>
      <c r="N917" s="33"/>
      <c r="O917" s="33"/>
      <c r="P917" s="33"/>
      <c r="Q917" s="33"/>
      <c r="R917" s="33"/>
      <c r="S917" s="33"/>
      <c r="T917" s="33"/>
    </row>
    <row r="918" spans="1:20" ht="15.6">
      <c r="A918" s="13">
        <v>70036</v>
      </c>
      <c r="B918" s="41">
        <f t="shared" si="5"/>
        <v>30</v>
      </c>
      <c r="C918" s="32">
        <v>194.20500000000001</v>
      </c>
      <c r="D918" s="32">
        <v>267.46600000000001</v>
      </c>
      <c r="E918" s="38">
        <v>812.32899999999995</v>
      </c>
      <c r="F918" s="32">
        <v>1274</v>
      </c>
      <c r="G918" s="32">
        <v>50</v>
      </c>
      <c r="H918" s="40">
        <v>600</v>
      </c>
      <c r="I918" s="32">
        <v>695</v>
      </c>
      <c r="J918" s="32">
        <v>0</v>
      </c>
      <c r="K918" s="33"/>
      <c r="L918" s="33"/>
      <c r="M918" s="33"/>
      <c r="N918" s="33"/>
      <c r="O918" s="33"/>
      <c r="P918" s="33"/>
      <c r="Q918" s="33"/>
      <c r="R918" s="33"/>
      <c r="S918" s="33"/>
      <c r="T918" s="33"/>
    </row>
    <row r="919" spans="1:20" ht="15.6">
      <c r="A919" s="13">
        <v>70067</v>
      </c>
      <c r="B919" s="41">
        <f t="shared" si="5"/>
        <v>31</v>
      </c>
      <c r="C919" s="32">
        <v>131.881</v>
      </c>
      <c r="D919" s="32">
        <v>277.16699999999997</v>
      </c>
      <c r="E919" s="38">
        <v>829.952</v>
      </c>
      <c r="F919" s="32">
        <v>1239</v>
      </c>
      <c r="G919" s="32">
        <v>75</v>
      </c>
      <c r="H919" s="40">
        <v>600</v>
      </c>
      <c r="I919" s="32">
        <v>695</v>
      </c>
      <c r="J919" s="32">
        <v>0</v>
      </c>
      <c r="K919" s="33"/>
      <c r="L919" s="33"/>
      <c r="M919" s="33"/>
      <c r="N919" s="33"/>
      <c r="O919" s="33"/>
      <c r="P919" s="33"/>
      <c r="Q919" s="33"/>
      <c r="R919" s="33"/>
      <c r="S919" s="33"/>
      <c r="T919" s="33"/>
    </row>
    <row r="920" spans="1:20" ht="15.6">
      <c r="A920" s="13">
        <v>70097</v>
      </c>
      <c r="B920" s="41">
        <f t="shared" si="5"/>
        <v>30</v>
      </c>
      <c r="C920" s="32">
        <v>122.58</v>
      </c>
      <c r="D920" s="32">
        <v>297.94099999999997</v>
      </c>
      <c r="E920" s="38">
        <v>729.47900000000004</v>
      </c>
      <c r="F920" s="32">
        <v>1150</v>
      </c>
      <c r="G920" s="32">
        <v>100</v>
      </c>
      <c r="H920" s="40">
        <v>600</v>
      </c>
      <c r="I920" s="32">
        <v>695</v>
      </c>
      <c r="J920" s="32">
        <v>50</v>
      </c>
      <c r="K920" s="33"/>
      <c r="L920" s="33"/>
      <c r="M920" s="33"/>
      <c r="N920" s="33"/>
      <c r="O920" s="33"/>
      <c r="P920" s="33"/>
      <c r="Q920" s="33"/>
      <c r="R920" s="33"/>
      <c r="S920" s="33"/>
      <c r="T920" s="33"/>
    </row>
    <row r="921" spans="1:20" ht="15.6">
      <c r="A921" s="13">
        <v>70128</v>
      </c>
      <c r="B921" s="41">
        <f t="shared" si="5"/>
        <v>31</v>
      </c>
      <c r="C921" s="32">
        <v>122.58</v>
      </c>
      <c r="D921" s="32">
        <v>297.94099999999997</v>
      </c>
      <c r="E921" s="38">
        <v>729.47900000000004</v>
      </c>
      <c r="F921" s="32">
        <v>1150</v>
      </c>
      <c r="G921" s="32">
        <v>100</v>
      </c>
      <c r="H921" s="40">
        <v>600</v>
      </c>
      <c r="I921" s="32">
        <v>695</v>
      </c>
      <c r="J921" s="32">
        <v>50</v>
      </c>
      <c r="K921" s="33"/>
      <c r="L921" s="33"/>
      <c r="M921" s="33"/>
      <c r="N921" s="33"/>
      <c r="O921" s="33"/>
      <c r="P921" s="33"/>
      <c r="Q921" s="33"/>
      <c r="R921" s="33"/>
      <c r="S921" s="33"/>
      <c r="T921" s="33"/>
    </row>
    <row r="922" spans="1:20" ht="15.6">
      <c r="A922" s="13">
        <v>70159</v>
      </c>
      <c r="B922" s="41">
        <f t="shared" si="5"/>
        <v>31</v>
      </c>
      <c r="C922" s="32">
        <v>122.58</v>
      </c>
      <c r="D922" s="32">
        <v>297.94099999999997</v>
      </c>
      <c r="E922" s="38">
        <v>729.47900000000004</v>
      </c>
      <c r="F922" s="32">
        <v>1150</v>
      </c>
      <c r="G922" s="32">
        <v>100</v>
      </c>
      <c r="H922" s="40">
        <v>600</v>
      </c>
      <c r="I922" s="32">
        <v>695</v>
      </c>
      <c r="J922" s="32">
        <v>50</v>
      </c>
      <c r="K922" s="33"/>
      <c r="L922" s="33"/>
      <c r="M922" s="33"/>
      <c r="N922" s="33"/>
      <c r="O922" s="33"/>
      <c r="P922" s="33"/>
      <c r="Q922" s="33"/>
      <c r="R922" s="33"/>
      <c r="S922" s="33"/>
      <c r="T922" s="33"/>
    </row>
    <row r="923" spans="1:20" ht="15.6">
      <c r="A923" s="13">
        <v>70188</v>
      </c>
      <c r="B923" s="41">
        <f t="shared" si="5"/>
        <v>29</v>
      </c>
      <c r="C923" s="32">
        <v>122.58</v>
      </c>
      <c r="D923" s="32">
        <v>297.94099999999997</v>
      </c>
      <c r="E923" s="38">
        <v>729.47900000000004</v>
      </c>
      <c r="F923" s="32">
        <v>1150</v>
      </c>
      <c r="G923" s="32">
        <v>100</v>
      </c>
      <c r="H923" s="40">
        <v>600</v>
      </c>
      <c r="I923" s="32">
        <v>695</v>
      </c>
      <c r="J923" s="32">
        <v>50</v>
      </c>
      <c r="K923" s="33"/>
      <c r="L923" s="33"/>
      <c r="M923" s="33"/>
      <c r="N923" s="33"/>
      <c r="O923" s="33"/>
      <c r="P923" s="33"/>
      <c r="Q923" s="33"/>
      <c r="R923" s="33"/>
      <c r="S923" s="33"/>
      <c r="T923" s="33"/>
    </row>
    <row r="924" spans="1:20" ht="15.6">
      <c r="A924" s="13">
        <v>70219</v>
      </c>
      <c r="B924" s="41">
        <f t="shared" si="5"/>
        <v>31</v>
      </c>
      <c r="C924" s="32">
        <v>122.58</v>
      </c>
      <c r="D924" s="32">
        <v>297.94099999999997</v>
      </c>
      <c r="E924" s="38">
        <v>729.47900000000004</v>
      </c>
      <c r="F924" s="32">
        <v>1150</v>
      </c>
      <c r="G924" s="32">
        <v>100</v>
      </c>
      <c r="H924" s="40">
        <v>600</v>
      </c>
      <c r="I924" s="32">
        <v>695</v>
      </c>
      <c r="J924" s="32">
        <v>50</v>
      </c>
      <c r="K924" s="33"/>
      <c r="L924" s="33"/>
      <c r="M924" s="33"/>
      <c r="N924" s="33"/>
      <c r="O924" s="33"/>
      <c r="P924" s="33"/>
      <c r="Q924" s="33"/>
      <c r="R924" s="33"/>
      <c r="S924" s="33"/>
      <c r="T924" s="33"/>
    </row>
    <row r="925" spans="1:20" ht="15.6">
      <c r="A925" s="13">
        <v>70249</v>
      </c>
      <c r="B925" s="41">
        <f t="shared" si="5"/>
        <v>30</v>
      </c>
      <c r="C925" s="32">
        <v>141.29300000000001</v>
      </c>
      <c r="D925" s="32">
        <v>267.99299999999999</v>
      </c>
      <c r="E925" s="38">
        <v>829.71400000000006</v>
      </c>
      <c r="F925" s="32">
        <v>1239</v>
      </c>
      <c r="G925" s="32">
        <v>100</v>
      </c>
      <c r="H925" s="40">
        <v>600</v>
      </c>
      <c r="I925" s="32">
        <v>695</v>
      </c>
      <c r="J925" s="32">
        <v>50</v>
      </c>
      <c r="K925" s="33"/>
      <c r="L925" s="33"/>
      <c r="M925" s="33"/>
      <c r="N925" s="33"/>
      <c r="O925" s="33"/>
      <c r="P925" s="33"/>
      <c r="Q925" s="33"/>
      <c r="R925" s="33"/>
      <c r="S925" s="33"/>
      <c r="T925" s="33"/>
    </row>
    <row r="926" spans="1:20" ht="15.6">
      <c r="A926" s="13">
        <v>70280</v>
      </c>
      <c r="B926" s="41">
        <f t="shared" si="5"/>
        <v>31</v>
      </c>
      <c r="C926" s="32">
        <v>194.20500000000001</v>
      </c>
      <c r="D926" s="32">
        <v>267.46600000000001</v>
      </c>
      <c r="E926" s="38">
        <v>812.32899999999995</v>
      </c>
      <c r="F926" s="32">
        <v>1274</v>
      </c>
      <c r="G926" s="32">
        <v>75</v>
      </c>
      <c r="H926" s="40">
        <v>600</v>
      </c>
      <c r="I926" s="32">
        <v>695</v>
      </c>
      <c r="J926" s="32">
        <v>50</v>
      </c>
      <c r="K926" s="33"/>
      <c r="L926" s="33"/>
      <c r="M926" s="33"/>
      <c r="N926" s="33"/>
      <c r="O926" s="33"/>
      <c r="P926" s="33"/>
      <c r="Q926" s="33"/>
      <c r="R926" s="33"/>
      <c r="S926" s="33"/>
      <c r="T926" s="33"/>
    </row>
    <row r="927" spans="1:20" ht="15.6">
      <c r="A927" s="13">
        <v>70310</v>
      </c>
      <c r="B927" s="41">
        <f t="shared" si="5"/>
        <v>30</v>
      </c>
      <c r="C927" s="32">
        <v>194.20500000000001</v>
      </c>
      <c r="D927" s="32">
        <v>267.46600000000001</v>
      </c>
      <c r="E927" s="38">
        <v>812.32899999999995</v>
      </c>
      <c r="F927" s="32">
        <v>1274</v>
      </c>
      <c r="G927" s="32">
        <v>50</v>
      </c>
      <c r="H927" s="40">
        <v>600</v>
      </c>
      <c r="I927" s="32">
        <v>695</v>
      </c>
      <c r="J927" s="32">
        <v>50</v>
      </c>
      <c r="K927" s="33"/>
      <c r="L927" s="33"/>
      <c r="M927" s="33"/>
      <c r="N927" s="33"/>
      <c r="O927" s="33"/>
      <c r="P927" s="33"/>
      <c r="Q927" s="33"/>
      <c r="R927" s="33"/>
      <c r="S927" s="33"/>
      <c r="T927" s="33"/>
    </row>
    <row r="928" spans="1:20" ht="15.6">
      <c r="A928" s="13">
        <v>70341</v>
      </c>
      <c r="B928" s="41">
        <f t="shared" si="5"/>
        <v>31</v>
      </c>
      <c r="C928" s="32">
        <v>194.20500000000001</v>
      </c>
      <c r="D928" s="32">
        <v>267.46600000000001</v>
      </c>
      <c r="E928" s="38">
        <v>812.32899999999995</v>
      </c>
      <c r="F928" s="32">
        <v>1274</v>
      </c>
      <c r="G928" s="32">
        <v>50</v>
      </c>
      <c r="H928" s="40">
        <v>600</v>
      </c>
      <c r="I928" s="32">
        <v>695</v>
      </c>
      <c r="J928" s="32">
        <v>0</v>
      </c>
      <c r="K928" s="33"/>
      <c r="L928" s="33"/>
      <c r="M928" s="33"/>
      <c r="N928" s="33"/>
      <c r="O928" s="33"/>
      <c r="P928" s="33"/>
      <c r="Q928" s="33"/>
      <c r="R928" s="33"/>
      <c r="S928" s="33"/>
      <c r="T928" s="33"/>
    </row>
    <row r="929" spans="1:20" ht="15.6">
      <c r="A929" s="13">
        <v>70372</v>
      </c>
      <c r="B929" s="41">
        <f t="shared" si="5"/>
        <v>31</v>
      </c>
      <c r="C929" s="32">
        <v>194.20500000000001</v>
      </c>
      <c r="D929" s="32">
        <v>267.46600000000001</v>
      </c>
      <c r="E929" s="38">
        <v>812.32899999999995</v>
      </c>
      <c r="F929" s="32">
        <v>1274</v>
      </c>
      <c r="G929" s="32">
        <v>50</v>
      </c>
      <c r="H929" s="40">
        <v>600</v>
      </c>
      <c r="I929" s="32">
        <v>695</v>
      </c>
      <c r="J929" s="32">
        <v>0</v>
      </c>
      <c r="K929" s="33"/>
      <c r="L929" s="33"/>
      <c r="M929" s="33"/>
      <c r="N929" s="33"/>
      <c r="O929" s="33"/>
      <c r="P929" s="33"/>
      <c r="Q929" s="33"/>
      <c r="R929" s="33"/>
      <c r="S929" s="33"/>
      <c r="T929" s="33"/>
    </row>
    <row r="930" spans="1:20" ht="15.6">
      <c r="A930" s="13">
        <v>70402</v>
      </c>
      <c r="B930" s="41">
        <f t="shared" si="5"/>
        <v>30</v>
      </c>
      <c r="C930" s="32">
        <v>194.20500000000001</v>
      </c>
      <c r="D930" s="32">
        <v>267.46600000000001</v>
      </c>
      <c r="E930" s="38">
        <v>812.32899999999995</v>
      </c>
      <c r="F930" s="32">
        <v>1274</v>
      </c>
      <c r="G930" s="32">
        <v>50</v>
      </c>
      <c r="H930" s="40">
        <v>600</v>
      </c>
      <c r="I930" s="32">
        <v>695</v>
      </c>
      <c r="J930" s="32">
        <v>0</v>
      </c>
      <c r="K930" s="33"/>
      <c r="L930" s="33"/>
      <c r="M930" s="33"/>
      <c r="N930" s="33"/>
      <c r="O930" s="33"/>
      <c r="P930" s="33"/>
      <c r="Q930" s="33"/>
      <c r="R930" s="33"/>
      <c r="S930" s="33"/>
      <c r="T930" s="33"/>
    </row>
    <row r="931" spans="1:20" ht="15.6">
      <c r="A931" s="13">
        <v>70433</v>
      </c>
      <c r="B931" s="41">
        <f t="shared" si="5"/>
        <v>31</v>
      </c>
      <c r="C931" s="32">
        <v>131.881</v>
      </c>
      <c r="D931" s="32">
        <v>277.16699999999997</v>
      </c>
      <c r="E931" s="38">
        <v>829.952</v>
      </c>
      <c r="F931" s="32">
        <v>1239</v>
      </c>
      <c r="G931" s="32">
        <v>75</v>
      </c>
      <c r="H931" s="40">
        <v>600</v>
      </c>
      <c r="I931" s="32">
        <v>695</v>
      </c>
      <c r="J931" s="32">
        <v>0</v>
      </c>
      <c r="K931" s="33"/>
      <c r="L931" s="33"/>
      <c r="M931" s="33"/>
      <c r="N931" s="33"/>
      <c r="O931" s="33"/>
      <c r="P931" s="33"/>
      <c r="Q931" s="33"/>
      <c r="R931" s="33"/>
      <c r="S931" s="33"/>
      <c r="T931" s="33"/>
    </row>
    <row r="932" spans="1:20" ht="15.6">
      <c r="A932" s="13">
        <v>70463</v>
      </c>
      <c r="B932" s="41">
        <f t="shared" si="5"/>
        <v>30</v>
      </c>
      <c r="C932" s="32">
        <v>122.58</v>
      </c>
      <c r="D932" s="32">
        <v>297.94099999999997</v>
      </c>
      <c r="E932" s="38">
        <v>729.47900000000004</v>
      </c>
      <c r="F932" s="32">
        <v>1150</v>
      </c>
      <c r="G932" s="32">
        <v>100</v>
      </c>
      <c r="H932" s="40">
        <v>600</v>
      </c>
      <c r="I932" s="32">
        <v>695</v>
      </c>
      <c r="J932" s="32">
        <v>50</v>
      </c>
      <c r="K932" s="33"/>
      <c r="L932" s="33"/>
      <c r="M932" s="33"/>
      <c r="N932" s="33"/>
      <c r="O932" s="33"/>
      <c r="P932" s="33"/>
      <c r="Q932" s="33"/>
      <c r="R932" s="33"/>
      <c r="S932" s="33"/>
      <c r="T932" s="33"/>
    </row>
    <row r="933" spans="1:20" ht="15.6">
      <c r="A933" s="13">
        <v>70494</v>
      </c>
      <c r="B933" s="41">
        <f t="shared" si="5"/>
        <v>31</v>
      </c>
      <c r="C933" s="32">
        <v>122.58</v>
      </c>
      <c r="D933" s="32">
        <v>297.94099999999997</v>
      </c>
      <c r="E933" s="38">
        <v>729.47900000000004</v>
      </c>
      <c r="F933" s="32">
        <v>1150</v>
      </c>
      <c r="G933" s="32">
        <v>100</v>
      </c>
      <c r="H933" s="40">
        <v>600</v>
      </c>
      <c r="I933" s="32">
        <v>695</v>
      </c>
      <c r="J933" s="32">
        <v>50</v>
      </c>
      <c r="K933" s="33"/>
      <c r="L933" s="33"/>
      <c r="M933" s="33"/>
      <c r="N933" s="33"/>
      <c r="O933" s="33"/>
      <c r="P933" s="33"/>
      <c r="Q933" s="33"/>
      <c r="R933" s="33"/>
      <c r="S933" s="33"/>
      <c r="T933" s="33"/>
    </row>
    <row r="934" spans="1:20" ht="15.6">
      <c r="A934" s="13">
        <v>70525</v>
      </c>
      <c r="B934" s="41">
        <f t="shared" si="5"/>
        <v>31</v>
      </c>
      <c r="C934" s="32">
        <v>122.58</v>
      </c>
      <c r="D934" s="32">
        <v>297.94099999999997</v>
      </c>
      <c r="E934" s="38">
        <v>729.47900000000004</v>
      </c>
      <c r="F934" s="32">
        <v>1150</v>
      </c>
      <c r="G934" s="32">
        <v>100</v>
      </c>
      <c r="H934" s="40">
        <v>600</v>
      </c>
      <c r="I934" s="32">
        <v>695</v>
      </c>
      <c r="J934" s="32">
        <v>50</v>
      </c>
      <c r="K934" s="33"/>
      <c r="L934" s="33"/>
      <c r="M934" s="33"/>
      <c r="N934" s="33"/>
      <c r="O934" s="33"/>
      <c r="P934" s="33"/>
      <c r="Q934" s="33"/>
      <c r="R934" s="33"/>
      <c r="S934" s="33"/>
      <c r="T934" s="33"/>
    </row>
    <row r="935" spans="1:20" ht="15.6">
      <c r="A935" s="13">
        <v>70553</v>
      </c>
      <c r="B935" s="41">
        <f t="shared" si="5"/>
        <v>28</v>
      </c>
      <c r="C935" s="32">
        <v>122.58</v>
      </c>
      <c r="D935" s="32">
        <v>297.94099999999997</v>
      </c>
      <c r="E935" s="38">
        <v>729.47900000000004</v>
      </c>
      <c r="F935" s="32">
        <v>1150</v>
      </c>
      <c r="G935" s="32">
        <v>100</v>
      </c>
      <c r="H935" s="40">
        <v>600</v>
      </c>
      <c r="I935" s="32">
        <v>695</v>
      </c>
      <c r="J935" s="32">
        <v>50</v>
      </c>
      <c r="K935" s="33"/>
      <c r="L935" s="33"/>
      <c r="M935" s="33"/>
      <c r="N935" s="33"/>
      <c r="O935" s="33"/>
      <c r="P935" s="33"/>
      <c r="Q935" s="33"/>
      <c r="R935" s="33"/>
      <c r="S935" s="33"/>
      <c r="T935" s="33"/>
    </row>
    <row r="936" spans="1:20" ht="15.6">
      <c r="A936" s="13">
        <v>70584</v>
      </c>
      <c r="B936" s="41">
        <f t="shared" si="5"/>
        <v>31</v>
      </c>
      <c r="C936" s="32">
        <v>122.58</v>
      </c>
      <c r="D936" s="32">
        <v>297.94099999999997</v>
      </c>
      <c r="E936" s="38">
        <v>729.47900000000004</v>
      </c>
      <c r="F936" s="32">
        <v>1150</v>
      </c>
      <c r="G936" s="32">
        <v>100</v>
      </c>
      <c r="H936" s="40">
        <v>600</v>
      </c>
      <c r="I936" s="32">
        <v>695</v>
      </c>
      <c r="J936" s="32">
        <v>50</v>
      </c>
      <c r="K936" s="33"/>
      <c r="L936" s="33"/>
      <c r="M936" s="33"/>
      <c r="N936" s="33"/>
      <c r="O936" s="33"/>
      <c r="P936" s="33"/>
      <c r="Q936" s="33"/>
      <c r="R936" s="33"/>
      <c r="S936" s="33"/>
      <c r="T936" s="33"/>
    </row>
    <row r="937" spans="1:20" ht="15.6">
      <c r="A937" s="13">
        <v>70614</v>
      </c>
      <c r="B937" s="41">
        <f t="shared" si="5"/>
        <v>30</v>
      </c>
      <c r="C937" s="32">
        <v>141.29300000000001</v>
      </c>
      <c r="D937" s="32">
        <v>267.99299999999999</v>
      </c>
      <c r="E937" s="38">
        <v>829.71400000000006</v>
      </c>
      <c r="F937" s="32">
        <v>1239</v>
      </c>
      <c r="G937" s="32">
        <v>100</v>
      </c>
      <c r="H937" s="40">
        <v>600</v>
      </c>
      <c r="I937" s="32">
        <v>695</v>
      </c>
      <c r="J937" s="32">
        <v>50</v>
      </c>
      <c r="K937" s="33"/>
      <c r="L937" s="33"/>
      <c r="M937" s="33"/>
      <c r="N937" s="33"/>
      <c r="O937" s="33"/>
      <c r="P937" s="33"/>
      <c r="Q937" s="33"/>
      <c r="R937" s="33"/>
      <c r="S937" s="33"/>
      <c r="T937" s="33"/>
    </row>
    <row r="938" spans="1:20" ht="15.6">
      <c r="A938" s="13">
        <v>70645</v>
      </c>
      <c r="B938" s="41">
        <f t="shared" si="5"/>
        <v>31</v>
      </c>
      <c r="C938" s="32">
        <v>194.20500000000001</v>
      </c>
      <c r="D938" s="32">
        <v>267.46600000000001</v>
      </c>
      <c r="E938" s="38">
        <v>812.32899999999995</v>
      </c>
      <c r="F938" s="32">
        <v>1274</v>
      </c>
      <c r="G938" s="32">
        <v>75</v>
      </c>
      <c r="H938" s="40">
        <v>600</v>
      </c>
      <c r="I938" s="32">
        <v>695</v>
      </c>
      <c r="J938" s="32">
        <v>50</v>
      </c>
      <c r="K938" s="33"/>
      <c r="L938" s="33"/>
      <c r="M938" s="33"/>
      <c r="N938" s="33"/>
      <c r="O938" s="33"/>
      <c r="P938" s="33"/>
      <c r="Q938" s="33"/>
      <c r="R938" s="33"/>
      <c r="S938" s="33"/>
      <c r="T938" s="33"/>
    </row>
    <row r="939" spans="1:20" ht="15.6">
      <c r="A939" s="13">
        <v>70675</v>
      </c>
      <c r="B939" s="41">
        <f t="shared" si="5"/>
        <v>30</v>
      </c>
      <c r="C939" s="32">
        <v>194.20500000000001</v>
      </c>
      <c r="D939" s="32">
        <v>267.46600000000001</v>
      </c>
      <c r="E939" s="38">
        <v>812.32899999999995</v>
      </c>
      <c r="F939" s="32">
        <v>1274</v>
      </c>
      <c r="G939" s="32">
        <v>50</v>
      </c>
      <c r="H939" s="40">
        <v>600</v>
      </c>
      <c r="I939" s="32">
        <v>695</v>
      </c>
      <c r="J939" s="32">
        <v>50</v>
      </c>
      <c r="K939" s="33"/>
      <c r="L939" s="33"/>
      <c r="M939" s="33"/>
      <c r="N939" s="33"/>
      <c r="O939" s="33"/>
      <c r="P939" s="33"/>
      <c r="Q939" s="33"/>
      <c r="R939" s="33"/>
      <c r="S939" s="33"/>
      <c r="T939" s="33"/>
    </row>
    <row r="940" spans="1:20" ht="15.6">
      <c r="A940" s="13">
        <v>70706</v>
      </c>
      <c r="B940" s="41">
        <f t="shared" si="5"/>
        <v>31</v>
      </c>
      <c r="C940" s="32">
        <v>194.20500000000001</v>
      </c>
      <c r="D940" s="32">
        <v>267.46600000000001</v>
      </c>
      <c r="E940" s="38">
        <v>812.32899999999995</v>
      </c>
      <c r="F940" s="32">
        <v>1274</v>
      </c>
      <c r="G940" s="32">
        <v>50</v>
      </c>
      <c r="H940" s="40">
        <v>600</v>
      </c>
      <c r="I940" s="32">
        <v>695</v>
      </c>
      <c r="J940" s="32">
        <v>0</v>
      </c>
      <c r="K940" s="33"/>
      <c r="L940" s="33"/>
      <c r="M940" s="33"/>
      <c r="N940" s="33"/>
      <c r="O940" s="33"/>
      <c r="P940" s="33"/>
      <c r="Q940" s="33"/>
      <c r="R940" s="33"/>
      <c r="S940" s="33"/>
      <c r="T940" s="33"/>
    </row>
    <row r="941" spans="1:20" ht="15.6">
      <c r="A941" s="13">
        <v>70737</v>
      </c>
      <c r="B941" s="41">
        <f t="shared" si="5"/>
        <v>31</v>
      </c>
      <c r="C941" s="32">
        <v>194.20500000000001</v>
      </c>
      <c r="D941" s="32">
        <v>267.46600000000001</v>
      </c>
      <c r="E941" s="38">
        <v>812.32899999999995</v>
      </c>
      <c r="F941" s="32">
        <v>1274</v>
      </c>
      <c r="G941" s="32">
        <v>50</v>
      </c>
      <c r="H941" s="40">
        <v>600</v>
      </c>
      <c r="I941" s="32">
        <v>695</v>
      </c>
      <c r="J941" s="32">
        <v>0</v>
      </c>
      <c r="K941" s="33"/>
      <c r="L941" s="33"/>
      <c r="M941" s="33"/>
      <c r="N941" s="33"/>
      <c r="O941" s="33"/>
      <c r="P941" s="33"/>
      <c r="Q941" s="33"/>
      <c r="R941" s="33"/>
      <c r="S941" s="33"/>
      <c r="T941" s="33"/>
    </row>
    <row r="942" spans="1:20" ht="15.6">
      <c r="A942" s="13">
        <v>70767</v>
      </c>
      <c r="B942" s="41">
        <f t="shared" si="5"/>
        <v>30</v>
      </c>
      <c r="C942" s="32">
        <v>194.20500000000001</v>
      </c>
      <c r="D942" s="32">
        <v>267.46600000000001</v>
      </c>
      <c r="E942" s="38">
        <v>812.32899999999995</v>
      </c>
      <c r="F942" s="32">
        <v>1274</v>
      </c>
      <c r="G942" s="32">
        <v>50</v>
      </c>
      <c r="H942" s="40">
        <v>600</v>
      </c>
      <c r="I942" s="32">
        <v>695</v>
      </c>
      <c r="J942" s="32">
        <v>0</v>
      </c>
      <c r="K942" s="33"/>
      <c r="L942" s="33"/>
      <c r="M942" s="33"/>
      <c r="N942" s="33"/>
      <c r="O942" s="33"/>
      <c r="P942" s="33"/>
      <c r="Q942" s="33"/>
      <c r="R942" s="33"/>
      <c r="S942" s="33"/>
      <c r="T942" s="33"/>
    </row>
    <row r="943" spans="1:20" ht="15.6">
      <c r="A943" s="13">
        <v>70798</v>
      </c>
      <c r="B943" s="41">
        <f t="shared" si="5"/>
        <v>31</v>
      </c>
      <c r="C943" s="32">
        <v>131.881</v>
      </c>
      <c r="D943" s="32">
        <v>277.16699999999997</v>
      </c>
      <c r="E943" s="38">
        <v>829.952</v>
      </c>
      <c r="F943" s="32">
        <v>1239</v>
      </c>
      <c r="G943" s="32">
        <v>75</v>
      </c>
      <c r="H943" s="40">
        <v>600</v>
      </c>
      <c r="I943" s="32">
        <v>695</v>
      </c>
      <c r="J943" s="32">
        <v>0</v>
      </c>
      <c r="K943" s="33"/>
      <c r="L943" s="33"/>
      <c r="M943" s="33"/>
      <c r="N943" s="33"/>
      <c r="O943" s="33"/>
      <c r="P943" s="33"/>
      <c r="Q943" s="33"/>
      <c r="R943" s="33"/>
      <c r="S943" s="33"/>
      <c r="T943" s="33"/>
    </row>
    <row r="944" spans="1:20" ht="15.6">
      <c r="A944" s="13">
        <v>70828</v>
      </c>
      <c r="B944" s="41">
        <f t="shared" si="5"/>
        <v>30</v>
      </c>
      <c r="C944" s="32">
        <v>122.58</v>
      </c>
      <c r="D944" s="32">
        <v>297.94099999999997</v>
      </c>
      <c r="E944" s="38">
        <v>729.47900000000004</v>
      </c>
      <c r="F944" s="32">
        <v>1150</v>
      </c>
      <c r="G944" s="32">
        <v>100</v>
      </c>
      <c r="H944" s="40">
        <v>600</v>
      </c>
      <c r="I944" s="32">
        <v>695</v>
      </c>
      <c r="J944" s="32">
        <v>50</v>
      </c>
      <c r="K944" s="33"/>
      <c r="L944" s="33"/>
      <c r="M944" s="33"/>
      <c r="N944" s="33"/>
      <c r="O944" s="33"/>
      <c r="P944" s="33"/>
      <c r="Q944" s="33"/>
      <c r="R944" s="33"/>
      <c r="S944" s="33"/>
      <c r="T944" s="33"/>
    </row>
    <row r="945" spans="1:20" ht="15.6">
      <c r="A945" s="13">
        <v>70859</v>
      </c>
      <c r="B945" s="41">
        <f t="shared" si="5"/>
        <v>31</v>
      </c>
      <c r="C945" s="32">
        <v>122.58</v>
      </c>
      <c r="D945" s="32">
        <v>297.94099999999997</v>
      </c>
      <c r="E945" s="38">
        <v>729.47900000000004</v>
      </c>
      <c r="F945" s="32">
        <v>1150</v>
      </c>
      <c r="G945" s="32">
        <v>100</v>
      </c>
      <c r="H945" s="40">
        <v>600</v>
      </c>
      <c r="I945" s="32">
        <v>695</v>
      </c>
      <c r="J945" s="32">
        <v>50</v>
      </c>
      <c r="K945" s="33"/>
      <c r="L945" s="33"/>
      <c r="M945" s="33"/>
      <c r="N945" s="33"/>
      <c r="O945" s="33"/>
      <c r="P945" s="33"/>
      <c r="Q945" s="33"/>
      <c r="R945" s="33"/>
      <c r="S945" s="33"/>
      <c r="T945" s="33"/>
    </row>
    <row r="946" spans="1:20" ht="15.6">
      <c r="A946" s="13">
        <v>70890</v>
      </c>
      <c r="B946" s="41">
        <f t="shared" ref="B946:B1009" si="6">EOMONTH(A946,0)-EOMONTH(A946,-1)</f>
        <v>31</v>
      </c>
      <c r="C946" s="32">
        <v>122.58</v>
      </c>
      <c r="D946" s="32">
        <v>297.94099999999997</v>
      </c>
      <c r="E946" s="38">
        <v>729.47900000000004</v>
      </c>
      <c r="F946" s="32">
        <v>1150</v>
      </c>
      <c r="G946" s="32">
        <v>100</v>
      </c>
      <c r="H946" s="40">
        <v>600</v>
      </c>
      <c r="I946" s="32">
        <v>695</v>
      </c>
      <c r="J946" s="32">
        <v>50</v>
      </c>
      <c r="K946" s="33"/>
      <c r="L946" s="33"/>
      <c r="M946" s="33"/>
      <c r="N946" s="33"/>
      <c r="O946" s="33"/>
      <c r="P946" s="33"/>
      <c r="Q946" s="33"/>
      <c r="R946" s="33"/>
      <c r="S946" s="33"/>
      <c r="T946" s="33"/>
    </row>
    <row r="947" spans="1:20" ht="15.6">
      <c r="A947" s="13">
        <v>70918</v>
      </c>
      <c r="B947" s="41">
        <f t="shared" si="6"/>
        <v>28</v>
      </c>
      <c r="C947" s="32">
        <v>122.58</v>
      </c>
      <c r="D947" s="32">
        <v>297.94099999999997</v>
      </c>
      <c r="E947" s="38">
        <v>729.47900000000004</v>
      </c>
      <c r="F947" s="32">
        <v>1150</v>
      </c>
      <c r="G947" s="32">
        <v>100</v>
      </c>
      <c r="H947" s="40">
        <v>600</v>
      </c>
      <c r="I947" s="32">
        <v>695</v>
      </c>
      <c r="J947" s="32">
        <v>50</v>
      </c>
      <c r="K947" s="33"/>
      <c r="L947" s="33"/>
      <c r="M947" s="33"/>
      <c r="N947" s="33"/>
      <c r="O947" s="33"/>
      <c r="P947" s="33"/>
      <c r="Q947" s="33"/>
      <c r="R947" s="33"/>
      <c r="S947" s="33"/>
      <c r="T947" s="33"/>
    </row>
    <row r="948" spans="1:20" ht="15.6">
      <c r="A948" s="13">
        <v>70949</v>
      </c>
      <c r="B948" s="41">
        <f t="shared" si="6"/>
        <v>31</v>
      </c>
      <c r="C948" s="32">
        <v>122.58</v>
      </c>
      <c r="D948" s="32">
        <v>297.94099999999997</v>
      </c>
      <c r="E948" s="38">
        <v>729.47900000000004</v>
      </c>
      <c r="F948" s="32">
        <v>1150</v>
      </c>
      <c r="G948" s="32">
        <v>100</v>
      </c>
      <c r="H948" s="40">
        <v>600</v>
      </c>
      <c r="I948" s="32">
        <v>695</v>
      </c>
      <c r="J948" s="32">
        <v>50</v>
      </c>
      <c r="K948" s="33"/>
      <c r="L948" s="33"/>
      <c r="M948" s="33"/>
      <c r="N948" s="33"/>
      <c r="O948" s="33"/>
      <c r="P948" s="33"/>
      <c r="Q948" s="33"/>
      <c r="R948" s="33"/>
      <c r="S948" s="33"/>
      <c r="T948" s="33"/>
    </row>
    <row r="949" spans="1:20" ht="15.6">
      <c r="A949" s="13">
        <v>70979</v>
      </c>
      <c r="B949" s="41">
        <f t="shared" si="6"/>
        <v>30</v>
      </c>
      <c r="C949" s="32">
        <v>141.29300000000001</v>
      </c>
      <c r="D949" s="32">
        <v>267.99299999999999</v>
      </c>
      <c r="E949" s="38">
        <v>829.71400000000006</v>
      </c>
      <c r="F949" s="32">
        <v>1239</v>
      </c>
      <c r="G949" s="32">
        <v>100</v>
      </c>
      <c r="H949" s="40">
        <v>600</v>
      </c>
      <c r="I949" s="32">
        <v>695</v>
      </c>
      <c r="J949" s="32">
        <v>50</v>
      </c>
      <c r="K949" s="33"/>
      <c r="L949" s="33"/>
      <c r="M949" s="33"/>
      <c r="N949" s="33"/>
      <c r="O949" s="33"/>
      <c r="P949" s="33"/>
      <c r="Q949" s="33"/>
      <c r="R949" s="33"/>
      <c r="S949" s="33"/>
      <c r="T949" s="33"/>
    </row>
    <row r="950" spans="1:20" ht="15.6">
      <c r="A950" s="13">
        <v>71010</v>
      </c>
      <c r="B950" s="41">
        <f t="shared" si="6"/>
        <v>31</v>
      </c>
      <c r="C950" s="32">
        <v>194.20500000000001</v>
      </c>
      <c r="D950" s="32">
        <v>267.46600000000001</v>
      </c>
      <c r="E950" s="38">
        <v>812.32899999999995</v>
      </c>
      <c r="F950" s="32">
        <v>1274</v>
      </c>
      <c r="G950" s="32">
        <v>75</v>
      </c>
      <c r="H950" s="40">
        <v>600</v>
      </c>
      <c r="I950" s="32">
        <v>695</v>
      </c>
      <c r="J950" s="32">
        <v>50</v>
      </c>
      <c r="K950" s="33"/>
      <c r="L950" s="33"/>
      <c r="M950" s="33"/>
      <c r="N950" s="33"/>
      <c r="O950" s="33"/>
      <c r="P950" s="33"/>
      <c r="Q950" s="33"/>
      <c r="R950" s="33"/>
      <c r="S950" s="33"/>
      <c r="T950" s="33"/>
    </row>
    <row r="951" spans="1:20" ht="15.6">
      <c r="A951" s="13">
        <v>71040</v>
      </c>
      <c r="B951" s="41">
        <f t="shared" si="6"/>
        <v>30</v>
      </c>
      <c r="C951" s="32">
        <v>194.20500000000001</v>
      </c>
      <c r="D951" s="32">
        <v>267.46600000000001</v>
      </c>
      <c r="E951" s="38">
        <v>812.32899999999995</v>
      </c>
      <c r="F951" s="32">
        <v>1274</v>
      </c>
      <c r="G951" s="32">
        <v>50</v>
      </c>
      <c r="H951" s="40">
        <v>600</v>
      </c>
      <c r="I951" s="32">
        <v>695</v>
      </c>
      <c r="J951" s="32">
        <v>50</v>
      </c>
      <c r="K951" s="33"/>
      <c r="L951" s="33"/>
      <c r="M951" s="33"/>
      <c r="N951" s="33"/>
      <c r="O951" s="33"/>
      <c r="P951" s="33"/>
      <c r="Q951" s="33"/>
      <c r="R951" s="33"/>
      <c r="S951" s="33"/>
      <c r="T951" s="33"/>
    </row>
    <row r="952" spans="1:20" ht="15.6">
      <c r="A952" s="13">
        <v>71071</v>
      </c>
      <c r="B952" s="41">
        <f t="shared" si="6"/>
        <v>31</v>
      </c>
      <c r="C952" s="32">
        <v>194.20500000000001</v>
      </c>
      <c r="D952" s="32">
        <v>267.46600000000001</v>
      </c>
      <c r="E952" s="38">
        <v>812.32899999999995</v>
      </c>
      <c r="F952" s="32">
        <v>1274</v>
      </c>
      <c r="G952" s="32">
        <v>50</v>
      </c>
      <c r="H952" s="40">
        <v>600</v>
      </c>
      <c r="I952" s="32">
        <v>695</v>
      </c>
      <c r="J952" s="32">
        <v>0</v>
      </c>
      <c r="K952" s="33"/>
      <c r="L952" s="33"/>
      <c r="M952" s="33"/>
      <c r="N952" s="33"/>
      <c r="O952" s="33"/>
      <c r="P952" s="33"/>
      <c r="Q952" s="33"/>
      <c r="R952" s="33"/>
      <c r="S952" s="33"/>
      <c r="T952" s="33"/>
    </row>
    <row r="953" spans="1:20" ht="15.6">
      <c r="A953" s="13">
        <v>71102</v>
      </c>
      <c r="B953" s="41">
        <f t="shared" si="6"/>
        <v>31</v>
      </c>
      <c r="C953" s="32">
        <v>194.20500000000001</v>
      </c>
      <c r="D953" s="32">
        <v>267.46600000000001</v>
      </c>
      <c r="E953" s="38">
        <v>812.32899999999995</v>
      </c>
      <c r="F953" s="32">
        <v>1274</v>
      </c>
      <c r="G953" s="32">
        <v>50</v>
      </c>
      <c r="H953" s="40">
        <v>600</v>
      </c>
      <c r="I953" s="32">
        <v>695</v>
      </c>
      <c r="J953" s="32">
        <v>0</v>
      </c>
      <c r="K953" s="33"/>
      <c r="L953" s="33"/>
      <c r="M953" s="33"/>
      <c r="N953" s="33"/>
      <c r="O953" s="33"/>
      <c r="P953" s="33"/>
      <c r="Q953" s="33"/>
      <c r="R953" s="33"/>
      <c r="S953" s="33"/>
      <c r="T953" s="33"/>
    </row>
    <row r="954" spans="1:20" ht="15.6">
      <c r="A954" s="13">
        <v>71132</v>
      </c>
      <c r="B954" s="41">
        <f t="shared" si="6"/>
        <v>30</v>
      </c>
      <c r="C954" s="32">
        <v>194.20500000000001</v>
      </c>
      <c r="D954" s="32">
        <v>267.46600000000001</v>
      </c>
      <c r="E954" s="38">
        <v>812.32899999999995</v>
      </c>
      <c r="F954" s="32">
        <v>1274</v>
      </c>
      <c r="G954" s="32">
        <v>50</v>
      </c>
      <c r="H954" s="40">
        <v>600</v>
      </c>
      <c r="I954" s="32">
        <v>695</v>
      </c>
      <c r="J954" s="32">
        <v>0</v>
      </c>
      <c r="K954" s="33"/>
      <c r="L954" s="33"/>
      <c r="M954" s="33"/>
      <c r="N954" s="33"/>
      <c r="O954" s="33"/>
      <c r="P954" s="33"/>
      <c r="Q954" s="33"/>
      <c r="R954" s="33"/>
      <c r="S954" s="33"/>
      <c r="T954" s="33"/>
    </row>
    <row r="955" spans="1:20" ht="15.6">
      <c r="A955" s="13">
        <v>71163</v>
      </c>
      <c r="B955" s="41">
        <f t="shared" si="6"/>
        <v>31</v>
      </c>
      <c r="C955" s="32">
        <v>131.881</v>
      </c>
      <c r="D955" s="32">
        <v>277.16699999999997</v>
      </c>
      <c r="E955" s="38">
        <v>829.952</v>
      </c>
      <c r="F955" s="32">
        <v>1239</v>
      </c>
      <c r="G955" s="32">
        <v>75</v>
      </c>
      <c r="H955" s="40">
        <v>600</v>
      </c>
      <c r="I955" s="32">
        <v>695</v>
      </c>
      <c r="J955" s="32">
        <v>0</v>
      </c>
      <c r="K955" s="33"/>
      <c r="L955" s="33"/>
      <c r="M955" s="33"/>
      <c r="N955" s="33"/>
      <c r="O955" s="33"/>
      <c r="P955" s="33"/>
      <c r="Q955" s="33"/>
      <c r="R955" s="33"/>
      <c r="S955" s="33"/>
      <c r="T955" s="33"/>
    </row>
    <row r="956" spans="1:20" ht="15.6">
      <c r="A956" s="13">
        <v>71193</v>
      </c>
      <c r="B956" s="41">
        <f t="shared" si="6"/>
        <v>30</v>
      </c>
      <c r="C956" s="32">
        <v>122.58</v>
      </c>
      <c r="D956" s="32">
        <v>297.94099999999997</v>
      </c>
      <c r="E956" s="38">
        <v>729.47900000000004</v>
      </c>
      <c r="F956" s="32">
        <v>1150</v>
      </c>
      <c r="G956" s="32">
        <v>100</v>
      </c>
      <c r="H956" s="40">
        <v>600</v>
      </c>
      <c r="I956" s="32">
        <v>695</v>
      </c>
      <c r="J956" s="32">
        <v>50</v>
      </c>
      <c r="K956" s="33"/>
      <c r="L956" s="33"/>
      <c r="M956" s="33"/>
      <c r="N956" s="33"/>
      <c r="O956" s="33"/>
      <c r="P956" s="33"/>
      <c r="Q956" s="33"/>
      <c r="R956" s="33"/>
      <c r="S956" s="33"/>
      <c r="T956" s="33"/>
    </row>
    <row r="957" spans="1:20" ht="15.6">
      <c r="A957" s="13">
        <v>71224</v>
      </c>
      <c r="B957" s="41">
        <f t="shared" si="6"/>
        <v>31</v>
      </c>
      <c r="C957" s="32">
        <v>122.58</v>
      </c>
      <c r="D957" s="32">
        <v>297.94099999999997</v>
      </c>
      <c r="E957" s="38">
        <v>729.47900000000004</v>
      </c>
      <c r="F957" s="32">
        <v>1150</v>
      </c>
      <c r="G957" s="32">
        <v>100</v>
      </c>
      <c r="H957" s="40">
        <v>600</v>
      </c>
      <c r="I957" s="32">
        <v>695</v>
      </c>
      <c r="J957" s="32">
        <v>50</v>
      </c>
      <c r="K957" s="33"/>
      <c r="L957" s="33"/>
      <c r="M957" s="33"/>
      <c r="N957" s="33"/>
      <c r="O957" s="33"/>
      <c r="P957" s="33"/>
      <c r="Q957" s="33"/>
      <c r="R957" s="33"/>
      <c r="S957" s="33"/>
      <c r="T957" s="33"/>
    </row>
    <row r="958" spans="1:20" ht="15.6">
      <c r="A958" s="13">
        <v>71255</v>
      </c>
      <c r="B958" s="41">
        <f t="shared" si="6"/>
        <v>31</v>
      </c>
      <c r="C958" s="32">
        <v>122.58</v>
      </c>
      <c r="D958" s="32">
        <v>297.94099999999997</v>
      </c>
      <c r="E958" s="38">
        <v>729.47900000000004</v>
      </c>
      <c r="F958" s="32">
        <v>1150</v>
      </c>
      <c r="G958" s="32">
        <v>100</v>
      </c>
      <c r="H958" s="40">
        <v>600</v>
      </c>
      <c r="I958" s="32">
        <v>695</v>
      </c>
      <c r="J958" s="32">
        <v>50</v>
      </c>
      <c r="K958" s="33"/>
      <c r="L958" s="33"/>
      <c r="M958" s="33"/>
      <c r="N958" s="33"/>
      <c r="O958" s="33"/>
      <c r="P958" s="33"/>
      <c r="Q958" s="33"/>
      <c r="R958" s="33"/>
      <c r="S958" s="33"/>
      <c r="T958" s="33"/>
    </row>
    <row r="959" spans="1:20" ht="15.6">
      <c r="A959" s="13">
        <v>71283</v>
      </c>
      <c r="B959" s="41">
        <f t="shared" si="6"/>
        <v>28</v>
      </c>
      <c r="C959" s="32">
        <v>122.58</v>
      </c>
      <c r="D959" s="32">
        <v>297.94099999999997</v>
      </c>
      <c r="E959" s="38">
        <v>729.47900000000004</v>
      </c>
      <c r="F959" s="32">
        <v>1150</v>
      </c>
      <c r="G959" s="32">
        <v>100</v>
      </c>
      <c r="H959" s="40">
        <v>600</v>
      </c>
      <c r="I959" s="32">
        <v>695</v>
      </c>
      <c r="J959" s="32">
        <v>50</v>
      </c>
      <c r="K959" s="33"/>
      <c r="L959" s="33"/>
      <c r="M959" s="33"/>
      <c r="N959" s="33"/>
      <c r="O959" s="33"/>
      <c r="P959" s="33"/>
      <c r="Q959" s="33"/>
      <c r="R959" s="33"/>
      <c r="S959" s="33"/>
      <c r="T959" s="33"/>
    </row>
    <row r="960" spans="1:20" ht="15.6">
      <c r="A960" s="13">
        <v>71314</v>
      </c>
      <c r="B960" s="41">
        <f t="shared" si="6"/>
        <v>31</v>
      </c>
      <c r="C960" s="32">
        <v>122.58</v>
      </c>
      <c r="D960" s="32">
        <v>297.94099999999997</v>
      </c>
      <c r="E960" s="38">
        <v>729.47900000000004</v>
      </c>
      <c r="F960" s="32">
        <v>1150</v>
      </c>
      <c r="G960" s="32">
        <v>100</v>
      </c>
      <c r="H960" s="40">
        <v>600</v>
      </c>
      <c r="I960" s="32">
        <v>695</v>
      </c>
      <c r="J960" s="32">
        <v>50</v>
      </c>
      <c r="K960" s="33"/>
      <c r="L960" s="33"/>
      <c r="M960" s="33"/>
      <c r="N960" s="33"/>
      <c r="O960" s="33"/>
      <c r="P960" s="33"/>
      <c r="Q960" s="33"/>
      <c r="R960" s="33"/>
      <c r="S960" s="33"/>
      <c r="T960" s="33"/>
    </row>
    <row r="961" spans="1:20" ht="15.6">
      <c r="A961" s="13">
        <v>71344</v>
      </c>
      <c r="B961" s="41">
        <f t="shared" si="6"/>
        <v>30</v>
      </c>
      <c r="C961" s="32">
        <v>141.29300000000001</v>
      </c>
      <c r="D961" s="32">
        <v>267.99299999999999</v>
      </c>
      <c r="E961" s="38">
        <v>829.71400000000006</v>
      </c>
      <c r="F961" s="32">
        <v>1239</v>
      </c>
      <c r="G961" s="32">
        <v>100</v>
      </c>
      <c r="H961" s="40">
        <v>600</v>
      </c>
      <c r="I961" s="32">
        <v>695</v>
      </c>
      <c r="J961" s="32">
        <v>50</v>
      </c>
      <c r="K961" s="33"/>
      <c r="L961" s="33"/>
      <c r="M961" s="33"/>
      <c r="N961" s="33"/>
      <c r="O961" s="33"/>
      <c r="P961" s="33"/>
      <c r="Q961" s="33"/>
      <c r="R961" s="33"/>
      <c r="S961" s="33"/>
      <c r="T961" s="33"/>
    </row>
    <row r="962" spans="1:20" ht="15.6">
      <c r="A962" s="13">
        <v>71375</v>
      </c>
      <c r="B962" s="41">
        <f t="shared" si="6"/>
        <v>31</v>
      </c>
      <c r="C962" s="32">
        <v>194.20500000000001</v>
      </c>
      <c r="D962" s="32">
        <v>267.46600000000001</v>
      </c>
      <c r="E962" s="38">
        <v>812.32899999999995</v>
      </c>
      <c r="F962" s="32">
        <v>1274</v>
      </c>
      <c r="G962" s="32">
        <v>75</v>
      </c>
      <c r="H962" s="40">
        <v>600</v>
      </c>
      <c r="I962" s="32">
        <v>695</v>
      </c>
      <c r="J962" s="32">
        <v>50</v>
      </c>
      <c r="K962" s="33"/>
      <c r="L962" s="33"/>
      <c r="M962" s="33"/>
      <c r="N962" s="33"/>
      <c r="O962" s="33"/>
      <c r="P962" s="33"/>
      <c r="Q962" s="33"/>
      <c r="R962" s="33"/>
      <c r="S962" s="33"/>
      <c r="T962" s="33"/>
    </row>
    <row r="963" spans="1:20" ht="15.6">
      <c r="A963" s="13">
        <v>71405</v>
      </c>
      <c r="B963" s="41">
        <f t="shared" si="6"/>
        <v>30</v>
      </c>
      <c r="C963" s="32">
        <v>194.20500000000001</v>
      </c>
      <c r="D963" s="32">
        <v>267.46600000000001</v>
      </c>
      <c r="E963" s="38">
        <v>812.32899999999995</v>
      </c>
      <c r="F963" s="32">
        <v>1274</v>
      </c>
      <c r="G963" s="32">
        <v>50</v>
      </c>
      <c r="H963" s="40">
        <v>600</v>
      </c>
      <c r="I963" s="32">
        <v>695</v>
      </c>
      <c r="J963" s="32">
        <v>50</v>
      </c>
      <c r="K963" s="33"/>
      <c r="L963" s="33"/>
      <c r="M963" s="33"/>
      <c r="N963" s="33"/>
      <c r="O963" s="33"/>
      <c r="P963" s="33"/>
      <c r="Q963" s="33"/>
      <c r="R963" s="33"/>
      <c r="S963" s="33"/>
      <c r="T963" s="33"/>
    </row>
    <row r="964" spans="1:20" ht="15.6">
      <c r="A964" s="13">
        <v>71436</v>
      </c>
      <c r="B964" s="41">
        <f t="shared" si="6"/>
        <v>31</v>
      </c>
      <c r="C964" s="32">
        <v>194.20500000000001</v>
      </c>
      <c r="D964" s="32">
        <v>267.46600000000001</v>
      </c>
      <c r="E964" s="38">
        <v>812.32899999999995</v>
      </c>
      <c r="F964" s="32">
        <v>1274</v>
      </c>
      <c r="G964" s="32">
        <v>50</v>
      </c>
      <c r="H964" s="40">
        <v>600</v>
      </c>
      <c r="I964" s="32">
        <v>695</v>
      </c>
      <c r="J964" s="32">
        <v>0</v>
      </c>
      <c r="K964" s="33"/>
      <c r="L964" s="33"/>
      <c r="M964" s="33"/>
      <c r="N964" s="33"/>
      <c r="O964" s="33"/>
      <c r="P964" s="33"/>
      <c r="Q964" s="33"/>
      <c r="R964" s="33"/>
      <c r="S964" s="33"/>
      <c r="T964" s="33"/>
    </row>
    <row r="965" spans="1:20" ht="15.6">
      <c r="A965" s="13">
        <v>71467</v>
      </c>
      <c r="B965" s="41">
        <f t="shared" si="6"/>
        <v>31</v>
      </c>
      <c r="C965" s="32">
        <v>194.20500000000001</v>
      </c>
      <c r="D965" s="32">
        <v>267.46600000000001</v>
      </c>
      <c r="E965" s="38">
        <v>812.32899999999995</v>
      </c>
      <c r="F965" s="32">
        <v>1274</v>
      </c>
      <c r="G965" s="32">
        <v>50</v>
      </c>
      <c r="H965" s="40">
        <v>600</v>
      </c>
      <c r="I965" s="32">
        <v>695</v>
      </c>
      <c r="J965" s="32">
        <v>0</v>
      </c>
      <c r="K965" s="33"/>
      <c r="L965" s="33"/>
      <c r="M965" s="33"/>
      <c r="N965" s="33"/>
      <c r="O965" s="33"/>
      <c r="P965" s="33"/>
      <c r="Q965" s="33"/>
      <c r="R965" s="33"/>
      <c r="S965" s="33"/>
      <c r="T965" s="33"/>
    </row>
    <row r="966" spans="1:20" ht="15.6">
      <c r="A966" s="13">
        <v>71497</v>
      </c>
      <c r="B966" s="41">
        <f t="shared" si="6"/>
        <v>30</v>
      </c>
      <c r="C966" s="32">
        <v>194.20500000000001</v>
      </c>
      <c r="D966" s="32">
        <v>267.46600000000001</v>
      </c>
      <c r="E966" s="38">
        <v>812.32899999999995</v>
      </c>
      <c r="F966" s="32">
        <v>1274</v>
      </c>
      <c r="G966" s="32">
        <v>50</v>
      </c>
      <c r="H966" s="40">
        <v>600</v>
      </c>
      <c r="I966" s="32">
        <v>695</v>
      </c>
      <c r="J966" s="32">
        <v>0</v>
      </c>
      <c r="K966" s="33"/>
      <c r="L966" s="33"/>
      <c r="M966" s="33"/>
      <c r="N966" s="33"/>
      <c r="O966" s="33"/>
      <c r="P966" s="33"/>
      <c r="Q966" s="33"/>
      <c r="R966" s="33"/>
      <c r="S966" s="33"/>
      <c r="T966" s="33"/>
    </row>
    <row r="967" spans="1:20" ht="15.6">
      <c r="A967" s="13">
        <v>71528</v>
      </c>
      <c r="B967" s="41">
        <f t="shared" si="6"/>
        <v>31</v>
      </c>
      <c r="C967" s="32">
        <v>131.881</v>
      </c>
      <c r="D967" s="32">
        <v>277.16699999999997</v>
      </c>
      <c r="E967" s="38">
        <v>829.952</v>
      </c>
      <c r="F967" s="32">
        <v>1239</v>
      </c>
      <c r="G967" s="32">
        <v>75</v>
      </c>
      <c r="H967" s="40">
        <v>600</v>
      </c>
      <c r="I967" s="32">
        <v>695</v>
      </c>
      <c r="J967" s="32">
        <v>0</v>
      </c>
      <c r="K967" s="33"/>
      <c r="L967" s="33"/>
      <c r="M967" s="33"/>
      <c r="N967" s="33"/>
      <c r="O967" s="33"/>
      <c r="P967" s="33"/>
      <c r="Q967" s="33"/>
      <c r="R967" s="33"/>
      <c r="S967" s="33"/>
      <c r="T967" s="33"/>
    </row>
    <row r="968" spans="1:20" ht="15.6">
      <c r="A968" s="13">
        <v>71558</v>
      </c>
      <c r="B968" s="41">
        <f t="shared" si="6"/>
        <v>30</v>
      </c>
      <c r="C968" s="32">
        <v>122.58</v>
      </c>
      <c r="D968" s="32">
        <v>297.94099999999997</v>
      </c>
      <c r="E968" s="38">
        <v>729.47900000000004</v>
      </c>
      <c r="F968" s="32">
        <v>1150</v>
      </c>
      <c r="G968" s="32">
        <v>100</v>
      </c>
      <c r="H968" s="40">
        <v>600</v>
      </c>
      <c r="I968" s="32">
        <v>695</v>
      </c>
      <c r="J968" s="32">
        <v>50</v>
      </c>
      <c r="K968" s="33"/>
      <c r="L968" s="33"/>
      <c r="M968" s="33"/>
      <c r="N968" s="33"/>
      <c r="O968" s="33"/>
      <c r="P968" s="33"/>
      <c r="Q968" s="33"/>
      <c r="R968" s="33"/>
      <c r="S968" s="33"/>
      <c r="T968" s="33"/>
    </row>
    <row r="969" spans="1:20" ht="15.6">
      <c r="A969" s="13">
        <v>71589</v>
      </c>
      <c r="B969" s="41">
        <f t="shared" si="6"/>
        <v>31</v>
      </c>
      <c r="C969" s="32">
        <v>122.58</v>
      </c>
      <c r="D969" s="32">
        <v>297.94099999999997</v>
      </c>
      <c r="E969" s="38">
        <v>729.47900000000004</v>
      </c>
      <c r="F969" s="32">
        <v>1150</v>
      </c>
      <c r="G969" s="32">
        <v>100</v>
      </c>
      <c r="H969" s="40">
        <v>600</v>
      </c>
      <c r="I969" s="32">
        <v>695</v>
      </c>
      <c r="J969" s="32">
        <v>50</v>
      </c>
      <c r="K969" s="33"/>
      <c r="L969" s="33"/>
      <c r="M969" s="33"/>
      <c r="N969" s="33"/>
      <c r="O969" s="33"/>
      <c r="P969" s="33"/>
      <c r="Q969" s="33"/>
      <c r="R969" s="33"/>
      <c r="S969" s="33"/>
      <c r="T969" s="33"/>
    </row>
    <row r="970" spans="1:20" ht="15.6">
      <c r="A970" s="13">
        <v>71620</v>
      </c>
      <c r="B970" s="41">
        <f t="shared" si="6"/>
        <v>31</v>
      </c>
      <c r="C970" s="32">
        <v>122.58</v>
      </c>
      <c r="D970" s="32">
        <v>297.94099999999997</v>
      </c>
      <c r="E970" s="38">
        <v>729.47900000000004</v>
      </c>
      <c r="F970" s="32">
        <v>1150</v>
      </c>
      <c r="G970" s="32">
        <v>100</v>
      </c>
      <c r="H970" s="40">
        <v>600</v>
      </c>
      <c r="I970" s="32">
        <v>695</v>
      </c>
      <c r="J970" s="32">
        <v>50</v>
      </c>
      <c r="K970" s="33"/>
      <c r="L970" s="33"/>
      <c r="M970" s="33"/>
      <c r="N970" s="33"/>
      <c r="O970" s="33"/>
      <c r="P970" s="33"/>
      <c r="Q970" s="33"/>
      <c r="R970" s="33"/>
      <c r="S970" s="33"/>
      <c r="T970" s="33"/>
    </row>
    <row r="971" spans="1:20" ht="15.6">
      <c r="A971" s="13">
        <v>71649</v>
      </c>
      <c r="B971" s="41">
        <f t="shared" si="6"/>
        <v>29</v>
      </c>
      <c r="C971" s="32">
        <v>122.58</v>
      </c>
      <c r="D971" s="32">
        <v>297.94099999999997</v>
      </c>
      <c r="E971" s="38">
        <v>729.47900000000004</v>
      </c>
      <c r="F971" s="32">
        <v>1150</v>
      </c>
      <c r="G971" s="32">
        <v>100</v>
      </c>
      <c r="H971" s="40">
        <v>600</v>
      </c>
      <c r="I971" s="32">
        <v>695</v>
      </c>
      <c r="J971" s="32">
        <v>50</v>
      </c>
      <c r="K971" s="33"/>
      <c r="L971" s="33"/>
      <c r="M971" s="33"/>
      <c r="N971" s="33"/>
      <c r="O971" s="33"/>
      <c r="P971" s="33"/>
      <c r="Q971" s="33"/>
      <c r="R971" s="33"/>
      <c r="S971" s="33"/>
      <c r="T971" s="33"/>
    </row>
    <row r="972" spans="1:20" ht="15.6">
      <c r="A972" s="13">
        <v>71680</v>
      </c>
      <c r="B972" s="41">
        <f t="shared" si="6"/>
        <v>31</v>
      </c>
      <c r="C972" s="32">
        <v>122.58</v>
      </c>
      <c r="D972" s="32">
        <v>297.94099999999997</v>
      </c>
      <c r="E972" s="38">
        <v>729.47900000000004</v>
      </c>
      <c r="F972" s="32">
        <v>1150</v>
      </c>
      <c r="G972" s="32">
        <v>100</v>
      </c>
      <c r="H972" s="40">
        <v>600</v>
      </c>
      <c r="I972" s="32">
        <v>695</v>
      </c>
      <c r="J972" s="32">
        <v>50</v>
      </c>
      <c r="K972" s="33"/>
      <c r="L972" s="33"/>
      <c r="M972" s="33"/>
      <c r="N972" s="33"/>
      <c r="O972" s="33"/>
      <c r="P972" s="33"/>
      <c r="Q972" s="33"/>
      <c r="R972" s="33"/>
      <c r="S972" s="33"/>
      <c r="T972" s="33"/>
    </row>
    <row r="973" spans="1:20" ht="15.6">
      <c r="A973" s="13">
        <v>71710</v>
      </c>
      <c r="B973" s="41">
        <f t="shared" si="6"/>
        <v>30</v>
      </c>
      <c r="C973" s="32">
        <v>141.29300000000001</v>
      </c>
      <c r="D973" s="32">
        <v>267.99299999999999</v>
      </c>
      <c r="E973" s="38">
        <v>829.71400000000006</v>
      </c>
      <c r="F973" s="32">
        <v>1239</v>
      </c>
      <c r="G973" s="32">
        <v>100</v>
      </c>
      <c r="H973" s="40">
        <v>600</v>
      </c>
      <c r="I973" s="32">
        <v>695</v>
      </c>
      <c r="J973" s="32">
        <v>50</v>
      </c>
      <c r="K973" s="33"/>
      <c r="L973" s="33"/>
      <c r="M973" s="33"/>
      <c r="N973" s="33"/>
      <c r="O973" s="33"/>
      <c r="P973" s="33"/>
      <c r="Q973" s="33"/>
      <c r="R973" s="33"/>
      <c r="S973" s="33"/>
      <c r="T973" s="33"/>
    </row>
    <row r="974" spans="1:20" ht="15.6">
      <c r="A974" s="13">
        <v>71741</v>
      </c>
      <c r="B974" s="41">
        <f t="shared" si="6"/>
        <v>31</v>
      </c>
      <c r="C974" s="32">
        <v>194.20500000000001</v>
      </c>
      <c r="D974" s="32">
        <v>267.46600000000001</v>
      </c>
      <c r="E974" s="38">
        <v>812.32899999999995</v>
      </c>
      <c r="F974" s="32">
        <v>1274</v>
      </c>
      <c r="G974" s="32">
        <v>75</v>
      </c>
      <c r="H974" s="40">
        <v>600</v>
      </c>
      <c r="I974" s="32">
        <v>695</v>
      </c>
      <c r="J974" s="32">
        <v>50</v>
      </c>
      <c r="K974" s="33"/>
      <c r="L974" s="33"/>
      <c r="M974" s="33"/>
      <c r="N974" s="33"/>
      <c r="O974" s="33"/>
      <c r="P974" s="33"/>
      <c r="Q974" s="33"/>
      <c r="R974" s="33"/>
      <c r="S974" s="33"/>
      <c r="T974" s="33"/>
    </row>
    <row r="975" spans="1:20" ht="15.6">
      <c r="A975" s="13">
        <v>71771</v>
      </c>
      <c r="B975" s="41">
        <f t="shared" si="6"/>
        <v>30</v>
      </c>
      <c r="C975" s="32">
        <v>194.20500000000001</v>
      </c>
      <c r="D975" s="32">
        <v>267.46600000000001</v>
      </c>
      <c r="E975" s="38">
        <v>812.32899999999995</v>
      </c>
      <c r="F975" s="32">
        <v>1274</v>
      </c>
      <c r="G975" s="32">
        <v>50</v>
      </c>
      <c r="H975" s="40">
        <v>600</v>
      </c>
      <c r="I975" s="32">
        <v>695</v>
      </c>
      <c r="J975" s="32">
        <v>50</v>
      </c>
      <c r="K975" s="33"/>
      <c r="L975" s="33"/>
      <c r="M975" s="33"/>
      <c r="N975" s="33"/>
      <c r="O975" s="33"/>
      <c r="P975" s="33"/>
      <c r="Q975" s="33"/>
      <c r="R975" s="33"/>
      <c r="S975" s="33"/>
      <c r="T975" s="33"/>
    </row>
    <row r="976" spans="1:20" ht="15.6">
      <c r="A976" s="13">
        <v>71802</v>
      </c>
      <c r="B976" s="41">
        <f t="shared" si="6"/>
        <v>31</v>
      </c>
      <c r="C976" s="32">
        <v>194.20500000000001</v>
      </c>
      <c r="D976" s="32">
        <v>267.46600000000001</v>
      </c>
      <c r="E976" s="38">
        <v>812.32899999999995</v>
      </c>
      <c r="F976" s="32">
        <v>1274</v>
      </c>
      <c r="G976" s="32">
        <v>50</v>
      </c>
      <c r="H976" s="40">
        <v>600</v>
      </c>
      <c r="I976" s="32">
        <v>695</v>
      </c>
      <c r="J976" s="32">
        <v>0</v>
      </c>
      <c r="K976" s="33"/>
      <c r="L976" s="33"/>
      <c r="M976" s="33"/>
      <c r="N976" s="33"/>
      <c r="O976" s="33"/>
      <c r="P976" s="33"/>
      <c r="Q976" s="33"/>
      <c r="R976" s="33"/>
      <c r="S976" s="33"/>
      <c r="T976" s="33"/>
    </row>
    <row r="977" spans="1:20" ht="15.6">
      <c r="A977" s="13">
        <v>71833</v>
      </c>
      <c r="B977" s="41">
        <f t="shared" si="6"/>
        <v>31</v>
      </c>
      <c r="C977" s="32">
        <v>194.20500000000001</v>
      </c>
      <c r="D977" s="32">
        <v>267.46600000000001</v>
      </c>
      <c r="E977" s="38">
        <v>812.32899999999995</v>
      </c>
      <c r="F977" s="32">
        <v>1274</v>
      </c>
      <c r="G977" s="32">
        <v>50</v>
      </c>
      <c r="H977" s="40">
        <v>600</v>
      </c>
      <c r="I977" s="32">
        <v>695</v>
      </c>
      <c r="J977" s="32">
        <v>0</v>
      </c>
      <c r="K977" s="33"/>
      <c r="L977" s="33"/>
      <c r="M977" s="33"/>
      <c r="N977" s="33"/>
      <c r="O977" s="33"/>
      <c r="P977" s="33"/>
      <c r="Q977" s="33"/>
      <c r="R977" s="33"/>
      <c r="S977" s="33"/>
      <c r="T977" s="33"/>
    </row>
    <row r="978" spans="1:20" ht="15.6">
      <c r="A978" s="13">
        <v>71863</v>
      </c>
      <c r="B978" s="41">
        <f t="shared" si="6"/>
        <v>30</v>
      </c>
      <c r="C978" s="32">
        <v>194.20500000000001</v>
      </c>
      <c r="D978" s="32">
        <v>267.46600000000001</v>
      </c>
      <c r="E978" s="38">
        <v>812.32899999999995</v>
      </c>
      <c r="F978" s="32">
        <v>1274</v>
      </c>
      <c r="G978" s="32">
        <v>50</v>
      </c>
      <c r="H978" s="40">
        <v>600</v>
      </c>
      <c r="I978" s="32">
        <v>695</v>
      </c>
      <c r="J978" s="32">
        <v>0</v>
      </c>
      <c r="K978" s="33"/>
      <c r="L978" s="33"/>
      <c r="M978" s="33"/>
      <c r="N978" s="33"/>
      <c r="O978" s="33"/>
      <c r="P978" s="33"/>
      <c r="Q978" s="33"/>
      <c r="R978" s="33"/>
      <c r="S978" s="33"/>
      <c r="T978" s="33"/>
    </row>
    <row r="979" spans="1:20" ht="15.6">
      <c r="A979" s="13">
        <v>71894</v>
      </c>
      <c r="B979" s="41">
        <f t="shared" si="6"/>
        <v>31</v>
      </c>
      <c r="C979" s="32">
        <v>131.881</v>
      </c>
      <c r="D979" s="32">
        <v>277.16699999999997</v>
      </c>
      <c r="E979" s="38">
        <v>829.952</v>
      </c>
      <c r="F979" s="32">
        <v>1239</v>
      </c>
      <c r="G979" s="32">
        <v>75</v>
      </c>
      <c r="H979" s="40">
        <v>600</v>
      </c>
      <c r="I979" s="32">
        <v>695</v>
      </c>
      <c r="J979" s="32">
        <v>0</v>
      </c>
      <c r="K979" s="33"/>
      <c r="L979" s="33"/>
      <c r="M979" s="33"/>
      <c r="N979" s="33"/>
      <c r="O979" s="33"/>
      <c r="P979" s="33"/>
      <c r="Q979" s="33"/>
      <c r="R979" s="33"/>
      <c r="S979" s="33"/>
      <c r="T979" s="33"/>
    </row>
    <row r="980" spans="1:20" ht="15.6">
      <c r="A980" s="13">
        <v>71924</v>
      </c>
      <c r="B980" s="41">
        <f t="shared" si="6"/>
        <v>30</v>
      </c>
      <c r="C980" s="32">
        <v>122.58</v>
      </c>
      <c r="D980" s="32">
        <v>297.94099999999997</v>
      </c>
      <c r="E980" s="38">
        <v>729.47900000000004</v>
      </c>
      <c r="F980" s="32">
        <v>1150</v>
      </c>
      <c r="G980" s="32">
        <v>100</v>
      </c>
      <c r="H980" s="40">
        <v>600</v>
      </c>
      <c r="I980" s="32">
        <v>695</v>
      </c>
      <c r="J980" s="32">
        <v>50</v>
      </c>
      <c r="K980" s="33"/>
      <c r="L980" s="33"/>
      <c r="M980" s="33"/>
      <c r="N980" s="33"/>
      <c r="O980" s="33"/>
      <c r="P980" s="33"/>
      <c r="Q980" s="33"/>
      <c r="R980" s="33"/>
      <c r="S980" s="33"/>
      <c r="T980" s="33"/>
    </row>
    <row r="981" spans="1:20" ht="15.6">
      <c r="A981" s="13">
        <v>71955</v>
      </c>
      <c r="B981" s="41">
        <f t="shared" si="6"/>
        <v>31</v>
      </c>
      <c r="C981" s="32">
        <v>122.58</v>
      </c>
      <c r="D981" s="32">
        <v>297.94099999999997</v>
      </c>
      <c r="E981" s="38">
        <v>729.47900000000004</v>
      </c>
      <c r="F981" s="32">
        <v>1150</v>
      </c>
      <c r="G981" s="32">
        <v>100</v>
      </c>
      <c r="H981" s="40">
        <v>600</v>
      </c>
      <c r="I981" s="32">
        <v>695</v>
      </c>
      <c r="J981" s="32">
        <v>50</v>
      </c>
      <c r="K981" s="33"/>
      <c r="L981" s="33"/>
      <c r="M981" s="33"/>
      <c r="N981" s="33"/>
      <c r="O981" s="33"/>
      <c r="P981" s="33"/>
      <c r="Q981" s="33"/>
      <c r="R981" s="33"/>
      <c r="S981" s="33"/>
      <c r="T981" s="33"/>
    </row>
    <row r="982" spans="1:20" ht="15.6">
      <c r="A982" s="13">
        <v>71986</v>
      </c>
      <c r="B982" s="41">
        <f t="shared" si="6"/>
        <v>31</v>
      </c>
      <c r="C982" s="32">
        <v>122.58</v>
      </c>
      <c r="D982" s="32">
        <v>297.94099999999997</v>
      </c>
      <c r="E982" s="38">
        <v>729.47900000000004</v>
      </c>
      <c r="F982" s="32">
        <v>1150</v>
      </c>
      <c r="G982" s="32">
        <v>100</v>
      </c>
      <c r="H982" s="40">
        <v>600</v>
      </c>
      <c r="I982" s="32">
        <v>695</v>
      </c>
      <c r="J982" s="32">
        <v>50</v>
      </c>
      <c r="K982" s="33"/>
      <c r="L982" s="33"/>
      <c r="M982" s="33"/>
      <c r="N982" s="33"/>
      <c r="O982" s="33"/>
      <c r="P982" s="33"/>
      <c r="Q982" s="33"/>
      <c r="R982" s="33"/>
      <c r="S982" s="33"/>
      <c r="T982" s="33"/>
    </row>
    <row r="983" spans="1:20" ht="15.6">
      <c r="A983" s="13">
        <v>72014</v>
      </c>
      <c r="B983" s="41">
        <f t="shared" si="6"/>
        <v>28</v>
      </c>
      <c r="C983" s="32">
        <v>122.58</v>
      </c>
      <c r="D983" s="32">
        <v>297.94099999999997</v>
      </c>
      <c r="E983" s="38">
        <v>729.47900000000004</v>
      </c>
      <c r="F983" s="32">
        <v>1150</v>
      </c>
      <c r="G983" s="32">
        <v>100</v>
      </c>
      <c r="H983" s="40">
        <v>600</v>
      </c>
      <c r="I983" s="32">
        <v>695</v>
      </c>
      <c r="J983" s="32">
        <v>50</v>
      </c>
      <c r="K983" s="33"/>
      <c r="L983" s="33"/>
      <c r="M983" s="33"/>
      <c r="N983" s="33"/>
      <c r="O983" s="33"/>
      <c r="P983" s="33"/>
      <c r="Q983" s="33"/>
      <c r="R983" s="33"/>
      <c r="S983" s="33"/>
      <c r="T983" s="33"/>
    </row>
    <row r="984" spans="1:20" ht="15.6">
      <c r="A984" s="13">
        <v>72045</v>
      </c>
      <c r="B984" s="41">
        <f t="shared" si="6"/>
        <v>31</v>
      </c>
      <c r="C984" s="32">
        <v>122.58</v>
      </c>
      <c r="D984" s="32">
        <v>297.94099999999997</v>
      </c>
      <c r="E984" s="38">
        <v>729.47900000000004</v>
      </c>
      <c r="F984" s="32">
        <v>1150</v>
      </c>
      <c r="G984" s="32">
        <v>100</v>
      </c>
      <c r="H984" s="40">
        <v>600</v>
      </c>
      <c r="I984" s="32">
        <v>695</v>
      </c>
      <c r="J984" s="32">
        <v>50</v>
      </c>
      <c r="K984" s="33"/>
      <c r="L984" s="33"/>
      <c r="M984" s="33"/>
      <c r="N984" s="33"/>
      <c r="O984" s="33"/>
      <c r="P984" s="33"/>
      <c r="Q984" s="33"/>
      <c r="R984" s="33"/>
      <c r="S984" s="33"/>
      <c r="T984" s="33"/>
    </row>
    <row r="985" spans="1:20" ht="15.6">
      <c r="A985" s="13">
        <v>72075</v>
      </c>
      <c r="B985" s="41">
        <f t="shared" si="6"/>
        <v>30</v>
      </c>
      <c r="C985" s="32">
        <v>141.29300000000001</v>
      </c>
      <c r="D985" s="32">
        <v>267.99299999999999</v>
      </c>
      <c r="E985" s="38">
        <v>829.71400000000006</v>
      </c>
      <c r="F985" s="32">
        <v>1239</v>
      </c>
      <c r="G985" s="32">
        <v>100</v>
      </c>
      <c r="H985" s="40">
        <v>600</v>
      </c>
      <c r="I985" s="32">
        <v>695</v>
      </c>
      <c r="J985" s="32">
        <v>50</v>
      </c>
      <c r="K985" s="33"/>
      <c r="L985" s="33"/>
      <c r="M985" s="33"/>
      <c r="N985" s="33"/>
      <c r="O985" s="33"/>
      <c r="P985" s="33"/>
      <c r="Q985" s="33"/>
      <c r="R985" s="33"/>
      <c r="S985" s="33"/>
      <c r="T985" s="33"/>
    </row>
    <row r="986" spans="1:20" ht="15.6">
      <c r="A986" s="13">
        <v>72106</v>
      </c>
      <c r="B986" s="41">
        <f t="shared" si="6"/>
        <v>31</v>
      </c>
      <c r="C986" s="32">
        <v>194.20500000000001</v>
      </c>
      <c r="D986" s="32">
        <v>267.46600000000001</v>
      </c>
      <c r="E986" s="38">
        <v>812.32899999999995</v>
      </c>
      <c r="F986" s="32">
        <v>1274</v>
      </c>
      <c r="G986" s="32">
        <v>75</v>
      </c>
      <c r="H986" s="40">
        <v>600</v>
      </c>
      <c r="I986" s="32">
        <v>695</v>
      </c>
      <c r="J986" s="32">
        <v>50</v>
      </c>
      <c r="K986" s="33"/>
      <c r="L986" s="33"/>
      <c r="M986" s="33"/>
      <c r="N986" s="33"/>
      <c r="O986" s="33"/>
      <c r="P986" s="33"/>
      <c r="Q986" s="33"/>
      <c r="R986" s="33"/>
      <c r="S986" s="33"/>
      <c r="T986" s="33"/>
    </row>
    <row r="987" spans="1:20" ht="15.6">
      <c r="A987" s="13">
        <v>72136</v>
      </c>
      <c r="B987" s="41">
        <f t="shared" si="6"/>
        <v>30</v>
      </c>
      <c r="C987" s="32">
        <v>194.20500000000001</v>
      </c>
      <c r="D987" s="32">
        <v>267.46600000000001</v>
      </c>
      <c r="E987" s="38">
        <v>812.32899999999995</v>
      </c>
      <c r="F987" s="32">
        <v>1274</v>
      </c>
      <c r="G987" s="32">
        <v>50</v>
      </c>
      <c r="H987" s="40">
        <v>600</v>
      </c>
      <c r="I987" s="32">
        <v>695</v>
      </c>
      <c r="J987" s="32">
        <v>50</v>
      </c>
      <c r="K987" s="33"/>
      <c r="L987" s="33"/>
      <c r="M987" s="33"/>
      <c r="N987" s="33"/>
      <c r="O987" s="33"/>
      <c r="P987" s="33"/>
      <c r="Q987" s="33"/>
      <c r="R987" s="33"/>
      <c r="S987" s="33"/>
      <c r="T987" s="33"/>
    </row>
    <row r="988" spans="1:20" ht="15.6">
      <c r="A988" s="13">
        <v>72167</v>
      </c>
      <c r="B988" s="41">
        <f t="shared" si="6"/>
        <v>31</v>
      </c>
      <c r="C988" s="32">
        <v>194.20500000000001</v>
      </c>
      <c r="D988" s="32">
        <v>267.46600000000001</v>
      </c>
      <c r="E988" s="38">
        <v>812.32899999999995</v>
      </c>
      <c r="F988" s="32">
        <v>1274</v>
      </c>
      <c r="G988" s="32">
        <v>50</v>
      </c>
      <c r="H988" s="40">
        <v>600</v>
      </c>
      <c r="I988" s="32">
        <v>695</v>
      </c>
      <c r="J988" s="32">
        <v>0</v>
      </c>
      <c r="K988" s="33"/>
      <c r="L988" s="33"/>
      <c r="M988" s="33"/>
      <c r="N988" s="33"/>
      <c r="O988" s="33"/>
      <c r="P988" s="33"/>
      <c r="Q988" s="33"/>
      <c r="R988" s="33"/>
      <c r="S988" s="33"/>
      <c r="T988" s="33"/>
    </row>
    <row r="989" spans="1:20" ht="15.6">
      <c r="A989" s="13">
        <v>72198</v>
      </c>
      <c r="B989" s="41">
        <f t="shared" si="6"/>
        <v>31</v>
      </c>
      <c r="C989" s="32">
        <v>194.20500000000001</v>
      </c>
      <c r="D989" s="32">
        <v>267.46600000000001</v>
      </c>
      <c r="E989" s="38">
        <v>812.32899999999995</v>
      </c>
      <c r="F989" s="32">
        <v>1274</v>
      </c>
      <c r="G989" s="32">
        <v>50</v>
      </c>
      <c r="H989" s="40">
        <v>600</v>
      </c>
      <c r="I989" s="32">
        <v>695</v>
      </c>
      <c r="J989" s="32">
        <v>0</v>
      </c>
      <c r="K989" s="33"/>
      <c r="L989" s="33"/>
      <c r="M989" s="33"/>
      <c r="N989" s="33"/>
      <c r="O989" s="33"/>
      <c r="P989" s="33"/>
      <c r="Q989" s="33"/>
      <c r="R989" s="33"/>
      <c r="S989" s="33"/>
      <c r="T989" s="33"/>
    </row>
    <row r="990" spans="1:20" ht="15.6">
      <c r="A990" s="13">
        <v>72228</v>
      </c>
      <c r="B990" s="41">
        <f t="shared" si="6"/>
        <v>30</v>
      </c>
      <c r="C990" s="32">
        <v>194.20500000000001</v>
      </c>
      <c r="D990" s="32">
        <v>267.46600000000001</v>
      </c>
      <c r="E990" s="38">
        <v>812.32899999999995</v>
      </c>
      <c r="F990" s="32">
        <v>1274</v>
      </c>
      <c r="G990" s="32">
        <v>50</v>
      </c>
      <c r="H990" s="40">
        <v>600</v>
      </c>
      <c r="I990" s="32">
        <v>695</v>
      </c>
      <c r="J990" s="32">
        <v>0</v>
      </c>
      <c r="K990" s="33"/>
      <c r="L990" s="33"/>
      <c r="M990" s="33"/>
      <c r="N990" s="33"/>
      <c r="O990" s="33"/>
      <c r="P990" s="33"/>
      <c r="Q990" s="33"/>
      <c r="R990" s="33"/>
      <c r="S990" s="33"/>
      <c r="T990" s="33"/>
    </row>
    <row r="991" spans="1:20" ht="15.6">
      <c r="A991" s="13">
        <v>72259</v>
      </c>
      <c r="B991" s="41">
        <f t="shared" si="6"/>
        <v>31</v>
      </c>
      <c r="C991" s="32">
        <v>131.881</v>
      </c>
      <c r="D991" s="32">
        <v>277.16699999999997</v>
      </c>
      <c r="E991" s="38">
        <v>829.952</v>
      </c>
      <c r="F991" s="32">
        <v>1239</v>
      </c>
      <c r="G991" s="32">
        <v>75</v>
      </c>
      <c r="H991" s="40">
        <v>600</v>
      </c>
      <c r="I991" s="32">
        <v>695</v>
      </c>
      <c r="J991" s="32">
        <v>0</v>
      </c>
      <c r="K991" s="33"/>
      <c r="L991" s="33"/>
      <c r="M991" s="33"/>
      <c r="N991" s="33"/>
      <c r="O991" s="33"/>
      <c r="P991" s="33"/>
      <c r="Q991" s="33"/>
      <c r="R991" s="33"/>
      <c r="S991" s="33"/>
      <c r="T991" s="33"/>
    </row>
    <row r="992" spans="1:20" ht="15.6">
      <c r="A992" s="13">
        <v>72289</v>
      </c>
      <c r="B992" s="41">
        <f t="shared" si="6"/>
        <v>30</v>
      </c>
      <c r="C992" s="32">
        <v>122.58</v>
      </c>
      <c r="D992" s="32">
        <v>297.94099999999997</v>
      </c>
      <c r="E992" s="38">
        <v>729.47900000000004</v>
      </c>
      <c r="F992" s="32">
        <v>1150</v>
      </c>
      <c r="G992" s="32">
        <v>100</v>
      </c>
      <c r="H992" s="40">
        <v>600</v>
      </c>
      <c r="I992" s="32">
        <v>695</v>
      </c>
      <c r="J992" s="32">
        <v>50</v>
      </c>
      <c r="K992" s="33"/>
      <c r="L992" s="33"/>
      <c r="M992" s="33"/>
      <c r="N992" s="33"/>
      <c r="O992" s="33"/>
      <c r="P992" s="33"/>
      <c r="Q992" s="33"/>
      <c r="R992" s="33"/>
      <c r="S992" s="33"/>
      <c r="T992" s="33"/>
    </row>
    <row r="993" spans="1:20" ht="15.6">
      <c r="A993" s="13">
        <v>72320</v>
      </c>
      <c r="B993" s="41">
        <f t="shared" si="6"/>
        <v>31</v>
      </c>
      <c r="C993" s="32">
        <v>122.58</v>
      </c>
      <c r="D993" s="32">
        <v>297.94099999999997</v>
      </c>
      <c r="E993" s="38">
        <v>729.47900000000004</v>
      </c>
      <c r="F993" s="32">
        <v>1150</v>
      </c>
      <c r="G993" s="32">
        <v>100</v>
      </c>
      <c r="H993" s="40">
        <v>600</v>
      </c>
      <c r="I993" s="32">
        <v>695</v>
      </c>
      <c r="J993" s="32">
        <v>50</v>
      </c>
      <c r="K993" s="33"/>
      <c r="L993" s="33"/>
      <c r="M993" s="33"/>
      <c r="N993" s="33"/>
      <c r="O993" s="33"/>
      <c r="P993" s="33"/>
      <c r="Q993" s="33"/>
      <c r="R993" s="33"/>
      <c r="S993" s="33"/>
      <c r="T993" s="33"/>
    </row>
    <row r="994" spans="1:20" ht="15.6">
      <c r="A994" s="13">
        <v>72351</v>
      </c>
      <c r="B994" s="41">
        <f t="shared" si="6"/>
        <v>31</v>
      </c>
      <c r="C994" s="32">
        <v>122.58</v>
      </c>
      <c r="D994" s="32">
        <v>297.94099999999997</v>
      </c>
      <c r="E994" s="38">
        <v>729.47900000000004</v>
      </c>
      <c r="F994" s="32">
        <v>1150</v>
      </c>
      <c r="G994" s="32">
        <v>100</v>
      </c>
      <c r="H994" s="40">
        <v>600</v>
      </c>
      <c r="I994" s="32">
        <v>695</v>
      </c>
      <c r="J994" s="32">
        <v>50</v>
      </c>
      <c r="K994" s="33"/>
      <c r="L994" s="33"/>
      <c r="M994" s="33"/>
      <c r="N994" s="33"/>
      <c r="O994" s="33"/>
      <c r="P994" s="33"/>
      <c r="Q994" s="33"/>
      <c r="R994" s="33"/>
      <c r="S994" s="33"/>
      <c r="T994" s="33"/>
    </row>
    <row r="995" spans="1:20" ht="15.6">
      <c r="A995" s="13">
        <v>72379</v>
      </c>
      <c r="B995" s="41">
        <f t="shared" si="6"/>
        <v>28</v>
      </c>
      <c r="C995" s="32">
        <v>122.58</v>
      </c>
      <c r="D995" s="32">
        <v>297.94099999999997</v>
      </c>
      <c r="E995" s="38">
        <v>729.47900000000004</v>
      </c>
      <c r="F995" s="32">
        <v>1150</v>
      </c>
      <c r="G995" s="32">
        <v>100</v>
      </c>
      <c r="H995" s="40">
        <v>600</v>
      </c>
      <c r="I995" s="32">
        <v>695</v>
      </c>
      <c r="J995" s="32">
        <v>50</v>
      </c>
      <c r="K995" s="33"/>
      <c r="L995" s="33"/>
      <c r="M995" s="33"/>
      <c r="N995" s="33"/>
      <c r="O995" s="33"/>
      <c r="P995" s="33"/>
      <c r="Q995" s="33"/>
      <c r="R995" s="33"/>
      <c r="S995" s="33"/>
      <c r="T995" s="33"/>
    </row>
    <row r="996" spans="1:20" ht="15.6">
      <c r="A996" s="13">
        <v>72410</v>
      </c>
      <c r="B996" s="41">
        <f t="shared" si="6"/>
        <v>31</v>
      </c>
      <c r="C996" s="32">
        <v>122.58</v>
      </c>
      <c r="D996" s="32">
        <v>297.94099999999997</v>
      </c>
      <c r="E996" s="38">
        <v>729.47900000000004</v>
      </c>
      <c r="F996" s="32">
        <v>1150</v>
      </c>
      <c r="G996" s="32">
        <v>100</v>
      </c>
      <c r="H996" s="40">
        <v>600</v>
      </c>
      <c r="I996" s="32">
        <v>695</v>
      </c>
      <c r="J996" s="32">
        <v>50</v>
      </c>
      <c r="K996" s="33"/>
      <c r="L996" s="33"/>
      <c r="M996" s="33"/>
      <c r="N996" s="33"/>
      <c r="O996" s="33"/>
      <c r="P996" s="33"/>
      <c r="Q996" s="33"/>
      <c r="R996" s="33"/>
      <c r="S996" s="33"/>
      <c r="T996" s="33"/>
    </row>
    <row r="997" spans="1:20" ht="15.6">
      <c r="A997" s="13">
        <v>72440</v>
      </c>
      <c r="B997" s="41">
        <f t="shared" si="6"/>
        <v>30</v>
      </c>
      <c r="C997" s="32">
        <v>141.29300000000001</v>
      </c>
      <c r="D997" s="32">
        <v>267.99299999999999</v>
      </c>
      <c r="E997" s="38">
        <v>829.71400000000006</v>
      </c>
      <c r="F997" s="32">
        <v>1239</v>
      </c>
      <c r="G997" s="32">
        <v>100</v>
      </c>
      <c r="H997" s="40">
        <v>600</v>
      </c>
      <c r="I997" s="32">
        <v>695</v>
      </c>
      <c r="J997" s="32">
        <v>50</v>
      </c>
      <c r="K997" s="33"/>
      <c r="L997" s="33"/>
      <c r="M997" s="33"/>
      <c r="N997" s="33"/>
      <c r="O997" s="33"/>
      <c r="P997" s="33"/>
      <c r="Q997" s="33"/>
      <c r="R997" s="33"/>
      <c r="S997" s="33"/>
      <c r="T997" s="33"/>
    </row>
    <row r="998" spans="1:20" ht="15.6">
      <c r="A998" s="13">
        <v>72471</v>
      </c>
      <c r="B998" s="41">
        <f t="shared" si="6"/>
        <v>31</v>
      </c>
      <c r="C998" s="32">
        <v>194.20500000000001</v>
      </c>
      <c r="D998" s="32">
        <v>267.46600000000001</v>
      </c>
      <c r="E998" s="38">
        <v>812.32899999999995</v>
      </c>
      <c r="F998" s="32">
        <v>1274</v>
      </c>
      <c r="G998" s="32">
        <v>75</v>
      </c>
      <c r="H998" s="40">
        <v>600</v>
      </c>
      <c r="I998" s="32">
        <v>695</v>
      </c>
      <c r="J998" s="32">
        <v>50</v>
      </c>
      <c r="K998" s="33"/>
      <c r="L998" s="33"/>
      <c r="M998" s="33"/>
      <c r="N998" s="33"/>
      <c r="O998" s="33"/>
      <c r="P998" s="33"/>
      <c r="Q998" s="33"/>
      <c r="R998" s="33"/>
      <c r="S998" s="33"/>
      <c r="T998" s="33"/>
    </row>
    <row r="999" spans="1:20" ht="15.6">
      <c r="A999" s="13">
        <v>72501</v>
      </c>
      <c r="B999" s="41">
        <f t="shared" si="6"/>
        <v>30</v>
      </c>
      <c r="C999" s="32">
        <v>194.20500000000001</v>
      </c>
      <c r="D999" s="32">
        <v>267.46600000000001</v>
      </c>
      <c r="E999" s="38">
        <v>812.32899999999995</v>
      </c>
      <c r="F999" s="32">
        <v>1274</v>
      </c>
      <c r="G999" s="32">
        <v>50</v>
      </c>
      <c r="H999" s="40">
        <v>600</v>
      </c>
      <c r="I999" s="32">
        <v>695</v>
      </c>
      <c r="J999" s="32">
        <v>50</v>
      </c>
      <c r="K999" s="33"/>
      <c r="L999" s="33"/>
      <c r="M999" s="33"/>
      <c r="N999" s="33"/>
      <c r="O999" s="33"/>
      <c r="P999" s="33"/>
      <c r="Q999" s="33"/>
      <c r="R999" s="33"/>
      <c r="S999" s="33"/>
      <c r="T999" s="33"/>
    </row>
    <row r="1000" spans="1:20" ht="15.6">
      <c r="A1000" s="13">
        <v>72532</v>
      </c>
      <c r="B1000" s="41">
        <f t="shared" si="6"/>
        <v>31</v>
      </c>
      <c r="C1000" s="32">
        <v>194.20500000000001</v>
      </c>
      <c r="D1000" s="32">
        <v>267.46600000000001</v>
      </c>
      <c r="E1000" s="38">
        <v>812.32899999999995</v>
      </c>
      <c r="F1000" s="32">
        <v>1274</v>
      </c>
      <c r="G1000" s="32">
        <v>50</v>
      </c>
      <c r="H1000" s="40">
        <v>600</v>
      </c>
      <c r="I1000" s="32">
        <v>695</v>
      </c>
      <c r="J1000" s="32">
        <v>0</v>
      </c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</row>
    <row r="1001" spans="1:20" ht="15.6">
      <c r="A1001" s="13">
        <v>72563</v>
      </c>
      <c r="B1001" s="41">
        <f t="shared" si="6"/>
        <v>31</v>
      </c>
      <c r="C1001" s="32">
        <v>194.20500000000001</v>
      </c>
      <c r="D1001" s="32">
        <v>267.46600000000001</v>
      </c>
      <c r="E1001" s="38">
        <v>812.32899999999995</v>
      </c>
      <c r="F1001" s="32">
        <v>1274</v>
      </c>
      <c r="G1001" s="32">
        <v>50</v>
      </c>
      <c r="H1001" s="40">
        <v>600</v>
      </c>
      <c r="I1001" s="32">
        <v>695</v>
      </c>
      <c r="J1001" s="32">
        <v>0</v>
      </c>
      <c r="K1001" s="33"/>
      <c r="L1001" s="33"/>
      <c r="M1001" s="33"/>
      <c r="N1001" s="33"/>
      <c r="O1001" s="33"/>
      <c r="P1001" s="33"/>
      <c r="Q1001" s="33"/>
      <c r="R1001" s="33"/>
      <c r="S1001" s="33"/>
      <c r="T1001" s="33"/>
    </row>
    <row r="1002" spans="1:20" ht="15.6">
      <c r="A1002" s="13">
        <v>72593</v>
      </c>
      <c r="B1002" s="41">
        <f t="shared" si="6"/>
        <v>30</v>
      </c>
      <c r="C1002" s="32">
        <v>194.20500000000001</v>
      </c>
      <c r="D1002" s="32">
        <v>267.46600000000001</v>
      </c>
      <c r="E1002" s="38">
        <v>812.32899999999995</v>
      </c>
      <c r="F1002" s="32">
        <v>1274</v>
      </c>
      <c r="G1002" s="32">
        <v>50</v>
      </c>
      <c r="H1002" s="40">
        <v>600</v>
      </c>
      <c r="I1002" s="32">
        <v>695</v>
      </c>
      <c r="J1002" s="32">
        <v>0</v>
      </c>
      <c r="K1002" s="33"/>
      <c r="L1002" s="33"/>
      <c r="M1002" s="33"/>
      <c r="N1002" s="33"/>
      <c r="O1002" s="33"/>
      <c r="P1002" s="33"/>
      <c r="Q1002" s="33"/>
      <c r="R1002" s="33"/>
      <c r="S1002" s="33"/>
      <c r="T1002" s="33"/>
    </row>
    <row r="1003" spans="1:20" ht="15.6">
      <c r="A1003" s="13">
        <v>72624</v>
      </c>
      <c r="B1003" s="41">
        <f t="shared" si="6"/>
        <v>31</v>
      </c>
      <c r="C1003" s="32">
        <v>131.881</v>
      </c>
      <c r="D1003" s="32">
        <v>277.16699999999997</v>
      </c>
      <c r="E1003" s="38">
        <v>829.952</v>
      </c>
      <c r="F1003" s="32">
        <v>1239</v>
      </c>
      <c r="G1003" s="32">
        <v>75</v>
      </c>
      <c r="H1003" s="40">
        <v>600</v>
      </c>
      <c r="I1003" s="32">
        <v>695</v>
      </c>
      <c r="J1003" s="32">
        <v>0</v>
      </c>
      <c r="K1003" s="33"/>
      <c r="L1003" s="33"/>
      <c r="M1003" s="33"/>
      <c r="N1003" s="33"/>
      <c r="O1003" s="33"/>
      <c r="P1003" s="33"/>
      <c r="Q1003" s="33"/>
      <c r="R1003" s="33"/>
      <c r="S1003" s="33"/>
      <c r="T1003" s="33"/>
    </row>
    <row r="1004" spans="1:20" ht="15.6">
      <c r="A1004" s="13">
        <v>72654</v>
      </c>
      <c r="B1004" s="41">
        <f t="shared" si="6"/>
        <v>30</v>
      </c>
      <c r="C1004" s="32">
        <v>122.58</v>
      </c>
      <c r="D1004" s="32">
        <v>297.94099999999997</v>
      </c>
      <c r="E1004" s="38">
        <v>729.47900000000004</v>
      </c>
      <c r="F1004" s="32">
        <v>1150</v>
      </c>
      <c r="G1004" s="32">
        <v>100</v>
      </c>
      <c r="H1004" s="40">
        <v>600</v>
      </c>
      <c r="I1004" s="32">
        <v>695</v>
      </c>
      <c r="J1004" s="32">
        <v>50</v>
      </c>
      <c r="K1004" s="33"/>
      <c r="L1004" s="33"/>
      <c r="M1004" s="33"/>
      <c r="N1004" s="33"/>
      <c r="O1004" s="33"/>
      <c r="P1004" s="33"/>
      <c r="Q1004" s="33"/>
      <c r="R1004" s="33"/>
      <c r="S1004" s="33"/>
      <c r="T1004" s="33"/>
    </row>
    <row r="1005" spans="1:20" ht="15.6">
      <c r="A1005" s="13">
        <v>72685</v>
      </c>
      <c r="B1005" s="41">
        <f t="shared" si="6"/>
        <v>31</v>
      </c>
      <c r="C1005" s="32">
        <v>122.58</v>
      </c>
      <c r="D1005" s="32">
        <v>297.94099999999997</v>
      </c>
      <c r="E1005" s="38">
        <v>729.47900000000004</v>
      </c>
      <c r="F1005" s="32">
        <v>1150</v>
      </c>
      <c r="G1005" s="32">
        <v>100</v>
      </c>
      <c r="H1005" s="40">
        <v>600</v>
      </c>
      <c r="I1005" s="32">
        <v>695</v>
      </c>
      <c r="J1005" s="32">
        <v>50</v>
      </c>
      <c r="K1005" s="33"/>
      <c r="L1005" s="33"/>
      <c r="M1005" s="33"/>
      <c r="N1005" s="33"/>
      <c r="O1005" s="33"/>
      <c r="P1005" s="33"/>
      <c r="Q1005" s="33"/>
      <c r="R1005" s="33"/>
      <c r="S1005" s="33"/>
      <c r="T1005" s="33"/>
    </row>
    <row r="1006" spans="1:20" ht="15.6">
      <c r="A1006" s="13">
        <v>72716</v>
      </c>
      <c r="B1006" s="41">
        <f t="shared" si="6"/>
        <v>31</v>
      </c>
      <c r="C1006" s="32">
        <v>122.58</v>
      </c>
      <c r="D1006" s="32">
        <v>297.94099999999997</v>
      </c>
      <c r="E1006" s="38">
        <v>729.47900000000004</v>
      </c>
      <c r="F1006" s="32">
        <v>1150</v>
      </c>
      <c r="G1006" s="32">
        <v>100</v>
      </c>
      <c r="H1006" s="40">
        <v>600</v>
      </c>
      <c r="I1006" s="32">
        <v>695</v>
      </c>
      <c r="J1006" s="32">
        <v>50</v>
      </c>
      <c r="K1006" s="33"/>
      <c r="L1006" s="33"/>
      <c r="M1006" s="33"/>
      <c r="N1006" s="33"/>
      <c r="O1006" s="33"/>
      <c r="P1006" s="33"/>
      <c r="Q1006" s="33"/>
      <c r="R1006" s="33"/>
      <c r="S1006" s="33"/>
      <c r="T1006" s="33"/>
    </row>
    <row r="1007" spans="1:20" ht="15.6">
      <c r="A1007" s="13">
        <v>72744</v>
      </c>
      <c r="B1007" s="41">
        <f t="shared" si="6"/>
        <v>28</v>
      </c>
      <c r="C1007" s="32">
        <v>122.58</v>
      </c>
      <c r="D1007" s="32">
        <v>297.94099999999997</v>
      </c>
      <c r="E1007" s="38">
        <v>729.47900000000004</v>
      </c>
      <c r="F1007" s="32">
        <v>1150</v>
      </c>
      <c r="G1007" s="32">
        <v>100</v>
      </c>
      <c r="H1007" s="40">
        <v>600</v>
      </c>
      <c r="I1007" s="32">
        <v>695</v>
      </c>
      <c r="J1007" s="32">
        <v>50</v>
      </c>
      <c r="K1007" s="33"/>
      <c r="L1007" s="33"/>
      <c r="M1007" s="33"/>
      <c r="N1007" s="33"/>
      <c r="O1007" s="33"/>
      <c r="P1007" s="33"/>
      <c r="Q1007" s="33"/>
      <c r="R1007" s="33"/>
      <c r="S1007" s="33"/>
      <c r="T1007" s="33"/>
    </row>
    <row r="1008" spans="1:20" ht="15.6">
      <c r="A1008" s="13">
        <v>72775</v>
      </c>
      <c r="B1008" s="41">
        <f t="shared" si="6"/>
        <v>31</v>
      </c>
      <c r="C1008" s="32">
        <v>122.58</v>
      </c>
      <c r="D1008" s="32">
        <v>297.94099999999997</v>
      </c>
      <c r="E1008" s="38">
        <v>729.47900000000004</v>
      </c>
      <c r="F1008" s="32">
        <v>1150</v>
      </c>
      <c r="G1008" s="32">
        <v>100</v>
      </c>
      <c r="H1008" s="40">
        <v>600</v>
      </c>
      <c r="I1008" s="32">
        <v>695</v>
      </c>
      <c r="J1008" s="32">
        <v>50</v>
      </c>
      <c r="K1008" s="33"/>
      <c r="L1008" s="33"/>
      <c r="M1008" s="33"/>
      <c r="N1008" s="33"/>
      <c r="O1008" s="33"/>
      <c r="P1008" s="33"/>
      <c r="Q1008" s="33"/>
      <c r="R1008" s="33"/>
      <c r="S1008" s="33"/>
      <c r="T1008" s="33"/>
    </row>
    <row r="1009" spans="1:20" ht="15.6">
      <c r="A1009" s="13">
        <v>72805</v>
      </c>
      <c r="B1009" s="41">
        <f t="shared" si="6"/>
        <v>30</v>
      </c>
      <c r="C1009" s="32">
        <v>141.29300000000001</v>
      </c>
      <c r="D1009" s="32">
        <v>267.99299999999999</v>
      </c>
      <c r="E1009" s="38">
        <v>829.71400000000006</v>
      </c>
      <c r="F1009" s="32">
        <v>1239</v>
      </c>
      <c r="G1009" s="32">
        <v>100</v>
      </c>
      <c r="H1009" s="40">
        <v>600</v>
      </c>
      <c r="I1009" s="32">
        <v>695</v>
      </c>
      <c r="J1009" s="32">
        <v>50</v>
      </c>
      <c r="K1009" s="33"/>
      <c r="L1009" s="33"/>
      <c r="M1009" s="33"/>
      <c r="N1009" s="33"/>
      <c r="O1009" s="33"/>
      <c r="P1009" s="33"/>
      <c r="Q1009" s="33"/>
      <c r="R1009" s="33"/>
      <c r="S1009" s="33"/>
      <c r="T1009" s="33"/>
    </row>
    <row r="1010" spans="1:20" ht="15.6">
      <c r="A1010" s="13">
        <v>72836</v>
      </c>
      <c r="B1010" s="41">
        <f t="shared" ref="B1010:B1029" si="7">EOMONTH(A1010,0)-EOMONTH(A1010,-1)</f>
        <v>31</v>
      </c>
      <c r="C1010" s="32">
        <v>194.20500000000001</v>
      </c>
      <c r="D1010" s="32">
        <v>267.46600000000001</v>
      </c>
      <c r="E1010" s="38">
        <v>812.32899999999995</v>
      </c>
      <c r="F1010" s="32">
        <v>1274</v>
      </c>
      <c r="G1010" s="32">
        <v>75</v>
      </c>
      <c r="H1010" s="40">
        <v>600</v>
      </c>
      <c r="I1010" s="32">
        <v>695</v>
      </c>
      <c r="J1010" s="32">
        <v>50</v>
      </c>
      <c r="K1010" s="33"/>
      <c r="L1010" s="33"/>
      <c r="M1010" s="33"/>
      <c r="N1010" s="33"/>
      <c r="O1010" s="33"/>
      <c r="P1010" s="33"/>
      <c r="Q1010" s="33"/>
      <c r="R1010" s="33"/>
      <c r="S1010" s="33"/>
      <c r="T1010" s="33"/>
    </row>
    <row r="1011" spans="1:20" ht="15.6">
      <c r="A1011" s="13">
        <v>72866</v>
      </c>
      <c r="B1011" s="41">
        <f t="shared" si="7"/>
        <v>30</v>
      </c>
      <c r="C1011" s="32">
        <v>194.20500000000001</v>
      </c>
      <c r="D1011" s="32">
        <v>267.46600000000001</v>
      </c>
      <c r="E1011" s="38">
        <v>812.32899999999995</v>
      </c>
      <c r="F1011" s="32">
        <v>1274</v>
      </c>
      <c r="G1011" s="32">
        <v>50</v>
      </c>
      <c r="H1011" s="40">
        <v>600</v>
      </c>
      <c r="I1011" s="32">
        <v>695</v>
      </c>
      <c r="J1011" s="32">
        <v>50</v>
      </c>
      <c r="K1011" s="33"/>
      <c r="L1011" s="33"/>
      <c r="M1011" s="33"/>
      <c r="N1011" s="33"/>
      <c r="O1011" s="33"/>
      <c r="P1011" s="33"/>
      <c r="Q1011" s="33"/>
      <c r="R1011" s="33"/>
      <c r="S1011" s="33"/>
      <c r="T1011" s="33"/>
    </row>
    <row r="1012" spans="1:20" ht="15.6">
      <c r="A1012" s="13">
        <v>72897</v>
      </c>
      <c r="B1012" s="41">
        <f t="shared" si="7"/>
        <v>31</v>
      </c>
      <c r="C1012" s="32">
        <v>194.20500000000001</v>
      </c>
      <c r="D1012" s="32">
        <v>267.46600000000001</v>
      </c>
      <c r="E1012" s="38">
        <v>812.32899999999995</v>
      </c>
      <c r="F1012" s="32">
        <v>1274</v>
      </c>
      <c r="G1012" s="32">
        <v>50</v>
      </c>
      <c r="H1012" s="40">
        <v>600</v>
      </c>
      <c r="I1012" s="32">
        <v>695</v>
      </c>
      <c r="J1012" s="32">
        <v>0</v>
      </c>
      <c r="K1012" s="33"/>
      <c r="L1012" s="33"/>
      <c r="M1012" s="33"/>
      <c r="N1012" s="33"/>
      <c r="O1012" s="33"/>
      <c r="P1012" s="33"/>
      <c r="Q1012" s="33"/>
      <c r="R1012" s="33"/>
      <c r="S1012" s="33"/>
      <c r="T1012" s="33"/>
    </row>
    <row r="1013" spans="1:20" ht="15.6">
      <c r="A1013" s="13">
        <v>72928</v>
      </c>
      <c r="B1013" s="41">
        <f t="shared" si="7"/>
        <v>31</v>
      </c>
      <c r="C1013" s="32">
        <v>194.20500000000001</v>
      </c>
      <c r="D1013" s="32">
        <v>267.46600000000001</v>
      </c>
      <c r="E1013" s="38">
        <v>812.32899999999995</v>
      </c>
      <c r="F1013" s="32">
        <v>1274</v>
      </c>
      <c r="G1013" s="32">
        <v>50</v>
      </c>
      <c r="H1013" s="40">
        <v>600</v>
      </c>
      <c r="I1013" s="32">
        <v>695</v>
      </c>
      <c r="J1013" s="32">
        <v>0</v>
      </c>
      <c r="K1013" s="33"/>
      <c r="L1013" s="33"/>
      <c r="M1013" s="33"/>
      <c r="N1013" s="33"/>
      <c r="O1013" s="33"/>
      <c r="P1013" s="33"/>
      <c r="Q1013" s="33"/>
      <c r="R1013" s="33"/>
      <c r="S1013" s="33"/>
      <c r="T1013" s="33"/>
    </row>
    <row r="1014" spans="1:20" ht="15.6">
      <c r="A1014" s="13">
        <v>72958</v>
      </c>
      <c r="B1014" s="41">
        <f t="shared" si="7"/>
        <v>30</v>
      </c>
      <c r="C1014" s="32">
        <v>194.20500000000001</v>
      </c>
      <c r="D1014" s="32">
        <v>267.46600000000001</v>
      </c>
      <c r="E1014" s="38">
        <v>812.32899999999995</v>
      </c>
      <c r="F1014" s="32">
        <v>1274</v>
      </c>
      <c r="G1014" s="32">
        <v>50</v>
      </c>
      <c r="H1014" s="40">
        <v>600</v>
      </c>
      <c r="I1014" s="32">
        <v>695</v>
      </c>
      <c r="J1014" s="32">
        <v>0</v>
      </c>
      <c r="K1014" s="33"/>
      <c r="L1014" s="33"/>
      <c r="M1014" s="33"/>
      <c r="N1014" s="33"/>
      <c r="O1014" s="33"/>
      <c r="P1014" s="33"/>
      <c r="Q1014" s="33"/>
      <c r="R1014" s="33"/>
      <c r="S1014" s="33"/>
      <c r="T1014" s="33"/>
    </row>
    <row r="1015" spans="1:20" ht="15.6">
      <c r="A1015" s="13">
        <v>72989</v>
      </c>
      <c r="B1015" s="41">
        <f t="shared" si="7"/>
        <v>31</v>
      </c>
      <c r="C1015" s="32">
        <v>131.881</v>
      </c>
      <c r="D1015" s="32">
        <v>277.16699999999997</v>
      </c>
      <c r="E1015" s="38">
        <v>829.952</v>
      </c>
      <c r="F1015" s="32">
        <v>1239</v>
      </c>
      <c r="G1015" s="32">
        <v>75</v>
      </c>
      <c r="H1015" s="40">
        <v>600</v>
      </c>
      <c r="I1015" s="32">
        <v>695</v>
      </c>
      <c r="J1015" s="32">
        <v>0</v>
      </c>
      <c r="K1015" s="33"/>
      <c r="L1015" s="33"/>
      <c r="M1015" s="33"/>
      <c r="N1015" s="33"/>
      <c r="O1015" s="33"/>
      <c r="P1015" s="33"/>
      <c r="Q1015" s="33"/>
      <c r="R1015" s="33"/>
      <c r="S1015" s="33"/>
      <c r="T1015" s="33"/>
    </row>
    <row r="1016" spans="1:20" ht="15.6">
      <c r="A1016" s="13">
        <v>73019</v>
      </c>
      <c r="B1016" s="41">
        <f t="shared" si="7"/>
        <v>30</v>
      </c>
      <c r="C1016" s="32">
        <v>122.58</v>
      </c>
      <c r="D1016" s="32">
        <v>297.94099999999997</v>
      </c>
      <c r="E1016" s="38">
        <v>729.47900000000004</v>
      </c>
      <c r="F1016" s="32">
        <v>1150</v>
      </c>
      <c r="G1016" s="32">
        <v>100</v>
      </c>
      <c r="H1016" s="40">
        <v>600</v>
      </c>
      <c r="I1016" s="32">
        <v>695</v>
      </c>
      <c r="J1016" s="32">
        <v>50</v>
      </c>
      <c r="K1016" s="33"/>
      <c r="L1016" s="33"/>
      <c r="M1016" s="33"/>
      <c r="N1016" s="33"/>
      <c r="O1016" s="33"/>
      <c r="P1016" s="33"/>
      <c r="Q1016" s="33"/>
      <c r="R1016" s="33"/>
      <c r="S1016" s="33"/>
      <c r="T1016" s="33"/>
    </row>
    <row r="1017" spans="1:20" ht="15.6">
      <c r="A1017" s="13">
        <v>73050</v>
      </c>
      <c r="B1017" s="41">
        <f t="shared" si="7"/>
        <v>31</v>
      </c>
      <c r="C1017" s="32">
        <v>122.58</v>
      </c>
      <c r="D1017" s="32">
        <v>297.94099999999997</v>
      </c>
      <c r="E1017" s="38">
        <v>729.47900000000004</v>
      </c>
      <c r="F1017" s="32">
        <v>1150</v>
      </c>
      <c r="G1017" s="32">
        <v>100</v>
      </c>
      <c r="H1017" s="40">
        <v>600</v>
      </c>
      <c r="I1017" s="32">
        <v>695</v>
      </c>
      <c r="J1017" s="32">
        <v>50</v>
      </c>
      <c r="K1017" s="33"/>
      <c r="L1017" s="33"/>
      <c r="M1017" s="33"/>
      <c r="N1017" s="33"/>
      <c r="O1017" s="33"/>
      <c r="P1017" s="33"/>
      <c r="Q1017" s="33"/>
      <c r="R1017" s="33"/>
      <c r="S1017" s="33"/>
      <c r="T1017" s="33"/>
    </row>
    <row r="1018" spans="1:20" ht="15.6">
      <c r="A1018" s="13">
        <v>73081</v>
      </c>
      <c r="B1018" s="41">
        <f t="shared" si="7"/>
        <v>31</v>
      </c>
      <c r="C1018" s="32">
        <v>122.58</v>
      </c>
      <c r="D1018" s="32">
        <v>297.94099999999997</v>
      </c>
      <c r="E1018" s="38">
        <v>729.47900000000004</v>
      </c>
      <c r="F1018" s="32">
        <v>1150</v>
      </c>
      <c r="G1018" s="32">
        <v>100</v>
      </c>
      <c r="H1018" s="40">
        <v>600</v>
      </c>
      <c r="I1018" s="32">
        <v>695</v>
      </c>
      <c r="J1018" s="32">
        <v>50</v>
      </c>
      <c r="K1018" s="33"/>
      <c r="L1018" s="33"/>
      <c r="M1018" s="33"/>
      <c r="N1018" s="33"/>
      <c r="O1018" s="33"/>
      <c r="P1018" s="33"/>
      <c r="Q1018" s="33"/>
      <c r="R1018" s="33"/>
      <c r="S1018" s="33"/>
      <c r="T1018" s="33"/>
    </row>
    <row r="1019" spans="1:20" ht="15.6">
      <c r="A1019" s="13">
        <v>73109</v>
      </c>
      <c r="B1019" s="41">
        <f t="shared" si="7"/>
        <v>28</v>
      </c>
      <c r="C1019" s="32">
        <v>122.58</v>
      </c>
      <c r="D1019" s="32">
        <v>297.94099999999997</v>
      </c>
      <c r="E1019" s="38">
        <v>729.47900000000004</v>
      </c>
      <c r="F1019" s="32">
        <v>1150</v>
      </c>
      <c r="G1019" s="32">
        <v>100</v>
      </c>
      <c r="H1019" s="40">
        <v>600</v>
      </c>
      <c r="I1019" s="32">
        <v>695</v>
      </c>
      <c r="J1019" s="32">
        <v>50</v>
      </c>
      <c r="K1019" s="33"/>
      <c r="L1019" s="33"/>
      <c r="M1019" s="33"/>
      <c r="N1019" s="33"/>
      <c r="O1019" s="33"/>
      <c r="P1019" s="33"/>
      <c r="Q1019" s="33"/>
      <c r="R1019" s="33"/>
      <c r="S1019" s="33"/>
      <c r="T1019" s="33"/>
    </row>
    <row r="1020" spans="1:20" ht="15.6">
      <c r="A1020" s="13">
        <v>73140</v>
      </c>
      <c r="B1020" s="41">
        <f t="shared" si="7"/>
        <v>31</v>
      </c>
      <c r="C1020" s="32">
        <v>122.58</v>
      </c>
      <c r="D1020" s="32">
        <v>297.94099999999997</v>
      </c>
      <c r="E1020" s="38">
        <v>729.47900000000004</v>
      </c>
      <c r="F1020" s="32">
        <v>1150</v>
      </c>
      <c r="G1020" s="32">
        <v>100</v>
      </c>
      <c r="H1020" s="40">
        <v>600</v>
      </c>
      <c r="I1020" s="32">
        <v>695</v>
      </c>
      <c r="J1020" s="32">
        <v>50</v>
      </c>
      <c r="K1020" s="33"/>
      <c r="L1020" s="33"/>
      <c r="M1020" s="33"/>
      <c r="N1020" s="33"/>
      <c r="O1020" s="33"/>
      <c r="P1020" s="33"/>
      <c r="Q1020" s="33"/>
      <c r="R1020" s="33"/>
      <c r="S1020" s="33"/>
      <c r="T1020" s="33"/>
    </row>
    <row r="1021" spans="1:20" ht="15.6">
      <c r="A1021" s="13">
        <v>73170</v>
      </c>
      <c r="B1021" s="41">
        <f t="shared" si="7"/>
        <v>30</v>
      </c>
      <c r="C1021" s="32">
        <v>141.29300000000001</v>
      </c>
      <c r="D1021" s="32">
        <v>267.99299999999999</v>
      </c>
      <c r="E1021" s="38">
        <v>829.71400000000006</v>
      </c>
      <c r="F1021" s="32">
        <v>1239</v>
      </c>
      <c r="G1021" s="32">
        <v>100</v>
      </c>
      <c r="H1021" s="40">
        <v>600</v>
      </c>
      <c r="I1021" s="32">
        <v>695</v>
      </c>
      <c r="J1021" s="32">
        <v>50</v>
      </c>
      <c r="K1021" s="33"/>
      <c r="L1021" s="33"/>
      <c r="M1021" s="33"/>
      <c r="N1021" s="33"/>
      <c r="O1021" s="33"/>
      <c r="P1021" s="33"/>
      <c r="Q1021" s="33"/>
      <c r="R1021" s="33"/>
      <c r="S1021" s="33"/>
      <c r="T1021" s="33"/>
    </row>
    <row r="1022" spans="1:20" ht="15.6">
      <c r="A1022" s="13">
        <v>73201</v>
      </c>
      <c r="B1022" s="41">
        <f t="shared" si="7"/>
        <v>31</v>
      </c>
      <c r="C1022" s="32">
        <v>194.20500000000001</v>
      </c>
      <c r="D1022" s="32">
        <v>267.46600000000001</v>
      </c>
      <c r="E1022" s="38">
        <v>812.32899999999995</v>
      </c>
      <c r="F1022" s="32">
        <v>1274</v>
      </c>
      <c r="G1022" s="32">
        <v>75</v>
      </c>
      <c r="H1022" s="40">
        <v>600</v>
      </c>
      <c r="I1022" s="32">
        <v>695</v>
      </c>
      <c r="J1022" s="32">
        <v>50</v>
      </c>
      <c r="K1022" s="33"/>
      <c r="L1022" s="33"/>
      <c r="M1022" s="33"/>
      <c r="N1022" s="33"/>
      <c r="O1022" s="33"/>
      <c r="P1022" s="33"/>
      <c r="Q1022" s="33"/>
      <c r="R1022" s="33"/>
      <c r="S1022" s="33"/>
      <c r="T1022" s="33"/>
    </row>
    <row r="1023" spans="1:20" ht="15.6">
      <c r="A1023" s="13">
        <v>73231</v>
      </c>
      <c r="B1023" s="41">
        <f t="shared" si="7"/>
        <v>30</v>
      </c>
      <c r="C1023" s="32">
        <v>194.20500000000001</v>
      </c>
      <c r="D1023" s="32">
        <v>267.46600000000001</v>
      </c>
      <c r="E1023" s="38">
        <v>812.32899999999995</v>
      </c>
      <c r="F1023" s="32">
        <v>1274</v>
      </c>
      <c r="G1023" s="32">
        <v>50</v>
      </c>
      <c r="H1023" s="40">
        <v>600</v>
      </c>
      <c r="I1023" s="32">
        <v>695</v>
      </c>
      <c r="J1023" s="32">
        <v>50</v>
      </c>
      <c r="K1023" s="33"/>
      <c r="L1023" s="33"/>
      <c r="M1023" s="33"/>
      <c r="N1023" s="33"/>
      <c r="O1023" s="33"/>
      <c r="P1023" s="33"/>
      <c r="Q1023" s="33"/>
      <c r="R1023" s="33"/>
      <c r="S1023" s="33"/>
      <c r="T1023" s="33"/>
    </row>
    <row r="1024" spans="1:20" ht="15.6">
      <c r="A1024" s="13">
        <v>73262</v>
      </c>
      <c r="B1024" s="41">
        <f t="shared" si="7"/>
        <v>31</v>
      </c>
      <c r="C1024" s="32">
        <v>194.20500000000001</v>
      </c>
      <c r="D1024" s="32">
        <v>267.46600000000001</v>
      </c>
      <c r="E1024" s="38">
        <v>812.32899999999995</v>
      </c>
      <c r="F1024" s="32">
        <v>1274</v>
      </c>
      <c r="G1024" s="32">
        <v>50</v>
      </c>
      <c r="H1024" s="40">
        <v>600</v>
      </c>
      <c r="I1024" s="32">
        <v>695</v>
      </c>
      <c r="J1024" s="32">
        <v>0</v>
      </c>
      <c r="K1024" s="33"/>
      <c r="L1024" s="33"/>
      <c r="M1024" s="33"/>
      <c r="N1024" s="33"/>
      <c r="O1024" s="33"/>
      <c r="P1024" s="33"/>
      <c r="Q1024" s="33"/>
      <c r="R1024" s="33"/>
      <c r="S1024" s="33"/>
      <c r="T1024" s="33"/>
    </row>
    <row r="1025" spans="1:20" ht="15.6">
      <c r="A1025" s="13">
        <v>73293</v>
      </c>
      <c r="B1025" s="41">
        <f t="shared" si="7"/>
        <v>31</v>
      </c>
      <c r="C1025" s="32">
        <v>194.20500000000001</v>
      </c>
      <c r="D1025" s="32">
        <v>267.46600000000001</v>
      </c>
      <c r="E1025" s="38">
        <v>812.32899999999995</v>
      </c>
      <c r="F1025" s="32">
        <v>1274</v>
      </c>
      <c r="G1025" s="32">
        <v>50</v>
      </c>
      <c r="H1025" s="40">
        <v>600</v>
      </c>
      <c r="I1025" s="32">
        <v>695</v>
      </c>
      <c r="J1025" s="32">
        <v>0</v>
      </c>
      <c r="K1025" s="33"/>
      <c r="L1025" s="33"/>
      <c r="M1025" s="33"/>
      <c r="N1025" s="33"/>
      <c r="O1025" s="33"/>
      <c r="P1025" s="33"/>
      <c r="Q1025" s="33"/>
      <c r="R1025" s="33"/>
      <c r="S1025" s="33"/>
      <c r="T1025" s="33"/>
    </row>
    <row r="1026" spans="1:20" ht="15.6">
      <c r="A1026" s="13">
        <v>73323</v>
      </c>
      <c r="B1026" s="41">
        <f t="shared" si="7"/>
        <v>30</v>
      </c>
      <c r="C1026" s="32">
        <v>194.20500000000001</v>
      </c>
      <c r="D1026" s="32">
        <v>267.46600000000001</v>
      </c>
      <c r="E1026" s="38">
        <v>812.32899999999995</v>
      </c>
      <c r="F1026" s="32">
        <v>1274</v>
      </c>
      <c r="G1026" s="32">
        <v>50</v>
      </c>
      <c r="H1026" s="40">
        <v>600</v>
      </c>
      <c r="I1026" s="32">
        <v>695</v>
      </c>
      <c r="J1026" s="32">
        <v>0</v>
      </c>
      <c r="K1026" s="33"/>
      <c r="L1026" s="33"/>
      <c r="M1026" s="33"/>
      <c r="N1026" s="33"/>
      <c r="O1026" s="33"/>
      <c r="P1026" s="33"/>
      <c r="Q1026" s="33"/>
      <c r="R1026" s="33"/>
      <c r="S1026" s="33"/>
      <c r="T1026" s="33"/>
    </row>
    <row r="1027" spans="1:20" ht="15.6">
      <c r="A1027" s="13">
        <v>73354</v>
      </c>
      <c r="B1027" s="41">
        <f t="shared" si="7"/>
        <v>31</v>
      </c>
      <c r="C1027" s="32">
        <v>131.881</v>
      </c>
      <c r="D1027" s="32">
        <v>277.16699999999997</v>
      </c>
      <c r="E1027" s="38">
        <v>829.952</v>
      </c>
      <c r="F1027" s="32">
        <v>1239</v>
      </c>
      <c r="G1027" s="32">
        <v>75</v>
      </c>
      <c r="H1027" s="40">
        <v>600</v>
      </c>
      <c r="I1027" s="32">
        <v>695</v>
      </c>
      <c r="J1027" s="32">
        <v>0</v>
      </c>
      <c r="K1027" s="33"/>
      <c r="L1027" s="33"/>
      <c r="M1027" s="33"/>
      <c r="N1027" s="33"/>
      <c r="O1027" s="33"/>
      <c r="P1027" s="33"/>
      <c r="Q1027" s="33"/>
      <c r="R1027" s="33"/>
      <c r="S1027" s="33"/>
      <c r="T1027" s="33"/>
    </row>
    <row r="1028" spans="1:20" ht="15.6">
      <c r="A1028" s="13">
        <v>73384</v>
      </c>
      <c r="B1028" s="41">
        <f t="shared" si="7"/>
        <v>30</v>
      </c>
      <c r="C1028" s="32">
        <v>122.58</v>
      </c>
      <c r="D1028" s="32">
        <v>297.94099999999997</v>
      </c>
      <c r="E1028" s="38">
        <v>729.47900000000004</v>
      </c>
      <c r="F1028" s="32">
        <v>1150</v>
      </c>
      <c r="G1028" s="32">
        <v>100</v>
      </c>
      <c r="H1028" s="40">
        <v>600</v>
      </c>
      <c r="I1028" s="32">
        <v>695</v>
      </c>
      <c r="J1028" s="32">
        <v>50</v>
      </c>
      <c r="K1028" s="33"/>
      <c r="L1028" s="33"/>
      <c r="M1028" s="33"/>
      <c r="N1028" s="33"/>
      <c r="O1028" s="33"/>
      <c r="P1028" s="33"/>
      <c r="Q1028" s="33"/>
      <c r="R1028" s="33"/>
      <c r="S1028" s="33"/>
      <c r="T1028" s="33"/>
    </row>
    <row r="1029" spans="1:20" ht="15.6">
      <c r="A1029" s="13">
        <v>73415</v>
      </c>
      <c r="B1029" s="41">
        <f t="shared" si="7"/>
        <v>31</v>
      </c>
      <c r="C1029" s="32">
        <v>122.58</v>
      </c>
      <c r="D1029" s="32">
        <v>297.94099999999997</v>
      </c>
      <c r="E1029" s="38">
        <v>729.47900000000004</v>
      </c>
      <c r="F1029" s="32">
        <v>1150</v>
      </c>
      <c r="G1029" s="32">
        <v>100</v>
      </c>
      <c r="H1029" s="40">
        <v>600</v>
      </c>
      <c r="I1029" s="32">
        <v>695</v>
      </c>
      <c r="J1029" s="32">
        <v>50</v>
      </c>
      <c r="K1029" s="33"/>
      <c r="L1029" s="33"/>
      <c r="M1029" s="33"/>
      <c r="N1029" s="33"/>
      <c r="O1029" s="33"/>
      <c r="P1029" s="33"/>
      <c r="Q1029" s="33"/>
      <c r="R1029" s="33"/>
      <c r="S1029" s="33"/>
      <c r="T1029" s="33"/>
    </row>
    <row r="1030" spans="1:20" ht="15">
      <c r="A1030" s="10"/>
      <c r="B1030" s="39"/>
      <c r="C1030" s="32"/>
      <c r="D1030" s="32"/>
      <c r="E1030" s="38"/>
      <c r="F1030" s="32"/>
      <c r="G1030" s="32"/>
      <c r="H1030" s="32"/>
      <c r="I1030" s="32"/>
      <c r="J1030" s="32"/>
      <c r="K1030" s="33"/>
      <c r="L1030" s="33"/>
      <c r="M1030" s="33"/>
      <c r="N1030" s="33"/>
      <c r="O1030" s="33"/>
      <c r="P1030" s="33"/>
      <c r="Q1030" s="33"/>
      <c r="R1030" s="33"/>
      <c r="S1030" s="33"/>
      <c r="T1030" s="33"/>
    </row>
    <row r="1031" spans="1:20" ht="15.6">
      <c r="A1031" s="3">
        <v>2016</v>
      </c>
      <c r="B1031" s="3">
        <f t="shared" ref="B1031:B1062" si="8">DATE(A1031+1,1,1)-DATE(A1031,1,1)</f>
        <v>366</v>
      </c>
      <c r="C1031" s="35">
        <f>AVERAGE(C10:C21)</f>
        <v>154.75825</v>
      </c>
      <c r="D1031" s="35">
        <f>AVERAGE(D10:D21)</f>
        <v>281.0162499999999</v>
      </c>
      <c r="E1031" s="35">
        <f>AVERAGE(E10:E21)</f>
        <v>840.72549999999967</v>
      </c>
      <c r="F1031" s="35">
        <f>AVERAGE(F10:F21)</f>
        <v>1276.5</v>
      </c>
      <c r="G1031" s="35">
        <f>AVERAGE(G10:G21)</f>
        <v>79.166666666666671</v>
      </c>
      <c r="H1031" s="37"/>
      <c r="I1031" s="35">
        <f>AVERAGE(I10:I21)</f>
        <v>695</v>
      </c>
      <c r="J1031" s="35">
        <f>AVERAGE(J10:J21)</f>
        <v>33.333333333333336</v>
      </c>
      <c r="K1031" s="33"/>
      <c r="L1031" s="33"/>
      <c r="M1031" s="33"/>
      <c r="N1031" s="33"/>
      <c r="O1031" s="33"/>
      <c r="P1031" s="33"/>
      <c r="Q1031" s="33"/>
      <c r="R1031" s="33"/>
      <c r="S1031" s="33"/>
      <c r="T1031" s="33"/>
    </row>
    <row r="1032" spans="1:20" ht="15">
      <c r="A1032" s="3">
        <v>2017</v>
      </c>
      <c r="B1032" s="3">
        <f t="shared" si="8"/>
        <v>365</v>
      </c>
      <c r="C1032" s="35">
        <f t="shared" ref="C1032:J1032" si="9">AVERAGE(C22:C33)</f>
        <v>154.75825</v>
      </c>
      <c r="D1032" s="35">
        <f t="shared" si="9"/>
        <v>281.0162499999999</v>
      </c>
      <c r="E1032" s="35">
        <f t="shared" si="9"/>
        <v>832.18383333333304</v>
      </c>
      <c r="F1032" s="35">
        <f t="shared" si="9"/>
        <v>1267.9583333333333</v>
      </c>
      <c r="G1032" s="35">
        <f t="shared" si="9"/>
        <v>79.166666666666671</v>
      </c>
      <c r="H1032" s="36">
        <f t="shared" si="9"/>
        <v>400</v>
      </c>
      <c r="I1032" s="35">
        <f t="shared" si="9"/>
        <v>695</v>
      </c>
      <c r="J1032" s="35">
        <f t="shared" si="9"/>
        <v>33.333333333333336</v>
      </c>
      <c r="K1032" s="33"/>
      <c r="L1032" s="33"/>
      <c r="M1032" s="33"/>
      <c r="N1032" s="33"/>
      <c r="O1032" s="33"/>
      <c r="P1032" s="33"/>
      <c r="Q1032" s="33"/>
      <c r="R1032" s="33"/>
      <c r="S1032" s="33"/>
      <c r="T1032" s="33"/>
    </row>
    <row r="1033" spans="1:20" ht="15">
      <c r="A1033" s="3">
        <v>2018</v>
      </c>
      <c r="B1033" s="3">
        <f t="shared" si="8"/>
        <v>365</v>
      </c>
      <c r="C1033" s="35">
        <f t="shared" ref="C1033:J1033" si="10">AVERAGE(C34:C45)</f>
        <v>154.75825</v>
      </c>
      <c r="D1033" s="35">
        <f t="shared" si="10"/>
        <v>281.0162499999999</v>
      </c>
      <c r="E1033" s="35">
        <f t="shared" si="10"/>
        <v>780.7254999999999</v>
      </c>
      <c r="F1033" s="35">
        <f t="shared" si="10"/>
        <v>1216.5</v>
      </c>
      <c r="G1033" s="35">
        <f t="shared" si="10"/>
        <v>79.166666666666671</v>
      </c>
      <c r="H1033" s="36">
        <f t="shared" si="10"/>
        <v>400</v>
      </c>
      <c r="I1033" s="35">
        <f t="shared" si="10"/>
        <v>695</v>
      </c>
      <c r="J1033" s="35">
        <f t="shared" si="10"/>
        <v>33.333333333333336</v>
      </c>
      <c r="K1033" s="33"/>
      <c r="L1033" s="33"/>
      <c r="M1033" s="33"/>
      <c r="N1033" s="33"/>
      <c r="O1033" s="33"/>
      <c r="P1033" s="33"/>
      <c r="Q1033" s="33"/>
      <c r="R1033" s="33"/>
      <c r="S1033" s="33"/>
      <c r="T1033" s="33"/>
    </row>
    <row r="1034" spans="1:20" ht="15">
      <c r="A1034" s="3">
        <v>2019</v>
      </c>
      <c r="B1034" s="3">
        <f t="shared" si="8"/>
        <v>365</v>
      </c>
      <c r="C1034" s="35">
        <f t="shared" ref="C1034:J1034" si="11">AVERAGE(C46:C57)</f>
        <v>154.75825</v>
      </c>
      <c r="D1034" s="35">
        <f t="shared" si="11"/>
        <v>281.0162499999999</v>
      </c>
      <c r="E1034" s="35">
        <f t="shared" si="11"/>
        <v>780.7254999999999</v>
      </c>
      <c r="F1034" s="35">
        <f t="shared" si="11"/>
        <v>1216.5</v>
      </c>
      <c r="G1034" s="35">
        <f t="shared" si="11"/>
        <v>79.166666666666671</v>
      </c>
      <c r="H1034" s="36">
        <f t="shared" si="11"/>
        <v>400</v>
      </c>
      <c r="I1034" s="35">
        <f t="shared" si="11"/>
        <v>695</v>
      </c>
      <c r="J1034" s="35">
        <f t="shared" si="11"/>
        <v>33.333333333333336</v>
      </c>
      <c r="K1034" s="33"/>
      <c r="L1034" s="33"/>
      <c r="M1034" s="33"/>
      <c r="N1034" s="33"/>
      <c r="O1034" s="33"/>
      <c r="P1034" s="33"/>
      <c r="Q1034" s="33"/>
      <c r="R1034" s="33"/>
      <c r="S1034" s="33"/>
      <c r="T1034" s="33"/>
    </row>
    <row r="1035" spans="1:20" ht="15">
      <c r="A1035" s="3">
        <v>2020</v>
      </c>
      <c r="B1035" s="3">
        <f t="shared" si="8"/>
        <v>366</v>
      </c>
      <c r="C1035" s="35">
        <f t="shared" ref="C1035:J1035" si="12">AVERAGE(C58:C69)</f>
        <v>154.75825</v>
      </c>
      <c r="D1035" s="35">
        <f t="shared" si="12"/>
        <v>281.0162499999999</v>
      </c>
      <c r="E1035" s="35">
        <f t="shared" si="12"/>
        <v>780.7254999999999</v>
      </c>
      <c r="F1035" s="35">
        <f t="shared" si="12"/>
        <v>1216.5</v>
      </c>
      <c r="G1035" s="35">
        <f t="shared" si="12"/>
        <v>79.166666666666671</v>
      </c>
      <c r="H1035" s="36">
        <f t="shared" si="12"/>
        <v>533.33333333333337</v>
      </c>
      <c r="I1035" s="35">
        <f t="shared" si="12"/>
        <v>695</v>
      </c>
      <c r="J1035" s="35">
        <f t="shared" si="12"/>
        <v>33.333333333333336</v>
      </c>
      <c r="K1035" s="33"/>
      <c r="L1035" s="33"/>
      <c r="M1035" s="33"/>
      <c r="N1035" s="33"/>
      <c r="O1035" s="33"/>
      <c r="P1035" s="33"/>
      <c r="Q1035" s="33"/>
      <c r="R1035" s="33"/>
      <c r="S1035" s="33"/>
      <c r="T1035" s="33"/>
    </row>
    <row r="1036" spans="1:20" ht="15">
      <c r="A1036" s="3">
        <v>2021</v>
      </c>
      <c r="B1036" s="3">
        <f t="shared" si="8"/>
        <v>365</v>
      </c>
      <c r="C1036" s="35">
        <f t="shared" ref="C1036:J1036" si="13">AVERAGE(C70:C81)</f>
        <v>154.75825</v>
      </c>
      <c r="D1036" s="35">
        <f t="shared" si="13"/>
        <v>281.0162499999999</v>
      </c>
      <c r="E1036" s="35">
        <f t="shared" si="13"/>
        <v>780.7254999999999</v>
      </c>
      <c r="F1036" s="35">
        <f t="shared" si="13"/>
        <v>1216.5</v>
      </c>
      <c r="G1036" s="35">
        <f t="shared" si="13"/>
        <v>79.166666666666671</v>
      </c>
      <c r="H1036" s="36">
        <f t="shared" si="13"/>
        <v>600</v>
      </c>
      <c r="I1036" s="35">
        <f t="shared" si="13"/>
        <v>695</v>
      </c>
      <c r="J1036" s="35">
        <f t="shared" si="13"/>
        <v>33.333333333333336</v>
      </c>
      <c r="K1036" s="33"/>
      <c r="L1036" s="33"/>
      <c r="M1036" s="33"/>
      <c r="N1036" s="33"/>
      <c r="O1036" s="33"/>
      <c r="P1036" s="33"/>
      <c r="Q1036" s="33"/>
      <c r="R1036" s="33"/>
      <c r="S1036" s="33"/>
      <c r="T1036" s="33"/>
    </row>
    <row r="1037" spans="1:20" ht="15">
      <c r="A1037" s="3">
        <v>2022</v>
      </c>
      <c r="B1037" s="3">
        <f t="shared" si="8"/>
        <v>365</v>
      </c>
      <c r="C1037" s="35">
        <f t="shared" ref="C1037:J1037" si="14">AVERAGE(C82:C93)</f>
        <v>154.75825</v>
      </c>
      <c r="D1037" s="35">
        <f t="shared" si="14"/>
        <v>281.0162499999999</v>
      </c>
      <c r="E1037" s="35">
        <f t="shared" si="14"/>
        <v>780.7254999999999</v>
      </c>
      <c r="F1037" s="35">
        <f t="shared" si="14"/>
        <v>1216.5</v>
      </c>
      <c r="G1037" s="35">
        <f t="shared" si="14"/>
        <v>79.166666666666671</v>
      </c>
      <c r="H1037" s="36">
        <f t="shared" si="14"/>
        <v>600</v>
      </c>
      <c r="I1037" s="35">
        <f t="shared" si="14"/>
        <v>695</v>
      </c>
      <c r="J1037" s="35">
        <f t="shared" si="14"/>
        <v>33.333333333333336</v>
      </c>
      <c r="K1037" s="33"/>
      <c r="L1037" s="33"/>
      <c r="M1037" s="33"/>
      <c r="N1037" s="33"/>
      <c r="O1037" s="33"/>
      <c r="P1037" s="33"/>
      <c r="Q1037" s="33"/>
      <c r="R1037" s="33"/>
      <c r="S1037" s="33"/>
      <c r="T1037" s="33"/>
    </row>
    <row r="1038" spans="1:20" ht="15">
      <c r="A1038" s="3">
        <v>2023</v>
      </c>
      <c r="B1038" s="3">
        <f t="shared" si="8"/>
        <v>365</v>
      </c>
      <c r="C1038" s="35">
        <f t="shared" ref="C1038:J1038" si="15">AVERAGE(C94:C105)</f>
        <v>154.75825</v>
      </c>
      <c r="D1038" s="35">
        <f t="shared" si="15"/>
        <v>281.0162499999999</v>
      </c>
      <c r="E1038" s="35">
        <f t="shared" si="15"/>
        <v>780.7254999999999</v>
      </c>
      <c r="F1038" s="35">
        <f t="shared" si="15"/>
        <v>1216.5</v>
      </c>
      <c r="G1038" s="35">
        <f t="shared" si="15"/>
        <v>79.166666666666671</v>
      </c>
      <c r="H1038" s="36">
        <f t="shared" si="15"/>
        <v>600</v>
      </c>
      <c r="I1038" s="35">
        <f t="shared" si="15"/>
        <v>695</v>
      </c>
      <c r="J1038" s="35">
        <f t="shared" si="15"/>
        <v>33.333333333333336</v>
      </c>
      <c r="K1038" s="33"/>
      <c r="L1038" s="33"/>
      <c r="M1038" s="33"/>
      <c r="N1038" s="33"/>
      <c r="O1038" s="33"/>
      <c r="P1038" s="33"/>
      <c r="Q1038" s="33"/>
      <c r="R1038" s="33"/>
      <c r="S1038" s="33"/>
      <c r="T1038" s="33"/>
    </row>
    <row r="1039" spans="1:20" ht="15">
      <c r="A1039" s="3">
        <v>2024</v>
      </c>
      <c r="B1039" s="3">
        <f t="shared" si="8"/>
        <v>366</v>
      </c>
      <c r="C1039" s="35">
        <f t="shared" ref="C1039:J1039" si="16">AVERAGE(C106:C117)</f>
        <v>154.75825</v>
      </c>
      <c r="D1039" s="35">
        <f t="shared" si="16"/>
        <v>281.0162499999999</v>
      </c>
      <c r="E1039" s="35">
        <f t="shared" si="16"/>
        <v>780.7254999999999</v>
      </c>
      <c r="F1039" s="35">
        <f t="shared" si="16"/>
        <v>1216.5</v>
      </c>
      <c r="G1039" s="35">
        <f t="shared" si="16"/>
        <v>79.166666666666671</v>
      </c>
      <c r="H1039" s="36">
        <f t="shared" si="16"/>
        <v>600</v>
      </c>
      <c r="I1039" s="35">
        <f t="shared" si="16"/>
        <v>695</v>
      </c>
      <c r="J1039" s="35">
        <f t="shared" si="16"/>
        <v>33.333333333333336</v>
      </c>
      <c r="K1039" s="33"/>
      <c r="L1039" s="33"/>
      <c r="M1039" s="33"/>
      <c r="N1039" s="33"/>
      <c r="O1039" s="33"/>
      <c r="P1039" s="33"/>
      <c r="Q1039" s="33"/>
      <c r="R1039" s="33"/>
      <c r="S1039" s="33"/>
      <c r="T1039" s="33"/>
    </row>
    <row r="1040" spans="1:20" ht="15">
      <c r="A1040" s="3">
        <v>2025</v>
      </c>
      <c r="B1040" s="3">
        <f t="shared" si="8"/>
        <v>365</v>
      </c>
      <c r="C1040" s="35">
        <f t="shared" ref="C1040:J1040" si="17">AVERAGE(C118:C129)</f>
        <v>154.75825</v>
      </c>
      <c r="D1040" s="35">
        <f t="shared" si="17"/>
        <v>281.0162499999999</v>
      </c>
      <c r="E1040" s="35">
        <f t="shared" si="17"/>
        <v>780.7254999999999</v>
      </c>
      <c r="F1040" s="35">
        <f t="shared" si="17"/>
        <v>1216.5</v>
      </c>
      <c r="G1040" s="35">
        <f t="shared" si="17"/>
        <v>79.166666666666671</v>
      </c>
      <c r="H1040" s="36">
        <f t="shared" si="17"/>
        <v>600</v>
      </c>
      <c r="I1040" s="35">
        <f t="shared" si="17"/>
        <v>695</v>
      </c>
      <c r="J1040" s="35">
        <f t="shared" si="17"/>
        <v>33.333333333333336</v>
      </c>
      <c r="K1040" s="33"/>
      <c r="L1040" s="33"/>
      <c r="M1040" s="33"/>
      <c r="N1040" s="33"/>
      <c r="O1040" s="33"/>
      <c r="P1040" s="33"/>
      <c r="Q1040" s="33"/>
      <c r="R1040" s="33"/>
      <c r="S1040" s="33"/>
      <c r="T1040" s="33"/>
    </row>
    <row r="1041" spans="1:20" ht="15">
      <c r="A1041" s="3">
        <v>2026</v>
      </c>
      <c r="B1041" s="3">
        <f t="shared" si="8"/>
        <v>365</v>
      </c>
      <c r="C1041" s="35">
        <f t="shared" ref="C1041:J1041" si="18">AVERAGE(C130:C141)</f>
        <v>154.75825</v>
      </c>
      <c r="D1041" s="35">
        <f t="shared" si="18"/>
        <v>281.0162499999999</v>
      </c>
      <c r="E1041" s="35">
        <f t="shared" si="18"/>
        <v>780.7254999999999</v>
      </c>
      <c r="F1041" s="35">
        <f t="shared" si="18"/>
        <v>1216.5</v>
      </c>
      <c r="G1041" s="35">
        <f t="shared" si="18"/>
        <v>79.166666666666671</v>
      </c>
      <c r="H1041" s="36">
        <f t="shared" si="18"/>
        <v>600</v>
      </c>
      <c r="I1041" s="35">
        <f t="shared" si="18"/>
        <v>695</v>
      </c>
      <c r="J1041" s="35">
        <f t="shared" si="18"/>
        <v>33.333333333333336</v>
      </c>
      <c r="K1041" s="33"/>
      <c r="L1041" s="33"/>
      <c r="M1041" s="33"/>
      <c r="N1041" s="33"/>
      <c r="O1041" s="33"/>
      <c r="P1041" s="33"/>
      <c r="Q1041" s="33"/>
      <c r="R1041" s="33"/>
      <c r="S1041" s="33"/>
      <c r="T1041" s="33"/>
    </row>
    <row r="1042" spans="1:20" ht="15">
      <c r="A1042" s="3">
        <v>2027</v>
      </c>
      <c r="B1042" s="3">
        <f t="shared" si="8"/>
        <v>365</v>
      </c>
      <c r="C1042" s="35">
        <f t="shared" ref="C1042:J1042" si="19">AVERAGE(C142:C153)</f>
        <v>154.75825</v>
      </c>
      <c r="D1042" s="35">
        <f t="shared" si="19"/>
        <v>281.0162499999999</v>
      </c>
      <c r="E1042" s="35">
        <f t="shared" si="19"/>
        <v>780.7254999999999</v>
      </c>
      <c r="F1042" s="35">
        <f t="shared" si="19"/>
        <v>1216.5</v>
      </c>
      <c r="G1042" s="35">
        <f t="shared" si="19"/>
        <v>79.166666666666671</v>
      </c>
      <c r="H1042" s="36">
        <f t="shared" si="19"/>
        <v>600</v>
      </c>
      <c r="I1042" s="35">
        <f t="shared" si="19"/>
        <v>695</v>
      </c>
      <c r="J1042" s="35">
        <f t="shared" si="19"/>
        <v>33.333333333333336</v>
      </c>
      <c r="K1042" s="33"/>
      <c r="L1042" s="33"/>
      <c r="M1042" s="33"/>
      <c r="N1042" s="33"/>
      <c r="O1042" s="33"/>
      <c r="P1042" s="33"/>
      <c r="Q1042" s="33"/>
      <c r="R1042" s="33"/>
      <c r="S1042" s="33"/>
      <c r="T1042" s="33"/>
    </row>
    <row r="1043" spans="1:20" ht="15">
      <c r="A1043" s="3">
        <v>2028</v>
      </c>
      <c r="B1043" s="3">
        <f t="shared" si="8"/>
        <v>366</v>
      </c>
      <c r="C1043" s="35">
        <f t="shared" ref="C1043:J1043" si="20">AVERAGE(C154:C165)</f>
        <v>154.75825</v>
      </c>
      <c r="D1043" s="35">
        <f t="shared" si="20"/>
        <v>281.0162499999999</v>
      </c>
      <c r="E1043" s="35">
        <f t="shared" si="20"/>
        <v>780.7254999999999</v>
      </c>
      <c r="F1043" s="35">
        <f t="shared" si="20"/>
        <v>1216.5</v>
      </c>
      <c r="G1043" s="35">
        <f t="shared" si="20"/>
        <v>79.166666666666671</v>
      </c>
      <c r="H1043" s="36">
        <f t="shared" si="20"/>
        <v>600</v>
      </c>
      <c r="I1043" s="35">
        <f t="shared" si="20"/>
        <v>695</v>
      </c>
      <c r="J1043" s="35">
        <f t="shared" si="20"/>
        <v>33.333333333333336</v>
      </c>
      <c r="K1043" s="33"/>
      <c r="L1043" s="33"/>
      <c r="M1043" s="33"/>
      <c r="N1043" s="33"/>
      <c r="O1043" s="33"/>
      <c r="P1043" s="33"/>
      <c r="Q1043" s="33"/>
      <c r="R1043" s="33"/>
      <c r="S1043" s="33"/>
      <c r="T1043" s="33"/>
    </row>
    <row r="1044" spans="1:20" ht="15">
      <c r="A1044" s="3">
        <v>2029</v>
      </c>
      <c r="B1044" s="3">
        <f t="shared" si="8"/>
        <v>365</v>
      </c>
      <c r="C1044" s="35">
        <f t="shared" ref="C1044:J1044" si="21">AVERAGE(C166:C177)</f>
        <v>154.75825</v>
      </c>
      <c r="D1044" s="35">
        <f t="shared" si="21"/>
        <v>281.0162499999999</v>
      </c>
      <c r="E1044" s="35">
        <f t="shared" si="21"/>
        <v>780.7254999999999</v>
      </c>
      <c r="F1044" s="35">
        <f t="shared" si="21"/>
        <v>1216.5</v>
      </c>
      <c r="G1044" s="35">
        <f t="shared" si="21"/>
        <v>79.166666666666671</v>
      </c>
      <c r="H1044" s="36">
        <f t="shared" si="21"/>
        <v>600</v>
      </c>
      <c r="I1044" s="35">
        <f t="shared" si="21"/>
        <v>695</v>
      </c>
      <c r="J1044" s="35">
        <f t="shared" si="21"/>
        <v>33.333333333333336</v>
      </c>
      <c r="K1044" s="33"/>
      <c r="L1044" s="33"/>
      <c r="M1044" s="33"/>
      <c r="N1044" s="33"/>
      <c r="O1044" s="33"/>
      <c r="P1044" s="33"/>
      <c r="Q1044" s="33"/>
      <c r="R1044" s="33"/>
      <c r="S1044" s="33"/>
      <c r="T1044" s="33"/>
    </row>
    <row r="1045" spans="1:20" ht="15">
      <c r="A1045" s="3">
        <v>2030</v>
      </c>
      <c r="B1045" s="3">
        <f t="shared" si="8"/>
        <v>365</v>
      </c>
      <c r="C1045" s="35">
        <f t="shared" ref="C1045:J1045" si="22">AVERAGE(C178:C189)</f>
        <v>154.75825</v>
      </c>
      <c r="D1045" s="35">
        <f t="shared" si="22"/>
        <v>281.0162499999999</v>
      </c>
      <c r="E1045" s="35">
        <f t="shared" si="22"/>
        <v>780.7254999999999</v>
      </c>
      <c r="F1045" s="35">
        <f t="shared" si="22"/>
        <v>1216.5</v>
      </c>
      <c r="G1045" s="35">
        <f t="shared" si="22"/>
        <v>79.166666666666671</v>
      </c>
      <c r="H1045" s="36">
        <f t="shared" si="22"/>
        <v>600</v>
      </c>
      <c r="I1045" s="35">
        <f t="shared" si="22"/>
        <v>695</v>
      </c>
      <c r="J1045" s="35">
        <f t="shared" si="22"/>
        <v>33.333333333333336</v>
      </c>
      <c r="K1045" s="33"/>
      <c r="L1045" s="33"/>
      <c r="M1045" s="33"/>
      <c r="N1045" s="33"/>
      <c r="O1045" s="33"/>
      <c r="P1045" s="33"/>
      <c r="Q1045" s="33"/>
      <c r="R1045" s="33"/>
      <c r="S1045" s="33"/>
      <c r="T1045" s="33"/>
    </row>
    <row r="1046" spans="1:20" ht="15">
      <c r="A1046" s="3">
        <v>2031</v>
      </c>
      <c r="B1046" s="3">
        <f t="shared" si="8"/>
        <v>365</v>
      </c>
      <c r="C1046" s="35">
        <f t="shared" ref="C1046:J1046" si="23">AVERAGE(C190:C201)</f>
        <v>154.75825</v>
      </c>
      <c r="D1046" s="35">
        <f t="shared" si="23"/>
        <v>281.0162499999999</v>
      </c>
      <c r="E1046" s="35">
        <f t="shared" si="23"/>
        <v>780.7254999999999</v>
      </c>
      <c r="F1046" s="35">
        <f t="shared" si="23"/>
        <v>1216.5</v>
      </c>
      <c r="G1046" s="35">
        <f t="shared" si="23"/>
        <v>79.166666666666671</v>
      </c>
      <c r="H1046" s="36">
        <f t="shared" si="23"/>
        <v>600</v>
      </c>
      <c r="I1046" s="35">
        <f t="shared" si="23"/>
        <v>695</v>
      </c>
      <c r="J1046" s="35">
        <f t="shared" si="23"/>
        <v>33.333333333333336</v>
      </c>
      <c r="K1046" s="33"/>
      <c r="L1046" s="33"/>
      <c r="M1046" s="33"/>
      <c r="N1046" s="33"/>
      <c r="O1046" s="33"/>
      <c r="P1046" s="33"/>
      <c r="Q1046" s="33"/>
      <c r="R1046" s="33"/>
      <c r="S1046" s="33"/>
      <c r="T1046" s="33"/>
    </row>
    <row r="1047" spans="1:20" ht="15">
      <c r="A1047" s="3">
        <v>2032</v>
      </c>
      <c r="B1047" s="3">
        <f t="shared" si="8"/>
        <v>366</v>
      </c>
      <c r="C1047" s="35">
        <f t="shared" ref="C1047:J1047" si="24">AVERAGE(C202:C213)</f>
        <v>154.75825</v>
      </c>
      <c r="D1047" s="35">
        <f t="shared" si="24"/>
        <v>281.0162499999999</v>
      </c>
      <c r="E1047" s="35">
        <f t="shared" si="24"/>
        <v>780.7254999999999</v>
      </c>
      <c r="F1047" s="35">
        <f t="shared" si="24"/>
        <v>1216.5</v>
      </c>
      <c r="G1047" s="35">
        <f t="shared" si="24"/>
        <v>79.166666666666671</v>
      </c>
      <c r="H1047" s="36">
        <f t="shared" si="24"/>
        <v>600</v>
      </c>
      <c r="I1047" s="35">
        <f t="shared" si="24"/>
        <v>695</v>
      </c>
      <c r="J1047" s="35">
        <f t="shared" si="24"/>
        <v>33.333333333333336</v>
      </c>
      <c r="K1047" s="33"/>
      <c r="L1047" s="33"/>
      <c r="M1047" s="33"/>
      <c r="N1047" s="33"/>
      <c r="O1047" s="33"/>
      <c r="P1047" s="33"/>
      <c r="Q1047" s="33"/>
      <c r="R1047" s="33"/>
      <c r="S1047" s="33"/>
      <c r="T1047" s="33"/>
    </row>
    <row r="1048" spans="1:20" ht="15">
      <c r="A1048" s="3">
        <v>2033</v>
      </c>
      <c r="B1048" s="3">
        <f t="shared" si="8"/>
        <v>365</v>
      </c>
      <c r="C1048" s="35">
        <f t="shared" ref="C1048:J1048" si="25">AVERAGE(C214:C225)</f>
        <v>154.75825</v>
      </c>
      <c r="D1048" s="35">
        <f t="shared" si="25"/>
        <v>281.0162499999999</v>
      </c>
      <c r="E1048" s="35">
        <f t="shared" si="25"/>
        <v>780.7254999999999</v>
      </c>
      <c r="F1048" s="35">
        <f t="shared" si="25"/>
        <v>1216.5</v>
      </c>
      <c r="G1048" s="35">
        <f t="shared" si="25"/>
        <v>79.166666666666671</v>
      </c>
      <c r="H1048" s="36">
        <f t="shared" si="25"/>
        <v>600</v>
      </c>
      <c r="I1048" s="35">
        <f t="shared" si="25"/>
        <v>695</v>
      </c>
      <c r="J1048" s="35">
        <f t="shared" si="25"/>
        <v>33.333333333333336</v>
      </c>
      <c r="K1048" s="33"/>
      <c r="L1048" s="33"/>
      <c r="M1048" s="33"/>
      <c r="N1048" s="33"/>
      <c r="O1048" s="33"/>
      <c r="P1048" s="33"/>
      <c r="Q1048" s="33"/>
      <c r="R1048" s="33"/>
      <c r="S1048" s="33"/>
      <c r="T1048" s="33"/>
    </row>
    <row r="1049" spans="1:20" ht="15">
      <c r="A1049" s="3">
        <v>2034</v>
      </c>
      <c r="B1049" s="3">
        <f t="shared" si="8"/>
        <v>365</v>
      </c>
      <c r="C1049" s="35">
        <f t="shared" ref="C1049:J1049" si="26">AVERAGE(C226:C237)</f>
        <v>154.75825</v>
      </c>
      <c r="D1049" s="35">
        <f t="shared" si="26"/>
        <v>281.0162499999999</v>
      </c>
      <c r="E1049" s="35">
        <f t="shared" si="26"/>
        <v>780.7254999999999</v>
      </c>
      <c r="F1049" s="35">
        <f t="shared" si="26"/>
        <v>1216.5</v>
      </c>
      <c r="G1049" s="35">
        <f t="shared" si="26"/>
        <v>79.166666666666671</v>
      </c>
      <c r="H1049" s="36">
        <f t="shared" si="26"/>
        <v>600</v>
      </c>
      <c r="I1049" s="35">
        <f t="shared" si="26"/>
        <v>695</v>
      </c>
      <c r="J1049" s="35">
        <f t="shared" si="26"/>
        <v>33.333333333333336</v>
      </c>
      <c r="K1049" s="33"/>
      <c r="L1049" s="33"/>
      <c r="M1049" s="33"/>
      <c r="N1049" s="33"/>
      <c r="O1049" s="33"/>
      <c r="P1049" s="33"/>
      <c r="Q1049" s="33"/>
      <c r="R1049" s="33"/>
      <c r="S1049" s="33"/>
      <c r="T1049" s="33"/>
    </row>
    <row r="1050" spans="1:20" ht="15">
      <c r="A1050" s="3">
        <v>2035</v>
      </c>
      <c r="B1050" s="3">
        <f t="shared" si="8"/>
        <v>365</v>
      </c>
      <c r="C1050" s="35">
        <f t="shared" ref="C1050:J1050" si="27">AVERAGE(C238:C249)</f>
        <v>154.75825</v>
      </c>
      <c r="D1050" s="35">
        <f t="shared" si="27"/>
        <v>281.0162499999999</v>
      </c>
      <c r="E1050" s="35">
        <f t="shared" si="27"/>
        <v>780.7254999999999</v>
      </c>
      <c r="F1050" s="35">
        <f t="shared" si="27"/>
        <v>1216.5</v>
      </c>
      <c r="G1050" s="35">
        <f t="shared" si="27"/>
        <v>79.166666666666671</v>
      </c>
      <c r="H1050" s="36">
        <f t="shared" si="27"/>
        <v>600</v>
      </c>
      <c r="I1050" s="35">
        <f t="shared" si="27"/>
        <v>695</v>
      </c>
      <c r="J1050" s="35">
        <f t="shared" si="27"/>
        <v>33.333333333333336</v>
      </c>
      <c r="K1050" s="33"/>
      <c r="L1050" s="33"/>
      <c r="M1050" s="33"/>
      <c r="N1050" s="33"/>
      <c r="O1050" s="33"/>
      <c r="P1050" s="33"/>
      <c r="Q1050" s="33"/>
      <c r="R1050" s="33"/>
      <c r="S1050" s="33"/>
      <c r="T1050" s="33"/>
    </row>
    <row r="1051" spans="1:20" ht="15">
      <c r="A1051" s="3">
        <v>2036</v>
      </c>
      <c r="B1051" s="3">
        <f t="shared" si="8"/>
        <v>366</v>
      </c>
      <c r="C1051" s="35">
        <f t="shared" ref="C1051:J1051" si="28">AVERAGE(C250:C261)</f>
        <v>154.75825</v>
      </c>
      <c r="D1051" s="35">
        <f t="shared" si="28"/>
        <v>281.0162499999999</v>
      </c>
      <c r="E1051" s="35">
        <f t="shared" si="28"/>
        <v>780.7254999999999</v>
      </c>
      <c r="F1051" s="35">
        <f t="shared" si="28"/>
        <v>1216.5</v>
      </c>
      <c r="G1051" s="35">
        <f t="shared" si="28"/>
        <v>79.166666666666671</v>
      </c>
      <c r="H1051" s="36">
        <f t="shared" si="28"/>
        <v>600</v>
      </c>
      <c r="I1051" s="35">
        <f t="shared" si="28"/>
        <v>695</v>
      </c>
      <c r="J1051" s="35">
        <f t="shared" si="28"/>
        <v>33.333333333333336</v>
      </c>
      <c r="K1051" s="33"/>
      <c r="L1051" s="33"/>
      <c r="M1051" s="33"/>
      <c r="N1051" s="33"/>
      <c r="O1051" s="33"/>
      <c r="P1051" s="33"/>
      <c r="Q1051" s="33"/>
      <c r="R1051" s="33"/>
      <c r="S1051" s="33"/>
      <c r="T1051" s="33"/>
    </row>
    <row r="1052" spans="1:20" ht="15">
      <c r="A1052" s="3">
        <v>2037</v>
      </c>
      <c r="B1052" s="3">
        <f t="shared" si="8"/>
        <v>365</v>
      </c>
      <c r="C1052" s="35">
        <f t="shared" ref="C1052:J1052" si="29">AVERAGE(C262:C273)</f>
        <v>154.75825</v>
      </c>
      <c r="D1052" s="35">
        <f t="shared" si="29"/>
        <v>281.0162499999999</v>
      </c>
      <c r="E1052" s="35">
        <f t="shared" si="29"/>
        <v>780.7254999999999</v>
      </c>
      <c r="F1052" s="35">
        <f t="shared" si="29"/>
        <v>1216.5</v>
      </c>
      <c r="G1052" s="35">
        <f t="shared" si="29"/>
        <v>79.166666666666671</v>
      </c>
      <c r="H1052" s="36">
        <f t="shared" si="29"/>
        <v>600</v>
      </c>
      <c r="I1052" s="35">
        <f t="shared" si="29"/>
        <v>695</v>
      </c>
      <c r="J1052" s="35">
        <f t="shared" si="29"/>
        <v>33.333333333333336</v>
      </c>
      <c r="K1052" s="33"/>
      <c r="L1052" s="33"/>
      <c r="M1052" s="33"/>
      <c r="N1052" s="33"/>
      <c r="O1052" s="33"/>
      <c r="P1052" s="33"/>
      <c r="Q1052" s="33"/>
      <c r="R1052" s="33"/>
      <c r="S1052" s="33"/>
      <c r="T1052" s="33"/>
    </row>
    <row r="1053" spans="1:20" ht="15">
      <c r="A1053" s="3">
        <f t="shared" ref="A1053:A1084" si="30">A1052+1</f>
        <v>2038</v>
      </c>
      <c r="B1053" s="3">
        <f t="shared" si="8"/>
        <v>365</v>
      </c>
      <c r="C1053" s="32">
        <f t="shared" ref="C1053:J1053" si="31">AVERAGE(C274:C285)</f>
        <v>154.75825</v>
      </c>
      <c r="D1053" s="32">
        <f t="shared" si="31"/>
        <v>281.0162499999999</v>
      </c>
      <c r="E1053" s="32">
        <f t="shared" si="31"/>
        <v>780.7254999999999</v>
      </c>
      <c r="F1053" s="32">
        <f t="shared" si="31"/>
        <v>1216.5</v>
      </c>
      <c r="G1053" s="32">
        <f t="shared" si="31"/>
        <v>79.166666666666671</v>
      </c>
      <c r="H1053" s="34">
        <f t="shared" si="31"/>
        <v>600</v>
      </c>
      <c r="I1053" s="32">
        <f t="shared" si="31"/>
        <v>695</v>
      </c>
      <c r="J1053" s="32">
        <f t="shared" si="31"/>
        <v>33.333333333333336</v>
      </c>
      <c r="K1053" s="33"/>
      <c r="L1053" s="33"/>
      <c r="M1053" s="33"/>
      <c r="N1053" s="33"/>
      <c r="O1053" s="33"/>
      <c r="P1053" s="33"/>
      <c r="Q1053" s="33"/>
      <c r="R1053" s="33"/>
      <c r="S1053" s="33"/>
      <c r="T1053" s="33"/>
    </row>
    <row r="1054" spans="1:20" ht="15">
      <c r="A1054" s="3">
        <f t="shared" si="30"/>
        <v>2039</v>
      </c>
      <c r="B1054" s="3">
        <f t="shared" si="8"/>
        <v>365</v>
      </c>
      <c r="C1054" s="32">
        <f t="shared" ref="C1054:J1054" si="32">AVERAGE(C286:C297)</f>
        <v>154.75825</v>
      </c>
      <c r="D1054" s="32">
        <f t="shared" si="32"/>
        <v>281.0162499999999</v>
      </c>
      <c r="E1054" s="32">
        <f t="shared" si="32"/>
        <v>780.7254999999999</v>
      </c>
      <c r="F1054" s="32">
        <f t="shared" si="32"/>
        <v>1216.5</v>
      </c>
      <c r="G1054" s="32">
        <f t="shared" si="32"/>
        <v>79.166666666666671</v>
      </c>
      <c r="H1054" s="34">
        <f t="shared" si="32"/>
        <v>600</v>
      </c>
      <c r="I1054" s="32">
        <f t="shared" si="32"/>
        <v>695</v>
      </c>
      <c r="J1054" s="32">
        <f t="shared" si="32"/>
        <v>33.333333333333336</v>
      </c>
      <c r="K1054" s="33"/>
      <c r="L1054" s="33"/>
      <c r="M1054" s="33"/>
      <c r="N1054" s="33"/>
      <c r="O1054" s="33"/>
      <c r="P1054" s="33"/>
      <c r="Q1054" s="33"/>
      <c r="R1054" s="33"/>
      <c r="S1054" s="33"/>
      <c r="T1054" s="33"/>
    </row>
    <row r="1055" spans="1:20" ht="15">
      <c r="A1055" s="3">
        <f t="shared" si="30"/>
        <v>2040</v>
      </c>
      <c r="B1055" s="3">
        <f t="shared" si="8"/>
        <v>366</v>
      </c>
      <c r="C1055" s="32">
        <f t="shared" ref="C1055:J1055" si="33">AVERAGE(C298:C309)</f>
        <v>154.75825</v>
      </c>
      <c r="D1055" s="32">
        <f t="shared" si="33"/>
        <v>281.0162499999999</v>
      </c>
      <c r="E1055" s="32">
        <f t="shared" si="33"/>
        <v>780.7254999999999</v>
      </c>
      <c r="F1055" s="32">
        <f t="shared" si="33"/>
        <v>1216.5</v>
      </c>
      <c r="G1055" s="32">
        <f t="shared" si="33"/>
        <v>79.166666666666671</v>
      </c>
      <c r="H1055" s="34">
        <f t="shared" si="33"/>
        <v>600</v>
      </c>
      <c r="I1055" s="32">
        <f t="shared" si="33"/>
        <v>695</v>
      </c>
      <c r="J1055" s="32">
        <f t="shared" si="33"/>
        <v>33.333333333333336</v>
      </c>
      <c r="K1055" s="33"/>
      <c r="L1055" s="33"/>
      <c r="M1055" s="33"/>
      <c r="N1055" s="33"/>
      <c r="O1055" s="33"/>
      <c r="P1055" s="33"/>
      <c r="Q1055" s="33"/>
      <c r="R1055" s="33"/>
      <c r="S1055" s="33"/>
      <c r="T1055" s="33"/>
    </row>
    <row r="1056" spans="1:20" ht="15">
      <c r="A1056" s="3">
        <f t="shared" si="30"/>
        <v>2041</v>
      </c>
      <c r="B1056" s="3">
        <f t="shared" si="8"/>
        <v>365</v>
      </c>
      <c r="C1056" s="32">
        <f t="shared" ref="C1056:J1056" si="34">AVERAGE(C310:C321)</f>
        <v>154.75825</v>
      </c>
      <c r="D1056" s="32">
        <f t="shared" si="34"/>
        <v>281.0162499999999</v>
      </c>
      <c r="E1056" s="32">
        <f t="shared" si="34"/>
        <v>780.7254999999999</v>
      </c>
      <c r="F1056" s="32">
        <f t="shared" si="34"/>
        <v>1216.5</v>
      </c>
      <c r="G1056" s="32">
        <f t="shared" si="34"/>
        <v>79.166666666666671</v>
      </c>
      <c r="H1056" s="34">
        <f t="shared" si="34"/>
        <v>600</v>
      </c>
      <c r="I1056" s="32">
        <f t="shared" si="34"/>
        <v>695</v>
      </c>
      <c r="J1056" s="32">
        <f t="shared" si="34"/>
        <v>33.333333333333336</v>
      </c>
      <c r="K1056" s="33"/>
      <c r="L1056" s="33"/>
      <c r="M1056" s="33"/>
      <c r="N1056" s="33"/>
      <c r="O1056" s="33"/>
      <c r="P1056" s="33"/>
      <c r="Q1056" s="33"/>
      <c r="R1056" s="33"/>
      <c r="S1056" s="33"/>
      <c r="T1056" s="33"/>
    </row>
    <row r="1057" spans="1:20" ht="15">
      <c r="A1057" s="3">
        <f t="shared" si="30"/>
        <v>2042</v>
      </c>
      <c r="B1057" s="3">
        <f t="shared" si="8"/>
        <v>365</v>
      </c>
      <c r="C1057" s="32">
        <f t="shared" ref="C1057:J1057" si="35">AVERAGE(C322:C333)</f>
        <v>154.75825</v>
      </c>
      <c r="D1057" s="32">
        <f t="shared" si="35"/>
        <v>281.0162499999999</v>
      </c>
      <c r="E1057" s="32">
        <f t="shared" si="35"/>
        <v>780.7254999999999</v>
      </c>
      <c r="F1057" s="32">
        <f t="shared" si="35"/>
        <v>1216.5</v>
      </c>
      <c r="G1057" s="32">
        <f t="shared" si="35"/>
        <v>79.166666666666671</v>
      </c>
      <c r="H1057" s="34">
        <f t="shared" si="35"/>
        <v>600</v>
      </c>
      <c r="I1057" s="32">
        <f t="shared" si="35"/>
        <v>695</v>
      </c>
      <c r="J1057" s="32">
        <f t="shared" si="35"/>
        <v>33.333333333333336</v>
      </c>
      <c r="K1057" s="33"/>
      <c r="L1057" s="33"/>
      <c r="M1057" s="33"/>
      <c r="N1057" s="33"/>
      <c r="O1057" s="33"/>
      <c r="P1057" s="33"/>
      <c r="Q1057" s="33"/>
      <c r="R1057" s="33"/>
      <c r="S1057" s="33"/>
      <c r="T1057" s="33"/>
    </row>
    <row r="1058" spans="1:20" ht="15">
      <c r="A1058" s="3">
        <f t="shared" si="30"/>
        <v>2043</v>
      </c>
      <c r="B1058" s="3">
        <f t="shared" si="8"/>
        <v>365</v>
      </c>
      <c r="C1058" s="32">
        <f t="shared" ref="C1058:J1058" si="36">AVERAGE(C334:C345)</f>
        <v>154.75825</v>
      </c>
      <c r="D1058" s="32">
        <f t="shared" si="36"/>
        <v>281.0162499999999</v>
      </c>
      <c r="E1058" s="32">
        <f t="shared" si="36"/>
        <v>780.7254999999999</v>
      </c>
      <c r="F1058" s="32">
        <f t="shared" si="36"/>
        <v>1216.5</v>
      </c>
      <c r="G1058" s="32">
        <f t="shared" si="36"/>
        <v>79.166666666666671</v>
      </c>
      <c r="H1058" s="34">
        <f t="shared" si="36"/>
        <v>600</v>
      </c>
      <c r="I1058" s="32">
        <f t="shared" si="36"/>
        <v>695</v>
      </c>
      <c r="J1058" s="32">
        <f t="shared" si="36"/>
        <v>33.333333333333336</v>
      </c>
      <c r="K1058" s="33"/>
      <c r="L1058" s="33"/>
      <c r="M1058" s="33"/>
      <c r="N1058" s="33"/>
      <c r="O1058" s="33"/>
      <c r="P1058" s="33"/>
      <c r="Q1058" s="33"/>
      <c r="R1058" s="33"/>
      <c r="S1058" s="33"/>
      <c r="T1058" s="33"/>
    </row>
    <row r="1059" spans="1:20" ht="15">
      <c r="A1059" s="3">
        <f t="shared" si="30"/>
        <v>2044</v>
      </c>
      <c r="B1059" s="3">
        <f t="shared" si="8"/>
        <v>366</v>
      </c>
      <c r="C1059" s="32">
        <f t="shared" ref="C1059:J1059" si="37">AVERAGE(C346:C357)</f>
        <v>154.75825</v>
      </c>
      <c r="D1059" s="32">
        <f t="shared" si="37"/>
        <v>281.0162499999999</v>
      </c>
      <c r="E1059" s="32">
        <f t="shared" si="37"/>
        <v>780.7254999999999</v>
      </c>
      <c r="F1059" s="32">
        <f t="shared" si="37"/>
        <v>1216.5</v>
      </c>
      <c r="G1059" s="32">
        <f t="shared" si="37"/>
        <v>79.166666666666671</v>
      </c>
      <c r="H1059" s="34">
        <f t="shared" si="37"/>
        <v>600</v>
      </c>
      <c r="I1059" s="32">
        <f t="shared" si="37"/>
        <v>695</v>
      </c>
      <c r="J1059" s="32">
        <f t="shared" si="37"/>
        <v>33.333333333333336</v>
      </c>
      <c r="K1059" s="33"/>
      <c r="L1059" s="33"/>
      <c r="M1059" s="33"/>
      <c r="N1059" s="33"/>
      <c r="O1059" s="33"/>
      <c r="P1059" s="33"/>
      <c r="Q1059" s="33"/>
      <c r="R1059" s="33"/>
      <c r="S1059" s="33"/>
      <c r="T1059" s="33"/>
    </row>
    <row r="1060" spans="1:20" ht="15">
      <c r="A1060" s="3">
        <f t="shared" si="30"/>
        <v>2045</v>
      </c>
      <c r="B1060" s="3">
        <f t="shared" si="8"/>
        <v>365</v>
      </c>
      <c r="C1060" s="32">
        <f t="shared" ref="C1060:J1060" si="38">AVERAGE(C358:C369)</f>
        <v>154.75825</v>
      </c>
      <c r="D1060" s="32">
        <f t="shared" si="38"/>
        <v>281.0162499999999</v>
      </c>
      <c r="E1060" s="32">
        <f t="shared" si="38"/>
        <v>780.7254999999999</v>
      </c>
      <c r="F1060" s="32">
        <f t="shared" si="38"/>
        <v>1216.5</v>
      </c>
      <c r="G1060" s="32">
        <f t="shared" si="38"/>
        <v>79.166666666666671</v>
      </c>
      <c r="H1060" s="34">
        <f t="shared" si="38"/>
        <v>600</v>
      </c>
      <c r="I1060" s="32">
        <f t="shared" si="38"/>
        <v>695</v>
      </c>
      <c r="J1060" s="32">
        <f t="shared" si="38"/>
        <v>33.333333333333336</v>
      </c>
      <c r="K1060" s="33"/>
      <c r="L1060" s="33"/>
      <c r="M1060" s="33"/>
      <c r="N1060" s="33"/>
      <c r="O1060" s="33"/>
      <c r="P1060" s="33"/>
      <c r="Q1060" s="33"/>
      <c r="R1060" s="33"/>
      <c r="S1060" s="33"/>
      <c r="T1060" s="33"/>
    </row>
    <row r="1061" spans="1:20" ht="15">
      <c r="A1061" s="3">
        <f t="shared" si="30"/>
        <v>2046</v>
      </c>
      <c r="B1061" s="3">
        <f t="shared" si="8"/>
        <v>365</v>
      </c>
      <c r="C1061" s="32">
        <f t="shared" ref="C1061:J1061" si="39">AVERAGE(C370:C381)</f>
        <v>154.75825</v>
      </c>
      <c r="D1061" s="32">
        <f t="shared" si="39"/>
        <v>281.0162499999999</v>
      </c>
      <c r="E1061" s="32">
        <f t="shared" si="39"/>
        <v>780.7254999999999</v>
      </c>
      <c r="F1061" s="32">
        <f t="shared" si="39"/>
        <v>1216.5</v>
      </c>
      <c r="G1061" s="32">
        <f t="shared" si="39"/>
        <v>79.166666666666671</v>
      </c>
      <c r="H1061" s="34">
        <f t="shared" si="39"/>
        <v>600</v>
      </c>
      <c r="I1061" s="32">
        <f t="shared" si="39"/>
        <v>695</v>
      </c>
      <c r="J1061" s="32">
        <f t="shared" si="39"/>
        <v>33.333333333333336</v>
      </c>
      <c r="K1061" s="33"/>
      <c r="L1061" s="33"/>
      <c r="M1061" s="33"/>
      <c r="N1061" s="33"/>
      <c r="O1061" s="33"/>
      <c r="P1061" s="33"/>
      <c r="Q1061" s="33"/>
      <c r="R1061" s="33"/>
      <c r="S1061" s="33"/>
      <c r="T1061" s="33"/>
    </row>
    <row r="1062" spans="1:20" ht="15">
      <c r="A1062" s="3">
        <f t="shared" si="30"/>
        <v>2047</v>
      </c>
      <c r="B1062" s="3">
        <f t="shared" si="8"/>
        <v>365</v>
      </c>
      <c r="C1062" s="32">
        <f t="shared" ref="C1062:J1062" si="40">AVERAGE(C382:C393)</f>
        <v>154.75825</v>
      </c>
      <c r="D1062" s="32">
        <f t="shared" si="40"/>
        <v>281.0162499999999</v>
      </c>
      <c r="E1062" s="32">
        <f t="shared" si="40"/>
        <v>780.7254999999999</v>
      </c>
      <c r="F1062" s="32">
        <f t="shared" si="40"/>
        <v>1216.5</v>
      </c>
      <c r="G1062" s="32">
        <f t="shared" si="40"/>
        <v>79.166666666666671</v>
      </c>
      <c r="H1062" s="34">
        <f t="shared" si="40"/>
        <v>600</v>
      </c>
      <c r="I1062" s="32">
        <f t="shared" si="40"/>
        <v>695</v>
      </c>
      <c r="J1062" s="32">
        <f t="shared" si="40"/>
        <v>33.333333333333336</v>
      </c>
      <c r="K1062" s="33"/>
      <c r="L1062" s="33"/>
      <c r="M1062" s="33"/>
      <c r="N1062" s="33"/>
      <c r="O1062" s="33"/>
      <c r="P1062" s="33"/>
      <c r="Q1062" s="33"/>
      <c r="R1062" s="33"/>
      <c r="S1062" s="33"/>
      <c r="T1062" s="33"/>
    </row>
    <row r="1063" spans="1:20" ht="15">
      <c r="A1063" s="3">
        <f t="shared" si="30"/>
        <v>2048</v>
      </c>
      <c r="B1063" s="3">
        <f t="shared" ref="B1063:B1094" si="41">DATE(A1063+1,1,1)-DATE(A1063,1,1)</f>
        <v>366</v>
      </c>
      <c r="C1063" s="32">
        <f t="shared" ref="C1063:J1063" si="42">AVERAGE(C394:C405)</f>
        <v>154.75825</v>
      </c>
      <c r="D1063" s="32">
        <f t="shared" si="42"/>
        <v>281.0162499999999</v>
      </c>
      <c r="E1063" s="32">
        <f t="shared" si="42"/>
        <v>780.7254999999999</v>
      </c>
      <c r="F1063" s="32">
        <f t="shared" si="42"/>
        <v>1216.5</v>
      </c>
      <c r="G1063" s="32">
        <f t="shared" si="42"/>
        <v>79.166666666666671</v>
      </c>
      <c r="H1063" s="34">
        <f t="shared" si="42"/>
        <v>600</v>
      </c>
      <c r="I1063" s="32">
        <f t="shared" si="42"/>
        <v>695</v>
      </c>
      <c r="J1063" s="32">
        <f t="shared" si="42"/>
        <v>33.333333333333336</v>
      </c>
      <c r="K1063" s="33"/>
      <c r="L1063" s="33"/>
      <c r="M1063" s="33"/>
      <c r="N1063" s="33"/>
      <c r="O1063" s="33"/>
      <c r="P1063" s="33"/>
      <c r="Q1063" s="33"/>
      <c r="R1063" s="33"/>
      <c r="S1063" s="33"/>
      <c r="T1063" s="33"/>
    </row>
    <row r="1064" spans="1:20" ht="15">
      <c r="A1064" s="3">
        <f t="shared" si="30"/>
        <v>2049</v>
      </c>
      <c r="B1064" s="3">
        <f t="shared" si="41"/>
        <v>365</v>
      </c>
      <c r="C1064" s="32">
        <f t="shared" ref="C1064:J1064" si="43">AVERAGE(C406:C417)</f>
        <v>154.75825</v>
      </c>
      <c r="D1064" s="32">
        <f t="shared" si="43"/>
        <v>281.0162499999999</v>
      </c>
      <c r="E1064" s="32">
        <f t="shared" si="43"/>
        <v>780.7254999999999</v>
      </c>
      <c r="F1064" s="32">
        <f t="shared" si="43"/>
        <v>1216.5</v>
      </c>
      <c r="G1064" s="32">
        <f t="shared" si="43"/>
        <v>79.166666666666671</v>
      </c>
      <c r="H1064" s="34">
        <f t="shared" si="43"/>
        <v>600</v>
      </c>
      <c r="I1064" s="32">
        <f t="shared" si="43"/>
        <v>695</v>
      </c>
      <c r="J1064" s="32">
        <f t="shared" si="43"/>
        <v>33.333333333333336</v>
      </c>
      <c r="K1064" s="33"/>
      <c r="L1064" s="33"/>
      <c r="M1064" s="33"/>
      <c r="N1064" s="33"/>
      <c r="O1064" s="33"/>
      <c r="P1064" s="33"/>
      <c r="Q1064" s="33"/>
      <c r="R1064" s="33"/>
      <c r="S1064" s="33"/>
      <c r="T1064" s="33"/>
    </row>
    <row r="1065" spans="1:20" ht="15">
      <c r="A1065" s="3">
        <f t="shared" si="30"/>
        <v>2050</v>
      </c>
      <c r="B1065" s="3">
        <f t="shared" si="41"/>
        <v>365</v>
      </c>
      <c r="C1065" s="32">
        <f t="shared" ref="C1065:J1065" si="44">AVERAGE(C418:C429)</f>
        <v>154.75825</v>
      </c>
      <c r="D1065" s="32">
        <f t="shared" si="44"/>
        <v>281.0162499999999</v>
      </c>
      <c r="E1065" s="32">
        <f t="shared" si="44"/>
        <v>780.7254999999999</v>
      </c>
      <c r="F1065" s="32">
        <f t="shared" si="44"/>
        <v>1216.5</v>
      </c>
      <c r="G1065" s="32">
        <f t="shared" si="44"/>
        <v>79.166666666666671</v>
      </c>
      <c r="H1065" s="34">
        <f t="shared" si="44"/>
        <v>600</v>
      </c>
      <c r="I1065" s="32">
        <f t="shared" si="44"/>
        <v>695</v>
      </c>
      <c r="J1065" s="32">
        <f t="shared" si="44"/>
        <v>33.333333333333336</v>
      </c>
      <c r="K1065" s="33"/>
      <c r="L1065" s="33"/>
      <c r="M1065" s="33"/>
      <c r="N1065" s="33"/>
      <c r="O1065" s="33"/>
      <c r="P1065" s="33"/>
      <c r="Q1065" s="33"/>
      <c r="R1065" s="33"/>
      <c r="S1065" s="33"/>
      <c r="T1065" s="33"/>
    </row>
    <row r="1066" spans="1:20" ht="15">
      <c r="A1066" s="3">
        <f t="shared" si="30"/>
        <v>2051</v>
      </c>
      <c r="B1066" s="3">
        <f t="shared" si="41"/>
        <v>365</v>
      </c>
      <c r="C1066" s="32">
        <f t="shared" ref="C1066:J1066" si="45">AVERAGE(C430:C441)</f>
        <v>154.75825</v>
      </c>
      <c r="D1066" s="32">
        <f t="shared" si="45"/>
        <v>281.0162499999999</v>
      </c>
      <c r="E1066" s="32">
        <f t="shared" si="45"/>
        <v>780.7254999999999</v>
      </c>
      <c r="F1066" s="32">
        <f t="shared" si="45"/>
        <v>1216.5</v>
      </c>
      <c r="G1066" s="32">
        <f t="shared" si="45"/>
        <v>79.166666666666671</v>
      </c>
      <c r="H1066" s="34">
        <f t="shared" si="45"/>
        <v>600</v>
      </c>
      <c r="I1066" s="32">
        <f t="shared" si="45"/>
        <v>695</v>
      </c>
      <c r="J1066" s="32">
        <f t="shared" si="45"/>
        <v>33.333333333333336</v>
      </c>
      <c r="K1066" s="33"/>
      <c r="L1066" s="33"/>
      <c r="M1066" s="33"/>
      <c r="N1066" s="33"/>
      <c r="O1066" s="33"/>
      <c r="P1066" s="33"/>
      <c r="Q1066" s="33"/>
      <c r="R1066" s="33"/>
      <c r="S1066" s="33"/>
      <c r="T1066" s="33"/>
    </row>
    <row r="1067" spans="1:20" ht="15">
      <c r="A1067" s="3">
        <f t="shared" si="30"/>
        <v>2052</v>
      </c>
      <c r="B1067" s="3">
        <f t="shared" si="41"/>
        <v>366</v>
      </c>
      <c r="C1067" s="32">
        <f t="shared" ref="C1067:J1067" si="46">AVERAGE(C442:C453)</f>
        <v>154.75825</v>
      </c>
      <c r="D1067" s="32">
        <f t="shared" si="46"/>
        <v>281.0162499999999</v>
      </c>
      <c r="E1067" s="32">
        <f t="shared" si="46"/>
        <v>780.7254999999999</v>
      </c>
      <c r="F1067" s="32">
        <f t="shared" si="46"/>
        <v>1216.5</v>
      </c>
      <c r="G1067" s="32">
        <f t="shared" si="46"/>
        <v>79.166666666666671</v>
      </c>
      <c r="H1067" s="34">
        <f t="shared" si="46"/>
        <v>600</v>
      </c>
      <c r="I1067" s="32">
        <f t="shared" si="46"/>
        <v>695</v>
      </c>
      <c r="J1067" s="32">
        <f t="shared" si="46"/>
        <v>33.333333333333336</v>
      </c>
      <c r="K1067" s="33"/>
      <c r="L1067" s="33"/>
      <c r="M1067" s="33"/>
      <c r="N1067" s="33"/>
      <c r="O1067" s="33"/>
      <c r="P1067" s="33"/>
      <c r="Q1067" s="33"/>
      <c r="R1067" s="33"/>
      <c r="S1067" s="33"/>
      <c r="T1067" s="33"/>
    </row>
    <row r="1068" spans="1:20" ht="15">
      <c r="A1068" s="3">
        <f t="shared" si="30"/>
        <v>2053</v>
      </c>
      <c r="B1068" s="3">
        <f t="shared" si="41"/>
        <v>365</v>
      </c>
      <c r="C1068" s="32">
        <f t="shared" ref="C1068:J1068" si="47">AVERAGE(C454:C465)</f>
        <v>154.75825</v>
      </c>
      <c r="D1068" s="32">
        <f t="shared" si="47"/>
        <v>281.0162499999999</v>
      </c>
      <c r="E1068" s="32">
        <f t="shared" si="47"/>
        <v>780.7254999999999</v>
      </c>
      <c r="F1068" s="32">
        <f t="shared" si="47"/>
        <v>1216.5</v>
      </c>
      <c r="G1068" s="32">
        <f t="shared" si="47"/>
        <v>79.166666666666671</v>
      </c>
      <c r="H1068" s="34">
        <f t="shared" si="47"/>
        <v>600</v>
      </c>
      <c r="I1068" s="32">
        <f t="shared" si="47"/>
        <v>695</v>
      </c>
      <c r="J1068" s="32">
        <f t="shared" si="47"/>
        <v>33.333333333333336</v>
      </c>
      <c r="K1068" s="33"/>
      <c r="L1068" s="33"/>
      <c r="M1068" s="33"/>
      <c r="N1068" s="33"/>
      <c r="O1068" s="33"/>
      <c r="P1068" s="33"/>
      <c r="Q1068" s="33"/>
      <c r="R1068" s="33"/>
      <c r="S1068" s="33"/>
      <c r="T1068" s="33"/>
    </row>
    <row r="1069" spans="1:20" ht="15">
      <c r="A1069" s="3">
        <f t="shared" si="30"/>
        <v>2054</v>
      </c>
      <c r="B1069" s="3">
        <f t="shared" si="41"/>
        <v>365</v>
      </c>
      <c r="C1069" s="32">
        <f t="shared" ref="C1069:J1076" si="48">AVERAGE(C466:C477)</f>
        <v>154.75825</v>
      </c>
      <c r="D1069" s="32">
        <f t="shared" si="48"/>
        <v>281.0162499999999</v>
      </c>
      <c r="E1069" s="32">
        <f t="shared" si="48"/>
        <v>780.7254999999999</v>
      </c>
      <c r="F1069" s="32">
        <f t="shared" si="48"/>
        <v>1216.5</v>
      </c>
      <c r="G1069" s="32">
        <f t="shared" si="48"/>
        <v>79.166666666666671</v>
      </c>
      <c r="H1069" s="34">
        <f t="shared" si="48"/>
        <v>600</v>
      </c>
      <c r="I1069" s="32">
        <f t="shared" si="48"/>
        <v>695</v>
      </c>
      <c r="J1069" s="32">
        <f t="shared" si="48"/>
        <v>33.333333333333336</v>
      </c>
      <c r="K1069" s="33"/>
      <c r="L1069" s="33"/>
      <c r="M1069" s="33"/>
      <c r="N1069" s="33"/>
      <c r="O1069" s="33"/>
      <c r="P1069" s="33"/>
      <c r="Q1069" s="33"/>
      <c r="R1069" s="33"/>
      <c r="S1069" s="33"/>
      <c r="T1069" s="33"/>
    </row>
    <row r="1070" spans="1:20" ht="15">
      <c r="A1070" s="3">
        <f t="shared" si="30"/>
        <v>2055</v>
      </c>
      <c r="B1070" s="3">
        <f t="shared" si="41"/>
        <v>365</v>
      </c>
      <c r="C1070" s="32">
        <f t="shared" si="48"/>
        <v>154.75825</v>
      </c>
      <c r="D1070" s="32">
        <f t="shared" si="48"/>
        <v>281.0162499999999</v>
      </c>
      <c r="E1070" s="32">
        <f t="shared" si="48"/>
        <v>780.7254999999999</v>
      </c>
      <c r="F1070" s="32">
        <f t="shared" si="48"/>
        <v>1216.5</v>
      </c>
      <c r="G1070" s="32">
        <f t="shared" si="48"/>
        <v>79.166666666666671</v>
      </c>
      <c r="H1070" s="34">
        <f t="shared" si="48"/>
        <v>600</v>
      </c>
      <c r="I1070" s="32">
        <f t="shared" si="48"/>
        <v>695</v>
      </c>
      <c r="J1070" s="32">
        <f t="shared" si="48"/>
        <v>33.333333333333336</v>
      </c>
      <c r="K1070" s="33"/>
      <c r="L1070" s="33"/>
      <c r="M1070" s="33"/>
      <c r="N1070" s="33"/>
      <c r="O1070" s="33"/>
      <c r="P1070" s="33"/>
      <c r="Q1070" s="33"/>
      <c r="R1070" s="33"/>
      <c r="S1070" s="33"/>
      <c r="T1070" s="33"/>
    </row>
    <row r="1071" spans="1:20" ht="15">
      <c r="A1071" s="3">
        <f t="shared" si="30"/>
        <v>2056</v>
      </c>
      <c r="B1071" s="3">
        <f t="shared" si="41"/>
        <v>366</v>
      </c>
      <c r="C1071" s="32">
        <f t="shared" si="48"/>
        <v>154.75824999999998</v>
      </c>
      <c r="D1071" s="32">
        <f t="shared" si="48"/>
        <v>281.0162499999999</v>
      </c>
      <c r="E1071" s="32">
        <f t="shared" si="48"/>
        <v>780.7254999999999</v>
      </c>
      <c r="F1071" s="32">
        <f t="shared" si="48"/>
        <v>1216.5</v>
      </c>
      <c r="G1071" s="32">
        <f t="shared" si="48"/>
        <v>79.166666666666671</v>
      </c>
      <c r="H1071" s="34">
        <f t="shared" si="48"/>
        <v>600</v>
      </c>
      <c r="I1071" s="32">
        <f t="shared" si="48"/>
        <v>695</v>
      </c>
      <c r="J1071" s="32">
        <f t="shared" si="48"/>
        <v>33.333333333333336</v>
      </c>
      <c r="K1071" s="33"/>
      <c r="L1071" s="33"/>
      <c r="M1071" s="33"/>
      <c r="N1071" s="33"/>
      <c r="O1071" s="33"/>
      <c r="P1071" s="33"/>
      <c r="Q1071" s="33"/>
      <c r="R1071" s="33"/>
      <c r="S1071" s="33"/>
      <c r="T1071" s="33"/>
    </row>
    <row r="1072" spans="1:20" ht="15">
      <c r="A1072" s="3">
        <f t="shared" si="30"/>
        <v>2057</v>
      </c>
      <c r="B1072" s="3">
        <f t="shared" si="41"/>
        <v>365</v>
      </c>
      <c r="C1072" s="32">
        <f t="shared" si="48"/>
        <v>154.75825</v>
      </c>
      <c r="D1072" s="32">
        <f t="shared" si="48"/>
        <v>281.0162499999999</v>
      </c>
      <c r="E1072" s="32">
        <f t="shared" si="48"/>
        <v>780.72550000000001</v>
      </c>
      <c r="F1072" s="32">
        <f t="shared" si="48"/>
        <v>1216.5</v>
      </c>
      <c r="G1072" s="32">
        <f t="shared" si="48"/>
        <v>79.166666666666671</v>
      </c>
      <c r="H1072" s="34">
        <f t="shared" si="48"/>
        <v>600</v>
      </c>
      <c r="I1072" s="32">
        <f t="shared" si="48"/>
        <v>695</v>
      </c>
      <c r="J1072" s="32">
        <f t="shared" si="48"/>
        <v>33.333333333333336</v>
      </c>
      <c r="K1072" s="33"/>
      <c r="L1072" s="33"/>
      <c r="M1072" s="33"/>
      <c r="N1072" s="33"/>
      <c r="O1072" s="33"/>
      <c r="P1072" s="33"/>
      <c r="Q1072" s="33"/>
      <c r="R1072" s="33"/>
      <c r="S1072" s="33"/>
      <c r="T1072" s="33"/>
    </row>
    <row r="1073" spans="1:20" ht="15">
      <c r="A1073" s="3">
        <f t="shared" si="30"/>
        <v>2058</v>
      </c>
      <c r="B1073" s="3">
        <f t="shared" si="41"/>
        <v>365</v>
      </c>
      <c r="C1073" s="32">
        <f t="shared" si="48"/>
        <v>154.75824999999998</v>
      </c>
      <c r="D1073" s="32">
        <f t="shared" si="48"/>
        <v>281.01624999999996</v>
      </c>
      <c r="E1073" s="32">
        <f t="shared" si="48"/>
        <v>780.72550000000001</v>
      </c>
      <c r="F1073" s="32">
        <f t="shared" si="48"/>
        <v>1216.5</v>
      </c>
      <c r="G1073" s="32">
        <f t="shared" si="48"/>
        <v>79.166666666666671</v>
      </c>
      <c r="H1073" s="34">
        <f t="shared" si="48"/>
        <v>600</v>
      </c>
      <c r="I1073" s="32">
        <f t="shared" si="48"/>
        <v>695</v>
      </c>
      <c r="J1073" s="32">
        <f t="shared" si="48"/>
        <v>33.333333333333336</v>
      </c>
      <c r="K1073" s="33"/>
      <c r="L1073" s="33"/>
      <c r="M1073" s="33"/>
      <c r="N1073" s="33"/>
      <c r="O1073" s="33"/>
      <c r="P1073" s="33"/>
      <c r="Q1073" s="33"/>
      <c r="R1073" s="33"/>
      <c r="S1073" s="33"/>
      <c r="T1073" s="33"/>
    </row>
    <row r="1074" spans="1:20" ht="15">
      <c r="A1074" s="3">
        <f t="shared" si="30"/>
        <v>2059</v>
      </c>
      <c r="B1074" s="3">
        <f t="shared" si="41"/>
        <v>365</v>
      </c>
      <c r="C1074" s="32">
        <f t="shared" si="48"/>
        <v>154.75824999999998</v>
      </c>
      <c r="D1074" s="32">
        <f t="shared" si="48"/>
        <v>281.01624999999996</v>
      </c>
      <c r="E1074" s="32">
        <f t="shared" si="48"/>
        <v>780.72550000000012</v>
      </c>
      <c r="F1074" s="32">
        <f t="shared" si="48"/>
        <v>1216.5</v>
      </c>
      <c r="G1074" s="32">
        <f t="shared" si="48"/>
        <v>79.166666666666671</v>
      </c>
      <c r="H1074" s="34">
        <f t="shared" si="48"/>
        <v>600</v>
      </c>
      <c r="I1074" s="32">
        <f t="shared" si="48"/>
        <v>695</v>
      </c>
      <c r="J1074" s="32">
        <f t="shared" si="48"/>
        <v>33.333333333333336</v>
      </c>
      <c r="K1074" s="33"/>
      <c r="L1074" s="33"/>
      <c r="M1074" s="33"/>
      <c r="N1074" s="33"/>
      <c r="O1074" s="33"/>
      <c r="P1074" s="33"/>
      <c r="Q1074" s="33"/>
      <c r="R1074" s="33"/>
      <c r="S1074" s="33"/>
      <c r="T1074" s="33"/>
    </row>
    <row r="1075" spans="1:20" ht="15">
      <c r="A1075" s="3">
        <f t="shared" si="30"/>
        <v>2060</v>
      </c>
      <c r="B1075" s="3">
        <f t="shared" si="41"/>
        <v>366</v>
      </c>
      <c r="C1075" s="32">
        <f t="shared" si="48"/>
        <v>154.75824999999998</v>
      </c>
      <c r="D1075" s="32">
        <f t="shared" si="48"/>
        <v>281.01624999999996</v>
      </c>
      <c r="E1075" s="32">
        <f t="shared" si="48"/>
        <v>780.72550000000012</v>
      </c>
      <c r="F1075" s="32">
        <f t="shared" si="48"/>
        <v>1216.5</v>
      </c>
      <c r="G1075" s="32">
        <f t="shared" si="48"/>
        <v>79.166666666666671</v>
      </c>
      <c r="H1075" s="34">
        <f t="shared" si="48"/>
        <v>600</v>
      </c>
      <c r="I1075" s="32">
        <f t="shared" si="48"/>
        <v>695</v>
      </c>
      <c r="J1075" s="32">
        <f t="shared" si="48"/>
        <v>33.333333333333336</v>
      </c>
      <c r="K1075" s="33"/>
      <c r="L1075" s="33"/>
      <c r="M1075" s="33"/>
      <c r="N1075" s="33"/>
      <c r="O1075" s="33"/>
      <c r="P1075" s="33"/>
      <c r="Q1075" s="33"/>
      <c r="R1075" s="33"/>
      <c r="S1075" s="33"/>
      <c r="T1075" s="33"/>
    </row>
    <row r="1076" spans="1:20" ht="15">
      <c r="A1076" s="3">
        <f t="shared" si="30"/>
        <v>2061</v>
      </c>
      <c r="B1076" s="3">
        <f t="shared" si="41"/>
        <v>365</v>
      </c>
      <c r="C1076" s="32">
        <f t="shared" si="48"/>
        <v>154.75825</v>
      </c>
      <c r="D1076" s="32">
        <f t="shared" si="48"/>
        <v>281.01624999999996</v>
      </c>
      <c r="E1076" s="32">
        <f t="shared" si="48"/>
        <v>780.72550000000001</v>
      </c>
      <c r="F1076" s="32">
        <f t="shared" si="48"/>
        <v>1216.5</v>
      </c>
      <c r="G1076" s="32">
        <f t="shared" si="48"/>
        <v>79.166666666666671</v>
      </c>
      <c r="H1076" s="34">
        <f t="shared" si="48"/>
        <v>600</v>
      </c>
      <c r="I1076" s="32">
        <f t="shared" si="48"/>
        <v>695</v>
      </c>
      <c r="J1076" s="32">
        <f t="shared" si="48"/>
        <v>33.333333333333336</v>
      </c>
      <c r="K1076" s="33"/>
      <c r="L1076" s="33"/>
      <c r="M1076" s="33"/>
      <c r="N1076" s="33"/>
      <c r="O1076" s="33"/>
      <c r="P1076" s="33"/>
      <c r="Q1076" s="33"/>
      <c r="R1076" s="33"/>
      <c r="S1076" s="33"/>
      <c r="T1076" s="33"/>
    </row>
    <row r="1077" spans="1:20" ht="15">
      <c r="A1077" s="3">
        <f t="shared" si="30"/>
        <v>2062</v>
      </c>
      <c r="B1077" s="3">
        <f t="shared" si="41"/>
        <v>365</v>
      </c>
      <c r="C1077" s="32">
        <f t="shared" ref="C1077:J1086" ca="1" si="49">AVERAGE(OFFSET(C$562,($A1077-$A$1077)*12,0,12,1))</f>
        <v>154.75825</v>
      </c>
      <c r="D1077" s="32">
        <f t="shared" ca="1" si="49"/>
        <v>281.0162499999999</v>
      </c>
      <c r="E1077" s="32">
        <f t="shared" ca="1" si="49"/>
        <v>780.7254999999999</v>
      </c>
      <c r="F1077" s="32">
        <f t="shared" ca="1" si="49"/>
        <v>1216.5</v>
      </c>
      <c r="G1077" s="32">
        <f t="shared" ca="1" si="49"/>
        <v>79.166666666666671</v>
      </c>
      <c r="H1077" s="32">
        <f t="shared" ca="1" si="49"/>
        <v>600</v>
      </c>
      <c r="I1077" s="32">
        <f t="shared" ca="1" si="49"/>
        <v>695</v>
      </c>
      <c r="J1077" s="32">
        <f t="shared" ca="1" si="49"/>
        <v>33.333333333333336</v>
      </c>
      <c r="K1077" s="33"/>
      <c r="L1077" s="33"/>
      <c r="M1077" s="33"/>
      <c r="N1077" s="33"/>
      <c r="O1077" s="33"/>
      <c r="P1077" s="33"/>
      <c r="Q1077" s="33"/>
      <c r="R1077" s="33"/>
      <c r="S1077" s="33"/>
      <c r="T1077" s="33"/>
    </row>
    <row r="1078" spans="1:20" ht="15">
      <c r="A1078" s="3">
        <f t="shared" si="30"/>
        <v>2063</v>
      </c>
      <c r="B1078" s="3">
        <f t="shared" si="41"/>
        <v>365</v>
      </c>
      <c r="C1078" s="32">
        <f t="shared" ca="1" si="49"/>
        <v>154.75825</v>
      </c>
      <c r="D1078" s="32">
        <f t="shared" ca="1" si="49"/>
        <v>281.0162499999999</v>
      </c>
      <c r="E1078" s="32">
        <f t="shared" ca="1" si="49"/>
        <v>780.7254999999999</v>
      </c>
      <c r="F1078" s="32">
        <f t="shared" ca="1" si="49"/>
        <v>1216.5</v>
      </c>
      <c r="G1078" s="32">
        <f t="shared" ca="1" si="49"/>
        <v>79.166666666666671</v>
      </c>
      <c r="H1078" s="32">
        <f t="shared" ca="1" si="49"/>
        <v>600</v>
      </c>
      <c r="I1078" s="32">
        <f t="shared" ca="1" si="49"/>
        <v>695</v>
      </c>
      <c r="J1078" s="32">
        <f t="shared" ca="1" si="49"/>
        <v>33.333333333333336</v>
      </c>
      <c r="K1078" s="33"/>
      <c r="L1078" s="33"/>
      <c r="M1078" s="33"/>
      <c r="N1078" s="33"/>
      <c r="O1078" s="33"/>
      <c r="P1078" s="33"/>
      <c r="Q1078" s="33"/>
      <c r="R1078" s="33"/>
      <c r="S1078" s="33"/>
      <c r="T1078" s="33"/>
    </row>
    <row r="1079" spans="1:20" ht="15">
      <c r="A1079" s="3">
        <f t="shared" si="30"/>
        <v>2064</v>
      </c>
      <c r="B1079" s="3">
        <f t="shared" si="41"/>
        <v>366</v>
      </c>
      <c r="C1079" s="32">
        <f t="shared" ca="1" si="49"/>
        <v>154.75825</v>
      </c>
      <c r="D1079" s="32">
        <f t="shared" ca="1" si="49"/>
        <v>281.0162499999999</v>
      </c>
      <c r="E1079" s="32">
        <f t="shared" ca="1" si="49"/>
        <v>780.7254999999999</v>
      </c>
      <c r="F1079" s="32">
        <f t="shared" ca="1" si="49"/>
        <v>1216.5</v>
      </c>
      <c r="G1079" s="32">
        <f t="shared" ca="1" si="49"/>
        <v>79.166666666666671</v>
      </c>
      <c r="H1079" s="32">
        <f t="shared" ca="1" si="49"/>
        <v>600</v>
      </c>
      <c r="I1079" s="32">
        <f t="shared" ca="1" si="49"/>
        <v>695</v>
      </c>
      <c r="J1079" s="32">
        <f t="shared" ca="1" si="49"/>
        <v>33.333333333333336</v>
      </c>
      <c r="K1079" s="33"/>
      <c r="L1079" s="33"/>
      <c r="M1079" s="33"/>
      <c r="N1079" s="33"/>
      <c r="O1079" s="33"/>
      <c r="P1079" s="33"/>
      <c r="Q1079" s="33"/>
      <c r="R1079" s="33"/>
      <c r="S1079" s="33"/>
      <c r="T1079" s="33"/>
    </row>
    <row r="1080" spans="1:20" ht="15">
      <c r="A1080" s="3">
        <f t="shared" si="30"/>
        <v>2065</v>
      </c>
      <c r="B1080" s="3">
        <f t="shared" si="41"/>
        <v>365</v>
      </c>
      <c r="C1080" s="32">
        <f t="shared" ca="1" si="49"/>
        <v>154.75825</v>
      </c>
      <c r="D1080" s="32">
        <f t="shared" ca="1" si="49"/>
        <v>281.0162499999999</v>
      </c>
      <c r="E1080" s="32">
        <f t="shared" ca="1" si="49"/>
        <v>780.7254999999999</v>
      </c>
      <c r="F1080" s="32">
        <f t="shared" ca="1" si="49"/>
        <v>1216.5</v>
      </c>
      <c r="G1080" s="32">
        <f t="shared" ca="1" si="49"/>
        <v>79.166666666666671</v>
      </c>
      <c r="H1080" s="32">
        <f t="shared" ca="1" si="49"/>
        <v>600</v>
      </c>
      <c r="I1080" s="32">
        <f t="shared" ca="1" si="49"/>
        <v>695</v>
      </c>
      <c r="J1080" s="32">
        <f t="shared" ca="1" si="49"/>
        <v>33.333333333333336</v>
      </c>
      <c r="K1080" s="33"/>
      <c r="L1080" s="33"/>
      <c r="M1080" s="33"/>
      <c r="N1080" s="33"/>
      <c r="O1080" s="33"/>
      <c r="P1080" s="33"/>
      <c r="Q1080" s="33"/>
      <c r="R1080" s="33"/>
      <c r="S1080" s="33"/>
      <c r="T1080" s="33"/>
    </row>
    <row r="1081" spans="1:20" ht="15">
      <c r="A1081" s="3">
        <f t="shared" si="30"/>
        <v>2066</v>
      </c>
      <c r="B1081" s="3">
        <f t="shared" si="41"/>
        <v>365</v>
      </c>
      <c r="C1081" s="32">
        <f t="shared" ca="1" si="49"/>
        <v>154.75825</v>
      </c>
      <c r="D1081" s="32">
        <f t="shared" ca="1" si="49"/>
        <v>281.0162499999999</v>
      </c>
      <c r="E1081" s="32">
        <f t="shared" ca="1" si="49"/>
        <v>780.7254999999999</v>
      </c>
      <c r="F1081" s="32">
        <f t="shared" ca="1" si="49"/>
        <v>1216.5</v>
      </c>
      <c r="G1081" s="32">
        <f t="shared" ca="1" si="49"/>
        <v>79.166666666666671</v>
      </c>
      <c r="H1081" s="32">
        <f t="shared" ca="1" si="49"/>
        <v>600</v>
      </c>
      <c r="I1081" s="32">
        <f t="shared" ca="1" si="49"/>
        <v>695</v>
      </c>
      <c r="J1081" s="32">
        <f t="shared" ca="1" si="49"/>
        <v>33.333333333333336</v>
      </c>
      <c r="K1081" s="33"/>
      <c r="L1081" s="33"/>
      <c r="M1081" s="33"/>
      <c r="N1081" s="33"/>
      <c r="O1081" s="33"/>
      <c r="P1081" s="33"/>
      <c r="Q1081" s="33"/>
      <c r="R1081" s="33"/>
      <c r="S1081" s="33"/>
      <c r="T1081" s="33"/>
    </row>
    <row r="1082" spans="1:20" ht="15">
      <c r="A1082" s="3">
        <f t="shared" si="30"/>
        <v>2067</v>
      </c>
      <c r="B1082" s="3">
        <f t="shared" si="41"/>
        <v>365</v>
      </c>
      <c r="C1082" s="32">
        <f t="shared" ca="1" si="49"/>
        <v>154.75825</v>
      </c>
      <c r="D1082" s="32">
        <f t="shared" ca="1" si="49"/>
        <v>281.0162499999999</v>
      </c>
      <c r="E1082" s="32">
        <f t="shared" ca="1" si="49"/>
        <v>780.7254999999999</v>
      </c>
      <c r="F1082" s="32">
        <f t="shared" ca="1" si="49"/>
        <v>1216.5</v>
      </c>
      <c r="G1082" s="32">
        <f t="shared" ca="1" si="49"/>
        <v>79.166666666666671</v>
      </c>
      <c r="H1082" s="32">
        <f t="shared" ca="1" si="49"/>
        <v>600</v>
      </c>
      <c r="I1082" s="32">
        <f t="shared" ca="1" si="49"/>
        <v>695</v>
      </c>
      <c r="J1082" s="32">
        <f t="shared" ca="1" si="49"/>
        <v>33.333333333333336</v>
      </c>
      <c r="K1082" s="33"/>
      <c r="L1082" s="33"/>
      <c r="M1082" s="33"/>
      <c r="N1082" s="33"/>
      <c r="O1082" s="33"/>
      <c r="P1082" s="33"/>
      <c r="Q1082" s="33"/>
      <c r="R1082" s="33"/>
      <c r="S1082" s="33"/>
      <c r="T1082" s="33"/>
    </row>
    <row r="1083" spans="1:20" ht="15">
      <c r="A1083" s="3">
        <f t="shared" si="30"/>
        <v>2068</v>
      </c>
      <c r="B1083" s="3">
        <f t="shared" si="41"/>
        <v>366</v>
      </c>
      <c r="C1083" s="32">
        <f t="shared" ca="1" si="49"/>
        <v>154.75825</v>
      </c>
      <c r="D1083" s="32">
        <f t="shared" ca="1" si="49"/>
        <v>281.0162499999999</v>
      </c>
      <c r="E1083" s="32">
        <f t="shared" ca="1" si="49"/>
        <v>780.7254999999999</v>
      </c>
      <c r="F1083" s="32">
        <f t="shared" ca="1" si="49"/>
        <v>1216.5</v>
      </c>
      <c r="G1083" s="32">
        <f t="shared" ca="1" si="49"/>
        <v>79.166666666666671</v>
      </c>
      <c r="H1083" s="32">
        <f t="shared" ca="1" si="49"/>
        <v>600</v>
      </c>
      <c r="I1083" s="32">
        <f t="shared" ca="1" si="49"/>
        <v>695</v>
      </c>
      <c r="J1083" s="32">
        <f t="shared" ca="1" si="49"/>
        <v>33.333333333333336</v>
      </c>
      <c r="K1083" s="33"/>
      <c r="L1083" s="33"/>
      <c r="M1083" s="33"/>
      <c r="N1083" s="33"/>
      <c r="O1083" s="33"/>
      <c r="P1083" s="33"/>
      <c r="Q1083" s="33"/>
      <c r="R1083" s="33"/>
      <c r="S1083" s="33"/>
      <c r="T1083" s="33"/>
    </row>
    <row r="1084" spans="1:20" ht="15">
      <c r="A1084" s="3">
        <f t="shared" si="30"/>
        <v>2069</v>
      </c>
      <c r="B1084" s="3">
        <f t="shared" si="41"/>
        <v>365</v>
      </c>
      <c r="C1084" s="32">
        <f t="shared" ca="1" si="49"/>
        <v>154.75825</v>
      </c>
      <c r="D1084" s="32">
        <f t="shared" ca="1" si="49"/>
        <v>281.0162499999999</v>
      </c>
      <c r="E1084" s="32">
        <f t="shared" ca="1" si="49"/>
        <v>780.7254999999999</v>
      </c>
      <c r="F1084" s="32">
        <f t="shared" ca="1" si="49"/>
        <v>1216.5</v>
      </c>
      <c r="G1084" s="32">
        <f t="shared" ca="1" si="49"/>
        <v>79.166666666666671</v>
      </c>
      <c r="H1084" s="32">
        <f t="shared" ca="1" si="49"/>
        <v>600</v>
      </c>
      <c r="I1084" s="32">
        <f t="shared" ca="1" si="49"/>
        <v>695</v>
      </c>
      <c r="J1084" s="32">
        <f t="shared" ca="1" si="49"/>
        <v>33.333333333333336</v>
      </c>
      <c r="K1084" s="33"/>
      <c r="L1084" s="33"/>
      <c r="M1084" s="33"/>
      <c r="N1084" s="33"/>
      <c r="O1084" s="33"/>
      <c r="P1084" s="33"/>
      <c r="Q1084" s="33"/>
      <c r="R1084" s="33"/>
      <c r="S1084" s="33"/>
      <c r="T1084" s="33"/>
    </row>
    <row r="1085" spans="1:20" ht="15">
      <c r="A1085" s="3">
        <f t="shared" ref="A1085:A1115" si="50">A1084+1</f>
        <v>2070</v>
      </c>
      <c r="B1085" s="3">
        <f t="shared" si="41"/>
        <v>365</v>
      </c>
      <c r="C1085" s="32">
        <f t="shared" ca="1" si="49"/>
        <v>154.75825</v>
      </c>
      <c r="D1085" s="32">
        <f t="shared" ca="1" si="49"/>
        <v>281.0162499999999</v>
      </c>
      <c r="E1085" s="32">
        <f t="shared" ca="1" si="49"/>
        <v>780.7254999999999</v>
      </c>
      <c r="F1085" s="32">
        <f t="shared" ca="1" si="49"/>
        <v>1216.5</v>
      </c>
      <c r="G1085" s="32">
        <f t="shared" ca="1" si="49"/>
        <v>79.166666666666671</v>
      </c>
      <c r="H1085" s="32">
        <f t="shared" ca="1" si="49"/>
        <v>600</v>
      </c>
      <c r="I1085" s="32">
        <f t="shared" ca="1" si="49"/>
        <v>695</v>
      </c>
      <c r="J1085" s="32">
        <f t="shared" ca="1" si="49"/>
        <v>33.333333333333336</v>
      </c>
      <c r="K1085" s="33"/>
      <c r="L1085" s="33"/>
      <c r="M1085" s="33"/>
      <c r="N1085" s="33"/>
      <c r="O1085" s="33"/>
      <c r="P1085" s="33"/>
      <c r="Q1085" s="33"/>
      <c r="R1085" s="33"/>
      <c r="S1085" s="33"/>
      <c r="T1085" s="33"/>
    </row>
    <row r="1086" spans="1:20" ht="15">
      <c r="A1086" s="3">
        <f t="shared" si="50"/>
        <v>2071</v>
      </c>
      <c r="B1086" s="3">
        <f t="shared" si="41"/>
        <v>365</v>
      </c>
      <c r="C1086" s="32">
        <f t="shared" ca="1" si="49"/>
        <v>154.75825</v>
      </c>
      <c r="D1086" s="32">
        <f t="shared" ca="1" si="49"/>
        <v>281.0162499999999</v>
      </c>
      <c r="E1086" s="32">
        <f t="shared" ca="1" si="49"/>
        <v>780.7254999999999</v>
      </c>
      <c r="F1086" s="32">
        <f t="shared" ca="1" si="49"/>
        <v>1216.5</v>
      </c>
      <c r="G1086" s="32">
        <f t="shared" ca="1" si="49"/>
        <v>79.166666666666671</v>
      </c>
      <c r="H1086" s="32">
        <f t="shared" ca="1" si="49"/>
        <v>600</v>
      </c>
      <c r="I1086" s="32">
        <f t="shared" ca="1" si="49"/>
        <v>695</v>
      </c>
      <c r="J1086" s="32">
        <f t="shared" ca="1" si="49"/>
        <v>33.333333333333336</v>
      </c>
      <c r="K1086" s="33"/>
      <c r="L1086" s="33"/>
      <c r="M1086" s="33"/>
      <c r="N1086" s="33"/>
      <c r="O1086" s="33"/>
      <c r="P1086" s="33"/>
      <c r="Q1086" s="33"/>
      <c r="R1086" s="33"/>
      <c r="S1086" s="33"/>
      <c r="T1086" s="33"/>
    </row>
    <row r="1087" spans="1:20" ht="15">
      <c r="A1087" s="3">
        <f t="shared" si="50"/>
        <v>2072</v>
      </c>
      <c r="B1087" s="3">
        <f t="shared" si="41"/>
        <v>366</v>
      </c>
      <c r="C1087" s="32">
        <f t="shared" ref="C1087:J1096" ca="1" si="51">AVERAGE(OFFSET(C$562,($A1087-$A$1077)*12,0,12,1))</f>
        <v>154.75825</v>
      </c>
      <c r="D1087" s="32">
        <f t="shared" ca="1" si="51"/>
        <v>281.0162499999999</v>
      </c>
      <c r="E1087" s="32">
        <f t="shared" ca="1" si="51"/>
        <v>780.7254999999999</v>
      </c>
      <c r="F1087" s="32">
        <f t="shared" ca="1" si="51"/>
        <v>1216.5</v>
      </c>
      <c r="G1087" s="32">
        <f t="shared" ca="1" si="51"/>
        <v>79.166666666666671</v>
      </c>
      <c r="H1087" s="32">
        <f t="shared" ca="1" si="51"/>
        <v>600</v>
      </c>
      <c r="I1087" s="32">
        <f t="shared" ca="1" si="51"/>
        <v>695</v>
      </c>
      <c r="J1087" s="32">
        <f t="shared" ca="1" si="51"/>
        <v>33.333333333333336</v>
      </c>
      <c r="K1087" s="33"/>
      <c r="L1087" s="33"/>
      <c r="M1087" s="33"/>
      <c r="N1087" s="33"/>
      <c r="O1087" s="33"/>
      <c r="P1087" s="33"/>
      <c r="Q1087" s="33"/>
      <c r="R1087" s="33"/>
      <c r="S1087" s="33"/>
      <c r="T1087" s="33"/>
    </row>
    <row r="1088" spans="1:20" ht="15">
      <c r="A1088" s="3">
        <f t="shared" si="50"/>
        <v>2073</v>
      </c>
      <c r="B1088" s="3">
        <f t="shared" si="41"/>
        <v>365</v>
      </c>
      <c r="C1088" s="32">
        <f t="shared" ca="1" si="51"/>
        <v>154.75825</v>
      </c>
      <c r="D1088" s="32">
        <f t="shared" ca="1" si="51"/>
        <v>281.0162499999999</v>
      </c>
      <c r="E1088" s="32">
        <f t="shared" ca="1" si="51"/>
        <v>780.7254999999999</v>
      </c>
      <c r="F1088" s="32">
        <f t="shared" ca="1" si="51"/>
        <v>1216.5</v>
      </c>
      <c r="G1088" s="32">
        <f t="shared" ca="1" si="51"/>
        <v>79.166666666666671</v>
      </c>
      <c r="H1088" s="32">
        <f t="shared" ca="1" si="51"/>
        <v>600</v>
      </c>
      <c r="I1088" s="32">
        <f t="shared" ca="1" si="51"/>
        <v>695</v>
      </c>
      <c r="J1088" s="32">
        <f t="shared" ca="1" si="51"/>
        <v>33.333333333333336</v>
      </c>
      <c r="K1088" s="33"/>
      <c r="L1088" s="33"/>
      <c r="M1088" s="33"/>
      <c r="N1088" s="33"/>
      <c r="O1088" s="33"/>
      <c r="P1088" s="33"/>
      <c r="Q1088" s="33"/>
      <c r="R1088" s="33"/>
      <c r="S1088" s="33"/>
      <c r="T1088" s="33"/>
    </row>
    <row r="1089" spans="1:20" ht="15">
      <c r="A1089" s="3">
        <f t="shared" si="50"/>
        <v>2074</v>
      </c>
      <c r="B1089" s="3">
        <f t="shared" si="41"/>
        <v>365</v>
      </c>
      <c r="C1089" s="32">
        <f t="shared" ca="1" si="51"/>
        <v>154.75825</v>
      </c>
      <c r="D1089" s="32">
        <f t="shared" ca="1" si="51"/>
        <v>281.0162499999999</v>
      </c>
      <c r="E1089" s="32">
        <f t="shared" ca="1" si="51"/>
        <v>780.7254999999999</v>
      </c>
      <c r="F1089" s="32">
        <f t="shared" ca="1" si="51"/>
        <v>1216.5</v>
      </c>
      <c r="G1089" s="32">
        <f t="shared" ca="1" si="51"/>
        <v>79.166666666666671</v>
      </c>
      <c r="H1089" s="32">
        <f t="shared" ca="1" si="51"/>
        <v>600</v>
      </c>
      <c r="I1089" s="32">
        <f t="shared" ca="1" si="51"/>
        <v>695</v>
      </c>
      <c r="J1089" s="32">
        <f t="shared" ca="1" si="51"/>
        <v>33.333333333333336</v>
      </c>
      <c r="K1089" s="33"/>
      <c r="L1089" s="33"/>
      <c r="M1089" s="33"/>
      <c r="N1089" s="33"/>
      <c r="O1089" s="33"/>
      <c r="P1089" s="33"/>
      <c r="Q1089" s="33"/>
      <c r="R1089" s="33"/>
      <c r="S1089" s="33"/>
      <c r="T1089" s="33"/>
    </row>
    <row r="1090" spans="1:20" ht="15">
      <c r="A1090" s="3">
        <f t="shared" si="50"/>
        <v>2075</v>
      </c>
      <c r="B1090" s="3">
        <f t="shared" si="41"/>
        <v>365</v>
      </c>
      <c r="C1090" s="32">
        <f t="shared" ca="1" si="51"/>
        <v>154.75825</v>
      </c>
      <c r="D1090" s="32">
        <f t="shared" ca="1" si="51"/>
        <v>281.0162499999999</v>
      </c>
      <c r="E1090" s="32">
        <f t="shared" ca="1" si="51"/>
        <v>780.7254999999999</v>
      </c>
      <c r="F1090" s="32">
        <f t="shared" ca="1" si="51"/>
        <v>1216.5</v>
      </c>
      <c r="G1090" s="32">
        <f t="shared" ca="1" si="51"/>
        <v>79.166666666666671</v>
      </c>
      <c r="H1090" s="32">
        <f t="shared" ca="1" si="51"/>
        <v>600</v>
      </c>
      <c r="I1090" s="32">
        <f t="shared" ca="1" si="51"/>
        <v>695</v>
      </c>
      <c r="J1090" s="32">
        <f t="shared" ca="1" si="51"/>
        <v>33.333333333333336</v>
      </c>
      <c r="K1090" s="33"/>
      <c r="L1090" s="33"/>
      <c r="M1090" s="33"/>
      <c r="N1090" s="33"/>
      <c r="O1090" s="33"/>
      <c r="P1090" s="33"/>
      <c r="Q1090" s="33"/>
      <c r="R1090" s="33"/>
      <c r="S1090" s="33"/>
      <c r="T1090" s="33"/>
    </row>
    <row r="1091" spans="1:20" ht="15">
      <c r="A1091" s="3">
        <f t="shared" si="50"/>
        <v>2076</v>
      </c>
      <c r="B1091" s="3">
        <f t="shared" si="41"/>
        <v>366</v>
      </c>
      <c r="C1091" s="32">
        <f t="shared" ca="1" si="51"/>
        <v>154.75825</v>
      </c>
      <c r="D1091" s="32">
        <f t="shared" ca="1" si="51"/>
        <v>281.0162499999999</v>
      </c>
      <c r="E1091" s="32">
        <f t="shared" ca="1" si="51"/>
        <v>780.7254999999999</v>
      </c>
      <c r="F1091" s="32">
        <f t="shared" ca="1" si="51"/>
        <v>1216.5</v>
      </c>
      <c r="G1091" s="32">
        <f t="shared" ca="1" si="51"/>
        <v>79.166666666666671</v>
      </c>
      <c r="H1091" s="32">
        <f t="shared" ca="1" si="51"/>
        <v>600</v>
      </c>
      <c r="I1091" s="32">
        <f t="shared" ca="1" si="51"/>
        <v>695</v>
      </c>
      <c r="J1091" s="32">
        <f t="shared" ca="1" si="51"/>
        <v>33.333333333333336</v>
      </c>
      <c r="K1091" s="33"/>
      <c r="L1091" s="33"/>
      <c r="M1091" s="33"/>
      <c r="N1091" s="33"/>
      <c r="O1091" s="33"/>
      <c r="P1091" s="33"/>
      <c r="Q1091" s="33"/>
      <c r="R1091" s="33"/>
      <c r="S1091" s="33"/>
      <c r="T1091" s="33"/>
    </row>
    <row r="1092" spans="1:20" ht="15">
      <c r="A1092" s="3">
        <f t="shared" si="50"/>
        <v>2077</v>
      </c>
      <c r="B1092" s="3">
        <f t="shared" si="41"/>
        <v>365</v>
      </c>
      <c r="C1092" s="32">
        <f t="shared" ca="1" si="51"/>
        <v>154.75825</v>
      </c>
      <c r="D1092" s="32">
        <f t="shared" ca="1" si="51"/>
        <v>281.0162499999999</v>
      </c>
      <c r="E1092" s="32">
        <f t="shared" ca="1" si="51"/>
        <v>780.7254999999999</v>
      </c>
      <c r="F1092" s="32">
        <f t="shared" ca="1" si="51"/>
        <v>1216.5</v>
      </c>
      <c r="G1092" s="32">
        <f t="shared" ca="1" si="51"/>
        <v>79.166666666666671</v>
      </c>
      <c r="H1092" s="32">
        <f t="shared" ca="1" si="51"/>
        <v>600</v>
      </c>
      <c r="I1092" s="32">
        <f t="shared" ca="1" si="51"/>
        <v>695</v>
      </c>
      <c r="J1092" s="32">
        <f t="shared" ca="1" si="51"/>
        <v>33.333333333333336</v>
      </c>
      <c r="K1092" s="33"/>
      <c r="L1092" s="33"/>
      <c r="M1092" s="33"/>
      <c r="N1092" s="33"/>
      <c r="O1092" s="33"/>
      <c r="P1092" s="33"/>
      <c r="Q1092" s="33"/>
      <c r="R1092" s="33"/>
      <c r="S1092" s="33"/>
      <c r="T1092" s="33"/>
    </row>
    <row r="1093" spans="1:20" ht="15">
      <c r="A1093" s="3">
        <f t="shared" si="50"/>
        <v>2078</v>
      </c>
      <c r="B1093" s="3">
        <f t="shared" si="41"/>
        <v>365</v>
      </c>
      <c r="C1093" s="32">
        <f t="shared" ca="1" si="51"/>
        <v>154.75825</v>
      </c>
      <c r="D1093" s="32">
        <f t="shared" ca="1" si="51"/>
        <v>281.0162499999999</v>
      </c>
      <c r="E1093" s="32">
        <f t="shared" ca="1" si="51"/>
        <v>780.7254999999999</v>
      </c>
      <c r="F1093" s="32">
        <f t="shared" ca="1" si="51"/>
        <v>1216.5</v>
      </c>
      <c r="G1093" s="32">
        <f t="shared" ca="1" si="51"/>
        <v>79.166666666666671</v>
      </c>
      <c r="H1093" s="32">
        <f t="shared" ca="1" si="51"/>
        <v>600</v>
      </c>
      <c r="I1093" s="32">
        <f t="shared" ca="1" si="51"/>
        <v>695</v>
      </c>
      <c r="J1093" s="32">
        <f t="shared" ca="1" si="51"/>
        <v>33.333333333333336</v>
      </c>
      <c r="K1093" s="33"/>
      <c r="L1093" s="33"/>
      <c r="M1093" s="33"/>
      <c r="N1093" s="33"/>
      <c r="O1093" s="33"/>
      <c r="P1093" s="33"/>
      <c r="Q1093" s="33"/>
      <c r="R1093" s="33"/>
      <c r="S1093" s="33"/>
      <c r="T1093" s="33"/>
    </row>
    <row r="1094" spans="1:20" ht="15">
      <c r="A1094" s="3">
        <f t="shared" si="50"/>
        <v>2079</v>
      </c>
      <c r="B1094" s="3">
        <f t="shared" si="41"/>
        <v>365</v>
      </c>
      <c r="C1094" s="32">
        <f t="shared" ca="1" si="51"/>
        <v>154.75825</v>
      </c>
      <c r="D1094" s="32">
        <f t="shared" ca="1" si="51"/>
        <v>281.0162499999999</v>
      </c>
      <c r="E1094" s="32">
        <f t="shared" ca="1" si="51"/>
        <v>780.7254999999999</v>
      </c>
      <c r="F1094" s="32">
        <f t="shared" ca="1" si="51"/>
        <v>1216.5</v>
      </c>
      <c r="G1094" s="32">
        <f t="shared" ca="1" si="51"/>
        <v>79.166666666666671</v>
      </c>
      <c r="H1094" s="32">
        <f t="shared" ca="1" si="51"/>
        <v>600</v>
      </c>
      <c r="I1094" s="32">
        <f t="shared" ca="1" si="51"/>
        <v>695</v>
      </c>
      <c r="J1094" s="32">
        <f t="shared" ca="1" si="51"/>
        <v>33.333333333333336</v>
      </c>
      <c r="K1094" s="33"/>
      <c r="L1094" s="33"/>
      <c r="M1094" s="33"/>
      <c r="N1094" s="33"/>
      <c r="O1094" s="33"/>
      <c r="P1094" s="33"/>
      <c r="Q1094" s="33"/>
      <c r="R1094" s="33"/>
      <c r="S1094" s="33"/>
      <c r="T1094" s="33"/>
    </row>
    <row r="1095" spans="1:20" ht="15">
      <c r="A1095" s="3">
        <f t="shared" si="50"/>
        <v>2080</v>
      </c>
      <c r="B1095" s="3">
        <f t="shared" ref="B1095:B1115" si="52">DATE(A1095+1,1,1)-DATE(A1095,1,1)</f>
        <v>366</v>
      </c>
      <c r="C1095" s="32">
        <f t="shared" ca="1" si="51"/>
        <v>154.75825</v>
      </c>
      <c r="D1095" s="32">
        <f t="shared" ca="1" si="51"/>
        <v>281.0162499999999</v>
      </c>
      <c r="E1095" s="32">
        <f t="shared" ca="1" si="51"/>
        <v>780.7254999999999</v>
      </c>
      <c r="F1095" s="32">
        <f t="shared" ca="1" si="51"/>
        <v>1216.5</v>
      </c>
      <c r="G1095" s="32">
        <f t="shared" ca="1" si="51"/>
        <v>79.166666666666671</v>
      </c>
      <c r="H1095" s="32">
        <f t="shared" ca="1" si="51"/>
        <v>600</v>
      </c>
      <c r="I1095" s="32">
        <f t="shared" ca="1" si="51"/>
        <v>695</v>
      </c>
      <c r="J1095" s="32">
        <f t="shared" ca="1" si="51"/>
        <v>33.333333333333336</v>
      </c>
      <c r="K1095" s="33"/>
      <c r="L1095" s="33"/>
      <c r="M1095" s="33"/>
      <c r="N1095" s="33"/>
      <c r="O1095" s="33"/>
      <c r="P1095" s="33"/>
      <c r="Q1095" s="33"/>
      <c r="R1095" s="33"/>
      <c r="S1095" s="33"/>
      <c r="T1095" s="33"/>
    </row>
    <row r="1096" spans="1:20" ht="15">
      <c r="A1096" s="3">
        <f t="shared" si="50"/>
        <v>2081</v>
      </c>
      <c r="B1096" s="3">
        <f t="shared" si="52"/>
        <v>365</v>
      </c>
      <c r="C1096" s="32">
        <f t="shared" ca="1" si="51"/>
        <v>154.75825</v>
      </c>
      <c r="D1096" s="32">
        <f t="shared" ca="1" si="51"/>
        <v>281.0162499999999</v>
      </c>
      <c r="E1096" s="32">
        <f t="shared" ca="1" si="51"/>
        <v>780.7254999999999</v>
      </c>
      <c r="F1096" s="32">
        <f t="shared" ca="1" si="51"/>
        <v>1216.5</v>
      </c>
      <c r="G1096" s="32">
        <f t="shared" ca="1" si="51"/>
        <v>79.166666666666671</v>
      </c>
      <c r="H1096" s="32">
        <f t="shared" ca="1" si="51"/>
        <v>600</v>
      </c>
      <c r="I1096" s="32">
        <f t="shared" ca="1" si="51"/>
        <v>695</v>
      </c>
      <c r="J1096" s="32">
        <f t="shared" ca="1" si="51"/>
        <v>33.333333333333336</v>
      </c>
      <c r="K1096" s="33"/>
      <c r="L1096" s="33"/>
      <c r="M1096" s="33"/>
      <c r="N1096" s="33"/>
      <c r="O1096" s="33"/>
      <c r="P1096" s="33"/>
      <c r="Q1096" s="33"/>
      <c r="R1096" s="33"/>
      <c r="S1096" s="33"/>
      <c r="T1096" s="33"/>
    </row>
    <row r="1097" spans="1:20" ht="15">
      <c r="A1097" s="3">
        <f t="shared" si="50"/>
        <v>2082</v>
      </c>
      <c r="B1097" s="3">
        <f t="shared" si="52"/>
        <v>365</v>
      </c>
      <c r="C1097" s="32">
        <f t="shared" ref="C1097:J1106" ca="1" si="53">AVERAGE(OFFSET(C$562,($A1097-$A$1077)*12,0,12,1))</f>
        <v>154.75825</v>
      </c>
      <c r="D1097" s="32">
        <f t="shared" ca="1" si="53"/>
        <v>281.0162499999999</v>
      </c>
      <c r="E1097" s="32">
        <f t="shared" ca="1" si="53"/>
        <v>780.7254999999999</v>
      </c>
      <c r="F1097" s="32">
        <f t="shared" ca="1" si="53"/>
        <v>1216.5</v>
      </c>
      <c r="G1097" s="32">
        <f t="shared" ca="1" si="53"/>
        <v>79.166666666666671</v>
      </c>
      <c r="H1097" s="32">
        <f t="shared" ca="1" si="53"/>
        <v>600</v>
      </c>
      <c r="I1097" s="32">
        <f t="shared" ca="1" si="53"/>
        <v>695</v>
      </c>
      <c r="J1097" s="32">
        <f t="shared" ca="1" si="53"/>
        <v>33.333333333333336</v>
      </c>
      <c r="K1097" s="33"/>
      <c r="L1097" s="33"/>
      <c r="M1097" s="33"/>
      <c r="N1097" s="33"/>
      <c r="O1097" s="33"/>
      <c r="P1097" s="33"/>
      <c r="Q1097" s="33"/>
      <c r="R1097" s="33"/>
      <c r="S1097" s="33"/>
      <c r="T1097" s="33"/>
    </row>
    <row r="1098" spans="1:20" ht="15">
      <c r="A1098" s="3">
        <f t="shared" si="50"/>
        <v>2083</v>
      </c>
      <c r="B1098" s="3">
        <f t="shared" si="52"/>
        <v>365</v>
      </c>
      <c r="C1098" s="32">
        <f t="shared" ca="1" si="53"/>
        <v>154.75825</v>
      </c>
      <c r="D1098" s="32">
        <f t="shared" ca="1" si="53"/>
        <v>281.0162499999999</v>
      </c>
      <c r="E1098" s="32">
        <f t="shared" ca="1" si="53"/>
        <v>780.7254999999999</v>
      </c>
      <c r="F1098" s="32">
        <f t="shared" ca="1" si="53"/>
        <v>1216.5</v>
      </c>
      <c r="G1098" s="32">
        <f t="shared" ca="1" si="53"/>
        <v>79.166666666666671</v>
      </c>
      <c r="H1098" s="32">
        <f t="shared" ca="1" si="53"/>
        <v>600</v>
      </c>
      <c r="I1098" s="32">
        <f t="shared" ca="1" si="53"/>
        <v>695</v>
      </c>
      <c r="J1098" s="32">
        <f t="shared" ca="1" si="53"/>
        <v>33.333333333333336</v>
      </c>
      <c r="K1098" s="33"/>
      <c r="L1098" s="33"/>
      <c r="M1098" s="33"/>
      <c r="N1098" s="33"/>
      <c r="O1098" s="33"/>
      <c r="P1098" s="33"/>
      <c r="Q1098" s="33"/>
      <c r="R1098" s="33"/>
      <c r="S1098" s="33"/>
      <c r="T1098" s="33"/>
    </row>
    <row r="1099" spans="1:20" ht="15">
      <c r="A1099" s="3">
        <f t="shared" si="50"/>
        <v>2084</v>
      </c>
      <c r="B1099" s="3">
        <f t="shared" si="52"/>
        <v>366</v>
      </c>
      <c r="C1099" s="32">
        <f t="shared" ca="1" si="53"/>
        <v>154.75825</v>
      </c>
      <c r="D1099" s="32">
        <f t="shared" ca="1" si="53"/>
        <v>281.0162499999999</v>
      </c>
      <c r="E1099" s="32">
        <f t="shared" ca="1" si="53"/>
        <v>780.7254999999999</v>
      </c>
      <c r="F1099" s="32">
        <f t="shared" ca="1" si="53"/>
        <v>1216.5</v>
      </c>
      <c r="G1099" s="32">
        <f t="shared" ca="1" si="53"/>
        <v>79.166666666666671</v>
      </c>
      <c r="H1099" s="32">
        <f t="shared" ca="1" si="53"/>
        <v>600</v>
      </c>
      <c r="I1099" s="32">
        <f t="shared" ca="1" si="53"/>
        <v>695</v>
      </c>
      <c r="J1099" s="32">
        <f t="shared" ca="1" si="53"/>
        <v>33.333333333333336</v>
      </c>
      <c r="K1099" s="33"/>
      <c r="L1099" s="33"/>
      <c r="M1099" s="33"/>
      <c r="N1099" s="33"/>
      <c r="O1099" s="33"/>
      <c r="P1099" s="33"/>
      <c r="Q1099" s="33"/>
      <c r="R1099" s="33"/>
      <c r="S1099" s="33"/>
      <c r="T1099" s="33"/>
    </row>
    <row r="1100" spans="1:20" ht="15">
      <c r="A1100" s="3">
        <f t="shared" si="50"/>
        <v>2085</v>
      </c>
      <c r="B1100" s="3">
        <f t="shared" si="52"/>
        <v>365</v>
      </c>
      <c r="C1100" s="32">
        <f t="shared" ca="1" si="53"/>
        <v>154.75825</v>
      </c>
      <c r="D1100" s="32">
        <f t="shared" ca="1" si="53"/>
        <v>281.0162499999999</v>
      </c>
      <c r="E1100" s="32">
        <f t="shared" ca="1" si="53"/>
        <v>780.7254999999999</v>
      </c>
      <c r="F1100" s="32">
        <f t="shared" ca="1" si="53"/>
        <v>1216.5</v>
      </c>
      <c r="G1100" s="32">
        <f t="shared" ca="1" si="53"/>
        <v>79.166666666666671</v>
      </c>
      <c r="H1100" s="32">
        <f t="shared" ca="1" si="53"/>
        <v>600</v>
      </c>
      <c r="I1100" s="32">
        <f t="shared" ca="1" si="53"/>
        <v>695</v>
      </c>
      <c r="J1100" s="32">
        <f t="shared" ca="1" si="53"/>
        <v>33.333333333333336</v>
      </c>
      <c r="K1100" s="33"/>
      <c r="L1100" s="33"/>
      <c r="M1100" s="33"/>
      <c r="N1100" s="33"/>
      <c r="O1100" s="33"/>
      <c r="P1100" s="33"/>
      <c r="Q1100" s="33"/>
      <c r="R1100" s="33"/>
      <c r="S1100" s="33"/>
      <c r="T1100" s="33"/>
    </row>
    <row r="1101" spans="1:20" ht="15">
      <c r="A1101" s="3">
        <f t="shared" si="50"/>
        <v>2086</v>
      </c>
      <c r="B1101" s="3">
        <f t="shared" si="52"/>
        <v>365</v>
      </c>
      <c r="C1101" s="32">
        <f t="shared" ca="1" si="53"/>
        <v>154.75825</v>
      </c>
      <c r="D1101" s="32">
        <f t="shared" ca="1" si="53"/>
        <v>281.0162499999999</v>
      </c>
      <c r="E1101" s="32">
        <f t="shared" ca="1" si="53"/>
        <v>780.7254999999999</v>
      </c>
      <c r="F1101" s="32">
        <f t="shared" ca="1" si="53"/>
        <v>1216.5</v>
      </c>
      <c r="G1101" s="32">
        <f t="shared" ca="1" si="53"/>
        <v>79.166666666666671</v>
      </c>
      <c r="H1101" s="32">
        <f t="shared" ca="1" si="53"/>
        <v>600</v>
      </c>
      <c r="I1101" s="32">
        <f t="shared" ca="1" si="53"/>
        <v>695</v>
      </c>
      <c r="J1101" s="32">
        <f t="shared" ca="1" si="53"/>
        <v>33.333333333333336</v>
      </c>
      <c r="K1101" s="33"/>
      <c r="L1101" s="33"/>
      <c r="M1101" s="33"/>
      <c r="N1101" s="33"/>
      <c r="O1101" s="33"/>
      <c r="P1101" s="33"/>
      <c r="Q1101" s="33"/>
      <c r="R1101" s="33"/>
      <c r="S1101" s="33"/>
      <c r="T1101" s="33"/>
    </row>
    <row r="1102" spans="1:20" ht="15">
      <c r="A1102" s="3">
        <f t="shared" si="50"/>
        <v>2087</v>
      </c>
      <c r="B1102" s="3">
        <f t="shared" si="52"/>
        <v>365</v>
      </c>
      <c r="C1102" s="32">
        <f t="shared" ca="1" si="53"/>
        <v>154.75825</v>
      </c>
      <c r="D1102" s="32">
        <f t="shared" ca="1" si="53"/>
        <v>281.0162499999999</v>
      </c>
      <c r="E1102" s="32">
        <f t="shared" ca="1" si="53"/>
        <v>780.7254999999999</v>
      </c>
      <c r="F1102" s="32">
        <f t="shared" ca="1" si="53"/>
        <v>1216.5</v>
      </c>
      <c r="G1102" s="32">
        <f t="shared" ca="1" si="53"/>
        <v>79.166666666666671</v>
      </c>
      <c r="H1102" s="32">
        <f t="shared" ca="1" si="53"/>
        <v>600</v>
      </c>
      <c r="I1102" s="32">
        <f t="shared" ca="1" si="53"/>
        <v>695</v>
      </c>
      <c r="J1102" s="32">
        <f t="shared" ca="1" si="53"/>
        <v>33.333333333333336</v>
      </c>
      <c r="K1102" s="33"/>
      <c r="L1102" s="33"/>
      <c r="M1102" s="33"/>
      <c r="N1102" s="33"/>
      <c r="O1102" s="33"/>
      <c r="P1102" s="33"/>
      <c r="Q1102" s="33"/>
      <c r="R1102" s="33"/>
      <c r="S1102" s="33"/>
      <c r="T1102" s="33"/>
    </row>
    <row r="1103" spans="1:20" ht="15">
      <c r="A1103" s="3">
        <f t="shared" si="50"/>
        <v>2088</v>
      </c>
      <c r="B1103" s="3">
        <f t="shared" si="52"/>
        <v>366</v>
      </c>
      <c r="C1103" s="32">
        <f t="shared" ca="1" si="53"/>
        <v>154.75825</v>
      </c>
      <c r="D1103" s="32">
        <f t="shared" ca="1" si="53"/>
        <v>281.0162499999999</v>
      </c>
      <c r="E1103" s="32">
        <f t="shared" ca="1" si="53"/>
        <v>780.7254999999999</v>
      </c>
      <c r="F1103" s="32">
        <f t="shared" ca="1" si="53"/>
        <v>1216.5</v>
      </c>
      <c r="G1103" s="32">
        <f t="shared" ca="1" si="53"/>
        <v>79.166666666666671</v>
      </c>
      <c r="H1103" s="32">
        <f t="shared" ca="1" si="53"/>
        <v>600</v>
      </c>
      <c r="I1103" s="32">
        <f t="shared" ca="1" si="53"/>
        <v>695</v>
      </c>
      <c r="J1103" s="32">
        <f t="shared" ca="1" si="53"/>
        <v>33.333333333333336</v>
      </c>
      <c r="K1103" s="33"/>
      <c r="L1103" s="33"/>
      <c r="M1103" s="33"/>
      <c r="N1103" s="33"/>
      <c r="O1103" s="33"/>
      <c r="P1103" s="33"/>
      <c r="Q1103" s="33"/>
      <c r="R1103" s="33"/>
      <c r="S1103" s="33"/>
      <c r="T1103" s="33"/>
    </row>
    <row r="1104" spans="1:20" ht="15">
      <c r="A1104" s="3">
        <f t="shared" si="50"/>
        <v>2089</v>
      </c>
      <c r="B1104" s="3">
        <f t="shared" si="52"/>
        <v>365</v>
      </c>
      <c r="C1104" s="32">
        <f t="shared" ca="1" si="53"/>
        <v>154.75825</v>
      </c>
      <c r="D1104" s="32">
        <f t="shared" ca="1" si="53"/>
        <v>281.0162499999999</v>
      </c>
      <c r="E1104" s="32">
        <f t="shared" ca="1" si="53"/>
        <v>780.7254999999999</v>
      </c>
      <c r="F1104" s="32">
        <f t="shared" ca="1" si="53"/>
        <v>1216.5</v>
      </c>
      <c r="G1104" s="32">
        <f t="shared" ca="1" si="53"/>
        <v>79.166666666666671</v>
      </c>
      <c r="H1104" s="32">
        <f t="shared" ca="1" si="53"/>
        <v>600</v>
      </c>
      <c r="I1104" s="32">
        <f t="shared" ca="1" si="53"/>
        <v>695</v>
      </c>
      <c r="J1104" s="32">
        <f t="shared" ca="1" si="53"/>
        <v>33.333333333333336</v>
      </c>
      <c r="K1104" s="33"/>
      <c r="L1104" s="33"/>
      <c r="M1104" s="33"/>
      <c r="N1104" s="33"/>
      <c r="O1104" s="33"/>
      <c r="P1104" s="33"/>
      <c r="Q1104" s="33"/>
      <c r="R1104" s="33"/>
      <c r="S1104" s="33"/>
      <c r="T1104" s="33"/>
    </row>
    <row r="1105" spans="1:20" ht="15">
      <c r="A1105" s="3">
        <f t="shared" si="50"/>
        <v>2090</v>
      </c>
      <c r="B1105" s="3">
        <f t="shared" si="52"/>
        <v>365</v>
      </c>
      <c r="C1105" s="32">
        <f t="shared" ca="1" si="53"/>
        <v>154.75825</v>
      </c>
      <c r="D1105" s="32">
        <f t="shared" ca="1" si="53"/>
        <v>281.0162499999999</v>
      </c>
      <c r="E1105" s="32">
        <f t="shared" ca="1" si="53"/>
        <v>780.7254999999999</v>
      </c>
      <c r="F1105" s="32">
        <f t="shared" ca="1" si="53"/>
        <v>1216.5</v>
      </c>
      <c r="G1105" s="32">
        <f t="shared" ca="1" si="53"/>
        <v>79.166666666666671</v>
      </c>
      <c r="H1105" s="32">
        <f t="shared" ca="1" si="53"/>
        <v>600</v>
      </c>
      <c r="I1105" s="32">
        <f t="shared" ca="1" si="53"/>
        <v>695</v>
      </c>
      <c r="J1105" s="32">
        <f t="shared" ca="1" si="53"/>
        <v>33.333333333333336</v>
      </c>
      <c r="K1105" s="33"/>
      <c r="L1105" s="33"/>
      <c r="M1105" s="33"/>
      <c r="N1105" s="33"/>
      <c r="O1105" s="33"/>
      <c r="P1105" s="33"/>
      <c r="Q1105" s="33"/>
      <c r="R1105" s="33"/>
      <c r="S1105" s="33"/>
      <c r="T1105" s="33"/>
    </row>
    <row r="1106" spans="1:20" ht="15">
      <c r="A1106" s="3">
        <f t="shared" si="50"/>
        <v>2091</v>
      </c>
      <c r="B1106" s="3">
        <f t="shared" si="52"/>
        <v>365</v>
      </c>
      <c r="C1106" s="32">
        <f t="shared" ca="1" si="53"/>
        <v>154.75825</v>
      </c>
      <c r="D1106" s="32">
        <f t="shared" ca="1" si="53"/>
        <v>281.0162499999999</v>
      </c>
      <c r="E1106" s="32">
        <f t="shared" ca="1" si="53"/>
        <v>780.7254999999999</v>
      </c>
      <c r="F1106" s="32">
        <f t="shared" ca="1" si="53"/>
        <v>1216.5</v>
      </c>
      <c r="G1106" s="32">
        <f t="shared" ca="1" si="53"/>
        <v>79.166666666666671</v>
      </c>
      <c r="H1106" s="32">
        <f t="shared" ca="1" si="53"/>
        <v>600</v>
      </c>
      <c r="I1106" s="32">
        <f t="shared" ca="1" si="53"/>
        <v>695</v>
      </c>
      <c r="J1106" s="32">
        <f t="shared" ca="1" si="53"/>
        <v>33.333333333333336</v>
      </c>
    </row>
    <row r="1107" spans="1:20" ht="15">
      <c r="A1107" s="3">
        <f t="shared" si="50"/>
        <v>2092</v>
      </c>
      <c r="B1107" s="3">
        <f t="shared" si="52"/>
        <v>366</v>
      </c>
      <c r="C1107" s="32">
        <f t="shared" ref="C1107:J1115" ca="1" si="54">AVERAGE(OFFSET(C$562,($A1107-$A$1077)*12,0,12,1))</f>
        <v>154.75825</v>
      </c>
      <c r="D1107" s="32">
        <f t="shared" ca="1" si="54"/>
        <v>281.0162499999999</v>
      </c>
      <c r="E1107" s="32">
        <f t="shared" ca="1" si="54"/>
        <v>780.7254999999999</v>
      </c>
      <c r="F1107" s="32">
        <f t="shared" ca="1" si="54"/>
        <v>1216.5</v>
      </c>
      <c r="G1107" s="32">
        <f t="shared" ca="1" si="54"/>
        <v>79.166666666666671</v>
      </c>
      <c r="H1107" s="32">
        <f t="shared" ca="1" si="54"/>
        <v>600</v>
      </c>
      <c r="I1107" s="32">
        <f t="shared" ca="1" si="54"/>
        <v>695</v>
      </c>
      <c r="J1107" s="32">
        <f t="shared" ca="1" si="54"/>
        <v>33.333333333333336</v>
      </c>
    </row>
    <row r="1108" spans="1:20" ht="15">
      <c r="A1108" s="3">
        <f t="shared" si="50"/>
        <v>2093</v>
      </c>
      <c r="B1108" s="3">
        <f t="shared" si="52"/>
        <v>365</v>
      </c>
      <c r="C1108" s="32">
        <f t="shared" ca="1" si="54"/>
        <v>154.75825</v>
      </c>
      <c r="D1108" s="32">
        <f t="shared" ca="1" si="54"/>
        <v>281.0162499999999</v>
      </c>
      <c r="E1108" s="32">
        <f t="shared" ca="1" si="54"/>
        <v>780.7254999999999</v>
      </c>
      <c r="F1108" s="32">
        <f t="shared" ca="1" si="54"/>
        <v>1216.5</v>
      </c>
      <c r="G1108" s="32">
        <f t="shared" ca="1" si="54"/>
        <v>79.166666666666671</v>
      </c>
      <c r="H1108" s="32">
        <f t="shared" ca="1" si="54"/>
        <v>600</v>
      </c>
      <c r="I1108" s="32">
        <f t="shared" ca="1" si="54"/>
        <v>695</v>
      </c>
      <c r="J1108" s="32">
        <f t="shared" ca="1" si="54"/>
        <v>33.333333333333336</v>
      </c>
    </row>
    <row r="1109" spans="1:20" ht="15">
      <c r="A1109" s="3">
        <f t="shared" si="50"/>
        <v>2094</v>
      </c>
      <c r="B1109" s="3">
        <f t="shared" si="52"/>
        <v>365</v>
      </c>
      <c r="C1109" s="32">
        <f t="shared" ca="1" si="54"/>
        <v>154.75825</v>
      </c>
      <c r="D1109" s="32">
        <f t="shared" ca="1" si="54"/>
        <v>281.0162499999999</v>
      </c>
      <c r="E1109" s="32">
        <f t="shared" ca="1" si="54"/>
        <v>780.7254999999999</v>
      </c>
      <c r="F1109" s="32">
        <f t="shared" ca="1" si="54"/>
        <v>1216.5</v>
      </c>
      <c r="G1109" s="32">
        <f t="shared" ca="1" si="54"/>
        <v>79.166666666666671</v>
      </c>
      <c r="H1109" s="32">
        <f t="shared" ca="1" si="54"/>
        <v>600</v>
      </c>
      <c r="I1109" s="32">
        <f t="shared" ca="1" si="54"/>
        <v>695</v>
      </c>
      <c r="J1109" s="32">
        <f t="shared" ca="1" si="54"/>
        <v>33.333333333333336</v>
      </c>
    </row>
    <row r="1110" spans="1:20" ht="15">
      <c r="A1110" s="3">
        <f t="shared" si="50"/>
        <v>2095</v>
      </c>
      <c r="B1110" s="3">
        <f t="shared" si="52"/>
        <v>365</v>
      </c>
      <c r="C1110" s="32">
        <f t="shared" ca="1" si="54"/>
        <v>154.75825</v>
      </c>
      <c r="D1110" s="32">
        <f t="shared" ca="1" si="54"/>
        <v>281.0162499999999</v>
      </c>
      <c r="E1110" s="32">
        <f t="shared" ca="1" si="54"/>
        <v>780.7254999999999</v>
      </c>
      <c r="F1110" s="32">
        <f t="shared" ca="1" si="54"/>
        <v>1216.5</v>
      </c>
      <c r="G1110" s="32">
        <f t="shared" ca="1" si="54"/>
        <v>79.166666666666671</v>
      </c>
      <c r="H1110" s="32">
        <f t="shared" ca="1" si="54"/>
        <v>600</v>
      </c>
      <c r="I1110" s="32">
        <f t="shared" ca="1" si="54"/>
        <v>695</v>
      </c>
      <c r="J1110" s="32">
        <f t="shared" ca="1" si="54"/>
        <v>33.333333333333336</v>
      </c>
    </row>
    <row r="1111" spans="1:20" ht="15">
      <c r="A1111" s="3">
        <f t="shared" si="50"/>
        <v>2096</v>
      </c>
      <c r="B1111" s="3">
        <f t="shared" si="52"/>
        <v>366</v>
      </c>
      <c r="C1111" s="32">
        <f t="shared" ca="1" si="54"/>
        <v>154.75825</v>
      </c>
      <c r="D1111" s="32">
        <f t="shared" ca="1" si="54"/>
        <v>281.0162499999999</v>
      </c>
      <c r="E1111" s="32">
        <f t="shared" ca="1" si="54"/>
        <v>780.7254999999999</v>
      </c>
      <c r="F1111" s="32">
        <f t="shared" ca="1" si="54"/>
        <v>1216.5</v>
      </c>
      <c r="G1111" s="32">
        <f t="shared" ca="1" si="54"/>
        <v>79.166666666666671</v>
      </c>
      <c r="H1111" s="32">
        <f t="shared" ca="1" si="54"/>
        <v>600</v>
      </c>
      <c r="I1111" s="32">
        <f t="shared" ca="1" si="54"/>
        <v>695</v>
      </c>
      <c r="J1111" s="32">
        <f t="shared" ca="1" si="54"/>
        <v>33.333333333333336</v>
      </c>
    </row>
    <row r="1112" spans="1:20" ht="15">
      <c r="A1112" s="3">
        <f t="shared" si="50"/>
        <v>2097</v>
      </c>
      <c r="B1112" s="3">
        <f t="shared" si="52"/>
        <v>365</v>
      </c>
      <c r="C1112" s="32">
        <f t="shared" ca="1" si="54"/>
        <v>154.75825</v>
      </c>
      <c r="D1112" s="32">
        <f t="shared" ca="1" si="54"/>
        <v>281.0162499999999</v>
      </c>
      <c r="E1112" s="32">
        <f t="shared" ca="1" si="54"/>
        <v>780.7254999999999</v>
      </c>
      <c r="F1112" s="32">
        <f t="shared" ca="1" si="54"/>
        <v>1216.5</v>
      </c>
      <c r="G1112" s="32">
        <f t="shared" ca="1" si="54"/>
        <v>79.166666666666671</v>
      </c>
      <c r="H1112" s="32">
        <f t="shared" ca="1" si="54"/>
        <v>600</v>
      </c>
      <c r="I1112" s="32">
        <f t="shared" ca="1" si="54"/>
        <v>695</v>
      </c>
      <c r="J1112" s="32">
        <f t="shared" ca="1" si="54"/>
        <v>33.333333333333336</v>
      </c>
    </row>
    <row r="1113" spans="1:20" ht="15">
      <c r="A1113" s="3">
        <f t="shared" si="50"/>
        <v>2098</v>
      </c>
      <c r="B1113" s="3">
        <f t="shared" si="52"/>
        <v>365</v>
      </c>
      <c r="C1113" s="32">
        <f t="shared" ca="1" si="54"/>
        <v>154.75825</v>
      </c>
      <c r="D1113" s="32">
        <f t="shared" ca="1" si="54"/>
        <v>281.0162499999999</v>
      </c>
      <c r="E1113" s="32">
        <f t="shared" ca="1" si="54"/>
        <v>780.7254999999999</v>
      </c>
      <c r="F1113" s="32">
        <f t="shared" ca="1" si="54"/>
        <v>1216.5</v>
      </c>
      <c r="G1113" s="32">
        <f t="shared" ca="1" si="54"/>
        <v>79.166666666666671</v>
      </c>
      <c r="H1113" s="32">
        <f t="shared" ca="1" si="54"/>
        <v>600</v>
      </c>
      <c r="I1113" s="32">
        <f t="shared" ca="1" si="54"/>
        <v>695</v>
      </c>
      <c r="J1113" s="32">
        <f t="shared" ca="1" si="54"/>
        <v>33.333333333333336</v>
      </c>
    </row>
    <row r="1114" spans="1:20" ht="15">
      <c r="A1114" s="3">
        <f t="shared" si="50"/>
        <v>2099</v>
      </c>
      <c r="B1114" s="3">
        <f t="shared" si="52"/>
        <v>365</v>
      </c>
      <c r="C1114" s="32">
        <f t="shared" ca="1" si="54"/>
        <v>154.75825</v>
      </c>
      <c r="D1114" s="32">
        <f t="shared" ca="1" si="54"/>
        <v>281.0162499999999</v>
      </c>
      <c r="E1114" s="32">
        <f t="shared" ca="1" si="54"/>
        <v>780.7254999999999</v>
      </c>
      <c r="F1114" s="32">
        <f t="shared" ca="1" si="54"/>
        <v>1216.5</v>
      </c>
      <c r="G1114" s="32">
        <f t="shared" ca="1" si="54"/>
        <v>79.166666666666671</v>
      </c>
      <c r="H1114" s="32">
        <f t="shared" ca="1" si="54"/>
        <v>600</v>
      </c>
      <c r="I1114" s="32">
        <f t="shared" ca="1" si="54"/>
        <v>695</v>
      </c>
      <c r="J1114" s="32">
        <f t="shared" ca="1" si="54"/>
        <v>33.333333333333336</v>
      </c>
    </row>
    <row r="1115" spans="1:20" ht="15">
      <c r="A1115" s="3">
        <f t="shared" si="50"/>
        <v>2100</v>
      </c>
      <c r="B1115" s="3">
        <f t="shared" si="52"/>
        <v>365</v>
      </c>
      <c r="C1115" s="32">
        <f t="shared" ca="1" si="54"/>
        <v>154.75825</v>
      </c>
      <c r="D1115" s="32">
        <f t="shared" ca="1" si="54"/>
        <v>281.0162499999999</v>
      </c>
      <c r="E1115" s="32">
        <f t="shared" ca="1" si="54"/>
        <v>780.7254999999999</v>
      </c>
      <c r="F1115" s="32">
        <f t="shared" ca="1" si="54"/>
        <v>1216.5</v>
      </c>
      <c r="G1115" s="32">
        <f t="shared" ca="1" si="54"/>
        <v>79.166666666666671</v>
      </c>
      <c r="H1115" s="32">
        <f t="shared" ca="1" si="54"/>
        <v>600</v>
      </c>
      <c r="I1115" s="32">
        <f t="shared" ca="1" si="54"/>
        <v>695</v>
      </c>
      <c r="J1115" s="32">
        <f t="shared" ca="1" si="54"/>
        <v>33.333333333333336</v>
      </c>
    </row>
    <row r="1116" spans="1:20">
      <c r="A1116" s="29"/>
      <c r="B1116" s="29"/>
      <c r="C1116" s="31"/>
      <c r="D1116" s="31"/>
      <c r="E1116" s="31"/>
      <c r="F1116" s="31"/>
      <c r="G1116" s="31"/>
    </row>
    <row r="1117" spans="1:20">
      <c r="A1117" s="29"/>
      <c r="B1117" s="29"/>
    </row>
    <row r="1118" spans="1:20">
      <c r="A1118" s="29"/>
      <c r="B1118" s="29"/>
    </row>
    <row r="1119" spans="1:20">
      <c r="A1119" s="29"/>
      <c r="B1119" s="29"/>
    </row>
    <row r="1120" spans="1:20">
      <c r="A1120" s="29"/>
      <c r="B1120" s="29"/>
    </row>
    <row r="1121" spans="1:2">
      <c r="A1121" s="29"/>
      <c r="B1121" s="29"/>
    </row>
    <row r="1122" spans="1:2">
      <c r="A1122" s="29"/>
      <c r="B1122" s="29"/>
    </row>
    <row r="1123" spans="1:2">
      <c r="A1123" s="29"/>
      <c r="B1123" s="29"/>
    </row>
    <row r="1124" spans="1:2">
      <c r="A1124" s="29"/>
      <c r="B1124" s="29"/>
    </row>
    <row r="1125" spans="1:2">
      <c r="A1125" s="29"/>
      <c r="B1125" s="29"/>
    </row>
    <row r="1126" spans="1:2">
      <c r="A1126" s="29"/>
      <c r="B1126" s="29"/>
    </row>
    <row r="1127" spans="1:2">
      <c r="A1127" s="29"/>
      <c r="B1127" s="29"/>
    </row>
    <row r="1128" spans="1:2">
      <c r="A1128" s="29"/>
      <c r="B1128" s="29"/>
    </row>
    <row r="1129" spans="1:2">
      <c r="A1129" s="29"/>
      <c r="B1129" s="29"/>
    </row>
    <row r="1130" spans="1:2">
      <c r="A1130" s="29"/>
      <c r="B1130" s="29"/>
    </row>
    <row r="1131" spans="1:2">
      <c r="A1131" s="29"/>
      <c r="B1131" s="29"/>
    </row>
    <row r="1132" spans="1:2">
      <c r="A1132" s="29"/>
      <c r="B1132" s="29"/>
    </row>
    <row r="1133" spans="1:2">
      <c r="A1133" s="29"/>
      <c r="B1133" s="29"/>
    </row>
    <row r="1134" spans="1:2">
      <c r="A1134" s="29"/>
      <c r="B1134" s="29"/>
    </row>
    <row r="1135" spans="1:2">
      <c r="A1135" s="29"/>
      <c r="B1135" s="29"/>
    </row>
  </sheetData>
  <mergeCells count="1">
    <mergeCell ref="C7:E7"/>
  </mergeCells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7"/>
  <dimension ref="A1:J1135"/>
  <sheetViews>
    <sheetView zoomScale="70" zoomScaleNormal="70" workbookViewId="0">
      <pane xSplit="1" ySplit="9" topLeftCell="B10" activePane="bottomRight" state="frozen"/>
      <selection activeCell="S136" sqref="S136"/>
      <selection pane="topRight" activeCell="S136" sqref="S136"/>
      <selection pane="bottomLeft" activeCell="S136" sqref="S136"/>
      <selection pane="bottomRight" activeCell="J1" sqref="J1"/>
    </sheetView>
  </sheetViews>
  <sheetFormatPr defaultColWidth="7.08984375" defaultRowHeight="13.2"/>
  <cols>
    <col min="1" max="1" width="7.54296875" style="30" bestFit="1" customWidth="1"/>
    <col min="2" max="2" width="10" style="30" customWidth="1"/>
    <col min="3" max="3" width="12" style="30" customWidth="1"/>
    <col min="4" max="4" width="12.08984375" style="30" bestFit="1" customWidth="1"/>
    <col min="5" max="5" width="7.453125" style="30" bestFit="1" customWidth="1"/>
    <col min="6" max="16384" width="7.08984375" style="29"/>
  </cols>
  <sheetData>
    <row r="1" spans="1:10" ht="21">
      <c r="A1" s="28" t="s">
        <v>43</v>
      </c>
      <c r="J1" s="92" t="s">
        <v>66</v>
      </c>
    </row>
    <row r="2" spans="1:10" ht="15" customHeight="1">
      <c r="A2" s="54" t="s">
        <v>25</v>
      </c>
    </row>
    <row r="3" spans="1:10" ht="15" customHeight="1">
      <c r="A3" s="59"/>
      <c r="F3" s="57"/>
      <c r="G3" s="57"/>
    </row>
    <row r="4" spans="1:10" ht="15" customHeight="1">
      <c r="A4" s="59"/>
      <c r="B4" s="58"/>
      <c r="C4" s="58"/>
      <c r="D4" s="58"/>
      <c r="E4" s="58"/>
      <c r="F4" s="57"/>
      <c r="G4" s="57"/>
    </row>
    <row r="5" spans="1:10" ht="15" customHeight="1"/>
    <row r="6" spans="1:10" ht="15" customHeight="1">
      <c r="B6" s="56" t="s">
        <v>24</v>
      </c>
      <c r="C6" s="55">
        <f>1-0.269</f>
        <v>0.73099999999999998</v>
      </c>
      <c r="D6" s="56" t="s">
        <v>23</v>
      </c>
      <c r="E6" s="55">
        <f>1+0.269</f>
        <v>1.2690000000000001</v>
      </c>
    </row>
    <row r="7" spans="1:10" ht="15" customHeight="1">
      <c r="A7" s="54"/>
      <c r="B7" s="83" t="s">
        <v>42</v>
      </c>
      <c r="C7" s="83"/>
      <c r="D7" s="53" t="s">
        <v>41</v>
      </c>
      <c r="E7" s="48"/>
    </row>
    <row r="8" spans="1:10" s="51" customFormat="1" ht="62.4">
      <c r="B8" s="52" t="s">
        <v>40</v>
      </c>
      <c r="C8" s="52" t="s">
        <v>39</v>
      </c>
      <c r="D8" s="52" t="s">
        <v>38</v>
      </c>
      <c r="E8" s="20" t="s">
        <v>37</v>
      </c>
    </row>
    <row r="9" spans="1:10" s="51" customFormat="1" ht="21" customHeight="1">
      <c r="A9" s="17" t="s">
        <v>2</v>
      </c>
      <c r="B9" s="43" t="s">
        <v>1</v>
      </c>
      <c r="C9" s="43" t="s">
        <v>1</v>
      </c>
      <c r="D9" s="43" t="s">
        <v>1</v>
      </c>
      <c r="E9" s="17" t="s">
        <v>36</v>
      </c>
    </row>
    <row r="10" spans="1:10" ht="15">
      <c r="A10" s="13">
        <v>42370</v>
      </c>
      <c r="B10" s="4">
        <f>5.3484 * CHOOSE(CONTROL!$C$6, $C$6, 100%, $E$6) + CHOOSE(CONTROL!$C$25, 0.0003, 0)</f>
        <v>5.3483999999999998</v>
      </c>
      <c r="C10" s="4">
        <f>5.0359 * CHOOSE(CONTROL!$C$6, $C$6, 100%, $E$6) + CHOOSE(CONTROL!$C$25, 0.0003, 0)</f>
        <v>5.0358999999999998</v>
      </c>
      <c r="D10" s="4">
        <f>9.2762 * CHOOSE(CONTROL!$C$6, $C$6, 100%, $E$6) + CHOOSE(CONTROL!$C$25, 0, 0)</f>
        <v>9.2761999999999993</v>
      </c>
      <c r="E10" s="4">
        <f>34.74 * CHOOSE(CONTROL!$C$6, $C$6, 100%, $E$6) + CHOOSE(CONTROL!$C$25, 0, 0)</f>
        <v>34.74</v>
      </c>
    </row>
    <row r="11" spans="1:10" ht="15">
      <c r="A11" s="13">
        <v>42401</v>
      </c>
      <c r="B11" s="4">
        <f>5.5922 * CHOOSE(CONTROL!$C$6, $C$6, 100%, $E$6) + CHOOSE(CONTROL!$C$25, 0.0003, 0)</f>
        <v>5.5922000000000001</v>
      </c>
      <c r="C11" s="4">
        <f>5.2797 * CHOOSE(CONTROL!$C$6, $C$6, 100%, $E$6) + CHOOSE(CONTROL!$C$25, 0.0003, 0)</f>
        <v>5.2797000000000001</v>
      </c>
      <c r="D11" s="4">
        <f>8.9477 * CHOOSE(CONTROL!$C$6, $C$6, 100%, $E$6) + CHOOSE(CONTROL!$C$25, 0, 0)</f>
        <v>8.9476999999999993</v>
      </c>
      <c r="E11" s="4">
        <f>26.55 * CHOOSE(CONTROL!$C$6, $C$6, 100%, $E$6) + CHOOSE(CONTROL!$C$25, 0, 0)</f>
        <v>26.55</v>
      </c>
    </row>
    <row r="12" spans="1:10" ht="15">
      <c r="A12" s="13">
        <v>42430</v>
      </c>
      <c r="B12" s="4">
        <f>6.0109 * CHOOSE(CONTROL!$C$6, $C$6, 100%, $E$6) + CHOOSE(CONTROL!$C$25, 0.0003, 0)</f>
        <v>6.0109000000000004</v>
      </c>
      <c r="C12" s="4">
        <f>5.6984 * CHOOSE(CONTROL!$C$6, $C$6, 100%, $E$6) + CHOOSE(CONTROL!$C$25, 0.0003, 0)</f>
        <v>5.6984000000000004</v>
      </c>
      <c r="D12" s="4">
        <f>9.0983 * CHOOSE(CONTROL!$C$6, $C$6, 100%, $E$6) + CHOOSE(CONTROL!$C$25, 0, 0)</f>
        <v>9.0983000000000001</v>
      </c>
      <c r="E12" s="4">
        <f>31.48 * CHOOSE(CONTROL!$C$6, $C$6, 100%, $E$6) + CHOOSE(CONTROL!$C$25, 0, 0)</f>
        <v>31.48</v>
      </c>
    </row>
    <row r="13" spans="1:10" ht="15">
      <c r="A13" s="13">
        <v>42461</v>
      </c>
      <c r="B13" s="4">
        <f>6.3266 * CHOOSE(CONTROL!$C$6, $C$6, 100%, $E$6) + CHOOSE(CONTROL!$C$25, 0.0003, 0)</f>
        <v>6.3266</v>
      </c>
      <c r="C13" s="4">
        <f>6.0141 * CHOOSE(CONTROL!$C$6, $C$6, 100%, $E$6) + CHOOSE(CONTROL!$C$25, 0.0003, 0)</f>
        <v>6.0141</v>
      </c>
      <c r="D13" s="4">
        <f>9.8821 * CHOOSE(CONTROL!$C$6, $C$6, 100%, $E$6) + CHOOSE(CONTROL!$C$25, 0, 0)</f>
        <v>9.8820999999999994</v>
      </c>
      <c r="E13" s="4">
        <f>39.91 * CHOOSE(CONTROL!$C$6, $C$6, 100%, $E$6) + CHOOSE(CONTROL!$C$25, 0, 0)</f>
        <v>39.909999999999997</v>
      </c>
    </row>
    <row r="14" spans="1:10" ht="15">
      <c r="A14" s="13">
        <v>42491</v>
      </c>
      <c r="B14" s="4">
        <f>7.4734 * CHOOSE(CONTROL!$C$6, $C$6, 100%, $E$6) + CHOOSE(CONTROL!$C$25, 0.0258, 0)</f>
        <v>7.4733999999999998</v>
      </c>
      <c r="C14" s="4">
        <f>7.1609 * CHOOSE(CONTROL!$C$6, $C$6, 100%, $E$6) + CHOOSE(CONTROL!$C$25, 0.0258, 0)</f>
        <v>7.1608999999999998</v>
      </c>
      <c r="D14" s="4">
        <f>11.2732 * CHOOSE(CONTROL!$C$6, $C$6, 100%, $E$6) + CHOOSE(CONTROL!$C$25, 0, 0)</f>
        <v>11.273199999999999</v>
      </c>
      <c r="E14" s="4">
        <f>42.63 * CHOOSE(CONTROL!$C$6, $C$6, 100%, $E$6) + CHOOSE(CONTROL!$C$25, 0, 0)</f>
        <v>42.63</v>
      </c>
    </row>
    <row r="15" spans="1:10" ht="15">
      <c r="A15" s="13">
        <v>42522</v>
      </c>
      <c r="B15" s="4">
        <f>8.0141 * CHOOSE(CONTROL!$C$6, $C$6, 100%, $E$6) + CHOOSE(CONTROL!$C$25, 0.0258, 0)</f>
        <v>8.0140999999999991</v>
      </c>
      <c r="C15" s="4">
        <f>7.7016 * CHOOSE(CONTROL!$C$6, $C$6, 100%, $E$6) + CHOOSE(CONTROL!$C$25, 0.0258, 0)</f>
        <v>7.7016</v>
      </c>
      <c r="D15" s="4">
        <f>12.1348 * CHOOSE(CONTROL!$C$6, $C$6, 100%, $E$6) + CHOOSE(CONTROL!$C$25, 0, 0)</f>
        <v>12.1348</v>
      </c>
      <c r="E15" s="4">
        <f>47.75 * CHOOSE(CONTROL!$C$6, $C$6, 100%, $E$6) + CHOOSE(CONTROL!$C$25, 0, 0)</f>
        <v>47.75</v>
      </c>
    </row>
    <row r="16" spans="1:10" ht="15">
      <c r="A16" s="13">
        <v>42552</v>
      </c>
      <c r="B16" s="4">
        <f>7.9438 * CHOOSE(CONTROL!$C$6, $C$6, 100%, $E$6) + CHOOSE(CONTROL!$C$25, 0.0258, 0)</f>
        <v>7.9438000000000004</v>
      </c>
      <c r="C16" s="4">
        <f>7.6313 * CHOOSE(CONTROL!$C$6, $C$6, 100%, $E$6) + CHOOSE(CONTROL!$C$25, 0.0258, 0)</f>
        <v>7.6313000000000004</v>
      </c>
      <c r="D16" s="4">
        <f>12.0426 * CHOOSE(CONTROL!$C$6, $C$6, 100%, $E$6) + CHOOSE(CONTROL!$C$25, 0, 0)</f>
        <v>12.0426</v>
      </c>
      <c r="E16" s="4">
        <f>48.85 * CHOOSE(CONTROL!$C$6, $C$6, 100%, $E$6) + CHOOSE(CONTROL!$C$25, 0, 0)</f>
        <v>48.85</v>
      </c>
    </row>
    <row r="17" spans="1:5" ht="15">
      <c r="A17" s="13">
        <v>42583</v>
      </c>
      <c r="B17" s="4">
        <f>8.1328 * CHOOSE(CONTROL!$C$6, $C$6, 100%, $E$6) + CHOOSE(CONTROL!$C$25, 0.0258, 0)</f>
        <v>8.1327999999999996</v>
      </c>
      <c r="C17" s="4">
        <f>7.8203 * CHOOSE(CONTROL!$C$6, $C$6, 100%, $E$6) + CHOOSE(CONTROL!$C$25, 0.0258, 0)</f>
        <v>7.8202999999999996</v>
      </c>
      <c r="D17" s="4">
        <f>10.5391 * CHOOSE(CONTROL!$C$6, $C$6, 100%, $E$6) + CHOOSE(CONTROL!$C$25, 0, 0)</f>
        <v>10.539099999999999</v>
      </c>
      <c r="E17" s="4">
        <f>44.94 * CHOOSE(CONTROL!$C$6, $C$6, 100%, $E$6) + CHOOSE(CONTROL!$C$25, 0, 0)</f>
        <v>44.94</v>
      </c>
    </row>
    <row r="18" spans="1:5" ht="15">
      <c r="A18" s="13">
        <v>42614</v>
      </c>
      <c r="B18" s="4">
        <f>8.2219 * CHOOSE(CONTROL!$C$6, $C$6, 100%, $E$6) + CHOOSE(CONTROL!$C$25, 0.0258, 0)</f>
        <v>8.2218999999999998</v>
      </c>
      <c r="C18" s="4">
        <f>7.9094 * CHOOSE(CONTROL!$C$6, $C$6, 100%, $E$6) + CHOOSE(CONTROL!$C$25, 0.0258, 0)</f>
        <v>7.9093999999999998</v>
      </c>
      <c r="D18" s="4">
        <f>11.5059 * CHOOSE(CONTROL!$C$6, $C$6, 100%, $E$6) + CHOOSE(CONTROL!$C$25, 0, 0)</f>
        <v>11.5059</v>
      </c>
      <c r="E18" s="4">
        <f>47.05 * CHOOSE(CONTROL!$C$6, $C$6, 100%, $E$6) + CHOOSE(CONTROL!$C$25, 0, 0)</f>
        <v>47.05</v>
      </c>
    </row>
    <row r="19" spans="1:5" ht="15">
      <c r="A19" s="13">
        <v>42644</v>
      </c>
      <c r="B19" s="4">
        <f>8.8281 * CHOOSE(CONTROL!$C$6, $C$6, 100%, $E$6) + CHOOSE(CONTROL!$C$25, 0.0003, 0)</f>
        <v>8.8280999999999992</v>
      </c>
      <c r="C19" s="4">
        <f>8.5156 * CHOOSE(CONTROL!$C$6, $C$6, 100%, $E$6) + CHOOSE(CONTROL!$C$25, 0.0003, 0)</f>
        <v>8.5155999999999992</v>
      </c>
      <c r="D19" s="4">
        <f>12.3538 * CHOOSE(CONTROL!$C$6, $C$6, 100%, $E$6) + CHOOSE(CONTROL!$C$25, 0, 0)</f>
        <v>12.3538</v>
      </c>
      <c r="E19" s="4">
        <f>43.44 * CHOOSE(CONTROL!$C$6, $C$6, 100%, $E$6) + CHOOSE(CONTROL!$C$25, 0, 0)</f>
        <v>43.44</v>
      </c>
    </row>
    <row r="20" spans="1:5" ht="15">
      <c r="A20" s="13">
        <v>42675</v>
      </c>
      <c r="B20" s="4">
        <f>8.3313 * CHOOSE(CONTROL!$C$6, $C$6, 100%, $E$6) + CHOOSE(CONTROL!$C$25, 0.0003, 0)</f>
        <v>8.3313000000000006</v>
      </c>
      <c r="C20" s="4">
        <f>8.0188 * CHOOSE(CONTROL!$C$6, $C$6, 100%, $E$6) + CHOOSE(CONTROL!$C$25, 0.0003, 0)</f>
        <v>8.0188000000000006</v>
      </c>
      <c r="D20" s="4">
        <f>12.1204 * CHOOSE(CONTROL!$C$6, $C$6, 100%, $E$6) + CHOOSE(CONTROL!$C$25, 0, 0)</f>
        <v>12.1204</v>
      </c>
      <c r="E20" s="4">
        <f>50.43 * CHOOSE(CONTROL!$C$6, $C$6, 100%, $E$6) + CHOOSE(CONTROL!$C$25, 0, 0)</f>
        <v>50.43</v>
      </c>
    </row>
    <row r="21" spans="1:5" ht="15">
      <c r="A21" s="13">
        <v>42705</v>
      </c>
      <c r="B21" s="4">
        <f>8.4766 * CHOOSE(CONTROL!$C$6, $C$6, 100%, $E$6) + CHOOSE(CONTROL!$C$25, 0.0003, 0)</f>
        <v>8.4765999999999995</v>
      </c>
      <c r="C21" s="4">
        <f>8.1641 * CHOOSE(CONTROL!$C$6, $C$6, 100%, $E$6) + CHOOSE(CONTROL!$C$25, 0.0003, 0)</f>
        <v>8.1640999999999995</v>
      </c>
      <c r="D21" s="4">
        <f>11.7249 * CHOOSE(CONTROL!$C$6, $C$6, 100%, $E$6) + CHOOSE(CONTROL!$C$25, 0, 0)</f>
        <v>11.7249</v>
      </c>
      <c r="E21" s="4">
        <f>44.89 * CHOOSE(CONTROL!$C$6, $C$6, 100%, $E$6) + CHOOSE(CONTROL!$C$25, 0, 0)</f>
        <v>44.89</v>
      </c>
    </row>
    <row r="22" spans="1:5" ht="15">
      <c r="A22" s="13">
        <v>42736</v>
      </c>
      <c r="B22" s="4">
        <f>8.5312 * CHOOSE(CONTROL!$C$6, $C$6, 100%, $E$6) + CHOOSE(CONTROL!$C$25, 0.0003, 0)</f>
        <v>8.5312000000000001</v>
      </c>
      <c r="C22" s="4">
        <f>8.2188 * CHOOSE(CONTROL!$C$6, $C$6, 100%, $E$6) + CHOOSE(CONTROL!$C$25, 0.0003, 0)</f>
        <v>8.2187999999999999</v>
      </c>
      <c r="D22" s="4">
        <f>11.8632 * CHOOSE(CONTROL!$C$6, $C$6, 100%, $E$6) + CHOOSE(CONTROL!$C$25, 0, 0)</f>
        <v>11.863200000000001</v>
      </c>
      <c r="E22" s="4">
        <f>45.47 * CHOOSE(CONTROL!$C$6, $C$6, 100%, $E$6) + CHOOSE(CONTROL!$C$25, 0, 0)</f>
        <v>45.47</v>
      </c>
    </row>
    <row r="23" spans="1:5" ht="15">
      <c r="A23" s="13">
        <v>42767</v>
      </c>
      <c r="B23" s="4">
        <f>8.5312 * CHOOSE(CONTROL!$C$6, $C$6, 100%, $E$6) + CHOOSE(CONTROL!$C$25, 0.0003, 0)</f>
        <v>8.5312000000000001</v>
      </c>
      <c r="C23" s="4">
        <f>8.2188 * CHOOSE(CONTROL!$C$6, $C$6, 100%, $E$6) + CHOOSE(CONTROL!$C$25, 0.0003, 0)</f>
        <v>8.2187999999999999</v>
      </c>
      <c r="D23" s="4">
        <f>11.9749 * CHOOSE(CONTROL!$C$6, $C$6, 100%, $E$6) + CHOOSE(CONTROL!$C$25, 0, 0)</f>
        <v>11.9749</v>
      </c>
      <c r="E23" s="4">
        <f>46.1 * CHOOSE(CONTROL!$C$6, $C$6, 100%, $E$6) + CHOOSE(CONTROL!$C$25, 0, 0)</f>
        <v>46.1</v>
      </c>
    </row>
    <row r="24" spans="1:5" ht="15">
      <c r="A24" s="13">
        <v>42795</v>
      </c>
      <c r="B24" s="4">
        <f>8.5391 * CHOOSE(CONTROL!$C$6, $C$6, 100%, $E$6) + CHOOSE(CONTROL!$C$25, 0.0003, 0)</f>
        <v>8.5390999999999995</v>
      </c>
      <c r="C24" s="4">
        <f>8.2266 * CHOOSE(CONTROL!$C$6, $C$6, 100%, $E$6) + CHOOSE(CONTROL!$C$25, 0.0003, 0)</f>
        <v>8.2265999999999995</v>
      </c>
      <c r="D24" s="4">
        <f>12.0383 * CHOOSE(CONTROL!$C$6, $C$6, 100%, $E$6) + CHOOSE(CONTROL!$C$25, 0, 0)</f>
        <v>12.0383</v>
      </c>
      <c r="E24" s="4">
        <f>46.74 * CHOOSE(CONTROL!$C$6, $C$6, 100%, $E$6) + CHOOSE(CONTROL!$C$25, 0, 0)</f>
        <v>46.74</v>
      </c>
    </row>
    <row r="25" spans="1:5" ht="15">
      <c r="A25" s="13">
        <v>42826</v>
      </c>
      <c r="B25" s="4">
        <f>8.5469 * CHOOSE(CONTROL!$C$6, $C$6, 100%, $E$6) + CHOOSE(CONTROL!$C$25, 0.0003, 0)</f>
        <v>8.5469000000000008</v>
      </c>
      <c r="C25" s="4">
        <f>8.2344 * CHOOSE(CONTROL!$C$6, $C$6, 100%, $E$6) + CHOOSE(CONTROL!$C$25, 0.0003, 0)</f>
        <v>8.2344000000000008</v>
      </c>
      <c r="D25" s="4">
        <f>12.0519 * CHOOSE(CONTROL!$C$6, $C$6, 100%, $E$6) + CHOOSE(CONTROL!$C$25, 0, 0)</f>
        <v>12.0519</v>
      </c>
      <c r="E25" s="4">
        <f>47.34 * CHOOSE(CONTROL!$C$6, $C$6, 100%, $E$6) + CHOOSE(CONTROL!$C$25, 0, 0)</f>
        <v>47.34</v>
      </c>
    </row>
    <row r="26" spans="1:5" ht="15">
      <c r="A26" s="13">
        <v>42856</v>
      </c>
      <c r="B26" s="4">
        <f>8.5625 * CHOOSE(CONTROL!$C$6, $C$6, 100%, $E$6) + CHOOSE(CONTROL!$C$25, 0.0258, 0)</f>
        <v>8.5625</v>
      </c>
      <c r="C26" s="4">
        <f>8.25 * CHOOSE(CONTROL!$C$6, $C$6, 100%, $E$6) + CHOOSE(CONTROL!$C$25, 0.0258, 0)</f>
        <v>8.25</v>
      </c>
      <c r="D26" s="4">
        <f>12.0981 * CHOOSE(CONTROL!$C$6, $C$6, 100%, $E$6) + CHOOSE(CONTROL!$C$25, 0, 0)</f>
        <v>12.098100000000001</v>
      </c>
      <c r="E26" s="4">
        <f>47.86 * CHOOSE(CONTROL!$C$6, $C$6, 100%, $E$6) + CHOOSE(CONTROL!$C$25, 0, 0)</f>
        <v>47.86</v>
      </c>
    </row>
    <row r="27" spans="1:5" ht="15">
      <c r="A27" s="13">
        <v>42887</v>
      </c>
      <c r="B27" s="4">
        <f>8.5781 * CHOOSE(CONTROL!$C$6, $C$6, 100%, $E$6) + CHOOSE(CONTROL!$C$25, 0.0258, 0)</f>
        <v>8.5780999999999992</v>
      </c>
      <c r="C27" s="4">
        <f>8.2656 * CHOOSE(CONTROL!$C$6, $C$6, 100%, $E$6) + CHOOSE(CONTROL!$C$25, 0.0258, 0)</f>
        <v>8.2655999999999992</v>
      </c>
      <c r="D27" s="4">
        <f>12.1521 * CHOOSE(CONTROL!$C$6, $C$6, 100%, $E$6) + CHOOSE(CONTROL!$C$25, 0, 0)</f>
        <v>12.152100000000001</v>
      </c>
      <c r="E27" s="4">
        <f>48.28 * CHOOSE(CONTROL!$C$6, $C$6, 100%, $E$6) + CHOOSE(CONTROL!$C$25, 0, 0)</f>
        <v>48.28</v>
      </c>
    </row>
    <row r="28" spans="1:5" ht="15">
      <c r="A28" s="13">
        <v>42917</v>
      </c>
      <c r="B28" s="4">
        <f>8.5938 * CHOOSE(CONTROL!$C$6, $C$6, 100%, $E$6) + CHOOSE(CONTROL!$C$25, 0.0258, 0)</f>
        <v>8.5937999999999999</v>
      </c>
      <c r="C28" s="4">
        <f>8.2812 * CHOOSE(CONTROL!$C$6, $C$6, 100%, $E$6) + CHOOSE(CONTROL!$C$25, 0.0258, 0)</f>
        <v>8.2812000000000001</v>
      </c>
      <c r="D28" s="4">
        <f>12.24 * CHOOSE(CONTROL!$C$6, $C$6, 100%, $E$6) + CHOOSE(CONTROL!$C$25, 0, 0)</f>
        <v>12.24</v>
      </c>
      <c r="E28" s="4">
        <f>48.62 * CHOOSE(CONTROL!$C$6, $C$6, 100%, $E$6) + CHOOSE(CONTROL!$C$25, 0, 0)</f>
        <v>48.62</v>
      </c>
    </row>
    <row r="29" spans="1:5" ht="15">
      <c r="A29" s="13">
        <v>42948</v>
      </c>
      <c r="B29" s="4">
        <f>8.6016 * CHOOSE(CONTROL!$C$6, $C$6, 100%, $E$6) + CHOOSE(CONTROL!$C$25, 0.0258, 0)</f>
        <v>8.6015999999999995</v>
      </c>
      <c r="C29" s="4">
        <f>8.2891 * CHOOSE(CONTROL!$C$6, $C$6, 100%, $E$6) + CHOOSE(CONTROL!$C$25, 0.0258, 0)</f>
        <v>8.2890999999999995</v>
      </c>
      <c r="D29" s="4">
        <f>12.3401 * CHOOSE(CONTROL!$C$6, $C$6, 100%, $E$6) + CHOOSE(CONTROL!$C$25, 0, 0)</f>
        <v>12.3401</v>
      </c>
      <c r="E29" s="4">
        <f>48.91 * CHOOSE(CONTROL!$C$6, $C$6, 100%, $E$6) + CHOOSE(CONTROL!$C$25, 0, 0)</f>
        <v>48.91</v>
      </c>
    </row>
    <row r="30" spans="1:5" ht="15">
      <c r="A30" s="13">
        <v>42979</v>
      </c>
      <c r="B30" s="4">
        <f>8.6094 * CHOOSE(CONTROL!$C$6, $C$6, 100%, $E$6) + CHOOSE(CONTROL!$C$25, 0.0258, 0)</f>
        <v>8.6094000000000008</v>
      </c>
      <c r="C30" s="4">
        <f>8.2969 * CHOOSE(CONTROL!$C$6, $C$6, 100%, $E$6) + CHOOSE(CONTROL!$C$25, 0.0258, 0)</f>
        <v>8.2969000000000008</v>
      </c>
      <c r="D30" s="4">
        <f>12.446 * CHOOSE(CONTROL!$C$6, $C$6, 100%, $E$6) + CHOOSE(CONTROL!$C$25, 0, 0)</f>
        <v>12.446</v>
      </c>
      <c r="E30" s="4">
        <f>49.17 * CHOOSE(CONTROL!$C$6, $C$6, 100%, $E$6) + CHOOSE(CONTROL!$C$25, 0, 0)</f>
        <v>49.17</v>
      </c>
    </row>
    <row r="31" spans="1:5" ht="15">
      <c r="A31" s="13">
        <v>43009</v>
      </c>
      <c r="B31" s="4">
        <f>8.6172 * CHOOSE(CONTROL!$C$6, $C$6, 100%, $E$6) + CHOOSE(CONTROL!$C$25, 0.0003, 0)</f>
        <v>8.6172000000000004</v>
      </c>
      <c r="C31" s="4">
        <f>8.3047 * CHOOSE(CONTROL!$C$6, $C$6, 100%, $E$6) + CHOOSE(CONTROL!$C$25, 0.0003, 0)</f>
        <v>8.3047000000000004</v>
      </c>
      <c r="D31" s="4">
        <f>12.5433 * CHOOSE(CONTROL!$C$6, $C$6, 100%, $E$6) + CHOOSE(CONTROL!$C$25, 0, 0)</f>
        <v>12.5433</v>
      </c>
      <c r="E31" s="4">
        <f>49.4 * CHOOSE(CONTROL!$C$6, $C$6, 100%, $E$6) + CHOOSE(CONTROL!$C$25, 0, 0)</f>
        <v>49.4</v>
      </c>
    </row>
    <row r="32" spans="1:5" ht="15">
      <c r="A32" s="13">
        <v>43040</v>
      </c>
      <c r="B32" s="4">
        <f>8.625 * CHOOSE(CONTROL!$C$6, $C$6, 100%, $E$6) + CHOOSE(CONTROL!$C$25, 0.0003, 0)</f>
        <v>8.625</v>
      </c>
      <c r="C32" s="4">
        <f>8.3125 * CHOOSE(CONTROL!$C$6, $C$6, 100%, $E$6) + CHOOSE(CONTROL!$C$25, 0.0003, 0)</f>
        <v>8.3125</v>
      </c>
      <c r="D32" s="4">
        <f>12.6283 * CHOOSE(CONTROL!$C$6, $C$6, 100%, $E$6) + CHOOSE(CONTROL!$C$25, 0, 0)</f>
        <v>12.628299999999999</v>
      </c>
      <c r="E32" s="4">
        <f>49.63 * CHOOSE(CONTROL!$C$6, $C$6, 100%, $E$6) + CHOOSE(CONTROL!$C$25, 0, 0)</f>
        <v>49.63</v>
      </c>
    </row>
    <row r="33" spans="1:5" ht="15">
      <c r="A33" s="13">
        <v>43070</v>
      </c>
      <c r="B33" s="4">
        <f>8.6328 * CHOOSE(CONTROL!$C$6, $C$6, 100%, $E$6) + CHOOSE(CONTROL!$C$25, 0.0003, 0)</f>
        <v>8.6327999999999996</v>
      </c>
      <c r="C33" s="4">
        <f>8.3203 * CHOOSE(CONTROL!$C$6, $C$6, 100%, $E$6) + CHOOSE(CONTROL!$C$25, 0.0003, 0)</f>
        <v>8.3202999999999996</v>
      </c>
      <c r="D33" s="4">
        <f>12.7075 * CHOOSE(CONTROL!$C$6, $C$6, 100%, $E$6) + CHOOSE(CONTROL!$C$25, 0, 0)</f>
        <v>12.7075</v>
      </c>
      <c r="E33" s="4">
        <f>49.87 * CHOOSE(CONTROL!$C$6, $C$6, 100%, $E$6) + CHOOSE(CONTROL!$C$25, 0, 0)</f>
        <v>49.87</v>
      </c>
    </row>
    <row r="34" spans="1:5" ht="15">
      <c r="A34" s="13">
        <v>43101</v>
      </c>
      <c r="B34" s="4">
        <f>8.6641 * CHOOSE(CONTROL!$C$6, $C$6, 100%, $E$6) + CHOOSE(CONTROL!$C$25, 0.0003, 0)</f>
        <v>8.6640999999999995</v>
      </c>
      <c r="C34" s="4">
        <f>8.3516 * CHOOSE(CONTROL!$C$6, $C$6, 100%, $E$6) + CHOOSE(CONTROL!$C$25, 0.0003, 0)</f>
        <v>8.3515999999999995</v>
      </c>
      <c r="D34" s="4">
        <f>12.7911 * CHOOSE(CONTROL!$C$6, $C$6, 100%, $E$6) + CHOOSE(CONTROL!$C$25, 0, 0)</f>
        <v>12.7911</v>
      </c>
      <c r="E34" s="4">
        <f>50.03 * CHOOSE(CONTROL!$C$6, $C$6, 100%, $E$6) + CHOOSE(CONTROL!$C$25, 0, 0)</f>
        <v>50.03</v>
      </c>
    </row>
    <row r="35" spans="1:5" ht="15">
      <c r="A35" s="13">
        <v>43132</v>
      </c>
      <c r="B35" s="4">
        <f>8.6875 * CHOOSE(CONTROL!$C$6, $C$6, 100%, $E$6) + CHOOSE(CONTROL!$C$25, 0.0003, 0)</f>
        <v>8.6875</v>
      </c>
      <c r="C35" s="4">
        <f>8.375 * CHOOSE(CONTROL!$C$6, $C$6, 100%, $E$6) + CHOOSE(CONTROL!$C$25, 0.0003, 0)</f>
        <v>8.375</v>
      </c>
      <c r="D35" s="4">
        <f>12.8343 * CHOOSE(CONTROL!$C$6, $C$6, 100%, $E$6) + CHOOSE(CONTROL!$C$25, 0, 0)</f>
        <v>12.834300000000001</v>
      </c>
      <c r="E35" s="4">
        <f>50.19 * CHOOSE(CONTROL!$C$6, $C$6, 100%, $E$6) + CHOOSE(CONTROL!$C$25, 0, 0)</f>
        <v>50.19</v>
      </c>
    </row>
    <row r="36" spans="1:5" ht="15">
      <c r="A36" s="13">
        <v>43160</v>
      </c>
      <c r="B36" s="4">
        <f>8.7109 * CHOOSE(CONTROL!$C$6, $C$6, 100%, $E$6) + CHOOSE(CONTROL!$C$25, 0.0003, 0)</f>
        <v>8.7109000000000005</v>
      </c>
      <c r="C36" s="4">
        <f>8.3984 * CHOOSE(CONTROL!$C$6, $C$6, 100%, $E$6) + CHOOSE(CONTROL!$C$25, 0.0003, 0)</f>
        <v>8.3984000000000005</v>
      </c>
      <c r="D36" s="4">
        <f>12.8444 * CHOOSE(CONTROL!$C$6, $C$6, 100%, $E$6) + CHOOSE(CONTROL!$C$25, 0, 0)</f>
        <v>12.8444</v>
      </c>
      <c r="E36" s="4">
        <f>50.33 * CHOOSE(CONTROL!$C$6, $C$6, 100%, $E$6) + CHOOSE(CONTROL!$C$25, 0, 0)</f>
        <v>50.33</v>
      </c>
    </row>
    <row r="37" spans="1:5" ht="15">
      <c r="A37" s="13">
        <v>43191</v>
      </c>
      <c r="B37" s="4">
        <f>8.7344 * CHOOSE(CONTROL!$C$6, $C$6, 100%, $E$6) + CHOOSE(CONTROL!$C$25, 0.0003, 0)</f>
        <v>8.7344000000000008</v>
      </c>
      <c r="C37" s="4">
        <f>8.4219 * CHOOSE(CONTROL!$C$6, $C$6, 100%, $E$6) + CHOOSE(CONTROL!$C$25, 0.0003, 0)</f>
        <v>8.4219000000000008</v>
      </c>
      <c r="D37" s="4">
        <f>12.8192 * CHOOSE(CONTROL!$C$6, $C$6, 100%, $E$6) + CHOOSE(CONTROL!$C$25, 0, 0)</f>
        <v>12.8192</v>
      </c>
      <c r="E37" s="4">
        <f>50.48 * CHOOSE(CONTROL!$C$6, $C$6, 100%, $E$6) + CHOOSE(CONTROL!$C$25, 0, 0)</f>
        <v>50.48</v>
      </c>
    </row>
    <row r="38" spans="1:5" ht="15">
      <c r="A38" s="13">
        <v>43221</v>
      </c>
      <c r="B38" s="4">
        <f>8.7578 * CHOOSE(CONTROL!$C$6, $C$6, 100%, $E$6) + CHOOSE(CONTROL!$C$25, 0.0258, 0)</f>
        <v>8.7577999999999996</v>
      </c>
      <c r="C38" s="4">
        <f>8.4453 * CHOOSE(CONTROL!$C$6, $C$6, 100%, $E$6) + CHOOSE(CONTROL!$C$25, 0.0258, 0)</f>
        <v>8.4452999999999996</v>
      </c>
      <c r="D38" s="4">
        <f>12.8192 * CHOOSE(CONTROL!$C$6, $C$6, 100%, $E$6) + CHOOSE(CONTROL!$C$25, 0, 0)</f>
        <v>12.8192</v>
      </c>
      <c r="E38" s="4">
        <f>50.61 * CHOOSE(CONTROL!$C$6, $C$6, 100%, $E$6) + CHOOSE(CONTROL!$C$25, 0, 0)</f>
        <v>50.61</v>
      </c>
    </row>
    <row r="39" spans="1:5" ht="15">
      <c r="A39" s="13">
        <v>43252</v>
      </c>
      <c r="B39" s="4">
        <f>8.7812 * CHOOSE(CONTROL!$C$6, $C$6, 100%, $E$6) + CHOOSE(CONTROL!$C$25, 0.0258, 0)</f>
        <v>8.7812000000000001</v>
      </c>
      <c r="C39" s="4">
        <f>8.4688 * CHOOSE(CONTROL!$C$6, $C$6, 100%, $E$6) + CHOOSE(CONTROL!$C$25, 0.0258, 0)</f>
        <v>8.4687999999999999</v>
      </c>
      <c r="D39" s="4">
        <f>12.8372 * CHOOSE(CONTROL!$C$6, $C$6, 100%, $E$6) + CHOOSE(CONTROL!$C$25, 0, 0)</f>
        <v>12.837199999999999</v>
      </c>
      <c r="E39" s="4">
        <f>50.76 * CHOOSE(CONTROL!$C$6, $C$6, 100%, $E$6) + CHOOSE(CONTROL!$C$25, 0, 0)</f>
        <v>50.76</v>
      </c>
    </row>
    <row r="40" spans="1:5" ht="15">
      <c r="A40" s="13">
        <v>43282</v>
      </c>
      <c r="B40" s="4">
        <f>8.8047 * CHOOSE(CONTROL!$C$6, $C$6, 100%, $E$6) + CHOOSE(CONTROL!$C$25, 0.0258, 0)</f>
        <v>8.8047000000000004</v>
      </c>
      <c r="C40" s="4">
        <f>8.4922 * CHOOSE(CONTROL!$C$6, $C$6, 100%, $E$6) + CHOOSE(CONTROL!$C$25, 0.0258, 0)</f>
        <v>8.4922000000000004</v>
      </c>
      <c r="D40" s="4">
        <f>12.8984 * CHOOSE(CONTROL!$C$6, $C$6, 100%, $E$6) + CHOOSE(CONTROL!$C$25, 0, 0)</f>
        <v>12.898400000000001</v>
      </c>
      <c r="E40" s="4">
        <f>50.87 * CHOOSE(CONTROL!$C$6, $C$6, 100%, $E$6) + CHOOSE(CONTROL!$C$25, 0, 0)</f>
        <v>50.87</v>
      </c>
    </row>
    <row r="41" spans="1:5" ht="15">
      <c r="A41" s="13">
        <v>43313</v>
      </c>
      <c r="B41" s="4">
        <f>8.8281 * CHOOSE(CONTROL!$C$6, $C$6, 100%, $E$6) + CHOOSE(CONTROL!$C$25, 0.0258, 0)</f>
        <v>8.8280999999999992</v>
      </c>
      <c r="C41" s="4">
        <f>8.5156 * CHOOSE(CONTROL!$C$6, $C$6, 100%, $E$6) + CHOOSE(CONTROL!$C$25, 0.0258, 0)</f>
        <v>8.5155999999999992</v>
      </c>
      <c r="D41" s="4">
        <f>12.9705 * CHOOSE(CONTROL!$C$6, $C$6, 100%, $E$6) + CHOOSE(CONTROL!$C$25, 0, 0)</f>
        <v>12.970499999999999</v>
      </c>
      <c r="E41" s="4">
        <f>50.98 * CHOOSE(CONTROL!$C$6, $C$6, 100%, $E$6) + CHOOSE(CONTROL!$C$25, 0, 0)</f>
        <v>50.98</v>
      </c>
    </row>
    <row r="42" spans="1:5" ht="15">
      <c r="A42" s="13">
        <v>43344</v>
      </c>
      <c r="B42" s="4">
        <f>8.8516 * CHOOSE(CONTROL!$C$6, $C$6, 100%, $E$6) + CHOOSE(CONTROL!$C$25, 0.0258, 0)</f>
        <v>8.8515999999999995</v>
      </c>
      <c r="C42" s="4">
        <f>8.5391 * CHOOSE(CONTROL!$C$6, $C$6, 100%, $E$6) + CHOOSE(CONTROL!$C$25, 0.0258, 0)</f>
        <v>8.5390999999999995</v>
      </c>
      <c r="D42" s="4">
        <f>13.0533 * CHOOSE(CONTROL!$C$6, $C$6, 100%, $E$6) + CHOOSE(CONTROL!$C$25, 0, 0)</f>
        <v>13.0533</v>
      </c>
      <c r="E42" s="4">
        <f>51.1 * CHOOSE(CONTROL!$C$6, $C$6, 100%, $E$6) + CHOOSE(CONTROL!$C$25, 0, 0)</f>
        <v>51.1</v>
      </c>
    </row>
    <row r="43" spans="1:5" ht="15">
      <c r="A43" s="13">
        <v>43374</v>
      </c>
      <c r="B43" s="4">
        <f>8.875 * CHOOSE(CONTROL!$C$6, $C$6, 100%, $E$6) + CHOOSE(CONTROL!$C$25, 0.0003, 0)</f>
        <v>8.875</v>
      </c>
      <c r="C43" s="4">
        <f>8.5625 * CHOOSE(CONTROL!$C$6, $C$6, 100%, $E$6) + CHOOSE(CONTROL!$C$25, 0.0003, 0)</f>
        <v>8.5625</v>
      </c>
      <c r="D43" s="4">
        <f>13.129 * CHOOSE(CONTROL!$C$6, $C$6, 100%, $E$6) + CHOOSE(CONTROL!$C$25, 0, 0)</f>
        <v>13.129</v>
      </c>
      <c r="E43" s="4">
        <f>51.24 * CHOOSE(CONTROL!$C$6, $C$6, 100%, $E$6) + CHOOSE(CONTROL!$C$25, 0, 0)</f>
        <v>51.24</v>
      </c>
    </row>
    <row r="44" spans="1:5" ht="15">
      <c r="A44" s="13">
        <v>43405</v>
      </c>
      <c r="B44" s="4">
        <f>8.8984 * CHOOSE(CONTROL!$C$6, $C$6, 100%, $E$6) + CHOOSE(CONTROL!$C$25, 0.0003, 0)</f>
        <v>8.8984000000000005</v>
      </c>
      <c r="C44" s="4">
        <f>8.5859 * CHOOSE(CONTROL!$C$6, $C$6, 100%, $E$6) + CHOOSE(CONTROL!$C$25, 0.0003, 0)</f>
        <v>8.5859000000000005</v>
      </c>
      <c r="D44" s="4">
        <f>13.1974 * CHOOSE(CONTROL!$C$6, $C$6, 100%, $E$6) + CHOOSE(CONTROL!$C$25, 0, 0)</f>
        <v>13.1974</v>
      </c>
      <c r="E44" s="4">
        <f>51.38 * CHOOSE(CONTROL!$C$6, $C$6, 100%, $E$6) + CHOOSE(CONTROL!$C$25, 0, 0)</f>
        <v>51.38</v>
      </c>
    </row>
    <row r="45" spans="1:5" ht="15">
      <c r="A45" s="13">
        <v>43435</v>
      </c>
      <c r="B45" s="4">
        <f>8.9219 * CHOOSE(CONTROL!$C$6, $C$6, 100%, $E$6) + CHOOSE(CONTROL!$C$25, 0.0003, 0)</f>
        <v>8.9219000000000008</v>
      </c>
      <c r="C45" s="4">
        <f>8.6094 * CHOOSE(CONTROL!$C$6, $C$6, 100%, $E$6) + CHOOSE(CONTROL!$C$25, 0.0003, 0)</f>
        <v>8.6094000000000008</v>
      </c>
      <c r="D45" s="4">
        <f>13.2586 * CHOOSE(CONTROL!$C$6, $C$6, 100%, $E$6) + CHOOSE(CONTROL!$C$25, 0, 0)</f>
        <v>13.258599999999999</v>
      </c>
      <c r="E45" s="4">
        <f>51.54 * CHOOSE(CONTROL!$C$6, $C$6, 100%, $E$6) + CHOOSE(CONTROL!$C$25, 0, 0)</f>
        <v>51.54</v>
      </c>
    </row>
    <row r="46" spans="1:5" ht="15">
      <c r="A46" s="13">
        <v>43466</v>
      </c>
      <c r="B46" s="4">
        <f>9.7737 * CHOOSE(CONTROL!$C$6, $C$6, 100%, $E$6) + CHOOSE(CONTROL!$C$25, 0.0003, 0)</f>
        <v>9.7736999999999998</v>
      </c>
      <c r="C46" s="4">
        <f>9.4612 * CHOOSE(CONTROL!$C$6, $C$6, 100%, $E$6) + CHOOSE(CONTROL!$C$25, 0.0003, 0)</f>
        <v>9.4611999999999998</v>
      </c>
      <c r="D46" s="4">
        <f>14.113 * CHOOSE(CONTROL!$C$6, $C$6, 100%, $E$6) + CHOOSE(CONTROL!$C$25, 0, 0)</f>
        <v>14.113</v>
      </c>
      <c r="E46" s="4">
        <f>55.8245451266897 * CHOOSE(CONTROL!$C$6, $C$6, 100%, $E$6) + CHOOSE(CONTROL!$C$25, 0, 0)</f>
        <v>55.824545126689699</v>
      </c>
    </row>
    <row r="47" spans="1:5" ht="15">
      <c r="A47" s="13">
        <v>43497</v>
      </c>
      <c r="B47" s="4">
        <f>9.9613 * CHOOSE(CONTROL!$C$6, $C$6, 100%, $E$6) + CHOOSE(CONTROL!$C$25, 0.0003, 0)</f>
        <v>9.9612999999999996</v>
      </c>
      <c r="C47" s="4">
        <f>9.6488 * CHOOSE(CONTROL!$C$6, $C$6, 100%, $E$6) + CHOOSE(CONTROL!$C$25, 0.0003, 0)</f>
        <v>9.6487999999999996</v>
      </c>
      <c r="D47" s="4">
        <f>14.5636 * CHOOSE(CONTROL!$C$6, $C$6, 100%, $E$6) + CHOOSE(CONTROL!$C$25, 0, 0)</f>
        <v>14.563599999999999</v>
      </c>
      <c r="E47" s="4">
        <f>57.1500398274743 * CHOOSE(CONTROL!$C$6, $C$6, 100%, $E$6) + CHOOSE(CONTROL!$C$25, 0, 0)</f>
        <v>57.150039827474302</v>
      </c>
    </row>
    <row r="48" spans="1:5" ht="15">
      <c r="A48" s="13">
        <v>43525</v>
      </c>
      <c r="B48" s="4">
        <f>10.4538 * CHOOSE(CONTROL!$C$6, $C$6, 100%, $E$6) + CHOOSE(CONTROL!$C$25, 0.0003, 0)</f>
        <v>10.453799999999999</v>
      </c>
      <c r="C48" s="4">
        <f>10.1413 * CHOOSE(CONTROL!$C$6, $C$6, 100%, $E$6) + CHOOSE(CONTROL!$C$25, 0.0003, 0)</f>
        <v>10.141299999999999</v>
      </c>
      <c r="D48" s="4">
        <f>15.2689 * CHOOSE(CONTROL!$C$6, $C$6, 100%, $E$6) + CHOOSE(CONTROL!$C$25, 0, 0)</f>
        <v>15.2689</v>
      </c>
      <c r="E48" s="4">
        <f>60.6308593528008 * CHOOSE(CONTROL!$C$6, $C$6, 100%, $E$6) + CHOOSE(CONTROL!$C$25, 0, 0)</f>
        <v>60.630859352800798</v>
      </c>
    </row>
    <row r="49" spans="1:5" ht="15">
      <c r="A49" s="13">
        <v>43556</v>
      </c>
      <c r="B49" s="4">
        <f>10.8037 * CHOOSE(CONTROL!$C$6, $C$6, 100%, $E$6) + CHOOSE(CONTROL!$C$25, 0.0003, 0)</f>
        <v>10.803699999999999</v>
      </c>
      <c r="C49" s="4">
        <f>10.4912 * CHOOSE(CONTROL!$C$6, $C$6, 100%, $E$6) + CHOOSE(CONTROL!$C$25, 0.0003, 0)</f>
        <v>10.491199999999999</v>
      </c>
      <c r="D49" s="4">
        <f>15.6752 * CHOOSE(CONTROL!$C$6, $C$6, 100%, $E$6) + CHOOSE(CONTROL!$C$25, 0, 0)</f>
        <v>15.6752</v>
      </c>
      <c r="E49" s="4">
        <f>63.1040280135647 * CHOOSE(CONTROL!$C$6, $C$6, 100%, $E$6) + CHOOSE(CONTROL!$C$25, 0, 0)</f>
        <v>63.104028013564701</v>
      </c>
    </row>
    <row r="50" spans="1:5" ht="15">
      <c r="A50" s="13">
        <v>43586</v>
      </c>
      <c r="B50" s="4">
        <f>11.0175 * CHOOSE(CONTROL!$C$6, $C$6, 100%, $E$6) + CHOOSE(CONTROL!$C$25, 0.0258, 0)</f>
        <v>11.0175</v>
      </c>
      <c r="C50" s="4">
        <f>10.705 * CHOOSE(CONTROL!$C$6, $C$6, 100%, $E$6) + CHOOSE(CONTROL!$C$25, 0.0258, 0)</f>
        <v>10.705</v>
      </c>
      <c r="D50" s="4">
        <f>15.5147 * CHOOSE(CONTROL!$C$6, $C$6, 100%, $E$6) + CHOOSE(CONTROL!$C$25, 0, 0)</f>
        <v>15.514699999999999</v>
      </c>
      <c r="E50" s="4">
        <f>64.6150747917111 * CHOOSE(CONTROL!$C$6, $C$6, 100%, $E$6) + CHOOSE(CONTROL!$C$25, 0, 0)</f>
        <v>64.615074791711095</v>
      </c>
    </row>
    <row r="51" spans="1:5" ht="15">
      <c r="A51" s="13">
        <v>43617</v>
      </c>
      <c r="B51" s="4">
        <f>11.0464 * CHOOSE(CONTROL!$C$6, $C$6, 100%, $E$6) + CHOOSE(CONTROL!$C$25, 0.0258, 0)</f>
        <v>11.0464</v>
      </c>
      <c r="C51" s="4">
        <f>10.7339 * CHOOSE(CONTROL!$C$6, $C$6, 100%, $E$6) + CHOOSE(CONTROL!$C$25, 0.0258, 0)</f>
        <v>10.7339</v>
      </c>
      <c r="D51" s="4">
        <f>15.6454 * CHOOSE(CONTROL!$C$6, $C$6, 100%, $E$6) + CHOOSE(CONTROL!$C$25, 0, 0)</f>
        <v>15.6454</v>
      </c>
      <c r="E51" s="4">
        <f>64.8195256917673 * CHOOSE(CONTROL!$C$6, $C$6, 100%, $E$6) + CHOOSE(CONTROL!$C$25, 0, 0)</f>
        <v>64.819525691767296</v>
      </c>
    </row>
    <row r="52" spans="1:5" ht="15">
      <c r="A52" s="13">
        <v>43647</v>
      </c>
      <c r="B52" s="4">
        <f>11.0435 * CHOOSE(CONTROL!$C$6, $C$6, 100%, $E$6) + CHOOSE(CONTROL!$C$25, 0.0258, 0)</f>
        <v>11.0435</v>
      </c>
      <c r="C52" s="4">
        <f>10.731 * CHOOSE(CONTROL!$C$6, $C$6, 100%, $E$6) + CHOOSE(CONTROL!$C$25, 0.0258, 0)</f>
        <v>10.731</v>
      </c>
      <c r="D52" s="4">
        <f>15.8814 * CHOOSE(CONTROL!$C$6, $C$6, 100%, $E$6) + CHOOSE(CONTROL!$C$25, 0, 0)</f>
        <v>15.881399999999999</v>
      </c>
      <c r="E52" s="4">
        <f>64.7989087942827 * CHOOSE(CONTROL!$C$6, $C$6, 100%, $E$6) + CHOOSE(CONTROL!$C$25, 0, 0)</f>
        <v>64.798908794282696</v>
      </c>
    </row>
    <row r="53" spans="1:5" ht="15">
      <c r="A53" s="13">
        <v>43678</v>
      </c>
      <c r="B53" s="4">
        <f>11.263 * CHOOSE(CONTROL!$C$6, $C$6, 100%, $E$6) + CHOOSE(CONTROL!$C$25, 0.0258, 0)</f>
        <v>11.263</v>
      </c>
      <c r="C53" s="4">
        <f>10.9505 * CHOOSE(CONTROL!$C$6, $C$6, 100%, $E$6) + CHOOSE(CONTROL!$C$25, 0.0258, 0)</f>
        <v>10.9505</v>
      </c>
      <c r="D53" s="4">
        <f>15.7256 * CHOOSE(CONTROL!$C$6, $C$6, 100%, $E$6) + CHOOSE(CONTROL!$C$25, 0, 0)</f>
        <v>15.7256</v>
      </c>
      <c r="E53" s="4">
        <f>66.3503303300032 * CHOOSE(CONTROL!$C$6, $C$6, 100%, $E$6) + CHOOSE(CONTROL!$C$25, 0, 0)</f>
        <v>66.350330330003203</v>
      </c>
    </row>
    <row r="54" spans="1:5" ht="15">
      <c r="A54" s="13">
        <v>43709</v>
      </c>
      <c r="B54" s="4">
        <f>10.8889 * CHOOSE(CONTROL!$C$6, $C$6, 100%, $E$6) + CHOOSE(CONTROL!$C$25, 0.0258, 0)</f>
        <v>10.8889</v>
      </c>
      <c r="C54" s="4">
        <f>10.5764 * CHOOSE(CONTROL!$C$6, $C$6, 100%, $E$6) + CHOOSE(CONTROL!$C$25, 0.0258, 0)</f>
        <v>10.5764</v>
      </c>
      <c r="D54" s="4">
        <f>15.6519 * CHOOSE(CONTROL!$C$6, $C$6, 100%, $E$6) + CHOOSE(CONTROL!$C$25, 0, 0)</f>
        <v>15.651899999999999</v>
      </c>
      <c r="E54" s="4">
        <f>63.7062132275958 * CHOOSE(CONTROL!$C$6, $C$6, 100%, $E$6) + CHOOSE(CONTROL!$C$25, 0, 0)</f>
        <v>63.706213227595804</v>
      </c>
    </row>
    <row r="55" spans="1:5" ht="15">
      <c r="A55" s="13">
        <v>43739</v>
      </c>
      <c r="B55" s="4">
        <f>10.5894 * CHOOSE(CONTROL!$C$6, $C$6, 100%, $E$6) + CHOOSE(CONTROL!$C$25, 0.0003, 0)</f>
        <v>10.589399999999999</v>
      </c>
      <c r="C55" s="4">
        <f>10.2769 * CHOOSE(CONTROL!$C$6, $C$6, 100%, $E$6) + CHOOSE(CONTROL!$C$25, 0.0003, 0)</f>
        <v>10.276899999999999</v>
      </c>
      <c r="D55" s="4">
        <f>15.4548 * CHOOSE(CONTROL!$C$6, $C$6, 100%, $E$6) + CHOOSE(CONTROL!$C$25, 0, 0)</f>
        <v>15.454800000000001</v>
      </c>
      <c r="E55" s="4">
        <f>61.5895450858375 * CHOOSE(CONTROL!$C$6, $C$6, 100%, $E$6) + CHOOSE(CONTROL!$C$25, 0, 0)</f>
        <v>61.5895450858375</v>
      </c>
    </row>
    <row r="56" spans="1:5" ht="15">
      <c r="A56" s="13">
        <v>43770</v>
      </c>
      <c r="B56" s="4">
        <f>10.3965 * CHOOSE(CONTROL!$C$6, $C$6, 100%, $E$6) + CHOOSE(CONTROL!$C$25, 0.0003, 0)</f>
        <v>10.3965</v>
      </c>
      <c r="C56" s="4">
        <f>10.084 * CHOOSE(CONTROL!$C$6, $C$6, 100%, $E$6) + CHOOSE(CONTROL!$C$25, 0.0003, 0)</f>
        <v>10.084</v>
      </c>
      <c r="D56" s="4">
        <f>15.3871 * CHOOSE(CONTROL!$C$6, $C$6, 100%, $E$6) + CHOOSE(CONTROL!$C$25, 0, 0)</f>
        <v>15.3871</v>
      </c>
      <c r="E56" s="4">
        <f>60.2262527396644 * CHOOSE(CONTROL!$C$6, $C$6, 100%, $E$6) + CHOOSE(CONTROL!$C$25, 0, 0)</f>
        <v>60.226252739664403</v>
      </c>
    </row>
    <row r="57" spans="1:5" ht="15">
      <c r="A57" s="13">
        <v>43800</v>
      </c>
      <c r="B57" s="4">
        <f>10.2631 * CHOOSE(CONTROL!$C$6, $C$6, 100%, $E$6) + CHOOSE(CONTROL!$C$25, 0.0003, 0)</f>
        <v>10.2631</v>
      </c>
      <c r="C57" s="4">
        <f>9.9506 * CHOOSE(CONTROL!$C$6, $C$6, 100%, $E$6) + CHOOSE(CONTROL!$C$25, 0.0003, 0)</f>
        <v>9.9505999999999997</v>
      </c>
      <c r="D57" s="4">
        <f>14.8882 * CHOOSE(CONTROL!$C$6, $C$6, 100%, $E$6) + CHOOSE(CONTROL!$C$25, 0, 0)</f>
        <v>14.888199999999999</v>
      </c>
      <c r="E57" s="4">
        <f>59.2830296797413 * CHOOSE(CONTROL!$C$6, $C$6, 100%, $E$6) + CHOOSE(CONTROL!$C$25, 0, 0)</f>
        <v>59.283029679741297</v>
      </c>
    </row>
    <row r="58" spans="1:5" ht="15">
      <c r="A58" s="13">
        <v>43831</v>
      </c>
      <c r="B58" s="4">
        <f>10.2378 * CHOOSE(CONTROL!$C$6, $C$6, 100%, $E$6) + CHOOSE(CONTROL!$C$25, 0.0003, 0)</f>
        <v>10.2378</v>
      </c>
      <c r="C58" s="4">
        <f>9.9253 * CHOOSE(CONTROL!$C$6, $C$6, 100%, $E$6) + CHOOSE(CONTROL!$C$25, 0.0003, 0)</f>
        <v>9.9253</v>
      </c>
      <c r="D58" s="4">
        <f>14.6986 * CHOOSE(CONTROL!$C$6, $C$6, 100%, $E$6) + CHOOSE(CONTROL!$C$25, 0, 0)</f>
        <v>14.698600000000001</v>
      </c>
      <c r="E58" s="4">
        <f>58.3920482924398 * CHOOSE(CONTROL!$C$6, $C$6, 100%, $E$6) + CHOOSE(CONTROL!$C$25, 0, 0)</f>
        <v>58.392048292439803</v>
      </c>
    </row>
    <row r="59" spans="1:5" ht="15">
      <c r="A59" s="13">
        <v>43862</v>
      </c>
      <c r="B59" s="4">
        <f>10.4364 * CHOOSE(CONTROL!$C$6, $C$6, 100%, $E$6) + CHOOSE(CONTROL!$C$25, 0.0003, 0)</f>
        <v>10.436400000000001</v>
      </c>
      <c r="C59" s="4">
        <f>10.1239 * CHOOSE(CONTROL!$C$6, $C$6, 100%, $E$6) + CHOOSE(CONTROL!$C$25, 0.0003, 0)</f>
        <v>10.123900000000001</v>
      </c>
      <c r="D59" s="4">
        <f>15.1698 * CHOOSE(CONTROL!$C$6, $C$6, 100%, $E$6) + CHOOSE(CONTROL!$C$25, 0, 0)</f>
        <v>15.1698</v>
      </c>
      <c r="E59" s="4">
        <f>59.7785056366767 * CHOOSE(CONTROL!$C$6, $C$6, 100%, $E$6) + CHOOSE(CONTROL!$C$25, 0, 0)</f>
        <v>59.778505636676698</v>
      </c>
    </row>
    <row r="60" spans="1:5" ht="15">
      <c r="A60" s="13">
        <v>43891</v>
      </c>
      <c r="B60" s="4">
        <f>10.9578 * CHOOSE(CONTROL!$C$6, $C$6, 100%, $E$6) + CHOOSE(CONTROL!$C$25, 0.0003, 0)</f>
        <v>10.957800000000001</v>
      </c>
      <c r="C60" s="4">
        <f>10.6453 * CHOOSE(CONTROL!$C$6, $C$6, 100%, $E$6) + CHOOSE(CONTROL!$C$25, 0.0003, 0)</f>
        <v>10.645300000000001</v>
      </c>
      <c r="D60" s="4">
        <f>15.9075 * CHOOSE(CONTROL!$C$6, $C$6, 100%, $E$6) + CHOOSE(CONTROL!$C$25, 0, 0)</f>
        <v>15.907500000000001</v>
      </c>
      <c r="E60" s="4">
        <f>63.4194163034608 * CHOOSE(CONTROL!$C$6, $C$6, 100%, $E$6) + CHOOSE(CONTROL!$C$25, 0, 0)</f>
        <v>63.4194163034608</v>
      </c>
    </row>
    <row r="61" spans="1:5" ht="15">
      <c r="A61" s="13">
        <v>43922</v>
      </c>
      <c r="B61" s="4">
        <f>11.3283 * CHOOSE(CONTROL!$C$6, $C$6, 100%, $E$6) + CHOOSE(CONTROL!$C$25, 0.0003, 0)</f>
        <v>11.3283</v>
      </c>
      <c r="C61" s="4">
        <f>11.0158 * CHOOSE(CONTROL!$C$6, $C$6, 100%, $E$6) + CHOOSE(CONTROL!$C$25, 0.0003, 0)</f>
        <v>11.0158</v>
      </c>
      <c r="D61" s="4">
        <f>16.3325 * CHOOSE(CONTROL!$C$6, $C$6, 100%, $E$6) + CHOOSE(CONTROL!$C$25, 0, 0)</f>
        <v>16.3325</v>
      </c>
      <c r="E61" s="4">
        <f>66.0063318537253 * CHOOSE(CONTROL!$C$6, $C$6, 100%, $E$6) + CHOOSE(CONTROL!$C$25, 0, 0)</f>
        <v>66.0063318537253</v>
      </c>
    </row>
    <row r="62" spans="1:5" ht="15">
      <c r="A62" s="13">
        <v>43952</v>
      </c>
      <c r="B62" s="4">
        <f>11.5547 * CHOOSE(CONTROL!$C$6, $C$6, 100%, $E$6) + CHOOSE(CONTROL!$C$25, 0.0258, 0)</f>
        <v>11.5547</v>
      </c>
      <c r="C62" s="4">
        <f>11.2422 * CHOOSE(CONTROL!$C$6, $C$6, 100%, $E$6) + CHOOSE(CONTROL!$C$25, 0.0258, 0)</f>
        <v>11.2422</v>
      </c>
      <c r="D62" s="4">
        <f>16.1645 * CHOOSE(CONTROL!$C$6, $C$6, 100%, $E$6) + CHOOSE(CONTROL!$C$25, 0, 0)</f>
        <v>16.1645</v>
      </c>
      <c r="E62" s="4">
        <f>67.5868752552241 * CHOOSE(CONTROL!$C$6, $C$6, 100%, $E$6) + CHOOSE(CONTROL!$C$25, 0, 0)</f>
        <v>67.586875255224101</v>
      </c>
    </row>
    <row r="63" spans="1:5" ht="15">
      <c r="A63" s="13">
        <v>43983</v>
      </c>
      <c r="B63" s="4">
        <f>11.5853 * CHOOSE(CONTROL!$C$6, $C$6, 100%, $E$6) + CHOOSE(CONTROL!$C$25, 0.0258, 0)</f>
        <v>11.5853</v>
      </c>
      <c r="C63" s="4">
        <f>11.2728 * CHOOSE(CONTROL!$C$6, $C$6, 100%, $E$6) + CHOOSE(CONTROL!$C$25, 0.0258, 0)</f>
        <v>11.2728</v>
      </c>
      <c r="D63" s="4">
        <f>16.3013 * CHOOSE(CONTROL!$C$6, $C$6, 100%, $E$6) + CHOOSE(CONTROL!$C$25, 0, 0)</f>
        <v>16.301300000000001</v>
      </c>
      <c r="E63" s="4">
        <f>67.8007293368368 * CHOOSE(CONTROL!$C$6, $C$6, 100%, $E$6) + CHOOSE(CONTROL!$C$25, 0, 0)</f>
        <v>67.800729336836795</v>
      </c>
    </row>
    <row r="64" spans="1:5" ht="15">
      <c r="A64" s="13">
        <v>44013</v>
      </c>
      <c r="B64" s="4">
        <f>11.5822 * CHOOSE(CONTROL!$C$6, $C$6, 100%, $E$6) + CHOOSE(CONTROL!$C$25, 0.0258, 0)</f>
        <v>11.5822</v>
      </c>
      <c r="C64" s="4">
        <f>11.2697 * CHOOSE(CONTROL!$C$6, $C$6, 100%, $E$6) + CHOOSE(CONTROL!$C$25, 0.0258, 0)</f>
        <v>11.2697</v>
      </c>
      <c r="D64" s="4">
        <f>16.548 * CHOOSE(CONTROL!$C$6, $C$6, 100%, $E$6) + CHOOSE(CONTROL!$C$25, 0, 0)</f>
        <v>16.547999999999998</v>
      </c>
      <c r="E64" s="4">
        <f>67.7791642193632 * CHOOSE(CONTROL!$C$6, $C$6, 100%, $E$6) + CHOOSE(CONTROL!$C$25, 0, 0)</f>
        <v>67.779164219363196</v>
      </c>
    </row>
    <row r="65" spans="1:5" ht="15">
      <c r="A65" s="13">
        <v>44044</v>
      </c>
      <c r="B65" s="4">
        <f>11.8147 * CHOOSE(CONTROL!$C$6, $C$6, 100%, $E$6) + CHOOSE(CONTROL!$C$25, 0.0258, 0)</f>
        <v>11.8147</v>
      </c>
      <c r="C65" s="4">
        <f>11.5022 * CHOOSE(CONTROL!$C$6, $C$6, 100%, $E$6) + CHOOSE(CONTROL!$C$25, 0.0258, 0)</f>
        <v>11.5022</v>
      </c>
      <c r="D65" s="4">
        <f>16.3851 * CHOOSE(CONTROL!$C$6, $C$6, 100%, $E$6) + CHOOSE(CONTROL!$C$25, 0, 0)</f>
        <v>16.385100000000001</v>
      </c>
      <c r="E65" s="4">
        <f>69.4019393092478 * CHOOSE(CONTROL!$C$6, $C$6, 100%, $E$6) + CHOOSE(CONTROL!$C$25, 0, 0)</f>
        <v>69.401939309247794</v>
      </c>
    </row>
    <row r="66" spans="1:5" ht="15">
      <c r="A66" s="13">
        <v>44075</v>
      </c>
      <c r="B66" s="4">
        <f>11.4185 * CHOOSE(CONTROL!$C$6, $C$6, 100%, $E$6) + CHOOSE(CONTROL!$C$25, 0.0258, 0)</f>
        <v>11.4185</v>
      </c>
      <c r="C66" s="4">
        <f>11.106 * CHOOSE(CONTROL!$C$6, $C$6, 100%, $E$6) + CHOOSE(CONTROL!$C$25, 0.0258, 0)</f>
        <v>11.106</v>
      </c>
      <c r="D66" s="4">
        <f>16.3081 * CHOOSE(CONTROL!$C$6, $C$6, 100%, $E$6) + CHOOSE(CONTROL!$C$25, 0, 0)</f>
        <v>16.3081</v>
      </c>
      <c r="E66" s="4">
        <f>66.6362129932652 * CHOOSE(CONTROL!$C$6, $C$6, 100%, $E$6) + CHOOSE(CONTROL!$C$25, 0, 0)</f>
        <v>66.636212993265204</v>
      </c>
    </row>
    <row r="67" spans="1:5" ht="15">
      <c r="A67" s="13">
        <v>44105</v>
      </c>
      <c r="B67" s="4">
        <f>11.1015 * CHOOSE(CONTROL!$C$6, $C$6, 100%, $E$6) + CHOOSE(CONTROL!$C$25, 0.0003, 0)</f>
        <v>11.1015</v>
      </c>
      <c r="C67" s="4">
        <f>10.789 * CHOOSE(CONTROL!$C$6, $C$6, 100%, $E$6) + CHOOSE(CONTROL!$C$25, 0.0003, 0)</f>
        <v>10.789</v>
      </c>
      <c r="D67" s="4">
        <f>16.1019 * CHOOSE(CONTROL!$C$6, $C$6, 100%, $E$6) + CHOOSE(CONTROL!$C$25, 0, 0)</f>
        <v>16.101900000000001</v>
      </c>
      <c r="E67" s="4">
        <f>64.4221942659808 * CHOOSE(CONTROL!$C$6, $C$6, 100%, $E$6) + CHOOSE(CONTROL!$C$25, 0, 0)</f>
        <v>64.422194265980806</v>
      </c>
    </row>
    <row r="68" spans="1:5" ht="15">
      <c r="A68" s="13">
        <v>44136</v>
      </c>
      <c r="B68" s="4">
        <f>10.8972 * CHOOSE(CONTROL!$C$6, $C$6, 100%, $E$6) + CHOOSE(CONTROL!$C$25, 0.0003, 0)</f>
        <v>10.8972</v>
      </c>
      <c r="C68" s="4">
        <f>10.5847 * CHOOSE(CONTROL!$C$6, $C$6, 100%, $E$6) + CHOOSE(CONTROL!$C$25, 0.0003, 0)</f>
        <v>10.5847</v>
      </c>
      <c r="D68" s="4">
        <f>16.0311 * CHOOSE(CONTROL!$C$6, $C$6, 100%, $E$6) + CHOOSE(CONTROL!$C$25, 0, 0)</f>
        <v>16.031099999999999</v>
      </c>
      <c r="E68" s="4">
        <f>62.9962008730424 * CHOOSE(CONTROL!$C$6, $C$6, 100%, $E$6) + CHOOSE(CONTROL!$C$25, 0, 0)</f>
        <v>62.996200873042397</v>
      </c>
    </row>
    <row r="69" spans="1:5" ht="15">
      <c r="A69" s="13">
        <v>44166</v>
      </c>
      <c r="B69" s="4">
        <f>10.7559 * CHOOSE(CONTROL!$C$6, $C$6, 100%, $E$6) + CHOOSE(CONTROL!$C$25, 0.0003, 0)</f>
        <v>10.7559</v>
      </c>
      <c r="C69" s="4">
        <f>10.4434 * CHOOSE(CONTROL!$C$6, $C$6, 100%, $E$6) + CHOOSE(CONTROL!$C$25, 0.0003, 0)</f>
        <v>10.4434</v>
      </c>
      <c r="D69" s="4">
        <f>15.5093 * CHOOSE(CONTROL!$C$6, $C$6, 100%, $E$6) + CHOOSE(CONTROL!$C$25, 0, 0)</f>
        <v>15.5093</v>
      </c>
      <c r="E69" s="4">
        <f>62.0095967486276 * CHOOSE(CONTROL!$C$6, $C$6, 100%, $E$6) + CHOOSE(CONTROL!$C$25, 0, 0)</f>
        <v>62.009596748627601</v>
      </c>
    </row>
    <row r="70" spans="1:5" ht="15">
      <c r="A70" s="13">
        <v>44197</v>
      </c>
      <c r="B70" s="4">
        <f>12.6179 * CHOOSE(CONTROL!$C$6, $C$6, 100%, $E$6) + CHOOSE(CONTROL!$C$25, 0.0003, 0)</f>
        <v>12.617900000000001</v>
      </c>
      <c r="C70" s="4">
        <f>12.3054 * CHOOSE(CONTROL!$C$6, $C$6, 100%, $E$6) + CHOOSE(CONTROL!$C$25, 0.0003, 0)</f>
        <v>12.305400000000001</v>
      </c>
      <c r="D70" s="4">
        <f>17.1317 * CHOOSE(CONTROL!$C$6, $C$6, 100%, $E$6) + CHOOSE(CONTROL!$C$25, 0, 0)</f>
        <v>17.131699999999999</v>
      </c>
      <c r="E70" s="4">
        <f>71.179432111204 * CHOOSE(CONTROL!$C$6, $C$6, 100%, $E$6) + CHOOSE(CONTROL!$C$25, 0, 0)</f>
        <v>71.179432111203994</v>
      </c>
    </row>
    <row r="71" spans="1:5" ht="15">
      <c r="A71" s="13">
        <v>44228</v>
      </c>
      <c r="B71" s="4">
        <f>12.873 * CHOOSE(CONTROL!$C$6, $C$6, 100%, $E$6) + CHOOSE(CONTROL!$C$25, 0.0003, 0)</f>
        <v>12.872999999999999</v>
      </c>
      <c r="C71" s="4">
        <f>12.5605 * CHOOSE(CONTROL!$C$6, $C$6, 100%, $E$6) + CHOOSE(CONTROL!$C$25, 0.0003, 0)</f>
        <v>12.560499999999999</v>
      </c>
      <c r="D71" s="4">
        <f>17.6888 * CHOOSE(CONTROL!$C$6, $C$6, 100%, $E$6) + CHOOSE(CONTROL!$C$25, 0, 0)</f>
        <v>17.688800000000001</v>
      </c>
      <c r="E71" s="4">
        <f>72.86951234122 * CHOOSE(CONTROL!$C$6, $C$6, 100%, $E$6) + CHOOSE(CONTROL!$C$25, 0, 0)</f>
        <v>72.869512341220002</v>
      </c>
    </row>
    <row r="72" spans="1:5" ht="15">
      <c r="A72" s="13">
        <v>44256</v>
      </c>
      <c r="B72" s="4">
        <f>13.5429 * CHOOSE(CONTROL!$C$6, $C$6, 100%, $E$6) + CHOOSE(CONTROL!$C$25, 0.0003, 0)</f>
        <v>13.542899999999999</v>
      </c>
      <c r="C72" s="4">
        <f>13.2304 * CHOOSE(CONTROL!$C$6, $C$6, 100%, $E$6) + CHOOSE(CONTROL!$C$25, 0.0003, 0)</f>
        <v>13.230399999999999</v>
      </c>
      <c r="D72" s="4">
        <f>18.561 * CHOOSE(CONTROL!$C$6, $C$6, 100%, $E$6) + CHOOSE(CONTROL!$C$25, 0, 0)</f>
        <v>18.561</v>
      </c>
      <c r="E72" s="4">
        <f>77.30775284156 * CHOOSE(CONTROL!$C$6, $C$6, 100%, $E$6) + CHOOSE(CONTROL!$C$25, 0, 0)</f>
        <v>77.307752841560003</v>
      </c>
    </row>
    <row r="73" spans="1:5" ht="15">
      <c r="A73" s="13">
        <v>44287</v>
      </c>
      <c r="B73" s="4">
        <f>14.0188 * CHOOSE(CONTROL!$C$6, $C$6, 100%, $E$6) + CHOOSE(CONTROL!$C$25, 0.0003, 0)</f>
        <v>14.018800000000001</v>
      </c>
      <c r="C73" s="4">
        <f>13.7063 * CHOOSE(CONTROL!$C$6, $C$6, 100%, $E$6) + CHOOSE(CONTROL!$C$25, 0.0003, 0)</f>
        <v>13.706300000000001</v>
      </c>
      <c r="D73" s="4">
        <f>19.0633 * CHOOSE(CONTROL!$C$6, $C$6, 100%, $E$6) + CHOOSE(CONTROL!$C$25, 0, 0)</f>
        <v>19.063300000000002</v>
      </c>
      <c r="E73" s="4">
        <f>80.4611818643831 * CHOOSE(CONTROL!$C$6, $C$6, 100%, $E$6) + CHOOSE(CONTROL!$C$25, 0, 0)</f>
        <v>80.461181864383093</v>
      </c>
    </row>
    <row r="74" spans="1:5" ht="15">
      <c r="A74" s="13">
        <v>44317</v>
      </c>
      <c r="B74" s="4">
        <f>14.3096 * CHOOSE(CONTROL!$C$6, $C$6, 100%, $E$6) + CHOOSE(CONTROL!$C$25, 0.0258, 0)</f>
        <v>14.3096</v>
      </c>
      <c r="C74" s="4">
        <f>13.9971 * CHOOSE(CONTROL!$C$6, $C$6, 100%, $E$6) + CHOOSE(CONTROL!$C$25, 0.0258, 0)</f>
        <v>13.9971</v>
      </c>
      <c r="D74" s="4">
        <f>18.8648 * CHOOSE(CONTROL!$C$6, $C$6, 100%, $E$6) + CHOOSE(CONTROL!$C$25, 0, 0)</f>
        <v>18.864799999999999</v>
      </c>
      <c r="E74" s="4">
        <f>82.3878514201822 * CHOOSE(CONTROL!$C$6, $C$6, 100%, $E$6) + CHOOSE(CONTROL!$C$25, 0, 0)</f>
        <v>82.387851420182201</v>
      </c>
    </row>
    <row r="75" spans="1:5" ht="15">
      <c r="A75" s="13">
        <v>44348</v>
      </c>
      <c r="B75" s="4">
        <f>14.349 * CHOOSE(CONTROL!$C$6, $C$6, 100%, $E$6) + CHOOSE(CONTROL!$C$25, 0.0258, 0)</f>
        <v>14.349</v>
      </c>
      <c r="C75" s="4">
        <f>14.0365 * CHOOSE(CONTROL!$C$6, $C$6, 100%, $E$6) + CHOOSE(CONTROL!$C$25, 0.0258, 0)</f>
        <v>14.0365</v>
      </c>
      <c r="D75" s="4">
        <f>19.0265 * CHOOSE(CONTROL!$C$6, $C$6, 100%, $E$6) + CHOOSE(CONTROL!$C$25, 0, 0)</f>
        <v>19.026499999999999</v>
      </c>
      <c r="E75" s="4">
        <f>82.6485378069248 * CHOOSE(CONTROL!$C$6, $C$6, 100%, $E$6) + CHOOSE(CONTROL!$C$25, 0, 0)</f>
        <v>82.648537806924793</v>
      </c>
    </row>
    <row r="76" spans="1:5" ht="15">
      <c r="A76" s="13">
        <v>44378</v>
      </c>
      <c r="B76" s="4">
        <f>14.345 * CHOOSE(CONTROL!$C$6, $C$6, 100%, $E$6) + CHOOSE(CONTROL!$C$25, 0.0258, 0)</f>
        <v>14.345000000000001</v>
      </c>
      <c r="C76" s="4">
        <f>14.0325 * CHOOSE(CONTROL!$C$6, $C$6, 100%, $E$6) + CHOOSE(CONTROL!$C$25, 0.0258, 0)</f>
        <v>14.032500000000001</v>
      </c>
      <c r="D76" s="4">
        <f>19.3182 * CHOOSE(CONTROL!$C$6, $C$6, 100%, $E$6) + CHOOSE(CONTROL!$C$25, 0, 0)</f>
        <v>19.318200000000001</v>
      </c>
      <c r="E76" s="4">
        <f>82.62225010406 * CHOOSE(CONTROL!$C$6, $C$6, 100%, $E$6) + CHOOSE(CONTROL!$C$25, 0, 0)</f>
        <v>82.622250104060001</v>
      </c>
    </row>
    <row r="77" spans="1:5" ht="15">
      <c r="A77" s="13">
        <v>44409</v>
      </c>
      <c r="B77" s="4">
        <f>14.6435 * CHOOSE(CONTROL!$C$6, $C$6, 100%, $E$6) + CHOOSE(CONTROL!$C$25, 0.0258, 0)</f>
        <v>14.6435</v>
      </c>
      <c r="C77" s="4">
        <f>14.331 * CHOOSE(CONTROL!$C$6, $C$6, 100%, $E$6) + CHOOSE(CONTROL!$C$25, 0.0258, 0)</f>
        <v>14.331</v>
      </c>
      <c r="D77" s="4">
        <f>19.1256 * CHOOSE(CONTROL!$C$6, $C$6, 100%, $E$6) + CHOOSE(CONTROL!$C$25, 0, 0)</f>
        <v>19.125599999999999</v>
      </c>
      <c r="E77" s="4">
        <f>84.6003997446361 * CHOOSE(CONTROL!$C$6, $C$6, 100%, $E$6) + CHOOSE(CONTROL!$C$25, 0, 0)</f>
        <v>84.600399744636107</v>
      </c>
    </row>
    <row r="78" spans="1:5" ht="15">
      <c r="A78" s="13">
        <v>44440</v>
      </c>
      <c r="B78" s="4">
        <f>14.1347 * CHOOSE(CONTROL!$C$6, $C$6, 100%, $E$6) + CHOOSE(CONTROL!$C$25, 0.0258, 0)</f>
        <v>14.1347</v>
      </c>
      <c r="C78" s="4">
        <f>13.8222 * CHOOSE(CONTROL!$C$6, $C$6, 100%, $E$6) + CHOOSE(CONTROL!$C$25, 0.0258, 0)</f>
        <v>13.8222</v>
      </c>
      <c r="D78" s="4">
        <f>19.0345 * CHOOSE(CONTROL!$C$6, $C$6, 100%, $E$6) + CHOOSE(CONTROL!$C$25, 0, 0)</f>
        <v>19.034500000000001</v>
      </c>
      <c r="E78" s="4">
        <f>81.2290018522257 * CHOOSE(CONTROL!$C$6, $C$6, 100%, $E$6) + CHOOSE(CONTROL!$C$25, 0, 0)</f>
        <v>81.229001852225693</v>
      </c>
    </row>
    <row r="79" spans="1:5" ht="15">
      <c r="A79" s="13">
        <v>44470</v>
      </c>
      <c r="B79" s="4">
        <f>13.7274 * CHOOSE(CONTROL!$C$6, $C$6, 100%, $E$6) + CHOOSE(CONTROL!$C$25, 0.0003, 0)</f>
        <v>13.727399999999999</v>
      </c>
      <c r="C79" s="4">
        <f>13.4149 * CHOOSE(CONTROL!$C$6, $C$6, 100%, $E$6) + CHOOSE(CONTROL!$C$25, 0.0003, 0)</f>
        <v>13.414899999999999</v>
      </c>
      <c r="D79" s="4">
        <f>18.7908 * CHOOSE(CONTROL!$C$6, $C$6, 100%, $E$6) + CHOOSE(CONTROL!$C$25, 0, 0)</f>
        <v>18.790800000000001</v>
      </c>
      <c r="E79" s="4">
        <f>78.5301310247731 * CHOOSE(CONTROL!$C$6, $C$6, 100%, $E$6) + CHOOSE(CONTROL!$C$25, 0, 0)</f>
        <v>78.530131024773098</v>
      </c>
    </row>
    <row r="80" spans="1:5" ht="15">
      <c r="A80" s="13">
        <v>44501</v>
      </c>
      <c r="B80" s="4">
        <f>13.465 * CHOOSE(CONTROL!$C$6, $C$6, 100%, $E$6) + CHOOSE(CONTROL!$C$25, 0.0003, 0)</f>
        <v>13.465</v>
      </c>
      <c r="C80" s="4">
        <f>13.1525 * CHOOSE(CONTROL!$C$6, $C$6, 100%, $E$6) + CHOOSE(CONTROL!$C$25, 0.0003, 0)</f>
        <v>13.1525</v>
      </c>
      <c r="D80" s="4">
        <f>18.707 * CHOOSE(CONTROL!$C$6, $C$6, 100%, $E$6) + CHOOSE(CONTROL!$C$25, 0, 0)</f>
        <v>18.707000000000001</v>
      </c>
      <c r="E80" s="4">
        <f>76.7918566728384 * CHOOSE(CONTROL!$C$6, $C$6, 100%, $E$6) + CHOOSE(CONTROL!$C$25, 0, 0)</f>
        <v>76.791856672838406</v>
      </c>
    </row>
    <row r="81" spans="1:5" ht="15">
      <c r="A81" s="13">
        <v>44531</v>
      </c>
      <c r="B81" s="4">
        <f>13.2835 * CHOOSE(CONTROL!$C$6, $C$6, 100%, $E$6) + CHOOSE(CONTROL!$C$25, 0.0003, 0)</f>
        <v>13.2835</v>
      </c>
      <c r="C81" s="4">
        <f>12.971 * CHOOSE(CONTROL!$C$6, $C$6, 100%, $E$6) + CHOOSE(CONTROL!$C$25, 0.0003, 0)</f>
        <v>12.971</v>
      </c>
      <c r="D81" s="4">
        <f>18.0902 * CHOOSE(CONTROL!$C$6, $C$6, 100%, $E$6) + CHOOSE(CONTROL!$C$25, 0, 0)</f>
        <v>18.090199999999999</v>
      </c>
      <c r="E81" s="4">
        <f>75.5891942667739 * CHOOSE(CONTROL!$C$6, $C$6, 100%, $E$6) + CHOOSE(CONTROL!$C$25, 0, 0)</f>
        <v>75.589194266773902</v>
      </c>
    </row>
    <row r="82" spans="1:5" ht="15">
      <c r="A82" s="13">
        <v>44562</v>
      </c>
      <c r="B82" s="4">
        <f>12.9926 * CHOOSE(CONTROL!$C$6, $C$6, 100%, $E$6) + CHOOSE(CONTROL!$C$25, 0.0003, 0)</f>
        <v>12.992599999999999</v>
      </c>
      <c r="C82" s="4">
        <f>12.6801 * CHOOSE(CONTROL!$C$6, $C$6, 100%, $E$6) + CHOOSE(CONTROL!$C$25, 0.0003, 0)</f>
        <v>12.680099999999999</v>
      </c>
      <c r="D82" s="4">
        <f>17.6879 * CHOOSE(CONTROL!$C$6, $C$6, 100%, $E$6) + CHOOSE(CONTROL!$C$25, 0, 0)</f>
        <v>17.687899999999999</v>
      </c>
      <c r="E82" s="4">
        <f>73.5303088742232 * CHOOSE(CONTROL!$C$6, $C$6, 100%, $E$6) + CHOOSE(CONTROL!$C$25, 0, 0)</f>
        <v>73.530308874223195</v>
      </c>
    </row>
    <row r="83" spans="1:5" ht="15">
      <c r="A83" s="13">
        <v>44593</v>
      </c>
      <c r="B83" s="4">
        <f>13.2566 * CHOOSE(CONTROL!$C$6, $C$6, 100%, $E$6) + CHOOSE(CONTROL!$C$25, 0.0003, 0)</f>
        <v>13.256600000000001</v>
      </c>
      <c r="C83" s="4">
        <f>12.9441 * CHOOSE(CONTROL!$C$6, $C$6, 100%, $E$6) + CHOOSE(CONTROL!$C$25, 0.0003, 0)</f>
        <v>12.944100000000001</v>
      </c>
      <c r="D83" s="4">
        <f>18.2647 * CHOOSE(CONTROL!$C$6, $C$6, 100%, $E$6) + CHOOSE(CONTROL!$C$25, 0, 0)</f>
        <v>18.264700000000001</v>
      </c>
      <c r="E83" s="4">
        <f>75.2762081831857 * CHOOSE(CONTROL!$C$6, $C$6, 100%, $E$6) + CHOOSE(CONTROL!$C$25, 0, 0)</f>
        <v>75.276208183185702</v>
      </c>
    </row>
    <row r="84" spans="1:5" ht="15">
      <c r="A84" s="13">
        <v>44621</v>
      </c>
      <c r="B84" s="4">
        <f>13.9498 * CHOOSE(CONTROL!$C$6, $C$6, 100%, $E$6) + CHOOSE(CONTROL!$C$25, 0.0003, 0)</f>
        <v>13.9498</v>
      </c>
      <c r="C84" s="4">
        <f>13.6373 * CHOOSE(CONTROL!$C$6, $C$6, 100%, $E$6) + CHOOSE(CONTROL!$C$25, 0.0003, 0)</f>
        <v>13.6373</v>
      </c>
      <c r="D84" s="4">
        <f>19.1675 * CHOOSE(CONTROL!$C$6, $C$6, 100%, $E$6) + CHOOSE(CONTROL!$C$25, 0, 0)</f>
        <v>19.1675</v>
      </c>
      <c r="E84" s="4">
        <f>79.8610325512453 * CHOOSE(CONTROL!$C$6, $C$6, 100%, $E$6) + CHOOSE(CONTROL!$C$25, 0, 0)</f>
        <v>79.861032551245302</v>
      </c>
    </row>
    <row r="85" spans="1:5" ht="15">
      <c r="A85" s="13">
        <v>44652</v>
      </c>
      <c r="B85" s="4">
        <f>14.4424 * CHOOSE(CONTROL!$C$6, $C$6, 100%, $E$6) + CHOOSE(CONTROL!$C$25, 0.0003, 0)</f>
        <v>14.442399999999999</v>
      </c>
      <c r="C85" s="4">
        <f>14.1299 * CHOOSE(CONTROL!$C$6, $C$6, 100%, $E$6) + CHOOSE(CONTROL!$C$25, 0.0003, 0)</f>
        <v>14.129899999999999</v>
      </c>
      <c r="D85" s="4">
        <f>19.6876 * CHOOSE(CONTROL!$C$6, $C$6, 100%, $E$6) + CHOOSE(CONTROL!$C$25, 0, 0)</f>
        <v>19.6876</v>
      </c>
      <c r="E85" s="4">
        <f>83.11861136557 * CHOOSE(CONTROL!$C$6, $C$6, 100%, $E$6) + CHOOSE(CONTROL!$C$25, 0, 0)</f>
        <v>83.118611365570004</v>
      </c>
    </row>
    <row r="86" spans="1:5" ht="15">
      <c r="A86" s="13">
        <v>44682</v>
      </c>
      <c r="B86" s="4">
        <f>14.7433 * CHOOSE(CONTROL!$C$6, $C$6, 100%, $E$6) + CHOOSE(CONTROL!$C$25, 0.0258, 0)</f>
        <v>14.7433</v>
      </c>
      <c r="C86" s="4">
        <f>14.4308 * CHOOSE(CONTROL!$C$6, $C$6, 100%, $E$6) + CHOOSE(CONTROL!$C$25, 0.0258, 0)</f>
        <v>14.4308</v>
      </c>
      <c r="D86" s="4">
        <f>19.4821 * CHOOSE(CONTROL!$C$6, $C$6, 100%, $E$6) + CHOOSE(CONTROL!$C$25, 0, 0)</f>
        <v>19.482099999999999</v>
      </c>
      <c r="E86" s="4">
        <f>85.1089139478545 * CHOOSE(CONTROL!$C$6, $C$6, 100%, $E$6) + CHOOSE(CONTROL!$C$25, 0, 0)</f>
        <v>85.108913947854504</v>
      </c>
    </row>
    <row r="87" spans="1:5" ht="15">
      <c r="A87" s="13">
        <v>44713</v>
      </c>
      <c r="B87" s="4">
        <f>14.784 * CHOOSE(CONTROL!$C$6, $C$6, 100%, $E$6) + CHOOSE(CONTROL!$C$25, 0.0258, 0)</f>
        <v>14.784000000000001</v>
      </c>
      <c r="C87" s="4">
        <f>14.4715 * CHOOSE(CONTROL!$C$6, $C$6, 100%, $E$6) + CHOOSE(CONTROL!$C$25, 0.0258, 0)</f>
        <v>14.471500000000001</v>
      </c>
      <c r="D87" s="4">
        <f>19.6495 * CHOOSE(CONTROL!$C$6, $C$6, 100%, $E$6) + CHOOSE(CONTROL!$C$25, 0, 0)</f>
        <v>19.6495</v>
      </c>
      <c r="E87" s="4">
        <f>85.378210147163 * CHOOSE(CONTROL!$C$6, $C$6, 100%, $E$6) + CHOOSE(CONTROL!$C$25, 0, 0)</f>
        <v>85.378210147163003</v>
      </c>
    </row>
    <row r="88" spans="1:5" ht="15">
      <c r="A88" s="13">
        <v>44743</v>
      </c>
      <c r="B88" s="4">
        <f>14.7799 * CHOOSE(CONTROL!$C$6, $C$6, 100%, $E$6) + CHOOSE(CONTROL!$C$25, 0.0258, 0)</f>
        <v>14.7799</v>
      </c>
      <c r="C88" s="4">
        <f>14.4674 * CHOOSE(CONTROL!$C$6, $C$6, 100%, $E$6) + CHOOSE(CONTROL!$C$25, 0.0258, 0)</f>
        <v>14.4674</v>
      </c>
      <c r="D88" s="4">
        <f>19.9514 * CHOOSE(CONTROL!$C$6, $C$6, 100%, $E$6) + CHOOSE(CONTROL!$C$25, 0, 0)</f>
        <v>19.9514</v>
      </c>
      <c r="E88" s="4">
        <f>85.351054227905 * CHOOSE(CONTROL!$C$6, $C$6, 100%, $E$6) + CHOOSE(CONTROL!$C$25, 0, 0)</f>
        <v>85.351054227904996</v>
      </c>
    </row>
    <row r="89" spans="1:5" ht="15">
      <c r="A89" s="13">
        <v>44774</v>
      </c>
      <c r="B89" s="4">
        <f>15.0889 * CHOOSE(CONTROL!$C$6, $C$6, 100%, $E$6) + CHOOSE(CONTROL!$C$25, 0.0258, 0)</f>
        <v>15.088900000000001</v>
      </c>
      <c r="C89" s="4">
        <f>14.7764 * CHOOSE(CONTROL!$C$6, $C$6, 100%, $E$6) + CHOOSE(CONTROL!$C$25, 0.0258, 0)</f>
        <v>14.776400000000001</v>
      </c>
      <c r="D89" s="4">
        <f>19.752 * CHOOSE(CONTROL!$C$6, $C$6, 100%, $E$6) + CHOOSE(CONTROL!$C$25, 0, 0)</f>
        <v>19.751999999999999</v>
      </c>
      <c r="E89" s="4">
        <f>87.3945371520698 * CHOOSE(CONTROL!$C$6, $C$6, 100%, $E$6) + CHOOSE(CONTROL!$C$25, 0, 0)</f>
        <v>87.394537152069802</v>
      </c>
    </row>
    <row r="90" spans="1:5" ht="15">
      <c r="A90" s="13">
        <v>44805</v>
      </c>
      <c r="B90" s="4">
        <f>14.5623 * CHOOSE(CONTROL!$C$6, $C$6, 100%, $E$6) + CHOOSE(CONTROL!$C$25, 0.0258, 0)</f>
        <v>14.5623</v>
      </c>
      <c r="C90" s="4">
        <f>14.2498 * CHOOSE(CONTROL!$C$6, $C$6, 100%, $E$6) + CHOOSE(CONTROL!$C$25, 0.0258, 0)</f>
        <v>14.2498</v>
      </c>
      <c r="D90" s="4">
        <f>19.6578 * CHOOSE(CONTROL!$C$6, $C$6, 100%, $E$6) + CHOOSE(CONTROL!$C$25, 0, 0)</f>
        <v>19.657800000000002</v>
      </c>
      <c r="E90" s="4">
        <f>83.9117905072308 * CHOOSE(CONTROL!$C$6, $C$6, 100%, $E$6) + CHOOSE(CONTROL!$C$25, 0, 0)</f>
        <v>83.911790507230805</v>
      </c>
    </row>
    <row r="91" spans="1:5" ht="15">
      <c r="A91" s="13">
        <v>44835</v>
      </c>
      <c r="B91" s="4">
        <f>14.1408 * CHOOSE(CONTROL!$C$6, $C$6, 100%, $E$6) + CHOOSE(CONTROL!$C$25, 0.0003, 0)</f>
        <v>14.1408</v>
      </c>
      <c r="C91" s="4">
        <f>13.8283 * CHOOSE(CONTROL!$C$6, $C$6, 100%, $E$6) + CHOOSE(CONTROL!$C$25, 0.0003, 0)</f>
        <v>13.8283</v>
      </c>
      <c r="D91" s="4">
        <f>19.4055 * CHOOSE(CONTROL!$C$6, $C$6, 100%, $E$6) + CHOOSE(CONTROL!$C$25, 0, 0)</f>
        <v>19.4055</v>
      </c>
      <c r="E91" s="4">
        <f>81.1237827967425 * CHOOSE(CONTROL!$C$6, $C$6, 100%, $E$6) + CHOOSE(CONTROL!$C$25, 0, 0)</f>
        <v>81.123782796742503</v>
      </c>
    </row>
    <row r="92" spans="1:5" ht="15">
      <c r="A92" s="13">
        <v>44866</v>
      </c>
      <c r="B92" s="4">
        <f>13.8693 * CHOOSE(CONTROL!$C$6, $C$6, 100%, $E$6) + CHOOSE(CONTROL!$C$25, 0.0003, 0)</f>
        <v>13.869300000000001</v>
      </c>
      <c r="C92" s="4">
        <f>13.5568 * CHOOSE(CONTROL!$C$6, $C$6, 100%, $E$6) + CHOOSE(CONTROL!$C$25, 0.0003, 0)</f>
        <v>13.556800000000001</v>
      </c>
      <c r="D92" s="4">
        <f>19.3187 * CHOOSE(CONTROL!$C$6, $C$6, 100%, $E$6) + CHOOSE(CONTROL!$C$25, 0, 0)</f>
        <v>19.3187</v>
      </c>
      <c r="E92" s="4">
        <f>79.328097635807 * CHOOSE(CONTROL!$C$6, $C$6, 100%, $E$6) + CHOOSE(CONTROL!$C$25, 0, 0)</f>
        <v>79.328097635806998</v>
      </c>
    </row>
    <row r="93" spans="1:5" ht="15">
      <c r="A93" s="13">
        <v>44896</v>
      </c>
      <c r="B93" s="4">
        <f>13.6814 * CHOOSE(CONTROL!$C$6, $C$6, 100%, $E$6) + CHOOSE(CONTROL!$C$25, 0.0003, 0)</f>
        <v>13.6814</v>
      </c>
      <c r="C93" s="4">
        <f>13.3689 * CHOOSE(CONTROL!$C$6, $C$6, 100%, $E$6) + CHOOSE(CONTROL!$C$25, 0.0003, 0)</f>
        <v>13.3689</v>
      </c>
      <c r="D93" s="4">
        <f>18.6801 * CHOOSE(CONTROL!$C$6, $C$6, 100%, $E$6) + CHOOSE(CONTROL!$C$25, 0, 0)</f>
        <v>18.680099999999999</v>
      </c>
      <c r="E93" s="4">
        <f>78.0857143297533 * CHOOSE(CONTROL!$C$6, $C$6, 100%, $E$6) + CHOOSE(CONTROL!$C$25, 0, 0)</f>
        <v>78.085714329753301</v>
      </c>
    </row>
    <row r="94" spans="1:5" ht="15">
      <c r="A94" s="13">
        <v>44927</v>
      </c>
      <c r="B94" s="4">
        <f>13.27 * CHOOSE(CONTROL!$C$6, $C$6, 100%, $E$6) + CHOOSE(CONTROL!$C$25, 0.0003, 0)</f>
        <v>13.27</v>
      </c>
      <c r="C94" s="4">
        <f>12.9575 * CHOOSE(CONTROL!$C$6, $C$6, 100%, $E$6) + CHOOSE(CONTROL!$C$25, 0.0003, 0)</f>
        <v>12.9575</v>
      </c>
      <c r="D94" s="4">
        <f>18.1334 * CHOOSE(CONTROL!$C$6, $C$6, 100%, $E$6) + CHOOSE(CONTROL!$C$25, 0, 0)</f>
        <v>18.133400000000002</v>
      </c>
      <c r="E94" s="4">
        <f>74.948365263876 * CHOOSE(CONTROL!$C$6, $C$6, 100%, $E$6) + CHOOSE(CONTROL!$C$25, 0, 0)</f>
        <v>74.948365263875999</v>
      </c>
    </row>
    <row r="95" spans="1:5" ht="15">
      <c r="A95" s="13">
        <v>44958</v>
      </c>
      <c r="B95" s="4">
        <f>13.5405 * CHOOSE(CONTROL!$C$6, $C$6, 100%, $E$6) + CHOOSE(CONTROL!$C$25, 0.0003, 0)</f>
        <v>13.5405</v>
      </c>
      <c r="C95" s="4">
        <f>13.228 * CHOOSE(CONTROL!$C$6, $C$6, 100%, $E$6) + CHOOSE(CONTROL!$C$25, 0.0003, 0)</f>
        <v>13.228</v>
      </c>
      <c r="D95" s="4">
        <f>18.7259 * CHOOSE(CONTROL!$C$6, $C$6, 100%, $E$6) + CHOOSE(CONTROL!$C$25, 0, 0)</f>
        <v>18.725899999999999</v>
      </c>
      <c r="E95" s="4">
        <f>76.7279348199607 * CHOOSE(CONTROL!$C$6, $C$6, 100%, $E$6) + CHOOSE(CONTROL!$C$25, 0, 0)</f>
        <v>76.727934819960694</v>
      </c>
    </row>
    <row r="96" spans="1:5" ht="15">
      <c r="A96" s="13">
        <v>44986</v>
      </c>
      <c r="B96" s="4">
        <f>14.251 * CHOOSE(CONTROL!$C$6, $C$6, 100%, $E$6) + CHOOSE(CONTROL!$C$25, 0.0003, 0)</f>
        <v>14.250999999999999</v>
      </c>
      <c r="C96" s="4">
        <f>13.9385 * CHOOSE(CONTROL!$C$6, $C$6, 100%, $E$6) + CHOOSE(CONTROL!$C$25, 0.0003, 0)</f>
        <v>13.938499999999999</v>
      </c>
      <c r="D96" s="4">
        <f>19.6533 * CHOOSE(CONTROL!$C$6, $C$6, 100%, $E$6) + CHOOSE(CONTROL!$C$25, 0, 0)</f>
        <v>19.653300000000002</v>
      </c>
      <c r="E96" s="4">
        <f>81.4011790463087 * CHOOSE(CONTROL!$C$6, $C$6, 100%, $E$6) + CHOOSE(CONTROL!$C$25, 0, 0)</f>
        <v>81.401179046308698</v>
      </c>
    </row>
    <row r="97" spans="1:5" ht="15">
      <c r="A97" s="13">
        <v>45017</v>
      </c>
      <c r="B97" s="4">
        <f>14.7559 * CHOOSE(CONTROL!$C$6, $C$6, 100%, $E$6) + CHOOSE(CONTROL!$C$25, 0.0003, 0)</f>
        <v>14.7559</v>
      </c>
      <c r="C97" s="4">
        <f>14.4434 * CHOOSE(CONTROL!$C$6, $C$6, 100%, $E$6) + CHOOSE(CONTROL!$C$25, 0.0003, 0)</f>
        <v>14.4434</v>
      </c>
      <c r="D97" s="4">
        <f>20.1876 * CHOOSE(CONTROL!$C$6, $C$6, 100%, $E$6) + CHOOSE(CONTROL!$C$25, 0, 0)</f>
        <v>20.1876</v>
      </c>
      <c r="E97" s="4">
        <f>84.7215813482968 * CHOOSE(CONTROL!$C$6, $C$6, 100%, $E$6) + CHOOSE(CONTROL!$C$25, 0, 0)</f>
        <v>84.721581348296795</v>
      </c>
    </row>
    <row r="98" spans="1:5" ht="15">
      <c r="A98" s="13">
        <v>45047</v>
      </c>
      <c r="B98" s="4">
        <f>15.0643 * CHOOSE(CONTROL!$C$6, $C$6, 100%, $E$6) + CHOOSE(CONTROL!$C$25, 0.0258, 0)</f>
        <v>15.064299999999999</v>
      </c>
      <c r="C98" s="4">
        <f>14.7518 * CHOOSE(CONTROL!$C$6, $C$6, 100%, $E$6) + CHOOSE(CONTROL!$C$25, 0.0258, 0)</f>
        <v>14.751799999999999</v>
      </c>
      <c r="D98" s="4">
        <f>19.9765 * CHOOSE(CONTROL!$C$6, $C$6, 100%, $E$6) + CHOOSE(CONTROL!$C$25, 0, 0)</f>
        <v>19.976500000000001</v>
      </c>
      <c r="E98" s="4">
        <f>86.7502675758748 * CHOOSE(CONTROL!$C$6, $C$6, 100%, $E$6) + CHOOSE(CONTROL!$C$25, 0, 0)</f>
        <v>86.750267575874801</v>
      </c>
    </row>
    <row r="99" spans="1:5" ht="15">
      <c r="A99" s="13">
        <v>45078</v>
      </c>
      <c r="B99" s="4">
        <f>15.106 * CHOOSE(CONTROL!$C$6, $C$6, 100%, $E$6) + CHOOSE(CONTROL!$C$25, 0.0258, 0)</f>
        <v>15.106</v>
      </c>
      <c r="C99" s="4">
        <f>14.7935 * CHOOSE(CONTROL!$C$6, $C$6, 100%, $E$6) + CHOOSE(CONTROL!$C$25, 0.0258, 0)</f>
        <v>14.7935</v>
      </c>
      <c r="D99" s="4">
        <f>20.1484 * CHOOSE(CONTROL!$C$6, $C$6, 100%, $E$6) + CHOOSE(CONTROL!$C$25, 0, 0)</f>
        <v>20.148399999999999</v>
      </c>
      <c r="E99" s="4">
        <f>87.024757241687 * CHOOSE(CONTROL!$C$6, $C$6, 100%, $E$6) + CHOOSE(CONTROL!$C$25, 0, 0)</f>
        <v>87.024757241686999</v>
      </c>
    </row>
    <row r="100" spans="1:5" ht="15">
      <c r="A100" s="13">
        <v>45108</v>
      </c>
      <c r="B100" s="4">
        <f>15.1018 * CHOOSE(CONTROL!$C$6, $C$6, 100%, $E$6) + CHOOSE(CONTROL!$C$25, 0.0258, 0)</f>
        <v>15.101800000000001</v>
      </c>
      <c r="C100" s="4">
        <f>14.7893 * CHOOSE(CONTROL!$C$6, $C$6, 100%, $E$6) + CHOOSE(CONTROL!$C$25, 0.0258, 0)</f>
        <v>14.789300000000001</v>
      </c>
      <c r="D100" s="4">
        <f>20.4586 * CHOOSE(CONTROL!$C$6, $C$6, 100%, $E$6) + CHOOSE(CONTROL!$C$25, 0, 0)</f>
        <v>20.458600000000001</v>
      </c>
      <c r="E100" s="4">
        <f>86.9970776115211 * CHOOSE(CONTROL!$C$6, $C$6, 100%, $E$6) + CHOOSE(CONTROL!$C$25, 0, 0)</f>
        <v>86.997077611521107</v>
      </c>
    </row>
    <row r="101" spans="1:5" ht="15">
      <c r="A101" s="13">
        <v>45139</v>
      </c>
      <c r="B101" s="4">
        <f>15.4185 * CHOOSE(CONTROL!$C$6, $C$6, 100%, $E$6) + CHOOSE(CONTROL!$C$25, 0.0258, 0)</f>
        <v>15.4185</v>
      </c>
      <c r="C101" s="4">
        <f>15.106 * CHOOSE(CONTROL!$C$6, $C$6, 100%, $E$6) + CHOOSE(CONTROL!$C$25, 0.0258, 0)</f>
        <v>15.106</v>
      </c>
      <c r="D101" s="4">
        <f>20.2538 * CHOOSE(CONTROL!$C$6, $C$6, 100%, $E$6) + CHOOSE(CONTROL!$C$25, 0, 0)</f>
        <v>20.253799999999998</v>
      </c>
      <c r="E101" s="4">
        <f>89.0799697815074 * CHOOSE(CONTROL!$C$6, $C$6, 100%, $E$6) + CHOOSE(CONTROL!$C$25, 0, 0)</f>
        <v>89.079969781507401</v>
      </c>
    </row>
    <row r="102" spans="1:5" ht="15">
      <c r="A102" s="13">
        <v>45170</v>
      </c>
      <c r="B102" s="4">
        <f>14.8788 * CHOOSE(CONTROL!$C$6, $C$6, 100%, $E$6) + CHOOSE(CONTROL!$C$25, 0.0258, 0)</f>
        <v>14.8788</v>
      </c>
      <c r="C102" s="4">
        <f>14.5663 * CHOOSE(CONTROL!$C$6, $C$6, 100%, $E$6) + CHOOSE(CONTROL!$C$25, 0.0258, 0)</f>
        <v>14.5663</v>
      </c>
      <c r="D102" s="4">
        <f>20.157 * CHOOSE(CONTROL!$C$6, $C$6, 100%, $E$6) + CHOOSE(CONTROL!$C$25, 0, 0)</f>
        <v>20.157</v>
      </c>
      <c r="E102" s="4">
        <f>85.5300572127267 * CHOOSE(CONTROL!$C$6, $C$6, 100%, $E$6) + CHOOSE(CONTROL!$C$25, 0, 0)</f>
        <v>85.530057212726703</v>
      </c>
    </row>
    <row r="103" spans="1:5" ht="15">
      <c r="A103" s="13">
        <v>45200</v>
      </c>
      <c r="B103" s="4">
        <f>14.4467 * CHOOSE(CONTROL!$C$6, $C$6, 100%, $E$6) + CHOOSE(CONTROL!$C$25, 0.0003, 0)</f>
        <v>14.4467</v>
      </c>
      <c r="C103" s="4">
        <f>14.1342 * CHOOSE(CONTROL!$C$6, $C$6, 100%, $E$6) + CHOOSE(CONTROL!$C$25, 0.0003, 0)</f>
        <v>14.1342</v>
      </c>
      <c r="D103" s="4">
        <f>19.8978 * CHOOSE(CONTROL!$C$6, $C$6, 100%, $E$6) + CHOOSE(CONTROL!$C$25, 0, 0)</f>
        <v>19.8978</v>
      </c>
      <c r="E103" s="4">
        <f>82.6882818490245 * CHOOSE(CONTROL!$C$6, $C$6, 100%, $E$6) + CHOOSE(CONTROL!$C$25, 0, 0)</f>
        <v>82.688281849024506</v>
      </c>
    </row>
    <row r="104" spans="1:5" ht="15">
      <c r="A104" s="13">
        <v>45231</v>
      </c>
      <c r="B104" s="4">
        <f>14.1685 * CHOOSE(CONTROL!$C$6, $C$6, 100%, $E$6) + CHOOSE(CONTROL!$C$25, 0.0003, 0)</f>
        <v>14.1685</v>
      </c>
      <c r="C104" s="4">
        <f>13.856 * CHOOSE(CONTROL!$C$6, $C$6, 100%, $E$6) + CHOOSE(CONTROL!$C$25, 0.0003, 0)</f>
        <v>13.856</v>
      </c>
      <c r="D104" s="4">
        <f>19.8087 * CHOOSE(CONTROL!$C$6, $C$6, 100%, $E$6) + CHOOSE(CONTROL!$C$25, 0, 0)</f>
        <v>19.808700000000002</v>
      </c>
      <c r="E104" s="4">
        <f>80.8579663043023 * CHOOSE(CONTROL!$C$6, $C$6, 100%, $E$6) + CHOOSE(CONTROL!$C$25, 0, 0)</f>
        <v>80.857966304302295</v>
      </c>
    </row>
    <row r="105" spans="1:5" ht="15">
      <c r="A105" s="13">
        <v>45261</v>
      </c>
      <c r="B105" s="4">
        <f>13.9759 * CHOOSE(CONTROL!$C$6, $C$6, 100%, $E$6) + CHOOSE(CONTROL!$C$25, 0.0003, 0)</f>
        <v>13.975899999999999</v>
      </c>
      <c r="C105" s="4">
        <f>13.6634 * CHOOSE(CONTROL!$C$6, $C$6, 100%, $E$6) + CHOOSE(CONTROL!$C$25, 0.0003, 0)</f>
        <v>13.663399999999999</v>
      </c>
      <c r="D105" s="4">
        <f>19.1526 * CHOOSE(CONTROL!$C$6, $C$6, 100%, $E$6) + CHOOSE(CONTROL!$C$25, 0, 0)</f>
        <v>19.1526</v>
      </c>
      <c r="E105" s="4">
        <f>79.5916232242109 * CHOOSE(CONTROL!$C$6, $C$6, 100%, $E$6) + CHOOSE(CONTROL!$C$25, 0, 0)</f>
        <v>79.591623224210906</v>
      </c>
    </row>
    <row r="106" spans="1:5" ht="15">
      <c r="A106" s="13">
        <v>45292</v>
      </c>
      <c r="B106" s="4">
        <f>13.5189 * CHOOSE(CONTROL!$C$6, $C$6, 100%, $E$6) + CHOOSE(CONTROL!$C$25, 0.0003, 0)</f>
        <v>13.5189</v>
      </c>
      <c r="C106" s="4">
        <f>13.2064 * CHOOSE(CONTROL!$C$6, $C$6, 100%, $E$6) + CHOOSE(CONTROL!$C$25, 0.0003, 0)</f>
        <v>13.2064</v>
      </c>
      <c r="D106" s="4">
        <f>18.9029 * CHOOSE(CONTROL!$C$6, $C$6, 100%, $E$6) + CHOOSE(CONTROL!$C$25, 0, 0)</f>
        <v>18.902899999999999</v>
      </c>
      <c r="E106" s="4">
        <f>76.554797029898 * CHOOSE(CONTROL!$C$6, $C$6, 100%, $E$6) + CHOOSE(CONTROL!$C$25, 0, 0)</f>
        <v>76.554797029897998</v>
      </c>
    </row>
    <row r="107" spans="1:5" ht="15">
      <c r="A107" s="13">
        <v>45323</v>
      </c>
      <c r="B107" s="4">
        <f>13.7954 * CHOOSE(CONTROL!$C$6, $C$6, 100%, $E$6) + CHOOSE(CONTROL!$C$25, 0.0003, 0)</f>
        <v>13.795400000000001</v>
      </c>
      <c r="C107" s="4">
        <f>13.4829 * CHOOSE(CONTROL!$C$6, $C$6, 100%, $E$6) + CHOOSE(CONTROL!$C$25, 0.0003, 0)</f>
        <v>13.482900000000001</v>
      </c>
      <c r="D107" s="4">
        <f>19.5225 * CHOOSE(CONTROL!$C$6, $C$6, 100%, $E$6) + CHOOSE(CONTROL!$C$25, 0, 0)</f>
        <v>19.522500000000001</v>
      </c>
      <c r="E107" s="4">
        <f>78.3725096069101 * CHOOSE(CONTROL!$C$6, $C$6, 100%, $E$6) + CHOOSE(CONTROL!$C$25, 0, 0)</f>
        <v>78.3725096069101</v>
      </c>
    </row>
    <row r="108" spans="1:5" ht="15">
      <c r="A108" s="13">
        <v>45352</v>
      </c>
      <c r="B108" s="4">
        <f>14.5214 * CHOOSE(CONTROL!$C$6, $C$6, 100%, $E$6) + CHOOSE(CONTROL!$C$25, 0.0003, 0)</f>
        <v>14.5214</v>
      </c>
      <c r="C108" s="4">
        <f>14.2089 * CHOOSE(CONTROL!$C$6, $C$6, 100%, $E$6) + CHOOSE(CONTROL!$C$25, 0.0003, 0)</f>
        <v>14.2089</v>
      </c>
      <c r="D108" s="4">
        <f>20.4925 * CHOOSE(CONTROL!$C$6, $C$6, 100%, $E$6) + CHOOSE(CONTROL!$C$25, 0, 0)</f>
        <v>20.4925</v>
      </c>
      <c r="E108" s="4">
        <f>83.1459194332569 * CHOOSE(CONTROL!$C$6, $C$6, 100%, $E$6) + CHOOSE(CONTROL!$C$25, 0, 0)</f>
        <v>83.145919433256907</v>
      </c>
    </row>
    <row r="109" spans="1:5" ht="15">
      <c r="A109" s="13">
        <v>45383</v>
      </c>
      <c r="B109" s="4">
        <f>15.0373 * CHOOSE(CONTROL!$C$6, $C$6, 100%, $E$6) + CHOOSE(CONTROL!$C$25, 0.0003, 0)</f>
        <v>15.0373</v>
      </c>
      <c r="C109" s="4">
        <f>14.7248 * CHOOSE(CONTROL!$C$6, $C$6, 100%, $E$6) + CHOOSE(CONTROL!$C$25, 0.0003, 0)</f>
        <v>14.7248</v>
      </c>
      <c r="D109" s="4">
        <f>21.0512 * CHOOSE(CONTROL!$C$6, $C$6, 100%, $E$6) + CHOOSE(CONTROL!$C$25, 0, 0)</f>
        <v>21.051200000000001</v>
      </c>
      <c r="E109" s="4">
        <f>86.5374907289263 * CHOOSE(CONTROL!$C$6, $C$6, 100%, $E$6) + CHOOSE(CONTROL!$C$25, 0, 0)</f>
        <v>86.537490728926301</v>
      </c>
    </row>
    <row r="110" spans="1:5" ht="15">
      <c r="A110" s="13">
        <v>45413</v>
      </c>
      <c r="B110" s="4">
        <f>15.3525 * CHOOSE(CONTROL!$C$6, $C$6, 100%, $E$6) + CHOOSE(CONTROL!$C$25, 0.0258, 0)</f>
        <v>15.352499999999999</v>
      </c>
      <c r="C110" s="4">
        <f>15.04 * CHOOSE(CONTROL!$C$6, $C$6, 100%, $E$6) + CHOOSE(CONTROL!$C$25, 0.0258, 0)</f>
        <v>15.04</v>
      </c>
      <c r="D110" s="4">
        <f>20.8305 * CHOOSE(CONTROL!$C$6, $C$6, 100%, $E$6) + CHOOSE(CONTROL!$C$25, 0, 0)</f>
        <v>20.830500000000001</v>
      </c>
      <c r="E110" s="4">
        <f>88.6096595059608 * CHOOSE(CONTROL!$C$6, $C$6, 100%, $E$6) + CHOOSE(CONTROL!$C$25, 0, 0)</f>
        <v>88.609659505960806</v>
      </c>
    </row>
    <row r="111" spans="1:5" ht="15">
      <c r="A111" s="13">
        <v>45444</v>
      </c>
      <c r="B111" s="4">
        <f>15.3951 * CHOOSE(CONTROL!$C$6, $C$6, 100%, $E$6) + CHOOSE(CONTROL!$C$25, 0.0258, 0)</f>
        <v>15.395099999999999</v>
      </c>
      <c r="C111" s="4">
        <f>15.0826 * CHOOSE(CONTROL!$C$6, $C$6, 100%, $E$6) + CHOOSE(CONTROL!$C$25, 0.0258, 0)</f>
        <v>15.082599999999999</v>
      </c>
      <c r="D111" s="4">
        <f>21.0103 * CHOOSE(CONTROL!$C$6, $C$6, 100%, $E$6) + CHOOSE(CONTROL!$C$25, 0, 0)</f>
        <v>21.010300000000001</v>
      </c>
      <c r="E111" s="4">
        <f>88.8900325411707 * CHOOSE(CONTROL!$C$6, $C$6, 100%, $E$6) + CHOOSE(CONTROL!$C$25, 0, 0)</f>
        <v>88.890032541170697</v>
      </c>
    </row>
    <row r="112" spans="1:5" ht="15">
      <c r="A112" s="13">
        <v>45474</v>
      </c>
      <c r="B112" s="4">
        <f>15.3908 * CHOOSE(CONTROL!$C$6, $C$6, 100%, $E$6) + CHOOSE(CONTROL!$C$25, 0.0258, 0)</f>
        <v>15.3908</v>
      </c>
      <c r="C112" s="4">
        <f>15.0783 * CHOOSE(CONTROL!$C$6, $C$6, 100%, $E$6) + CHOOSE(CONTROL!$C$25, 0.0258, 0)</f>
        <v>15.0783</v>
      </c>
      <c r="D112" s="4">
        <f>21.3347 * CHOOSE(CONTROL!$C$6, $C$6, 100%, $E$6) + CHOOSE(CONTROL!$C$25, 0, 0)</f>
        <v>21.334700000000002</v>
      </c>
      <c r="E112" s="4">
        <f>88.8617596300571 * CHOOSE(CONTROL!$C$6, $C$6, 100%, $E$6) + CHOOSE(CONTROL!$C$25, 0, 0)</f>
        <v>88.861759630057094</v>
      </c>
    </row>
    <row r="113" spans="1:5" ht="15">
      <c r="A113" s="13">
        <v>45505</v>
      </c>
      <c r="B113" s="4">
        <f>15.7144 * CHOOSE(CONTROL!$C$6, $C$6, 100%, $E$6) + CHOOSE(CONTROL!$C$25, 0.0258, 0)</f>
        <v>15.714399999999999</v>
      </c>
      <c r="C113" s="4">
        <f>15.4019 * CHOOSE(CONTROL!$C$6, $C$6, 100%, $E$6) + CHOOSE(CONTROL!$C$25, 0.0258, 0)</f>
        <v>15.401899999999999</v>
      </c>
      <c r="D113" s="4">
        <f>21.1204 * CHOOSE(CONTROL!$C$6, $C$6, 100%, $E$6) + CHOOSE(CONTROL!$C$25, 0, 0)</f>
        <v>21.1204</v>
      </c>
      <c r="E113" s="4">
        <f>90.9892961913558 * CHOOSE(CONTROL!$C$6, $C$6, 100%, $E$6) + CHOOSE(CONTROL!$C$25, 0, 0)</f>
        <v>90.989296191355805</v>
      </c>
    </row>
    <row r="114" spans="1:5" ht="15">
      <c r="A114" s="13">
        <v>45536</v>
      </c>
      <c r="B114" s="4">
        <f>15.1629 * CHOOSE(CONTROL!$C$6, $C$6, 100%, $E$6) + CHOOSE(CONTROL!$C$25, 0.0258, 0)</f>
        <v>15.1629</v>
      </c>
      <c r="C114" s="4">
        <f>14.8504 * CHOOSE(CONTROL!$C$6, $C$6, 100%, $E$6) + CHOOSE(CONTROL!$C$25, 0.0258, 0)</f>
        <v>14.8504</v>
      </c>
      <c r="D114" s="4">
        <f>21.0192 * CHOOSE(CONTROL!$C$6, $C$6, 100%, $E$6) + CHOOSE(CONTROL!$C$25, 0, 0)</f>
        <v>21.019200000000001</v>
      </c>
      <c r="E114" s="4">
        <f>87.3632953410361 * CHOOSE(CONTROL!$C$6, $C$6, 100%, $E$6) + CHOOSE(CONTROL!$C$25, 0, 0)</f>
        <v>87.363295341036107</v>
      </c>
    </row>
    <row r="115" spans="1:5" ht="15">
      <c r="A115" s="13">
        <v>45566</v>
      </c>
      <c r="B115" s="4">
        <f>14.7214 * CHOOSE(CONTROL!$C$6, $C$6, 100%, $E$6) + CHOOSE(CONTROL!$C$25, 0.0003, 0)</f>
        <v>14.721399999999999</v>
      </c>
      <c r="C115" s="4">
        <f>14.4089 * CHOOSE(CONTROL!$C$6, $C$6, 100%, $E$6) + CHOOSE(CONTROL!$C$25, 0.0003, 0)</f>
        <v>14.408899999999999</v>
      </c>
      <c r="D115" s="4">
        <f>20.7481 * CHOOSE(CONTROL!$C$6, $C$6, 100%, $E$6) + CHOOSE(CONTROL!$C$25, 0, 0)</f>
        <v>20.748100000000001</v>
      </c>
      <c r="E115" s="4">
        <f>84.4606098000395 * CHOOSE(CONTROL!$C$6, $C$6, 100%, $E$6) + CHOOSE(CONTROL!$C$25, 0, 0)</f>
        <v>84.460609800039506</v>
      </c>
    </row>
    <row r="116" spans="1:5" ht="15">
      <c r="A116" s="13">
        <v>45597</v>
      </c>
      <c r="B116" s="4">
        <f>14.437 * CHOOSE(CONTROL!$C$6, $C$6, 100%, $E$6) + CHOOSE(CONTROL!$C$25, 0.0003, 0)</f>
        <v>14.436999999999999</v>
      </c>
      <c r="C116" s="4">
        <f>14.1245 * CHOOSE(CONTROL!$C$6, $C$6, 100%, $E$6) + CHOOSE(CONTROL!$C$25, 0.0003, 0)</f>
        <v>14.124499999999999</v>
      </c>
      <c r="D116" s="4">
        <f>20.655 * CHOOSE(CONTROL!$C$6, $C$6, 100%, $E$6) + CHOOSE(CONTROL!$C$25, 0, 0)</f>
        <v>20.655000000000001</v>
      </c>
      <c r="E116" s="4">
        <f>82.5910635526524 * CHOOSE(CONTROL!$C$6, $C$6, 100%, $E$6) + CHOOSE(CONTROL!$C$25, 0, 0)</f>
        <v>82.5910635526524</v>
      </c>
    </row>
    <row r="117" spans="1:5" ht="15">
      <c r="A117" s="13">
        <v>45627</v>
      </c>
      <c r="B117" s="4">
        <f>14.2403 * CHOOSE(CONTROL!$C$6, $C$6, 100%, $E$6) + CHOOSE(CONTROL!$C$25, 0.0003, 0)</f>
        <v>14.2403</v>
      </c>
      <c r="C117" s="4">
        <f>13.9278 * CHOOSE(CONTROL!$C$6, $C$6, 100%, $E$6) + CHOOSE(CONTROL!$C$25, 0.0003, 0)</f>
        <v>13.9278</v>
      </c>
      <c r="D117" s="4">
        <f>19.9689 * CHOOSE(CONTROL!$C$6, $C$6, 100%, $E$6) + CHOOSE(CONTROL!$C$25, 0, 0)</f>
        <v>19.968900000000001</v>
      </c>
      <c r="E117" s="4">
        <f>81.297577869205 * CHOOSE(CONTROL!$C$6, $C$6, 100%, $E$6) + CHOOSE(CONTROL!$C$25, 0, 0)</f>
        <v>81.297577869205</v>
      </c>
    </row>
    <row r="118" spans="1:5" ht="15">
      <c r="A118" s="13">
        <v>45658</v>
      </c>
      <c r="B118" s="4">
        <f>13.8401 * CHOOSE(CONTROL!$C$6, $C$6, 100%, $E$6) + CHOOSE(CONTROL!$C$25, 0.0003, 0)</f>
        <v>13.8401</v>
      </c>
      <c r="C118" s="4">
        <f>13.5276 * CHOOSE(CONTROL!$C$6, $C$6, 100%, $E$6) + CHOOSE(CONTROL!$C$25, 0.0003, 0)</f>
        <v>13.5276</v>
      </c>
      <c r="D118" s="4">
        <f>19.9072 * CHOOSE(CONTROL!$C$6, $C$6, 100%, $E$6) + CHOOSE(CONTROL!$C$25, 0, 0)</f>
        <v>19.9072</v>
      </c>
      <c r="E118" s="4">
        <f>79.2943874013426 * CHOOSE(CONTROL!$C$6, $C$6, 100%, $E$6) + CHOOSE(CONTROL!$C$25, 0, 0)</f>
        <v>79.294387401342604</v>
      </c>
    </row>
    <row r="119" spans="1:5" ht="15">
      <c r="A119" s="13">
        <v>45689</v>
      </c>
      <c r="B119" s="4">
        <f>14.1242 * CHOOSE(CONTROL!$C$6, $C$6, 100%, $E$6) + CHOOSE(CONTROL!$C$25, 0.0003, 0)</f>
        <v>14.1242</v>
      </c>
      <c r="C119" s="4">
        <f>13.8117 * CHOOSE(CONTROL!$C$6, $C$6, 100%, $E$6) + CHOOSE(CONTROL!$C$25, 0.0003, 0)</f>
        <v>13.8117</v>
      </c>
      <c r="D119" s="4">
        <f>20.5623 * CHOOSE(CONTROL!$C$6, $C$6, 100%, $E$6) + CHOOSE(CONTROL!$C$25, 0, 0)</f>
        <v>20.5623</v>
      </c>
      <c r="E119" s="4">
        <f>81.1771486502504 * CHOOSE(CONTROL!$C$6, $C$6, 100%, $E$6) + CHOOSE(CONTROL!$C$25, 0, 0)</f>
        <v>81.177148650250402</v>
      </c>
    </row>
    <row r="120" spans="1:5" ht="15">
      <c r="A120" s="13">
        <v>45717</v>
      </c>
      <c r="B120" s="4">
        <f>14.8702 * CHOOSE(CONTROL!$C$6, $C$6, 100%, $E$6) + CHOOSE(CONTROL!$C$25, 0.0003, 0)</f>
        <v>14.870200000000001</v>
      </c>
      <c r="C120" s="4">
        <f>14.5577 * CHOOSE(CONTROL!$C$6, $C$6, 100%, $E$6) + CHOOSE(CONTROL!$C$25, 0.0003, 0)</f>
        <v>14.557700000000001</v>
      </c>
      <c r="D120" s="4">
        <f>21.5878 * CHOOSE(CONTROL!$C$6, $C$6, 100%, $E$6) + CHOOSE(CONTROL!$C$25, 0, 0)</f>
        <v>21.587800000000001</v>
      </c>
      <c r="E120" s="4">
        <f>86.1213797458915 * CHOOSE(CONTROL!$C$6, $C$6, 100%, $E$6) + CHOOSE(CONTROL!$C$25, 0, 0)</f>
        <v>86.121379745891502</v>
      </c>
    </row>
    <row r="121" spans="1:5" ht="15">
      <c r="A121" s="13">
        <v>45748</v>
      </c>
      <c r="B121" s="4">
        <f>15.4003 * CHOOSE(CONTROL!$C$6, $C$6, 100%, $E$6) + CHOOSE(CONTROL!$C$25, 0.0003, 0)</f>
        <v>15.4003</v>
      </c>
      <c r="C121" s="4">
        <f>15.0878 * CHOOSE(CONTROL!$C$6, $C$6, 100%, $E$6) + CHOOSE(CONTROL!$C$25, 0.0003, 0)</f>
        <v>15.0878</v>
      </c>
      <c r="D121" s="4">
        <f>22.1785 * CHOOSE(CONTROL!$C$6, $C$6, 100%, $E$6) + CHOOSE(CONTROL!$C$25, 0, 0)</f>
        <v>22.1785</v>
      </c>
      <c r="E121" s="4">
        <f>89.6343218298873 * CHOOSE(CONTROL!$C$6, $C$6, 100%, $E$6) + CHOOSE(CONTROL!$C$25, 0, 0)</f>
        <v>89.634321829887298</v>
      </c>
    </row>
    <row r="122" spans="1:5" ht="15">
      <c r="A122" s="13">
        <v>45778</v>
      </c>
      <c r="B122" s="4">
        <f>15.7242 * CHOOSE(CONTROL!$C$6, $C$6, 100%, $E$6) + CHOOSE(CONTROL!$C$25, 0.0258, 0)</f>
        <v>15.7242</v>
      </c>
      <c r="C122" s="4">
        <f>15.4117 * CHOOSE(CONTROL!$C$6, $C$6, 100%, $E$6) + CHOOSE(CONTROL!$C$25, 0.0258, 0)</f>
        <v>15.4117</v>
      </c>
      <c r="D122" s="4">
        <f>21.9451 * CHOOSE(CONTROL!$C$6, $C$6, 100%, $E$6) + CHOOSE(CONTROL!$C$25, 0, 0)</f>
        <v>21.9451</v>
      </c>
      <c r="E122" s="4">
        <f>91.7806452497374 * CHOOSE(CONTROL!$C$6, $C$6, 100%, $E$6) + CHOOSE(CONTROL!$C$25, 0, 0)</f>
        <v>91.780645249737404</v>
      </c>
    </row>
    <row r="123" spans="1:5" ht="15">
      <c r="A123" s="13">
        <v>45809</v>
      </c>
      <c r="B123" s="4">
        <f>15.768 * CHOOSE(CONTROL!$C$6, $C$6, 100%, $E$6) + CHOOSE(CONTROL!$C$25, 0.0258, 0)</f>
        <v>15.768000000000001</v>
      </c>
      <c r="C123" s="4">
        <f>15.4555 * CHOOSE(CONTROL!$C$6, $C$6, 100%, $E$6) + CHOOSE(CONTROL!$C$25, 0.0258, 0)</f>
        <v>15.455500000000001</v>
      </c>
      <c r="D123" s="4">
        <f>22.1352 * CHOOSE(CONTROL!$C$6, $C$6, 100%, $E$6) + CHOOSE(CONTROL!$C$25, 0, 0)</f>
        <v>22.135200000000001</v>
      </c>
      <c r="E123" s="4">
        <f>92.0710517158683 * CHOOSE(CONTROL!$C$6, $C$6, 100%, $E$6) + CHOOSE(CONTROL!$C$25, 0, 0)</f>
        <v>92.071051715868293</v>
      </c>
    </row>
    <row r="124" spans="1:5" ht="15">
      <c r="A124" s="13">
        <v>45839</v>
      </c>
      <c r="B124" s="4">
        <f>15.7636 * CHOOSE(CONTROL!$C$6, $C$6, 100%, $E$6) + CHOOSE(CONTROL!$C$25, 0.0258, 0)</f>
        <v>15.7636</v>
      </c>
      <c r="C124" s="4">
        <f>15.4511 * CHOOSE(CONTROL!$C$6, $C$6, 100%, $E$6) + CHOOSE(CONTROL!$C$25, 0.0258, 0)</f>
        <v>15.4511</v>
      </c>
      <c r="D124" s="4">
        <f>22.4782 * CHOOSE(CONTROL!$C$6, $C$6, 100%, $E$6) + CHOOSE(CONTROL!$C$25, 0, 0)</f>
        <v>22.478200000000001</v>
      </c>
      <c r="E124" s="4">
        <f>92.0417670302081 * CHOOSE(CONTROL!$C$6, $C$6, 100%, $E$6) + CHOOSE(CONTROL!$C$25, 0, 0)</f>
        <v>92.041767030208106</v>
      </c>
    </row>
    <row r="125" spans="1:5" ht="15">
      <c r="A125" s="13">
        <v>45870</v>
      </c>
      <c r="B125" s="4">
        <f>16.0961 * CHOOSE(CONTROL!$C$6, $C$6, 100%, $E$6) + CHOOSE(CONTROL!$C$25, 0.0258, 0)</f>
        <v>16.0961</v>
      </c>
      <c r="C125" s="4">
        <f>15.7836 * CHOOSE(CONTROL!$C$6, $C$6, 100%, $E$6) + CHOOSE(CONTROL!$C$25, 0.0258, 0)</f>
        <v>15.7836</v>
      </c>
      <c r="D125" s="4">
        <f>22.2517 * CHOOSE(CONTROL!$C$6, $C$6, 100%, $E$6) + CHOOSE(CONTROL!$C$25, 0, 0)</f>
        <v>22.2517</v>
      </c>
      <c r="E125" s="4">
        <f>94.2454396261429 * CHOOSE(CONTROL!$C$6, $C$6, 100%, $E$6) + CHOOSE(CONTROL!$C$25, 0, 0)</f>
        <v>94.245439626142897</v>
      </c>
    </row>
    <row r="126" spans="1:5" ht="15">
      <c r="A126" s="13">
        <v>45901</v>
      </c>
      <c r="B126" s="4">
        <f>15.5294 * CHOOSE(CONTROL!$C$6, $C$6, 100%, $E$6) + CHOOSE(CONTROL!$C$25, 0.0258, 0)</f>
        <v>15.529400000000001</v>
      </c>
      <c r="C126" s="4">
        <f>15.2169 * CHOOSE(CONTROL!$C$6, $C$6, 100%, $E$6) + CHOOSE(CONTROL!$C$25, 0.0258, 0)</f>
        <v>15.216900000000001</v>
      </c>
      <c r="D126" s="4">
        <f>22.1446 * CHOOSE(CONTROL!$C$6, $C$6, 100%, $E$6) + CHOOSE(CONTROL!$C$25, 0, 0)</f>
        <v>22.144600000000001</v>
      </c>
      <c r="E126" s="4">
        <f>90.4896786902141 * CHOOSE(CONTROL!$C$6, $C$6, 100%, $E$6) + CHOOSE(CONTROL!$C$25, 0, 0)</f>
        <v>90.489678690214106</v>
      </c>
    </row>
    <row r="127" spans="1:5" ht="15">
      <c r="A127" s="13">
        <v>45931</v>
      </c>
      <c r="B127" s="4">
        <f>15.0757 * CHOOSE(CONTROL!$C$6, $C$6, 100%, $E$6) + CHOOSE(CONTROL!$C$25, 0.0003, 0)</f>
        <v>15.075699999999999</v>
      </c>
      <c r="C127" s="4">
        <f>14.7632 * CHOOSE(CONTROL!$C$6, $C$6, 100%, $E$6) + CHOOSE(CONTROL!$C$25, 0.0003, 0)</f>
        <v>14.763199999999999</v>
      </c>
      <c r="D127" s="4">
        <f>21.8581 * CHOOSE(CONTROL!$C$6, $C$6, 100%, $E$6) + CHOOSE(CONTROL!$C$25, 0, 0)</f>
        <v>21.8581</v>
      </c>
      <c r="E127" s="4">
        <f>87.4831176290937 * CHOOSE(CONTROL!$C$6, $C$6, 100%, $E$6) + CHOOSE(CONTROL!$C$25, 0, 0)</f>
        <v>87.483117629093698</v>
      </c>
    </row>
    <row r="128" spans="1:5" ht="15">
      <c r="A128" s="13">
        <v>45962</v>
      </c>
      <c r="B128" s="4">
        <f>14.7835 * CHOOSE(CONTROL!$C$6, $C$6, 100%, $E$6) + CHOOSE(CONTROL!$C$25, 0.0003, 0)</f>
        <v>14.7835</v>
      </c>
      <c r="C128" s="4">
        <f>14.471 * CHOOSE(CONTROL!$C$6, $C$6, 100%, $E$6) + CHOOSE(CONTROL!$C$25, 0.0003, 0)</f>
        <v>14.471</v>
      </c>
      <c r="D128" s="4">
        <f>21.7595 * CHOOSE(CONTROL!$C$6, $C$6, 100%, $E$6) + CHOOSE(CONTROL!$C$25, 0, 0)</f>
        <v>21.759499999999999</v>
      </c>
      <c r="E128" s="4">
        <f>85.5466677898088 * CHOOSE(CONTROL!$C$6, $C$6, 100%, $E$6) + CHOOSE(CONTROL!$C$25, 0, 0)</f>
        <v>85.546667789808794</v>
      </c>
    </row>
    <row r="129" spans="1:5" ht="15">
      <c r="A129" s="13">
        <v>45992</v>
      </c>
      <c r="B129" s="4">
        <f>14.5814 * CHOOSE(CONTROL!$C$6, $C$6, 100%, $E$6) + CHOOSE(CONTROL!$C$25, 0.0003, 0)</f>
        <v>14.5814</v>
      </c>
      <c r="C129" s="4">
        <f>14.2689 * CHOOSE(CONTROL!$C$6, $C$6, 100%, $E$6) + CHOOSE(CONTROL!$C$25, 0.0003, 0)</f>
        <v>14.2689</v>
      </c>
      <c r="D129" s="4">
        <f>21.0342 * CHOOSE(CONTROL!$C$6, $C$6, 100%, $E$6) + CHOOSE(CONTROL!$C$25, 0, 0)</f>
        <v>21.034199999999998</v>
      </c>
      <c r="E129" s="4">
        <f>84.2068934208518 * CHOOSE(CONTROL!$C$6, $C$6, 100%, $E$6) + CHOOSE(CONTROL!$C$25, 0, 0)</f>
        <v>84.206893420851799</v>
      </c>
    </row>
    <row r="130" spans="1:5" ht="15">
      <c r="A130" s="13">
        <v>46023</v>
      </c>
      <c r="B130" s="4">
        <f>14.0863 * CHOOSE(CONTROL!$C$6, $C$6, 100%, $E$6) + CHOOSE(CONTROL!$C$25, 0.0003, 0)</f>
        <v>14.0863</v>
      </c>
      <c r="C130" s="4">
        <f>13.7738 * CHOOSE(CONTROL!$C$6, $C$6, 100%, $E$6) + CHOOSE(CONTROL!$C$25, 0.0003, 0)</f>
        <v>13.7738</v>
      </c>
      <c r="D130" s="4">
        <f>20.1603 * CHOOSE(CONTROL!$C$6, $C$6, 100%, $E$6) + CHOOSE(CONTROL!$C$25, 0, 0)</f>
        <v>20.160299999999999</v>
      </c>
      <c r="E130" s="4">
        <f>80.8242968360235 * CHOOSE(CONTROL!$C$6, $C$6, 100%, $E$6) + CHOOSE(CONTROL!$C$25, 0, 0)</f>
        <v>80.824296836023507</v>
      </c>
    </row>
    <row r="131" spans="1:5" ht="15">
      <c r="A131" s="13">
        <v>46054</v>
      </c>
      <c r="B131" s="4">
        <f>14.3763 * CHOOSE(CONTROL!$C$6, $C$6, 100%, $E$6) + CHOOSE(CONTROL!$C$25, 0.0003, 0)</f>
        <v>14.376300000000001</v>
      </c>
      <c r="C131" s="4">
        <f>14.0638 * CHOOSE(CONTROL!$C$6, $C$6, 100%, $E$6) + CHOOSE(CONTROL!$C$25, 0.0003, 0)</f>
        <v>14.063800000000001</v>
      </c>
      <c r="D131" s="4">
        <f>20.8243 * CHOOSE(CONTROL!$C$6, $C$6, 100%, $E$6) + CHOOSE(CONTROL!$C$25, 0, 0)</f>
        <v>20.824300000000001</v>
      </c>
      <c r="E131" s="4">
        <f>82.7433841641452 * CHOOSE(CONTROL!$C$6, $C$6, 100%, $E$6) + CHOOSE(CONTROL!$C$25, 0, 0)</f>
        <v>82.743384164145198</v>
      </c>
    </row>
    <row r="132" spans="1:5" ht="15">
      <c r="A132" s="13">
        <v>46082</v>
      </c>
      <c r="B132" s="4">
        <f>15.1377 * CHOOSE(CONTROL!$C$6, $C$6, 100%, $E$6) + CHOOSE(CONTROL!$C$25, 0.0003, 0)</f>
        <v>15.137700000000001</v>
      </c>
      <c r="C132" s="4">
        <f>14.8252 * CHOOSE(CONTROL!$C$6, $C$6, 100%, $E$6) + CHOOSE(CONTROL!$C$25, 0.0003, 0)</f>
        <v>14.825200000000001</v>
      </c>
      <c r="D132" s="4">
        <f>21.8637 * CHOOSE(CONTROL!$C$6, $C$6, 100%, $E$6) + CHOOSE(CONTROL!$C$25, 0, 0)</f>
        <v>21.863700000000001</v>
      </c>
      <c r="E132" s="4">
        <f>87.783009474287 * CHOOSE(CONTROL!$C$6, $C$6, 100%, $E$6) + CHOOSE(CONTROL!$C$25, 0, 0)</f>
        <v>87.783009474286999</v>
      </c>
    </row>
    <row r="133" spans="1:5" ht="15">
      <c r="A133" s="13">
        <v>46113</v>
      </c>
      <c r="B133" s="4">
        <f>15.6787 * CHOOSE(CONTROL!$C$6, $C$6, 100%, $E$6) + CHOOSE(CONTROL!$C$25, 0.0003, 0)</f>
        <v>15.678699999999999</v>
      </c>
      <c r="C133" s="4">
        <f>15.3662 * CHOOSE(CONTROL!$C$6, $C$6, 100%, $E$6) + CHOOSE(CONTROL!$C$25, 0.0003, 0)</f>
        <v>15.366199999999999</v>
      </c>
      <c r="D133" s="4">
        <f>22.4625 * CHOOSE(CONTROL!$C$6, $C$6, 100%, $E$6) + CHOOSE(CONTROL!$C$25, 0, 0)</f>
        <v>22.462499999999999</v>
      </c>
      <c r="E133" s="4">
        <f>91.3637304189806 * CHOOSE(CONTROL!$C$6, $C$6, 100%, $E$6) + CHOOSE(CONTROL!$C$25, 0, 0)</f>
        <v>91.363730418980595</v>
      </c>
    </row>
    <row r="134" spans="1:5" ht="15">
      <c r="A134" s="13">
        <v>46143</v>
      </c>
      <c r="B134" s="4">
        <f>16.0092 * CHOOSE(CONTROL!$C$6, $C$6, 100%, $E$6) + CHOOSE(CONTROL!$C$25, 0.0258, 0)</f>
        <v>16.0092</v>
      </c>
      <c r="C134" s="4">
        <f>15.6967 * CHOOSE(CONTROL!$C$6, $C$6, 100%, $E$6) + CHOOSE(CONTROL!$C$25, 0.0258, 0)</f>
        <v>15.6967</v>
      </c>
      <c r="D134" s="4">
        <f>22.2259 * CHOOSE(CONTROL!$C$6, $C$6, 100%, $E$6) + CHOOSE(CONTROL!$C$25, 0, 0)</f>
        <v>22.225899999999999</v>
      </c>
      <c r="E134" s="4">
        <f>93.5514650982845 * CHOOSE(CONTROL!$C$6, $C$6, 100%, $E$6) + CHOOSE(CONTROL!$C$25, 0, 0)</f>
        <v>93.551465098284496</v>
      </c>
    </row>
    <row r="135" spans="1:5" ht="15">
      <c r="A135" s="13">
        <v>46174</v>
      </c>
      <c r="B135" s="4">
        <f>16.0539 * CHOOSE(CONTROL!$C$6, $C$6, 100%, $E$6) + CHOOSE(CONTROL!$C$25, 0.0258, 0)</f>
        <v>16.053899999999999</v>
      </c>
      <c r="C135" s="4">
        <f>15.7414 * CHOOSE(CONTROL!$C$6, $C$6, 100%, $E$6) + CHOOSE(CONTROL!$C$25, 0.0258, 0)</f>
        <v>15.741400000000001</v>
      </c>
      <c r="D135" s="4">
        <f>22.4186 * CHOOSE(CONTROL!$C$6, $C$6, 100%, $E$6) + CHOOSE(CONTROL!$C$25, 0, 0)</f>
        <v>22.418600000000001</v>
      </c>
      <c r="E135" s="4">
        <f>93.8474746796798 * CHOOSE(CONTROL!$C$6, $C$6, 100%, $E$6) + CHOOSE(CONTROL!$C$25, 0, 0)</f>
        <v>93.847474679679806</v>
      </c>
    </row>
    <row r="136" spans="1:5" ht="15">
      <c r="A136" s="13">
        <v>46204</v>
      </c>
      <c r="B136" s="4">
        <f>16.0494 * CHOOSE(CONTROL!$C$6, $C$6, 100%, $E$6) + CHOOSE(CONTROL!$C$25, 0.0258, 0)</f>
        <v>16.049399999999999</v>
      </c>
      <c r="C136" s="4">
        <f>15.7369 * CHOOSE(CONTROL!$C$6, $C$6, 100%, $E$6) + CHOOSE(CONTROL!$C$25, 0.0258, 0)</f>
        <v>15.7369</v>
      </c>
      <c r="D136" s="4">
        <f>22.7663 * CHOOSE(CONTROL!$C$6, $C$6, 100%, $E$6) + CHOOSE(CONTROL!$C$25, 0, 0)</f>
        <v>22.766300000000001</v>
      </c>
      <c r="E136" s="4">
        <f>93.8176249739929 * CHOOSE(CONTROL!$C$6, $C$6, 100%, $E$6) + CHOOSE(CONTROL!$C$25, 0, 0)</f>
        <v>93.817624973992906</v>
      </c>
    </row>
    <row r="137" spans="1:5" ht="15">
      <c r="A137" s="13">
        <v>46235</v>
      </c>
      <c r="B137" s="4">
        <f>16.3888 * CHOOSE(CONTROL!$C$6, $C$6, 100%, $E$6) + CHOOSE(CONTROL!$C$25, 0.0258, 0)</f>
        <v>16.3888</v>
      </c>
      <c r="C137" s="4">
        <f>16.0763 * CHOOSE(CONTROL!$C$6, $C$6, 100%, $E$6) + CHOOSE(CONTROL!$C$25, 0.0258, 0)</f>
        <v>16.0763</v>
      </c>
      <c r="D137" s="4">
        <f>22.5366 * CHOOSE(CONTROL!$C$6, $C$6, 100%, $E$6) + CHOOSE(CONTROL!$C$25, 0, 0)</f>
        <v>22.5366</v>
      </c>
      <c r="E137" s="4">
        <f>96.0638153269337 * CHOOSE(CONTROL!$C$6, $C$6, 100%, $E$6) + CHOOSE(CONTROL!$C$25, 0, 0)</f>
        <v>96.063815326933707</v>
      </c>
    </row>
    <row r="138" spans="1:5" ht="15">
      <c r="A138" s="13">
        <v>46266</v>
      </c>
      <c r="B138" s="4">
        <f>15.8104 * CHOOSE(CONTROL!$C$6, $C$6, 100%, $E$6) + CHOOSE(CONTROL!$C$25, 0.0258, 0)</f>
        <v>15.8104</v>
      </c>
      <c r="C138" s="4">
        <f>15.4979 * CHOOSE(CONTROL!$C$6, $C$6, 100%, $E$6) + CHOOSE(CONTROL!$C$25, 0.0258, 0)</f>
        <v>15.4979</v>
      </c>
      <c r="D138" s="4">
        <f>22.4282 * CHOOSE(CONTROL!$C$6, $C$6, 100%, $E$6) + CHOOSE(CONTROL!$C$25, 0, 0)</f>
        <v>22.4282</v>
      </c>
      <c r="E138" s="4">
        <f>92.2355905725861 * CHOOSE(CONTROL!$C$6, $C$6, 100%, $E$6) + CHOOSE(CONTROL!$C$25, 0, 0)</f>
        <v>92.235590572586105</v>
      </c>
    </row>
    <row r="139" spans="1:5" ht="15">
      <c r="A139" s="13">
        <v>46296</v>
      </c>
      <c r="B139" s="4">
        <f>15.3474 * CHOOSE(CONTROL!$C$6, $C$6, 100%, $E$6) + CHOOSE(CONTROL!$C$25, 0.0003, 0)</f>
        <v>15.3474</v>
      </c>
      <c r="C139" s="4">
        <f>15.0349 * CHOOSE(CONTROL!$C$6, $C$6, 100%, $E$6) + CHOOSE(CONTROL!$C$25, 0.0003, 0)</f>
        <v>15.0349</v>
      </c>
      <c r="D139" s="4">
        <f>22.1377 * CHOOSE(CONTROL!$C$6, $C$6, 100%, $E$6) + CHOOSE(CONTROL!$C$25, 0, 0)</f>
        <v>22.137699999999999</v>
      </c>
      <c r="E139" s="4">
        <f>89.1710207887289 * CHOOSE(CONTROL!$C$6, $C$6, 100%, $E$6) + CHOOSE(CONTROL!$C$25, 0, 0)</f>
        <v>89.171020788728896</v>
      </c>
    </row>
    <row r="140" spans="1:5" ht="15">
      <c r="A140" s="13">
        <v>46327</v>
      </c>
      <c r="B140" s="4">
        <f>15.0492 * CHOOSE(CONTROL!$C$6, $C$6, 100%, $E$6) + CHOOSE(CONTROL!$C$25, 0.0003, 0)</f>
        <v>15.049200000000001</v>
      </c>
      <c r="C140" s="4">
        <f>14.7367 * CHOOSE(CONTROL!$C$6, $C$6, 100%, $E$6) + CHOOSE(CONTROL!$C$25, 0.0003, 0)</f>
        <v>14.736700000000001</v>
      </c>
      <c r="D140" s="4">
        <f>22.0378 * CHOOSE(CONTROL!$C$6, $C$6, 100%, $E$6) + CHOOSE(CONTROL!$C$25, 0, 0)</f>
        <v>22.037800000000001</v>
      </c>
      <c r="E140" s="4">
        <f>87.1972090001812 * CHOOSE(CONTROL!$C$6, $C$6, 100%, $E$6) + CHOOSE(CONTROL!$C$25, 0, 0)</f>
        <v>87.197209000181203</v>
      </c>
    </row>
    <row r="141" spans="1:5" ht="15">
      <c r="A141" s="13">
        <v>46357</v>
      </c>
      <c r="B141" s="4">
        <f>14.8429 * CHOOSE(CONTROL!$C$6, $C$6, 100%, $E$6) + CHOOSE(CONTROL!$C$25, 0.0003, 0)</f>
        <v>14.8429</v>
      </c>
      <c r="C141" s="4">
        <f>14.5304 * CHOOSE(CONTROL!$C$6, $C$6, 100%, $E$6) + CHOOSE(CONTROL!$C$25, 0.0003, 0)</f>
        <v>14.5304</v>
      </c>
      <c r="D141" s="4">
        <f>21.3026 * CHOOSE(CONTROL!$C$6, $C$6, 100%, $E$6) + CHOOSE(CONTROL!$C$25, 0, 0)</f>
        <v>21.302600000000002</v>
      </c>
      <c r="E141" s="4">
        <f>85.8315849650046 * CHOOSE(CONTROL!$C$6, $C$6, 100%, $E$6) + CHOOSE(CONTROL!$C$25, 0, 0)</f>
        <v>85.831584965004595</v>
      </c>
    </row>
    <row r="142" spans="1:5" ht="15">
      <c r="A142" s="13">
        <v>46388</v>
      </c>
      <c r="B142" s="4">
        <f>14.4415 * CHOOSE(CONTROL!$C$6, $C$6, 100%, $E$6) + CHOOSE(CONTROL!$C$25, 0.0003, 0)</f>
        <v>14.4415</v>
      </c>
      <c r="C142" s="4">
        <f>14.129 * CHOOSE(CONTROL!$C$6, $C$6, 100%, $E$6) + CHOOSE(CONTROL!$C$25, 0.0003, 0)</f>
        <v>14.129</v>
      </c>
      <c r="D142" s="4">
        <f>20.3298 * CHOOSE(CONTROL!$C$6, $C$6, 100%, $E$6) + CHOOSE(CONTROL!$C$25, 0, 0)</f>
        <v>20.329799999999999</v>
      </c>
      <c r="E142" s="4">
        <f>82.3834901293007 * CHOOSE(CONTROL!$C$6, $C$6, 100%, $E$6) + CHOOSE(CONTROL!$C$25, 0, 0)</f>
        <v>82.383490129300696</v>
      </c>
    </row>
    <row r="143" spans="1:5" ht="15">
      <c r="A143" s="13">
        <v>46419</v>
      </c>
      <c r="B143" s="4">
        <f>14.7398 * CHOOSE(CONTROL!$C$6, $C$6, 100%, $E$6) + CHOOSE(CONTROL!$C$25, 0.0003, 0)</f>
        <v>14.739800000000001</v>
      </c>
      <c r="C143" s="4">
        <f>14.4273 * CHOOSE(CONTROL!$C$6, $C$6, 100%, $E$6) + CHOOSE(CONTROL!$C$25, 0.0003, 0)</f>
        <v>14.427300000000001</v>
      </c>
      <c r="D143" s="4">
        <f>20.9998 * CHOOSE(CONTROL!$C$6, $C$6, 100%, $E$6) + CHOOSE(CONTROL!$C$25, 0, 0)</f>
        <v>20.9998</v>
      </c>
      <c r="E143" s="4">
        <f>84.3395988508443 * CHOOSE(CONTROL!$C$6, $C$6, 100%, $E$6) + CHOOSE(CONTROL!$C$25, 0, 0)</f>
        <v>84.339598850844297</v>
      </c>
    </row>
    <row r="144" spans="1:5" ht="15">
      <c r="A144" s="13">
        <v>46447</v>
      </c>
      <c r="B144" s="4">
        <f>15.5234 * CHOOSE(CONTROL!$C$6, $C$6, 100%, $E$6) + CHOOSE(CONTROL!$C$25, 0.0003, 0)</f>
        <v>15.523400000000001</v>
      </c>
      <c r="C144" s="4">
        <f>15.2109 * CHOOSE(CONTROL!$C$6, $C$6, 100%, $E$6) + CHOOSE(CONTROL!$C$25, 0.0003, 0)</f>
        <v>15.210900000000001</v>
      </c>
      <c r="D144" s="4">
        <f>22.0487 * CHOOSE(CONTROL!$C$6, $C$6, 100%, $E$6) + CHOOSE(CONTROL!$C$25, 0, 0)</f>
        <v>22.0487</v>
      </c>
      <c r="E144" s="4">
        <f>89.4764443075485 * CHOOSE(CONTROL!$C$6, $C$6, 100%, $E$6) + CHOOSE(CONTROL!$C$25, 0, 0)</f>
        <v>89.476444307548505</v>
      </c>
    </row>
    <row r="145" spans="1:5" ht="15">
      <c r="A145" s="13">
        <v>46478</v>
      </c>
      <c r="B145" s="4">
        <f>16.0801 * CHOOSE(CONTROL!$C$6, $C$6, 100%, $E$6) + CHOOSE(CONTROL!$C$25, 0.0003, 0)</f>
        <v>16.080100000000002</v>
      </c>
      <c r="C145" s="4">
        <f>15.7676 * CHOOSE(CONTROL!$C$6, $C$6, 100%, $E$6) + CHOOSE(CONTROL!$C$25, 0.0003, 0)</f>
        <v>15.7676</v>
      </c>
      <c r="D145" s="4">
        <f>22.6528 * CHOOSE(CONTROL!$C$6, $C$6, 100%, $E$6) + CHOOSE(CONTROL!$C$25, 0, 0)</f>
        <v>22.652799999999999</v>
      </c>
      <c r="E145" s="4">
        <f>93.1262414620035 * CHOOSE(CONTROL!$C$6, $C$6, 100%, $E$6) + CHOOSE(CONTROL!$C$25, 0, 0)</f>
        <v>93.126241462003506</v>
      </c>
    </row>
    <row r="146" spans="1:5" ht="15">
      <c r="A146" s="13">
        <v>46508</v>
      </c>
      <c r="B146" s="4">
        <f>16.4203 * CHOOSE(CONTROL!$C$6, $C$6, 100%, $E$6) + CHOOSE(CONTROL!$C$25, 0.0258, 0)</f>
        <v>16.420300000000001</v>
      </c>
      <c r="C146" s="4">
        <f>16.1078 * CHOOSE(CONTROL!$C$6, $C$6, 100%, $E$6) + CHOOSE(CONTROL!$C$25, 0.0258, 0)</f>
        <v>16.107800000000001</v>
      </c>
      <c r="D146" s="4">
        <f>22.4141 * CHOOSE(CONTROL!$C$6, $C$6, 100%, $E$6) + CHOOSE(CONTROL!$C$25, 0, 0)</f>
        <v>22.414100000000001</v>
      </c>
      <c r="E146" s="4">
        <f>95.356180049946 * CHOOSE(CONTROL!$C$6, $C$6, 100%, $E$6) + CHOOSE(CONTROL!$C$25, 0, 0)</f>
        <v>95.356180049946005</v>
      </c>
    </row>
    <row r="147" spans="1:5" ht="15">
      <c r="A147" s="13">
        <v>46539</v>
      </c>
      <c r="B147" s="4">
        <f>16.4663 * CHOOSE(CONTROL!$C$6, $C$6, 100%, $E$6) + CHOOSE(CONTROL!$C$25, 0.0258, 0)</f>
        <v>16.4663</v>
      </c>
      <c r="C147" s="4">
        <f>16.1538 * CHOOSE(CONTROL!$C$6, $C$6, 100%, $E$6) + CHOOSE(CONTROL!$C$25, 0.0258, 0)</f>
        <v>16.1538</v>
      </c>
      <c r="D147" s="4">
        <f>22.6085 * CHOOSE(CONTROL!$C$6, $C$6, 100%, $E$6) + CHOOSE(CONTROL!$C$25, 0, 0)</f>
        <v>22.608499999999999</v>
      </c>
      <c r="E147" s="4">
        <f>95.6578999953299 * CHOOSE(CONTROL!$C$6, $C$6, 100%, $E$6) + CHOOSE(CONTROL!$C$25, 0, 0)</f>
        <v>95.657899995329899</v>
      </c>
    </row>
    <row r="148" spans="1:5" ht="15">
      <c r="A148" s="13">
        <v>46569</v>
      </c>
      <c r="B148" s="4">
        <f>16.4617 * CHOOSE(CONTROL!$C$6, $C$6, 100%, $E$6) + CHOOSE(CONTROL!$C$25, 0.0258, 0)</f>
        <v>16.4617</v>
      </c>
      <c r="C148" s="4">
        <f>16.1492 * CHOOSE(CONTROL!$C$6, $C$6, 100%, $E$6) + CHOOSE(CONTROL!$C$25, 0.0258, 0)</f>
        <v>16.1492</v>
      </c>
      <c r="D148" s="4">
        <f>22.9593 * CHOOSE(CONTROL!$C$6, $C$6, 100%, $E$6) + CHOOSE(CONTROL!$C$25, 0, 0)</f>
        <v>22.959299999999999</v>
      </c>
      <c r="E148" s="4">
        <f>95.6274744546189 * CHOOSE(CONTROL!$C$6, $C$6, 100%, $E$6) + CHOOSE(CONTROL!$C$25, 0, 0)</f>
        <v>95.627474454618905</v>
      </c>
    </row>
    <row r="149" spans="1:5" ht="15">
      <c r="A149" s="13">
        <v>46600</v>
      </c>
      <c r="B149" s="4">
        <f>16.8109 * CHOOSE(CONTROL!$C$6, $C$6, 100%, $E$6) + CHOOSE(CONTROL!$C$25, 0.0258, 0)</f>
        <v>16.8109</v>
      </c>
      <c r="C149" s="4">
        <f>16.4984 * CHOOSE(CONTROL!$C$6, $C$6, 100%, $E$6) + CHOOSE(CONTROL!$C$25, 0.0258, 0)</f>
        <v>16.4984</v>
      </c>
      <c r="D149" s="4">
        <f>22.7276 * CHOOSE(CONTROL!$C$6, $C$6, 100%, $E$6) + CHOOSE(CONTROL!$C$25, 0, 0)</f>
        <v>22.727599999999999</v>
      </c>
      <c r="E149" s="4">
        <f>97.9169963931204 * CHOOSE(CONTROL!$C$6, $C$6, 100%, $E$6) + CHOOSE(CONTROL!$C$25, 0, 0)</f>
        <v>97.916996393120399</v>
      </c>
    </row>
    <row r="150" spans="1:5" ht="15">
      <c r="A150" s="13">
        <v>46631</v>
      </c>
      <c r="B150" s="4">
        <f>16.2157 * CHOOSE(CONTROL!$C$6, $C$6, 100%, $E$6) + CHOOSE(CONTROL!$C$25, 0.0258, 0)</f>
        <v>16.215699999999998</v>
      </c>
      <c r="C150" s="4">
        <f>15.9032 * CHOOSE(CONTROL!$C$6, $C$6, 100%, $E$6) + CHOOSE(CONTROL!$C$25, 0.0258, 0)</f>
        <v>15.9032</v>
      </c>
      <c r="D150" s="4">
        <f>22.6182 * CHOOSE(CONTROL!$C$6, $C$6, 100%, $E$6) + CHOOSE(CONTROL!$C$25, 0, 0)</f>
        <v>22.618200000000002</v>
      </c>
      <c r="E150" s="4">
        <f>94.0149207969368 * CHOOSE(CONTROL!$C$6, $C$6, 100%, $E$6) + CHOOSE(CONTROL!$C$25, 0, 0)</f>
        <v>94.014920796936806</v>
      </c>
    </row>
    <row r="151" spans="1:5" ht="15">
      <c r="A151" s="13">
        <v>46661</v>
      </c>
      <c r="B151" s="4">
        <f>15.7392 * CHOOSE(CONTROL!$C$6, $C$6, 100%, $E$6) + CHOOSE(CONTROL!$C$25, 0.0003, 0)</f>
        <v>15.7392</v>
      </c>
      <c r="C151" s="4">
        <f>15.4267 * CHOOSE(CONTROL!$C$6, $C$6, 100%, $E$6) + CHOOSE(CONTROL!$C$25, 0.0003, 0)</f>
        <v>15.4267</v>
      </c>
      <c r="D151" s="4">
        <f>22.3251 * CHOOSE(CONTROL!$C$6, $C$6, 100%, $E$6) + CHOOSE(CONTROL!$C$25, 0, 0)</f>
        <v>22.325099999999999</v>
      </c>
      <c r="E151" s="4">
        <f>90.8912319506093 * CHOOSE(CONTROL!$C$6, $C$6, 100%, $E$6) + CHOOSE(CONTROL!$C$25, 0, 0)</f>
        <v>90.891231950609296</v>
      </c>
    </row>
    <row r="152" spans="1:5" ht="15">
      <c r="A152" s="13">
        <v>46692</v>
      </c>
      <c r="B152" s="4">
        <f>15.4323 * CHOOSE(CONTROL!$C$6, $C$6, 100%, $E$6) + CHOOSE(CONTROL!$C$25, 0.0003, 0)</f>
        <v>15.4323</v>
      </c>
      <c r="C152" s="4">
        <f>15.1198 * CHOOSE(CONTROL!$C$6, $C$6, 100%, $E$6) + CHOOSE(CONTROL!$C$25, 0.0003, 0)</f>
        <v>15.1198</v>
      </c>
      <c r="D152" s="4">
        <f>22.2243 * CHOOSE(CONTROL!$C$6, $C$6, 100%, $E$6) + CHOOSE(CONTROL!$C$25, 0, 0)</f>
        <v>22.224299999999999</v>
      </c>
      <c r="E152" s="4">
        <f>88.8793430710955 * CHOOSE(CONTROL!$C$6, $C$6, 100%, $E$6) + CHOOSE(CONTROL!$C$25, 0, 0)</f>
        <v>88.879343071095505</v>
      </c>
    </row>
    <row r="153" spans="1:5" ht="15">
      <c r="A153" s="13">
        <v>46722</v>
      </c>
      <c r="B153" s="4">
        <f>15.22 * CHOOSE(CONTROL!$C$6, $C$6, 100%, $E$6) + CHOOSE(CONTROL!$C$25, 0.0003, 0)</f>
        <v>15.22</v>
      </c>
      <c r="C153" s="4">
        <f>14.9075 * CHOOSE(CONTROL!$C$6, $C$6, 100%, $E$6) + CHOOSE(CONTROL!$C$25, 0.0003, 0)</f>
        <v>14.907500000000001</v>
      </c>
      <c r="D153" s="4">
        <f>21.4825 * CHOOSE(CONTROL!$C$6, $C$6, 100%, $E$6) + CHOOSE(CONTROL!$C$25, 0, 0)</f>
        <v>21.482500000000002</v>
      </c>
      <c r="E153" s="4">
        <f>87.4873745835681 * CHOOSE(CONTROL!$C$6, $C$6, 100%, $E$6) + CHOOSE(CONTROL!$C$25, 0, 0)</f>
        <v>87.487374583568098</v>
      </c>
    </row>
    <row r="154" spans="1:5" ht="15">
      <c r="A154" s="13">
        <v>46753</v>
      </c>
      <c r="B154" s="4">
        <f>14.7941 * CHOOSE(CONTROL!$C$6, $C$6, 100%, $E$6) + CHOOSE(CONTROL!$C$25, 0.0003, 0)</f>
        <v>14.7941</v>
      </c>
      <c r="C154" s="4">
        <f>14.4816 * CHOOSE(CONTROL!$C$6, $C$6, 100%, $E$6) + CHOOSE(CONTROL!$C$25, 0.0003, 0)</f>
        <v>14.4816</v>
      </c>
      <c r="D154" s="4">
        <f>20.4505 * CHOOSE(CONTROL!$C$6, $C$6, 100%, $E$6) + CHOOSE(CONTROL!$C$25, 0, 0)</f>
        <v>20.450500000000002</v>
      </c>
      <c r="E154" s="4">
        <f>83.972814391853 * CHOOSE(CONTROL!$C$6, $C$6, 100%, $E$6) + CHOOSE(CONTROL!$C$25, 0, 0)</f>
        <v>83.972814391853007</v>
      </c>
    </row>
    <row r="155" spans="1:5" ht="15">
      <c r="A155" s="13">
        <v>46784</v>
      </c>
      <c r="B155" s="4">
        <f>15.1009 * CHOOSE(CONTROL!$C$6, $C$6, 100%, $E$6) + CHOOSE(CONTROL!$C$25, 0.0003, 0)</f>
        <v>15.100899999999999</v>
      </c>
      <c r="C155" s="4">
        <f>14.7884 * CHOOSE(CONTROL!$C$6, $C$6, 100%, $E$6) + CHOOSE(CONTROL!$C$25, 0.0003, 0)</f>
        <v>14.788399999999999</v>
      </c>
      <c r="D155" s="4">
        <f>21.1248 * CHOOSE(CONTROL!$C$6, $C$6, 100%, $E$6) + CHOOSE(CONTROL!$C$25, 0, 0)</f>
        <v>21.1248</v>
      </c>
      <c r="E155" s="4">
        <f>85.9666599347726 * CHOOSE(CONTROL!$C$6, $C$6, 100%, $E$6) + CHOOSE(CONTROL!$C$25, 0, 0)</f>
        <v>85.966659934772593</v>
      </c>
    </row>
    <row r="156" spans="1:5" ht="15">
      <c r="A156" s="13">
        <v>46813</v>
      </c>
      <c r="B156" s="4">
        <f>15.9064 * CHOOSE(CONTROL!$C$6, $C$6, 100%, $E$6) + CHOOSE(CONTROL!$C$25, 0.0003, 0)</f>
        <v>15.9064</v>
      </c>
      <c r="C156" s="4">
        <f>15.5939 * CHOOSE(CONTROL!$C$6, $C$6, 100%, $E$6) + CHOOSE(CONTROL!$C$25, 0.0003, 0)</f>
        <v>15.5939</v>
      </c>
      <c r="D156" s="4">
        <f>22.1803 * CHOOSE(CONTROL!$C$6, $C$6, 100%, $E$6) + CHOOSE(CONTROL!$C$25, 0, 0)</f>
        <v>22.180299999999999</v>
      </c>
      <c r="E156" s="4">
        <f>91.2026042898667 * CHOOSE(CONTROL!$C$6, $C$6, 100%, $E$6) + CHOOSE(CONTROL!$C$25, 0, 0)</f>
        <v>91.202604289866699</v>
      </c>
    </row>
    <row r="157" spans="1:5" ht="15">
      <c r="A157" s="13">
        <v>46844</v>
      </c>
      <c r="B157" s="4">
        <f>16.4788 * CHOOSE(CONTROL!$C$6, $C$6, 100%, $E$6) + CHOOSE(CONTROL!$C$25, 0.0003, 0)</f>
        <v>16.4788</v>
      </c>
      <c r="C157" s="4">
        <f>16.1663 * CHOOSE(CONTROL!$C$6, $C$6, 100%, $E$6) + CHOOSE(CONTROL!$C$25, 0.0003, 0)</f>
        <v>16.1663</v>
      </c>
      <c r="D157" s="4">
        <f>22.7883 * CHOOSE(CONTROL!$C$6, $C$6, 100%, $E$6) + CHOOSE(CONTROL!$C$25, 0, 0)</f>
        <v>22.7883</v>
      </c>
      <c r="E157" s="4">
        <f>94.9228125322941 * CHOOSE(CONTROL!$C$6, $C$6, 100%, $E$6) + CHOOSE(CONTROL!$C$25, 0, 0)</f>
        <v>94.922812532294103</v>
      </c>
    </row>
    <row r="158" spans="1:5" ht="15">
      <c r="A158" s="13">
        <v>46874</v>
      </c>
      <c r="B158" s="4">
        <f>16.8285 * CHOOSE(CONTROL!$C$6, $C$6, 100%, $E$6) + CHOOSE(CONTROL!$C$25, 0.0258, 0)</f>
        <v>16.828499999999998</v>
      </c>
      <c r="C158" s="4">
        <f>16.516 * CHOOSE(CONTROL!$C$6, $C$6, 100%, $E$6) + CHOOSE(CONTROL!$C$25, 0.0258, 0)</f>
        <v>16.515999999999998</v>
      </c>
      <c r="D158" s="4">
        <f>22.548 * CHOOSE(CONTROL!$C$6, $C$6, 100%, $E$6) + CHOOSE(CONTROL!$C$25, 0, 0)</f>
        <v>22.547999999999998</v>
      </c>
      <c r="E158" s="4">
        <f>97.1957706074694 * CHOOSE(CONTROL!$C$6, $C$6, 100%, $E$6) + CHOOSE(CONTROL!$C$25, 0, 0)</f>
        <v>97.195770607469399</v>
      </c>
    </row>
    <row r="159" spans="1:5" ht="15">
      <c r="A159" s="13">
        <v>46905</v>
      </c>
      <c r="B159" s="4">
        <f>16.8758 * CHOOSE(CONTROL!$C$6, $C$6, 100%, $E$6) + CHOOSE(CONTROL!$C$25, 0.0258, 0)</f>
        <v>16.875800000000002</v>
      </c>
      <c r="C159" s="4">
        <f>16.5633 * CHOOSE(CONTROL!$C$6, $C$6, 100%, $E$6) + CHOOSE(CONTROL!$C$25, 0.0258, 0)</f>
        <v>16.563300000000002</v>
      </c>
      <c r="D159" s="4">
        <f>22.7437 * CHOOSE(CONTROL!$C$6, $C$6, 100%, $E$6) + CHOOSE(CONTROL!$C$25, 0, 0)</f>
        <v>22.7437</v>
      </c>
      <c r="E159" s="4">
        <f>97.5033112680105 * CHOOSE(CONTROL!$C$6, $C$6, 100%, $E$6) + CHOOSE(CONTROL!$C$25, 0, 0)</f>
        <v>97.503311268010506</v>
      </c>
    </row>
    <row r="160" spans="1:5" ht="15">
      <c r="A160" s="13">
        <v>46935</v>
      </c>
      <c r="B160" s="4">
        <f>16.871 * CHOOSE(CONTROL!$C$6, $C$6, 100%, $E$6) + CHOOSE(CONTROL!$C$25, 0.0258, 0)</f>
        <v>16.870999999999999</v>
      </c>
      <c r="C160" s="4">
        <f>16.5585 * CHOOSE(CONTROL!$C$6, $C$6, 100%, $E$6) + CHOOSE(CONTROL!$C$25, 0.0258, 0)</f>
        <v>16.558499999999999</v>
      </c>
      <c r="D160" s="4">
        <f>23.0967 * CHOOSE(CONTROL!$C$6, $C$6, 100%, $E$6) + CHOOSE(CONTROL!$C$25, 0, 0)</f>
        <v>23.096699999999998</v>
      </c>
      <c r="E160" s="4">
        <f>97.4722987644265 * CHOOSE(CONTROL!$C$6, $C$6, 100%, $E$6) + CHOOSE(CONTROL!$C$25, 0, 0)</f>
        <v>97.472298764426498</v>
      </c>
    </row>
    <row r="161" spans="1:5" ht="15">
      <c r="A161" s="13">
        <v>46966</v>
      </c>
      <c r="B161" s="4">
        <f>17.23 * CHOOSE(CONTROL!$C$6, $C$6, 100%, $E$6) + CHOOSE(CONTROL!$C$25, 0.0258, 0)</f>
        <v>17.23</v>
      </c>
      <c r="C161" s="4">
        <f>16.9175 * CHOOSE(CONTROL!$C$6, $C$6, 100%, $E$6) + CHOOSE(CONTROL!$C$25, 0.0258, 0)</f>
        <v>16.9175</v>
      </c>
      <c r="D161" s="4">
        <f>22.8636 * CHOOSE(CONTROL!$C$6, $C$6, 100%, $E$6) + CHOOSE(CONTROL!$C$25, 0, 0)</f>
        <v>22.863600000000002</v>
      </c>
      <c r="E161" s="4">
        <f>99.8059896591205 * CHOOSE(CONTROL!$C$6, $C$6, 100%, $E$6) + CHOOSE(CONTROL!$C$25, 0, 0)</f>
        <v>99.805989659120499</v>
      </c>
    </row>
    <row r="162" spans="1:5" ht="15">
      <c r="A162" s="13">
        <v>46997</v>
      </c>
      <c r="B162" s="4">
        <f>16.6181 * CHOOSE(CONTROL!$C$6, $C$6, 100%, $E$6) + CHOOSE(CONTROL!$C$25, 0.0258, 0)</f>
        <v>16.618099999999998</v>
      </c>
      <c r="C162" s="4">
        <f>16.3056 * CHOOSE(CONTROL!$C$6, $C$6, 100%, $E$6) + CHOOSE(CONTROL!$C$25, 0.0258, 0)</f>
        <v>16.305599999999998</v>
      </c>
      <c r="D162" s="4">
        <f>22.7534 * CHOOSE(CONTROL!$C$6, $C$6, 100%, $E$6) + CHOOSE(CONTROL!$C$25, 0, 0)</f>
        <v>22.753399999999999</v>
      </c>
      <c r="E162" s="4">
        <f>95.828636074476 * CHOOSE(CONTROL!$C$6, $C$6, 100%, $E$6) + CHOOSE(CONTROL!$C$25, 0, 0)</f>
        <v>95.828636074475995</v>
      </c>
    </row>
    <row r="163" spans="1:5" ht="15">
      <c r="A163" s="13">
        <v>47027</v>
      </c>
      <c r="B163" s="4">
        <f>16.1283 * CHOOSE(CONTROL!$C$6, $C$6, 100%, $E$6) + CHOOSE(CONTROL!$C$25, 0.0003, 0)</f>
        <v>16.128299999999999</v>
      </c>
      <c r="C163" s="4">
        <f>15.8158 * CHOOSE(CONTROL!$C$6, $C$6, 100%, $E$6) + CHOOSE(CONTROL!$C$25, 0.0003, 0)</f>
        <v>15.815799999999999</v>
      </c>
      <c r="D163" s="4">
        <f>22.4585 * CHOOSE(CONTROL!$C$6, $C$6, 100%, $E$6) + CHOOSE(CONTROL!$C$25, 0, 0)</f>
        <v>22.458500000000001</v>
      </c>
      <c r="E163" s="4">
        <f>92.6446857065214 * CHOOSE(CONTROL!$C$6, $C$6, 100%, $E$6) + CHOOSE(CONTROL!$C$25, 0, 0)</f>
        <v>92.6446857065214</v>
      </c>
    </row>
    <row r="164" spans="1:5" ht="15">
      <c r="A164" s="13">
        <v>47058</v>
      </c>
      <c r="B164" s="4">
        <f>15.8128 * CHOOSE(CONTROL!$C$6, $C$6, 100%, $E$6) + CHOOSE(CONTROL!$C$25, 0.0003, 0)</f>
        <v>15.812799999999999</v>
      </c>
      <c r="C164" s="4">
        <f>15.5003 * CHOOSE(CONTROL!$C$6, $C$6, 100%, $E$6) + CHOOSE(CONTROL!$C$25, 0.0003, 0)</f>
        <v>15.500299999999999</v>
      </c>
      <c r="D164" s="4">
        <f>22.3571 * CHOOSE(CONTROL!$C$6, $C$6, 100%, $E$6) + CHOOSE(CONTROL!$C$25, 0, 0)</f>
        <v>22.357099999999999</v>
      </c>
      <c r="E164" s="4">
        <f>90.5939839070312 * CHOOSE(CONTROL!$C$6, $C$6, 100%, $E$6) + CHOOSE(CONTROL!$C$25, 0, 0)</f>
        <v>90.593983907031202</v>
      </c>
    </row>
    <row r="165" spans="1:5" ht="15">
      <c r="A165" s="13">
        <v>47088</v>
      </c>
      <c r="B165" s="4">
        <f>15.5945 * CHOOSE(CONTROL!$C$6, $C$6, 100%, $E$6) + CHOOSE(CONTROL!$C$25, 0.0003, 0)</f>
        <v>15.5945</v>
      </c>
      <c r="C165" s="4">
        <f>15.282 * CHOOSE(CONTROL!$C$6, $C$6, 100%, $E$6) + CHOOSE(CONTROL!$C$25, 0.0003, 0)</f>
        <v>15.282</v>
      </c>
      <c r="D165" s="4">
        <f>21.6105 * CHOOSE(CONTROL!$C$6, $C$6, 100%, $E$6) + CHOOSE(CONTROL!$C$25, 0, 0)</f>
        <v>21.610499999999998</v>
      </c>
      <c r="E165" s="4">
        <f>89.1751618680645 * CHOOSE(CONTROL!$C$6, $C$6, 100%, $E$6) + CHOOSE(CONTROL!$C$25, 0, 0)</f>
        <v>89.175161868064507</v>
      </c>
    </row>
    <row r="166" spans="1:5" ht="15">
      <c r="A166" s="13">
        <v>47119</v>
      </c>
      <c r="B166" s="4">
        <f>15.1568 * CHOOSE(CONTROL!$C$6, $C$6, 100%, $E$6) + CHOOSE(CONTROL!$C$25, 0.0003, 0)</f>
        <v>15.1568</v>
      </c>
      <c r="C166" s="4">
        <f>14.8443 * CHOOSE(CONTROL!$C$6, $C$6, 100%, $E$6) + CHOOSE(CONTROL!$C$25, 0.0003, 0)</f>
        <v>14.8443</v>
      </c>
      <c r="D166" s="4">
        <f>20.444 * CHOOSE(CONTROL!$C$6, $C$6, 100%, $E$6) + CHOOSE(CONTROL!$C$25, 0, 0)</f>
        <v>20.443999999999999</v>
      </c>
      <c r="E166" s="4">
        <f>85.5929376703136 * CHOOSE(CONTROL!$C$6, $C$6, 100%, $E$6) + CHOOSE(CONTROL!$C$25, 0, 0)</f>
        <v>85.592937670313603</v>
      </c>
    </row>
    <row r="167" spans="1:5" ht="15">
      <c r="A167" s="13">
        <v>47150</v>
      </c>
      <c r="B167" s="4">
        <f>15.4721 * CHOOSE(CONTROL!$C$6, $C$6, 100%, $E$6) + CHOOSE(CONTROL!$C$25, 0.0003, 0)</f>
        <v>15.472099999999999</v>
      </c>
      <c r="C167" s="4">
        <f>15.1596 * CHOOSE(CONTROL!$C$6, $C$6, 100%, $E$6) + CHOOSE(CONTROL!$C$25, 0.0003, 0)</f>
        <v>15.159599999999999</v>
      </c>
      <c r="D167" s="4">
        <f>21.118 * CHOOSE(CONTROL!$C$6, $C$6, 100%, $E$6) + CHOOSE(CONTROL!$C$25, 0, 0)</f>
        <v>21.117999999999999</v>
      </c>
      <c r="E167" s="4">
        <f>87.625251324623 * CHOOSE(CONTROL!$C$6, $C$6, 100%, $E$6) + CHOOSE(CONTROL!$C$25, 0, 0)</f>
        <v>87.625251324622994</v>
      </c>
    </row>
    <row r="168" spans="1:5" ht="15">
      <c r="A168" s="13">
        <v>47178</v>
      </c>
      <c r="B168" s="4">
        <f>16.3003 * CHOOSE(CONTROL!$C$6, $C$6, 100%, $E$6) + CHOOSE(CONTROL!$C$25, 0.0003, 0)</f>
        <v>16.3003</v>
      </c>
      <c r="C168" s="4">
        <f>15.9878 * CHOOSE(CONTROL!$C$6, $C$6, 100%, $E$6) + CHOOSE(CONTROL!$C$25, 0.0003, 0)</f>
        <v>15.9878</v>
      </c>
      <c r="D168" s="4">
        <f>22.1732 * CHOOSE(CONTROL!$C$6, $C$6, 100%, $E$6) + CHOOSE(CONTROL!$C$25, 0, 0)</f>
        <v>22.173200000000001</v>
      </c>
      <c r="E168" s="4">
        <f>92.9622149845462 * CHOOSE(CONTROL!$C$6, $C$6, 100%, $E$6) + CHOOSE(CONTROL!$C$25, 0, 0)</f>
        <v>92.962214984546193</v>
      </c>
    </row>
    <row r="169" spans="1:5" ht="15">
      <c r="A169" s="13">
        <v>47209</v>
      </c>
      <c r="B169" s="4">
        <f>16.8887 * CHOOSE(CONTROL!$C$6, $C$6, 100%, $E$6) + CHOOSE(CONTROL!$C$25, 0.0003, 0)</f>
        <v>16.8887</v>
      </c>
      <c r="C169" s="4">
        <f>16.5762 * CHOOSE(CONTROL!$C$6, $C$6, 100%, $E$6) + CHOOSE(CONTROL!$C$25, 0.0003, 0)</f>
        <v>16.5762</v>
      </c>
      <c r="D169" s="4">
        <f>22.781 * CHOOSE(CONTROL!$C$6, $C$6, 100%, $E$6) + CHOOSE(CONTROL!$C$25, 0, 0)</f>
        <v>22.780999999999999</v>
      </c>
      <c r="E169" s="4">
        <f>96.754198789314 * CHOOSE(CONTROL!$C$6, $C$6, 100%, $E$6) + CHOOSE(CONTROL!$C$25, 0, 0)</f>
        <v>96.754198789314003</v>
      </c>
    </row>
    <row r="170" spans="1:5" ht="15">
      <c r="A170" s="13">
        <v>47239</v>
      </c>
      <c r="B170" s="4">
        <f>17.2482 * CHOOSE(CONTROL!$C$6, $C$6, 100%, $E$6) + CHOOSE(CONTROL!$C$25, 0.0258, 0)</f>
        <v>17.248200000000001</v>
      </c>
      <c r="C170" s="4">
        <f>16.9357 * CHOOSE(CONTROL!$C$6, $C$6, 100%, $E$6) + CHOOSE(CONTROL!$C$25, 0.0258, 0)</f>
        <v>16.935700000000001</v>
      </c>
      <c r="D170" s="4">
        <f>22.5408 * CHOOSE(CONTROL!$C$6, $C$6, 100%, $E$6) + CHOOSE(CONTROL!$C$25, 0, 0)</f>
        <v>22.540800000000001</v>
      </c>
      <c r="E170" s="4">
        <f>99.0710100128591 * CHOOSE(CONTROL!$C$6, $C$6, 100%, $E$6) + CHOOSE(CONTROL!$C$25, 0, 0)</f>
        <v>99.071010012859105</v>
      </c>
    </row>
    <row r="171" spans="1:5" ht="15">
      <c r="A171" s="13">
        <v>47270</v>
      </c>
      <c r="B171" s="4">
        <f>17.2969 * CHOOSE(CONTROL!$C$6, $C$6, 100%, $E$6) + CHOOSE(CONTROL!$C$25, 0.0258, 0)</f>
        <v>17.296900000000001</v>
      </c>
      <c r="C171" s="4">
        <f>16.9844 * CHOOSE(CONTROL!$C$6, $C$6, 100%, $E$6) + CHOOSE(CONTROL!$C$25, 0.0258, 0)</f>
        <v>16.984400000000001</v>
      </c>
      <c r="D171" s="4">
        <f>22.7364 * CHOOSE(CONTROL!$C$6, $C$6, 100%, $E$6) + CHOOSE(CONTROL!$C$25, 0, 0)</f>
        <v>22.7364</v>
      </c>
      <c r="E171" s="4">
        <f>99.3844841863689 * CHOOSE(CONTROL!$C$6, $C$6, 100%, $E$6) + CHOOSE(CONTROL!$C$25, 0, 0)</f>
        <v>99.384484186368894</v>
      </c>
    </row>
    <row r="172" spans="1:5" ht="15">
      <c r="A172" s="13">
        <v>47300</v>
      </c>
      <c r="B172" s="4">
        <f>17.292 * CHOOSE(CONTROL!$C$6, $C$6, 100%, $E$6) + CHOOSE(CONTROL!$C$25, 0.0258, 0)</f>
        <v>17.292000000000002</v>
      </c>
      <c r="C172" s="4">
        <f>16.9795 * CHOOSE(CONTROL!$C$6, $C$6, 100%, $E$6) + CHOOSE(CONTROL!$C$25, 0.0258, 0)</f>
        <v>16.979500000000002</v>
      </c>
      <c r="D172" s="4">
        <f>23.0893 * CHOOSE(CONTROL!$C$6, $C$6, 100%, $E$6) + CHOOSE(CONTROL!$C$25, 0, 0)</f>
        <v>23.089300000000001</v>
      </c>
      <c r="E172" s="4">
        <f>99.3528733453427 * CHOOSE(CONTROL!$C$6, $C$6, 100%, $E$6) + CHOOSE(CONTROL!$C$25, 0, 0)</f>
        <v>99.352873345342701</v>
      </c>
    </row>
    <row r="173" spans="1:5" ht="15">
      <c r="A173" s="13">
        <v>47331</v>
      </c>
      <c r="B173" s="4">
        <f>17.6611 * CHOOSE(CONTROL!$C$6, $C$6, 100%, $E$6) + CHOOSE(CONTROL!$C$25, 0.0258, 0)</f>
        <v>17.661100000000001</v>
      </c>
      <c r="C173" s="4">
        <f>17.3486 * CHOOSE(CONTROL!$C$6, $C$6, 100%, $E$6) + CHOOSE(CONTROL!$C$25, 0.0258, 0)</f>
        <v>17.348600000000001</v>
      </c>
      <c r="D173" s="4">
        <f>22.8562 * CHOOSE(CONTROL!$C$6, $C$6, 100%, $E$6) + CHOOSE(CONTROL!$C$25, 0, 0)</f>
        <v>22.856200000000001</v>
      </c>
      <c r="E173" s="4">
        <f>101.731589132564 * CHOOSE(CONTROL!$C$6, $C$6, 100%, $E$6) + CHOOSE(CONTROL!$C$25, 0, 0)</f>
        <v>101.731589132564</v>
      </c>
    </row>
    <row r="174" spans="1:5" ht="15">
      <c r="A174" s="13">
        <v>47362</v>
      </c>
      <c r="B174" s="4">
        <f>17.032 * CHOOSE(CONTROL!$C$6, $C$6, 100%, $E$6) + CHOOSE(CONTROL!$C$25, 0.0258, 0)</f>
        <v>17.032</v>
      </c>
      <c r="C174" s="4">
        <f>16.7195 * CHOOSE(CONTROL!$C$6, $C$6, 100%, $E$6) + CHOOSE(CONTROL!$C$25, 0.0258, 0)</f>
        <v>16.7195</v>
      </c>
      <c r="D174" s="4">
        <f>22.7461 * CHOOSE(CONTROL!$C$6, $C$6, 100%, $E$6) + CHOOSE(CONTROL!$C$25, 0, 0)</f>
        <v>22.746099999999998</v>
      </c>
      <c r="E174" s="4">
        <f>97.6774987709542 * CHOOSE(CONTROL!$C$6, $C$6, 100%, $E$6) + CHOOSE(CONTROL!$C$25, 0, 0)</f>
        <v>97.677498770954202</v>
      </c>
    </row>
    <row r="175" spans="1:5" ht="15">
      <c r="A175" s="13">
        <v>47392</v>
      </c>
      <c r="B175" s="4">
        <f>16.5284 * CHOOSE(CONTROL!$C$6, $C$6, 100%, $E$6) + CHOOSE(CONTROL!$C$25, 0.0003, 0)</f>
        <v>16.528400000000001</v>
      </c>
      <c r="C175" s="4">
        <f>16.2159 * CHOOSE(CONTROL!$C$6, $C$6, 100%, $E$6) + CHOOSE(CONTROL!$C$25, 0.0003, 0)</f>
        <v>16.215900000000001</v>
      </c>
      <c r="D175" s="4">
        <f>22.4513 * CHOOSE(CONTROL!$C$6, $C$6, 100%, $E$6) + CHOOSE(CONTROL!$C$25, 0, 0)</f>
        <v>22.4513</v>
      </c>
      <c r="E175" s="4">
        <f>94.4321190922644 * CHOOSE(CONTROL!$C$6, $C$6, 100%, $E$6) + CHOOSE(CONTROL!$C$25, 0, 0)</f>
        <v>94.432119092264401</v>
      </c>
    </row>
    <row r="176" spans="1:5" ht="15">
      <c r="A176" s="13">
        <v>47423</v>
      </c>
      <c r="B176" s="4">
        <f>16.204 * CHOOSE(CONTROL!$C$6, $C$6, 100%, $E$6) + CHOOSE(CONTROL!$C$25, 0.0003, 0)</f>
        <v>16.204000000000001</v>
      </c>
      <c r="C176" s="4">
        <f>15.8915 * CHOOSE(CONTROL!$C$6, $C$6, 100%, $E$6) + CHOOSE(CONTROL!$C$25, 0.0003, 0)</f>
        <v>15.891500000000001</v>
      </c>
      <c r="D176" s="4">
        <f>22.3499 * CHOOSE(CONTROL!$C$6, $C$6, 100%, $E$6) + CHOOSE(CONTROL!$C$25, 0, 0)</f>
        <v>22.349900000000002</v>
      </c>
      <c r="E176" s="4">
        <f>92.341852229407 * CHOOSE(CONTROL!$C$6, $C$6, 100%, $E$6) + CHOOSE(CONTROL!$C$25, 0, 0)</f>
        <v>92.341852229406996</v>
      </c>
    </row>
    <row r="177" spans="1:5" ht="15">
      <c r="A177" s="13">
        <v>47453</v>
      </c>
      <c r="B177" s="4">
        <f>15.9796 * CHOOSE(CONTROL!$C$6, $C$6, 100%, $E$6) + CHOOSE(CONTROL!$C$25, 0.0003, 0)</f>
        <v>15.9796</v>
      </c>
      <c r="C177" s="4">
        <f>15.6671 * CHOOSE(CONTROL!$C$6, $C$6, 100%, $E$6) + CHOOSE(CONTROL!$C$25, 0.0003, 0)</f>
        <v>15.6671</v>
      </c>
      <c r="D177" s="4">
        <f>21.6036 * CHOOSE(CONTROL!$C$6, $C$6, 100%, $E$6) + CHOOSE(CONTROL!$C$25, 0, 0)</f>
        <v>21.6036</v>
      </c>
      <c r="E177" s="4">
        <f>90.8956562524585 * CHOOSE(CONTROL!$C$6, $C$6, 100%, $E$6) + CHOOSE(CONTROL!$C$25, 0, 0)</f>
        <v>90.895656252458494</v>
      </c>
    </row>
    <row r="178" spans="1:5" ht="15">
      <c r="A178" s="13">
        <v>47484</v>
      </c>
      <c r="B178" s="4">
        <f>15.5417 * CHOOSE(CONTROL!$C$6, $C$6, 100%, $E$6) + CHOOSE(CONTROL!$C$25, 0.0003, 0)</f>
        <v>15.541700000000001</v>
      </c>
      <c r="C178" s="4">
        <f>15.2292 * CHOOSE(CONTROL!$C$6, $C$6, 100%, $E$6) + CHOOSE(CONTROL!$C$25, 0.0003, 0)</f>
        <v>15.229200000000001</v>
      </c>
      <c r="D178" s="4">
        <f>20.6223 * CHOOSE(CONTROL!$C$6, $C$6, 100%, $E$6) + CHOOSE(CONTROL!$C$25, 0, 0)</f>
        <v>20.622299999999999</v>
      </c>
      <c r="E178" s="4">
        <f>87.2441285607514 * CHOOSE(CONTROL!$C$6, $C$6, 100%, $E$6) + CHOOSE(CONTROL!$C$25, 0, 0)</f>
        <v>87.244128560751406</v>
      </c>
    </row>
    <row r="179" spans="1:5" ht="15">
      <c r="A179" s="13">
        <v>47515</v>
      </c>
      <c r="B179" s="4">
        <f>15.8662 * CHOOSE(CONTROL!$C$6, $C$6, 100%, $E$6) + CHOOSE(CONTROL!$C$25, 0.0003, 0)</f>
        <v>15.866199999999999</v>
      </c>
      <c r="C179" s="4">
        <f>15.5537 * CHOOSE(CONTROL!$C$6, $C$6, 100%, $E$6) + CHOOSE(CONTROL!$C$25, 0.0003, 0)</f>
        <v>15.553699999999999</v>
      </c>
      <c r="D179" s="4">
        <f>21.3026 * CHOOSE(CONTROL!$C$6, $C$6, 100%, $E$6) + CHOOSE(CONTROL!$C$25, 0, 0)</f>
        <v>21.302600000000002</v>
      </c>
      <c r="E179" s="4">
        <f>89.3156479939936 * CHOOSE(CONTROL!$C$6, $C$6, 100%, $E$6) + CHOOSE(CONTROL!$C$25, 0, 0)</f>
        <v>89.315647993993593</v>
      </c>
    </row>
    <row r="180" spans="1:5" ht="15">
      <c r="A180" s="13">
        <v>47543</v>
      </c>
      <c r="B180" s="4">
        <f>16.7184 * CHOOSE(CONTROL!$C$6, $C$6, 100%, $E$6) + CHOOSE(CONTROL!$C$25, 0.0003, 0)</f>
        <v>16.718399999999999</v>
      </c>
      <c r="C180" s="4">
        <f>16.4059 * CHOOSE(CONTROL!$C$6, $C$6, 100%, $E$6) + CHOOSE(CONTROL!$C$25, 0.0003, 0)</f>
        <v>16.405899999999999</v>
      </c>
      <c r="D180" s="4">
        <f>22.3676 * CHOOSE(CONTROL!$C$6, $C$6, 100%, $E$6) + CHOOSE(CONTROL!$C$25, 0, 0)</f>
        <v>22.367599999999999</v>
      </c>
      <c r="E180" s="4">
        <f>94.7555681129158 * CHOOSE(CONTROL!$C$6, $C$6, 100%, $E$6) + CHOOSE(CONTROL!$C$25, 0, 0)</f>
        <v>94.755568112915796</v>
      </c>
    </row>
    <row r="181" spans="1:5" ht="15">
      <c r="A181" s="13">
        <v>47574</v>
      </c>
      <c r="B181" s="4">
        <f>17.3238 * CHOOSE(CONTROL!$C$6, $C$6, 100%, $E$6) + CHOOSE(CONTROL!$C$25, 0.0003, 0)</f>
        <v>17.323799999999999</v>
      </c>
      <c r="C181" s="4">
        <f>17.0113 * CHOOSE(CONTROL!$C$6, $C$6, 100%, $E$6) + CHOOSE(CONTROL!$C$25, 0.0003, 0)</f>
        <v>17.011299999999999</v>
      </c>
      <c r="D181" s="4">
        <f>22.9811 * CHOOSE(CONTROL!$C$6, $C$6, 100%, $E$6) + CHOOSE(CONTROL!$C$25, 0, 0)</f>
        <v>22.981100000000001</v>
      </c>
      <c r="E181" s="4">
        <f>98.6207038538777 * CHOOSE(CONTROL!$C$6, $C$6, 100%, $E$6) + CHOOSE(CONTROL!$C$25, 0, 0)</f>
        <v>98.6207038538777</v>
      </c>
    </row>
    <row r="182" spans="1:5" ht="15">
      <c r="A182" s="13">
        <v>47604</v>
      </c>
      <c r="B182" s="4">
        <f>17.6938 * CHOOSE(CONTROL!$C$6, $C$6, 100%, $E$6) + CHOOSE(CONTROL!$C$25, 0.0258, 0)</f>
        <v>17.6938</v>
      </c>
      <c r="C182" s="4">
        <f>17.3813 * CHOOSE(CONTROL!$C$6, $C$6, 100%, $E$6) + CHOOSE(CONTROL!$C$25, 0.0258, 0)</f>
        <v>17.3813</v>
      </c>
      <c r="D182" s="4">
        <f>22.7387 * CHOOSE(CONTROL!$C$6, $C$6, 100%, $E$6) + CHOOSE(CONTROL!$C$25, 0, 0)</f>
        <v>22.738700000000001</v>
      </c>
      <c r="E182" s="4">
        <f>100.98220915723 * CHOOSE(CONTROL!$C$6, $C$6, 100%, $E$6) + CHOOSE(CONTROL!$C$25, 0, 0)</f>
        <v>100.98220915723</v>
      </c>
    </row>
    <row r="183" spans="1:5" ht="15">
      <c r="A183" s="13">
        <v>47635</v>
      </c>
      <c r="B183" s="4">
        <f>17.7438 * CHOOSE(CONTROL!$C$6, $C$6, 100%, $E$6) + CHOOSE(CONTROL!$C$25, 0.0258, 0)</f>
        <v>17.7438</v>
      </c>
      <c r="C183" s="4">
        <f>17.4313 * CHOOSE(CONTROL!$C$6, $C$6, 100%, $E$6) + CHOOSE(CONTROL!$C$25, 0.0258, 0)</f>
        <v>17.4313</v>
      </c>
      <c r="D183" s="4">
        <f>22.9361 * CHOOSE(CONTROL!$C$6, $C$6, 100%, $E$6) + CHOOSE(CONTROL!$C$25, 0, 0)</f>
        <v>22.9361</v>
      </c>
      <c r="E183" s="4">
        <f>101.301730625222 * CHOOSE(CONTROL!$C$6, $C$6, 100%, $E$6) + CHOOSE(CONTROL!$C$25, 0, 0)</f>
        <v>101.30173062522201</v>
      </c>
    </row>
    <row r="184" spans="1:5" ht="15">
      <c r="A184" s="13">
        <v>47665</v>
      </c>
      <c r="B184" s="4">
        <f>17.7388 * CHOOSE(CONTROL!$C$6, $C$6, 100%, $E$6) + CHOOSE(CONTROL!$C$25, 0.0258, 0)</f>
        <v>17.738800000000001</v>
      </c>
      <c r="C184" s="4">
        <f>17.4263 * CHOOSE(CONTROL!$C$6, $C$6, 100%, $E$6) + CHOOSE(CONTROL!$C$25, 0.0258, 0)</f>
        <v>17.426300000000001</v>
      </c>
      <c r="D184" s="4">
        <f>23.2923 * CHOOSE(CONTROL!$C$6, $C$6, 100%, $E$6) + CHOOSE(CONTROL!$C$25, 0, 0)</f>
        <v>23.292300000000001</v>
      </c>
      <c r="E184" s="4">
        <f>101.269509972988 * CHOOSE(CONTROL!$C$6, $C$6, 100%, $E$6) + CHOOSE(CONTROL!$C$25, 0, 0)</f>
        <v>101.269509972988</v>
      </c>
    </row>
    <row r="185" spans="1:5" ht="15">
      <c r="A185" s="13">
        <v>47696</v>
      </c>
      <c r="B185" s="4">
        <f>18.1186 * CHOOSE(CONTROL!$C$6, $C$6, 100%, $E$6) + CHOOSE(CONTROL!$C$25, 0.0258, 0)</f>
        <v>18.118600000000001</v>
      </c>
      <c r="C185" s="4">
        <f>17.8061 * CHOOSE(CONTROL!$C$6, $C$6, 100%, $E$6) + CHOOSE(CONTROL!$C$25, 0.0258, 0)</f>
        <v>17.806100000000001</v>
      </c>
      <c r="D185" s="4">
        <f>23.0571 * CHOOSE(CONTROL!$C$6, $C$6, 100%, $E$6) + CHOOSE(CONTROL!$C$25, 0, 0)</f>
        <v>23.057099999999998</v>
      </c>
      <c r="E185" s="4">
        <f>103.694114053633 * CHOOSE(CONTROL!$C$6, $C$6, 100%, $E$6) + CHOOSE(CONTROL!$C$25, 0, 0)</f>
        <v>103.694114053633</v>
      </c>
    </row>
    <row r="186" spans="1:5" ht="15">
      <c r="A186" s="13">
        <v>47727</v>
      </c>
      <c r="B186" s="4">
        <f>17.4712 * CHOOSE(CONTROL!$C$6, $C$6, 100%, $E$6) + CHOOSE(CONTROL!$C$25, 0.0258, 0)</f>
        <v>17.4712</v>
      </c>
      <c r="C186" s="4">
        <f>17.1587 * CHOOSE(CONTROL!$C$6, $C$6, 100%, $E$6) + CHOOSE(CONTROL!$C$25, 0.0258, 0)</f>
        <v>17.1587</v>
      </c>
      <c r="D186" s="4">
        <f>22.9459 * CHOOSE(CONTROL!$C$6, $C$6, 100%, $E$6) + CHOOSE(CONTROL!$C$25, 0, 0)</f>
        <v>22.945900000000002</v>
      </c>
      <c r="E186" s="4">
        <f>99.5618154045599 * CHOOSE(CONTROL!$C$6, $C$6, 100%, $E$6) + CHOOSE(CONTROL!$C$25, 0, 0)</f>
        <v>99.561815404559894</v>
      </c>
    </row>
    <row r="187" spans="1:5" ht="15">
      <c r="A187" s="13">
        <v>47757</v>
      </c>
      <c r="B187" s="4">
        <f>16.9531 * CHOOSE(CONTROL!$C$6, $C$6, 100%, $E$6) + CHOOSE(CONTROL!$C$25, 0.0003, 0)</f>
        <v>16.953099999999999</v>
      </c>
      <c r="C187" s="4">
        <f>16.6406 * CHOOSE(CONTROL!$C$6, $C$6, 100%, $E$6) + CHOOSE(CONTROL!$C$25, 0.0003, 0)</f>
        <v>16.640599999999999</v>
      </c>
      <c r="D187" s="4">
        <f>22.6483 * CHOOSE(CONTROL!$C$6, $C$6, 100%, $E$6) + CHOOSE(CONTROL!$C$25, 0, 0)</f>
        <v>22.648299999999999</v>
      </c>
      <c r="E187" s="4">
        <f>96.2538284418194 * CHOOSE(CONTROL!$C$6, $C$6, 100%, $E$6) + CHOOSE(CONTROL!$C$25, 0, 0)</f>
        <v>96.253828441819394</v>
      </c>
    </row>
    <row r="188" spans="1:5" ht="15">
      <c r="A188" s="13">
        <v>47788</v>
      </c>
      <c r="B188" s="4">
        <f>16.6193 * CHOOSE(CONTROL!$C$6, $C$6, 100%, $E$6) + CHOOSE(CONTROL!$C$25, 0.0003, 0)</f>
        <v>16.619299999999999</v>
      </c>
      <c r="C188" s="4">
        <f>16.3068 * CHOOSE(CONTROL!$C$6, $C$6, 100%, $E$6) + CHOOSE(CONTROL!$C$25, 0.0003, 0)</f>
        <v>16.306799999999999</v>
      </c>
      <c r="D188" s="4">
        <f>22.546 * CHOOSE(CONTROL!$C$6, $C$6, 100%, $E$6) + CHOOSE(CONTROL!$C$25, 0, 0)</f>
        <v>22.545999999999999</v>
      </c>
      <c r="E188" s="4">
        <f>94.123237812814 * CHOOSE(CONTROL!$C$6, $C$6, 100%, $E$6) + CHOOSE(CONTROL!$C$25, 0, 0)</f>
        <v>94.123237812813997</v>
      </c>
    </row>
    <row r="189" spans="1:5" ht="15">
      <c r="A189" s="13">
        <v>47818</v>
      </c>
      <c r="B189" s="4">
        <f>16.3884 * CHOOSE(CONTROL!$C$6, $C$6, 100%, $E$6) + CHOOSE(CONTROL!$C$25, 0.0003, 0)</f>
        <v>16.388400000000001</v>
      </c>
      <c r="C189" s="4">
        <f>16.0759 * CHOOSE(CONTROL!$C$6, $C$6, 100%, $E$6) + CHOOSE(CONTROL!$C$25, 0.0003, 0)</f>
        <v>16.075900000000001</v>
      </c>
      <c r="D189" s="4">
        <f>21.7927 * CHOOSE(CONTROL!$C$6, $C$6, 100%, $E$6) + CHOOSE(CONTROL!$C$25, 0, 0)</f>
        <v>21.7927</v>
      </c>
      <c r="E189" s="4">
        <f>92.6491429730864 * CHOOSE(CONTROL!$C$6, $C$6, 100%, $E$6) + CHOOSE(CONTROL!$C$25, 0, 0)</f>
        <v>92.649142973086398</v>
      </c>
    </row>
    <row r="190" spans="1:5" ht="15">
      <c r="A190" s="13">
        <v>47849</v>
      </c>
      <c r="B190" s="4">
        <f>15.8589 * CHOOSE(CONTROL!$C$6, $C$6, 100%, $E$6) + CHOOSE(CONTROL!$C$25, 0.0003, 0)</f>
        <v>15.8589</v>
      </c>
      <c r="C190" s="4">
        <f>15.5464 * CHOOSE(CONTROL!$C$6, $C$6, 100%, $E$6) + CHOOSE(CONTROL!$C$25, 0.0003, 0)</f>
        <v>15.5464</v>
      </c>
      <c r="D190" s="4">
        <f>20.8177 * CHOOSE(CONTROL!$C$6, $C$6, 100%, $E$6) + CHOOSE(CONTROL!$C$25, 0, 0)</f>
        <v>20.817699999999999</v>
      </c>
      <c r="E190" s="4">
        <f>88.9271859642947 * CHOOSE(CONTROL!$C$6, $C$6, 100%, $E$6) + CHOOSE(CONTROL!$C$25, 0, 0)</f>
        <v>88.927185964294694</v>
      </c>
    </row>
    <row r="191" spans="1:5" ht="15">
      <c r="A191" s="13">
        <v>47880</v>
      </c>
      <c r="B191" s="4">
        <f>16.191 * CHOOSE(CONTROL!$C$6, $C$6, 100%, $E$6) + CHOOSE(CONTROL!$C$25, 0.0003, 0)</f>
        <v>16.190999999999999</v>
      </c>
      <c r="C191" s="4">
        <f>15.8785 * CHOOSE(CONTROL!$C$6, $C$6, 100%, $E$6) + CHOOSE(CONTROL!$C$25, 0.0003, 0)</f>
        <v>15.878500000000001</v>
      </c>
      <c r="D191" s="4">
        <f>21.5049 * CHOOSE(CONTROL!$C$6, $C$6, 100%, $E$6) + CHOOSE(CONTROL!$C$25, 0, 0)</f>
        <v>21.504899999999999</v>
      </c>
      <c r="E191" s="4">
        <f>91.0386678130737 * CHOOSE(CONTROL!$C$6, $C$6, 100%, $E$6) + CHOOSE(CONTROL!$C$25, 0, 0)</f>
        <v>91.038667813073701</v>
      </c>
    </row>
    <row r="192" spans="1:5" ht="15">
      <c r="A192" s="13">
        <v>47908</v>
      </c>
      <c r="B192" s="4">
        <f>17.0629 * CHOOSE(CONTROL!$C$6, $C$6, 100%, $E$6) + CHOOSE(CONTROL!$C$25, 0.0003, 0)</f>
        <v>17.062899999999999</v>
      </c>
      <c r="C192" s="4">
        <f>16.7504 * CHOOSE(CONTROL!$C$6, $C$6, 100%, $E$6) + CHOOSE(CONTROL!$C$25, 0.0003, 0)</f>
        <v>16.750399999999999</v>
      </c>
      <c r="D192" s="4">
        <f>22.5806 * CHOOSE(CONTROL!$C$6, $C$6, 100%, $E$6) + CHOOSE(CONTROL!$C$25, 0, 0)</f>
        <v>22.5806</v>
      </c>
      <c r="E192" s="4">
        <f>96.5835313589277 * CHOOSE(CONTROL!$C$6, $C$6, 100%, $E$6) + CHOOSE(CONTROL!$C$25, 0, 0)</f>
        <v>96.583531358927701</v>
      </c>
    </row>
    <row r="193" spans="1:5" ht="15">
      <c r="A193" s="13">
        <v>47939</v>
      </c>
      <c r="B193" s="4">
        <f>17.6824 * CHOOSE(CONTROL!$C$6, $C$6, 100%, $E$6) + CHOOSE(CONTROL!$C$25, 0.0003, 0)</f>
        <v>17.682400000000001</v>
      </c>
      <c r="C193" s="4">
        <f>17.3699 * CHOOSE(CONTROL!$C$6, $C$6, 100%, $E$6) + CHOOSE(CONTROL!$C$25, 0.0003, 0)</f>
        <v>17.369900000000001</v>
      </c>
      <c r="D193" s="4">
        <f>23.2003 * CHOOSE(CONTROL!$C$6, $C$6, 100%, $E$6) + CHOOSE(CONTROL!$C$25, 0, 0)</f>
        <v>23.200299999999999</v>
      </c>
      <c r="E193" s="4">
        <f>100.52323080328 * CHOOSE(CONTROL!$C$6, $C$6, 100%, $E$6) + CHOOSE(CONTROL!$C$25, 0, 0)</f>
        <v>100.52323080328</v>
      </c>
    </row>
    <row r="194" spans="1:5" ht="15">
      <c r="A194" s="13">
        <v>47969</v>
      </c>
      <c r="B194" s="4">
        <f>18.061 * CHOOSE(CONTROL!$C$6, $C$6, 100%, $E$6) + CHOOSE(CONTROL!$C$25, 0.0258, 0)</f>
        <v>18.061</v>
      </c>
      <c r="C194" s="4">
        <f>17.7485 * CHOOSE(CONTROL!$C$6, $C$6, 100%, $E$6) + CHOOSE(CONTROL!$C$25, 0.0258, 0)</f>
        <v>17.7485</v>
      </c>
      <c r="D194" s="4">
        <f>22.9554 * CHOOSE(CONTROL!$C$6, $C$6, 100%, $E$6) + CHOOSE(CONTROL!$C$25, 0, 0)</f>
        <v>22.955400000000001</v>
      </c>
      <c r="E194" s="4">
        <f>102.930292742361 * CHOOSE(CONTROL!$C$6, $C$6, 100%, $E$6) + CHOOSE(CONTROL!$C$25, 0, 0)</f>
        <v>102.930292742361</v>
      </c>
    </row>
    <row r="195" spans="1:5" ht="15">
      <c r="A195" s="13">
        <v>48000</v>
      </c>
      <c r="B195" s="4">
        <f>18.1122 * CHOOSE(CONTROL!$C$6, $C$6, 100%, $E$6) + CHOOSE(CONTROL!$C$25, 0.0258, 0)</f>
        <v>18.112200000000001</v>
      </c>
      <c r="C195" s="4">
        <f>17.7997 * CHOOSE(CONTROL!$C$6, $C$6, 100%, $E$6) + CHOOSE(CONTROL!$C$25, 0.0258, 0)</f>
        <v>17.799700000000001</v>
      </c>
      <c r="D195" s="4">
        <f>23.1549 * CHOOSE(CONTROL!$C$6, $C$6, 100%, $E$6) + CHOOSE(CONTROL!$C$25, 0, 0)</f>
        <v>23.154900000000001</v>
      </c>
      <c r="E195" s="4">
        <f>103.255978212231 * CHOOSE(CONTROL!$C$6, $C$6, 100%, $E$6) + CHOOSE(CONTROL!$C$25, 0, 0)</f>
        <v>103.255978212231</v>
      </c>
    </row>
    <row r="196" spans="1:5" ht="15">
      <c r="A196" s="13">
        <v>48030</v>
      </c>
      <c r="B196" s="4">
        <f>18.107 * CHOOSE(CONTROL!$C$6, $C$6, 100%, $E$6) + CHOOSE(CONTROL!$C$25, 0.0258, 0)</f>
        <v>18.106999999999999</v>
      </c>
      <c r="C196" s="4">
        <f>17.7945 * CHOOSE(CONTROL!$C$6, $C$6, 100%, $E$6) + CHOOSE(CONTROL!$C$25, 0.0258, 0)</f>
        <v>17.794499999999999</v>
      </c>
      <c r="D196" s="4">
        <f>23.5147 * CHOOSE(CONTROL!$C$6, $C$6, 100%, $E$6) + CHOOSE(CONTROL!$C$25, 0, 0)</f>
        <v>23.514700000000001</v>
      </c>
      <c r="E196" s="4">
        <f>103.223135979975 * CHOOSE(CONTROL!$C$6, $C$6, 100%, $E$6) + CHOOSE(CONTROL!$C$25, 0, 0)</f>
        <v>103.223135979975</v>
      </c>
    </row>
    <row r="197" spans="1:5" ht="15">
      <c r="A197" s="13">
        <v>48061</v>
      </c>
      <c r="B197" s="4">
        <f>18.4956 * CHOOSE(CONTROL!$C$6, $C$6, 100%, $E$6) + CHOOSE(CONTROL!$C$25, 0.0258, 0)</f>
        <v>18.4956</v>
      </c>
      <c r="C197" s="4">
        <f>18.1831 * CHOOSE(CONTROL!$C$6, $C$6, 100%, $E$6) + CHOOSE(CONTROL!$C$25, 0.0258, 0)</f>
        <v>18.1831</v>
      </c>
      <c r="D197" s="4">
        <f>23.2771 * CHOOSE(CONTROL!$C$6, $C$6, 100%, $E$6) + CHOOSE(CONTROL!$C$25, 0, 0)</f>
        <v>23.277100000000001</v>
      </c>
      <c r="E197" s="4">
        <f>105.694513957224 * CHOOSE(CONTROL!$C$6, $C$6, 100%, $E$6) + CHOOSE(CONTROL!$C$25, 0, 0)</f>
        <v>105.694513957224</v>
      </c>
    </row>
    <row r="198" spans="1:5" ht="15">
      <c r="A198" s="13">
        <v>48092</v>
      </c>
      <c r="B198" s="4">
        <f>17.8333 * CHOOSE(CONTROL!$C$6, $C$6, 100%, $E$6) + CHOOSE(CONTROL!$C$25, 0.0258, 0)</f>
        <v>17.833300000000001</v>
      </c>
      <c r="C198" s="4">
        <f>17.5208 * CHOOSE(CONTROL!$C$6, $C$6, 100%, $E$6) + CHOOSE(CONTROL!$C$25, 0.0258, 0)</f>
        <v>17.520800000000001</v>
      </c>
      <c r="D198" s="4">
        <f>23.1648 * CHOOSE(CONTROL!$C$6, $C$6, 100%, $E$6) + CHOOSE(CONTROL!$C$25, 0, 0)</f>
        <v>23.1648</v>
      </c>
      <c r="E198" s="4">
        <f>101.482497670418 * CHOOSE(CONTROL!$C$6, $C$6, 100%, $E$6) + CHOOSE(CONTROL!$C$25, 0, 0)</f>
        <v>101.482497670418</v>
      </c>
    </row>
    <row r="199" spans="1:5" ht="15">
      <c r="A199" s="13">
        <v>48122</v>
      </c>
      <c r="B199" s="4">
        <f>17.3031 * CHOOSE(CONTROL!$C$6, $C$6, 100%, $E$6) + CHOOSE(CONTROL!$C$25, 0.0003, 0)</f>
        <v>17.303100000000001</v>
      </c>
      <c r="C199" s="4">
        <f>16.9906 * CHOOSE(CONTROL!$C$6, $C$6, 100%, $E$6) + CHOOSE(CONTROL!$C$25, 0.0003, 0)</f>
        <v>16.990600000000001</v>
      </c>
      <c r="D199" s="4">
        <f>22.8642 * CHOOSE(CONTROL!$C$6, $C$6, 100%, $E$6) + CHOOSE(CONTROL!$C$25, 0, 0)</f>
        <v>22.8642</v>
      </c>
      <c r="E199" s="4">
        <f>98.1106951588224 * CHOOSE(CONTROL!$C$6, $C$6, 100%, $E$6) + CHOOSE(CONTROL!$C$25, 0, 0)</f>
        <v>98.110695158822395</v>
      </c>
    </row>
    <row r="200" spans="1:5" ht="15">
      <c r="A200" s="13">
        <v>48153</v>
      </c>
      <c r="B200" s="4">
        <f>16.9616 * CHOOSE(CONTROL!$C$6, $C$6, 100%, $E$6) + CHOOSE(CONTROL!$C$25, 0.0003, 0)</f>
        <v>16.961600000000001</v>
      </c>
      <c r="C200" s="4">
        <f>16.6491 * CHOOSE(CONTROL!$C$6, $C$6, 100%, $E$6) + CHOOSE(CONTROL!$C$25, 0.0003, 0)</f>
        <v>16.649100000000001</v>
      </c>
      <c r="D200" s="4">
        <f>22.7608 * CHOOSE(CONTROL!$C$6, $C$6, 100%, $E$6) + CHOOSE(CONTROL!$C$25, 0, 0)</f>
        <v>22.7608</v>
      </c>
      <c r="E200" s="4">
        <f>95.9390025509077 * CHOOSE(CONTROL!$C$6, $C$6, 100%, $E$6) + CHOOSE(CONTROL!$C$25, 0, 0)</f>
        <v>95.939002550907702</v>
      </c>
    </row>
    <row r="201" spans="1:5" ht="15">
      <c r="A201" s="13">
        <v>48183</v>
      </c>
      <c r="B201" s="4">
        <f>16.7253 * CHOOSE(CONTROL!$C$6, $C$6, 100%, $E$6) + CHOOSE(CONTROL!$C$25, 0.0003, 0)</f>
        <v>16.725300000000001</v>
      </c>
      <c r="C201" s="4">
        <f>16.4128 * CHOOSE(CONTROL!$C$6, $C$6, 100%, $E$6) + CHOOSE(CONTROL!$C$25, 0.0003, 0)</f>
        <v>16.412800000000001</v>
      </c>
      <c r="D201" s="4">
        <f>21.9999 * CHOOSE(CONTROL!$C$6, $C$6, 100%, $E$6) + CHOOSE(CONTROL!$C$25, 0, 0)</f>
        <v>21.9999</v>
      </c>
      <c r="E201" s="4">
        <f>94.4364704252049 * CHOOSE(CONTROL!$C$6, $C$6, 100%, $E$6) + CHOOSE(CONTROL!$C$25, 0, 0)</f>
        <v>94.436470425204902</v>
      </c>
    </row>
    <row r="202" spans="1:5" ht="15">
      <c r="A202" s="13">
        <v>48214</v>
      </c>
      <c r="B202" s="4">
        <f>16.1952 * CHOOSE(CONTROL!$C$6, $C$6, 100%, $E$6) + CHOOSE(CONTROL!$C$25, 0.0003, 0)</f>
        <v>16.1952</v>
      </c>
      <c r="C202" s="4">
        <f>15.8827 * CHOOSE(CONTROL!$C$6, $C$6, 100%, $E$6) + CHOOSE(CONTROL!$C$25, 0.0003, 0)</f>
        <v>15.8827</v>
      </c>
      <c r="D202" s="4">
        <f>21.0185 * CHOOSE(CONTROL!$C$6, $C$6, 100%, $E$6) + CHOOSE(CONTROL!$C$25, 0, 0)</f>
        <v>21.0185</v>
      </c>
      <c r="E202" s="4">
        <f>90.6426264118452 * CHOOSE(CONTROL!$C$6, $C$6, 100%, $E$6) + CHOOSE(CONTROL!$C$25, 0, 0)</f>
        <v>90.6426264118452</v>
      </c>
    </row>
    <row r="203" spans="1:5" ht="15">
      <c r="A203" s="13">
        <v>48245</v>
      </c>
      <c r="B203" s="4">
        <f>16.5352 * CHOOSE(CONTROL!$C$6, $C$6, 100%, $E$6) + CHOOSE(CONTROL!$C$25, 0.0003, 0)</f>
        <v>16.5352</v>
      </c>
      <c r="C203" s="4">
        <f>16.2227 * CHOOSE(CONTROL!$C$6, $C$6, 100%, $E$6) + CHOOSE(CONTROL!$C$25, 0.0003, 0)</f>
        <v>16.2227</v>
      </c>
      <c r="D203" s="4">
        <f>21.7127 * CHOOSE(CONTROL!$C$6, $C$6, 100%, $E$6) + CHOOSE(CONTROL!$C$25, 0, 0)</f>
        <v>21.712700000000002</v>
      </c>
      <c r="E203" s="4">
        <f>92.7948395772446 * CHOOSE(CONTROL!$C$6, $C$6, 100%, $E$6) + CHOOSE(CONTROL!$C$25, 0, 0)</f>
        <v>92.794839577244602</v>
      </c>
    </row>
    <row r="204" spans="1:5" ht="15">
      <c r="A204" s="13">
        <v>48274</v>
      </c>
      <c r="B204" s="4">
        <f>17.4282 * CHOOSE(CONTROL!$C$6, $C$6, 100%, $E$6) + CHOOSE(CONTROL!$C$25, 0.0003, 0)</f>
        <v>17.4282</v>
      </c>
      <c r="C204" s="4">
        <f>17.1157 * CHOOSE(CONTROL!$C$6, $C$6, 100%, $E$6) + CHOOSE(CONTROL!$C$25, 0.0003, 0)</f>
        <v>17.1157</v>
      </c>
      <c r="D204" s="4">
        <f>22.7996 * CHOOSE(CONTROL!$C$6, $C$6, 100%, $E$6) + CHOOSE(CONTROL!$C$25, 0, 0)</f>
        <v>22.799600000000002</v>
      </c>
      <c r="E204" s="4">
        <f>98.4466657251371 * CHOOSE(CONTROL!$C$6, $C$6, 100%, $E$6) + CHOOSE(CONTROL!$C$25, 0, 0)</f>
        <v>98.446665725137095</v>
      </c>
    </row>
    <row r="205" spans="1:5" ht="15">
      <c r="A205" s="13">
        <v>48305</v>
      </c>
      <c r="B205" s="4">
        <f>18.0626 * CHOOSE(CONTROL!$C$6, $C$6, 100%, $E$6) + CHOOSE(CONTROL!$C$25, 0.0003, 0)</f>
        <v>18.0626</v>
      </c>
      <c r="C205" s="4">
        <f>17.7501 * CHOOSE(CONTROL!$C$6, $C$6, 100%, $E$6) + CHOOSE(CONTROL!$C$25, 0.0003, 0)</f>
        <v>17.7501</v>
      </c>
      <c r="D205" s="4">
        <f>23.4257 * CHOOSE(CONTROL!$C$6, $C$6, 100%, $E$6) + CHOOSE(CONTROL!$C$25, 0, 0)</f>
        <v>23.425699999999999</v>
      </c>
      <c r="E205" s="4">
        <f>102.462363523701 * CHOOSE(CONTROL!$C$6, $C$6, 100%, $E$6) + CHOOSE(CONTROL!$C$25, 0, 0)</f>
        <v>102.462363523701</v>
      </c>
    </row>
    <row r="206" spans="1:5" ht="15">
      <c r="A206" s="13">
        <v>48335</v>
      </c>
      <c r="B206" s="4">
        <f>18.4502 * CHOOSE(CONTROL!$C$6, $C$6, 100%, $E$6) + CHOOSE(CONTROL!$C$25, 0.0258, 0)</f>
        <v>18.450199999999999</v>
      </c>
      <c r="C206" s="4">
        <f>18.1377 * CHOOSE(CONTROL!$C$6, $C$6, 100%, $E$6) + CHOOSE(CONTROL!$C$25, 0.0258, 0)</f>
        <v>18.137699999999999</v>
      </c>
      <c r="D206" s="4">
        <f>23.1783 * CHOOSE(CONTROL!$C$6, $C$6, 100%, $E$6) + CHOOSE(CONTROL!$C$25, 0, 0)</f>
        <v>23.1783</v>
      </c>
      <c r="E206" s="4">
        <f>104.91585863578 * CHOOSE(CONTROL!$C$6, $C$6, 100%, $E$6) + CHOOSE(CONTROL!$C$25, 0, 0)</f>
        <v>104.91585863578</v>
      </c>
    </row>
    <row r="207" spans="1:5" ht="15">
      <c r="A207" s="13">
        <v>48366</v>
      </c>
      <c r="B207" s="4">
        <f>18.5026 * CHOOSE(CONTROL!$C$6, $C$6, 100%, $E$6) + CHOOSE(CONTROL!$C$25, 0.0258, 0)</f>
        <v>18.502600000000001</v>
      </c>
      <c r="C207" s="4">
        <f>18.1901 * CHOOSE(CONTROL!$C$6, $C$6, 100%, $E$6) + CHOOSE(CONTROL!$C$25, 0.0258, 0)</f>
        <v>18.190100000000001</v>
      </c>
      <c r="D207" s="4">
        <f>23.3798 * CHOOSE(CONTROL!$C$6, $C$6, 100%, $E$6) + CHOOSE(CONTROL!$C$25, 0, 0)</f>
        <v>23.379799999999999</v>
      </c>
      <c r="E207" s="4">
        <f>105.247826706658 * CHOOSE(CONTROL!$C$6, $C$6, 100%, $E$6) + CHOOSE(CONTROL!$C$25, 0, 0)</f>
        <v>105.247826706658</v>
      </c>
    </row>
    <row r="208" spans="1:5" ht="15">
      <c r="A208" s="13">
        <v>48396</v>
      </c>
      <c r="B208" s="4">
        <f>18.4973 * CHOOSE(CONTROL!$C$6, $C$6, 100%, $E$6) + CHOOSE(CONTROL!$C$25, 0.0258, 0)</f>
        <v>18.497299999999999</v>
      </c>
      <c r="C208" s="4">
        <f>18.1848 * CHOOSE(CONTROL!$C$6, $C$6, 100%, $E$6) + CHOOSE(CONTROL!$C$25, 0.0258, 0)</f>
        <v>18.184799999999999</v>
      </c>
      <c r="D208" s="4">
        <f>23.7433 * CHOOSE(CONTROL!$C$6, $C$6, 100%, $E$6) + CHOOSE(CONTROL!$C$25, 0, 0)</f>
        <v>23.743300000000001</v>
      </c>
      <c r="E208" s="4">
        <f>105.214350934805 * CHOOSE(CONTROL!$C$6, $C$6, 100%, $E$6) + CHOOSE(CONTROL!$C$25, 0, 0)</f>
        <v>105.214350934805</v>
      </c>
    </row>
    <row r="209" spans="1:5" ht="15">
      <c r="A209" s="13">
        <v>48427</v>
      </c>
      <c r="B209" s="4">
        <f>18.8953 * CHOOSE(CONTROL!$C$6, $C$6, 100%, $E$6) + CHOOSE(CONTROL!$C$25, 0.0258, 0)</f>
        <v>18.895299999999999</v>
      </c>
      <c r="C209" s="4">
        <f>18.5828 * CHOOSE(CONTROL!$C$6, $C$6, 100%, $E$6) + CHOOSE(CONTROL!$C$25, 0.0258, 0)</f>
        <v>18.582799999999999</v>
      </c>
      <c r="D209" s="4">
        <f>23.5032 * CHOOSE(CONTROL!$C$6, $C$6, 100%, $E$6) + CHOOSE(CONTROL!$C$25, 0, 0)</f>
        <v>23.5032</v>
      </c>
      <c r="E209" s="4">
        <f>107.733402766763 * CHOOSE(CONTROL!$C$6, $C$6, 100%, $E$6) + CHOOSE(CONTROL!$C$25, 0, 0)</f>
        <v>107.73340276676301</v>
      </c>
    </row>
    <row r="210" spans="1:5" ht="15">
      <c r="A210" s="13">
        <v>48458</v>
      </c>
      <c r="B210" s="4">
        <f>18.217 * CHOOSE(CONTROL!$C$6, $C$6, 100%, $E$6) + CHOOSE(CONTROL!$C$25, 0.0258, 0)</f>
        <v>18.216999999999999</v>
      </c>
      <c r="C210" s="4">
        <f>17.9045 * CHOOSE(CONTROL!$C$6, $C$6, 100%, $E$6) + CHOOSE(CONTROL!$C$25, 0.0258, 0)</f>
        <v>17.904499999999999</v>
      </c>
      <c r="D210" s="4">
        <f>23.3898 * CHOOSE(CONTROL!$C$6, $C$6, 100%, $E$6) + CHOOSE(CONTROL!$C$25, 0, 0)</f>
        <v>23.389800000000001</v>
      </c>
      <c r="E210" s="4">
        <f>103.440135026582 * CHOOSE(CONTROL!$C$6, $C$6, 100%, $E$6) + CHOOSE(CONTROL!$C$25, 0, 0)</f>
        <v>103.440135026582</v>
      </c>
    </row>
    <row r="211" spans="1:5" ht="15">
      <c r="A211" s="13">
        <v>48488</v>
      </c>
      <c r="B211" s="4">
        <f>17.6741 * CHOOSE(CONTROL!$C$6, $C$6, 100%, $E$6) + CHOOSE(CONTROL!$C$25, 0.0003, 0)</f>
        <v>17.674099999999999</v>
      </c>
      <c r="C211" s="4">
        <f>17.3616 * CHOOSE(CONTROL!$C$6, $C$6, 100%, $E$6) + CHOOSE(CONTROL!$C$25, 0.0003, 0)</f>
        <v>17.361599999999999</v>
      </c>
      <c r="D211" s="4">
        <f>23.0861 * CHOOSE(CONTROL!$C$6, $C$6, 100%, $E$6) + CHOOSE(CONTROL!$C$25, 0, 0)</f>
        <v>23.086099999999998</v>
      </c>
      <c r="E211" s="4">
        <f>100.003289116314 * CHOOSE(CONTROL!$C$6, $C$6, 100%, $E$6) + CHOOSE(CONTROL!$C$25, 0, 0)</f>
        <v>100.00328911631399</v>
      </c>
    </row>
    <row r="212" spans="1:5" ht="15">
      <c r="A212" s="13">
        <v>48519</v>
      </c>
      <c r="B212" s="4">
        <f>17.3244 * CHOOSE(CONTROL!$C$6, $C$6, 100%, $E$6) + CHOOSE(CONTROL!$C$25, 0.0003, 0)</f>
        <v>17.324400000000001</v>
      </c>
      <c r="C212" s="4">
        <f>17.0119 * CHOOSE(CONTROL!$C$6, $C$6, 100%, $E$6) + CHOOSE(CONTROL!$C$25, 0.0003, 0)</f>
        <v>17.011900000000001</v>
      </c>
      <c r="D212" s="4">
        <f>22.9816 * CHOOSE(CONTROL!$C$6, $C$6, 100%, $E$6) + CHOOSE(CONTROL!$C$25, 0, 0)</f>
        <v>22.9816</v>
      </c>
      <c r="E212" s="4">
        <f>97.7897037025168 * CHOOSE(CONTROL!$C$6, $C$6, 100%, $E$6) + CHOOSE(CONTROL!$C$25, 0, 0)</f>
        <v>97.789703702516803</v>
      </c>
    </row>
    <row r="213" spans="1:5" ht="15">
      <c r="A213" s="13">
        <v>48549</v>
      </c>
      <c r="B213" s="4">
        <f>17.0824 * CHOOSE(CONTROL!$C$6, $C$6, 100%, $E$6) + CHOOSE(CONTROL!$C$25, 0.0003, 0)</f>
        <v>17.0824</v>
      </c>
      <c r="C213" s="4">
        <f>16.7699 * CHOOSE(CONTROL!$C$6, $C$6, 100%, $E$6) + CHOOSE(CONTROL!$C$25, 0.0003, 0)</f>
        <v>16.7699</v>
      </c>
      <c r="D213" s="4">
        <f>22.2129 * CHOOSE(CONTROL!$C$6, $C$6, 100%, $E$6) + CHOOSE(CONTROL!$C$25, 0, 0)</f>
        <v>22.212900000000001</v>
      </c>
      <c r="E213" s="4">
        <f>96.2581871402301 * CHOOSE(CONTROL!$C$6, $C$6, 100%, $E$6) + CHOOSE(CONTROL!$C$25, 0, 0)</f>
        <v>96.258187140230106</v>
      </c>
    </row>
    <row r="214" spans="1:5" ht="15">
      <c r="A214" s="13">
        <v>48580</v>
      </c>
      <c r="B214" s="4">
        <f>16.5354 * CHOOSE(CONTROL!$C$6, $C$6, 100%, $E$6) + CHOOSE(CONTROL!$C$25, 0.0003, 0)</f>
        <v>16.535399999999999</v>
      </c>
      <c r="C214" s="4">
        <f>16.2229 * CHOOSE(CONTROL!$C$6, $C$6, 100%, $E$6) + CHOOSE(CONTROL!$C$25, 0.0003, 0)</f>
        <v>16.222899999999999</v>
      </c>
      <c r="D214" s="4">
        <f>21.2236 * CHOOSE(CONTROL!$C$6, $C$6, 100%, $E$6) + CHOOSE(CONTROL!$C$25, 0, 0)</f>
        <v>21.223600000000001</v>
      </c>
      <c r="E214" s="4">
        <f>92.3913245623969 * CHOOSE(CONTROL!$C$6, $C$6, 100%, $E$6) + CHOOSE(CONTROL!$C$25, 0, 0)</f>
        <v>92.391324562396903</v>
      </c>
    </row>
    <row r="215" spans="1:5" ht="15">
      <c r="A215" s="13">
        <v>48611</v>
      </c>
      <c r="B215" s="4">
        <f>16.8835 * CHOOSE(CONTROL!$C$6, $C$6, 100%, $E$6) + CHOOSE(CONTROL!$C$25, 0.0003, 0)</f>
        <v>16.883500000000002</v>
      </c>
      <c r="C215" s="4">
        <f>16.571 * CHOOSE(CONTROL!$C$6, $C$6, 100%, $E$6) + CHOOSE(CONTROL!$C$25, 0.0003, 0)</f>
        <v>16.571000000000002</v>
      </c>
      <c r="D215" s="4">
        <f>21.9251 * CHOOSE(CONTROL!$C$6, $C$6, 100%, $E$6) + CHOOSE(CONTROL!$C$25, 0, 0)</f>
        <v>21.9251</v>
      </c>
      <c r="E215" s="4">
        <f>94.5850587133514 * CHOOSE(CONTROL!$C$6, $C$6, 100%, $E$6) + CHOOSE(CONTROL!$C$25, 0, 0)</f>
        <v>94.585058713351401</v>
      </c>
    </row>
    <row r="216" spans="1:5" ht="15">
      <c r="A216" s="13">
        <v>48639</v>
      </c>
      <c r="B216" s="4">
        <f>17.7976 * CHOOSE(CONTROL!$C$6, $C$6, 100%, $E$6) + CHOOSE(CONTROL!$C$25, 0.0003, 0)</f>
        <v>17.797599999999999</v>
      </c>
      <c r="C216" s="4">
        <f>17.4851 * CHOOSE(CONTROL!$C$6, $C$6, 100%, $E$6) + CHOOSE(CONTROL!$C$25, 0.0003, 0)</f>
        <v>17.485099999999999</v>
      </c>
      <c r="D216" s="4">
        <f>23.0233 * CHOOSE(CONTROL!$C$6, $C$6, 100%, $E$6) + CHOOSE(CONTROL!$C$25, 0, 0)</f>
        <v>23.023299999999999</v>
      </c>
      <c r="E216" s="4">
        <f>100.345921175871 * CHOOSE(CONTROL!$C$6, $C$6, 100%, $E$6) + CHOOSE(CONTROL!$C$25, 0, 0)</f>
        <v>100.345921175871</v>
      </c>
    </row>
    <row r="217" spans="1:5" ht="15">
      <c r="A217" s="13">
        <v>48670</v>
      </c>
      <c r="B217" s="4">
        <f>18.4471 * CHOOSE(CONTROL!$C$6, $C$6, 100%, $E$6) + CHOOSE(CONTROL!$C$25, 0.0003, 0)</f>
        <v>18.447099999999999</v>
      </c>
      <c r="C217" s="4">
        <f>18.1346 * CHOOSE(CONTROL!$C$6, $C$6, 100%, $E$6) + CHOOSE(CONTROL!$C$25, 0.0003, 0)</f>
        <v>18.134599999999999</v>
      </c>
      <c r="D217" s="4">
        <f>23.6559 * CHOOSE(CONTROL!$C$6, $C$6, 100%, $E$6) + CHOOSE(CONTROL!$C$25, 0, 0)</f>
        <v>23.655899999999999</v>
      </c>
      <c r="E217" s="4">
        <f>104.439090729078 * CHOOSE(CONTROL!$C$6, $C$6, 100%, $E$6) + CHOOSE(CONTROL!$C$25, 0, 0)</f>
        <v>104.439090729078</v>
      </c>
    </row>
    <row r="218" spans="1:5" ht="15">
      <c r="A218" s="13">
        <v>48700</v>
      </c>
      <c r="B218" s="4">
        <f>18.8439 * CHOOSE(CONTROL!$C$6, $C$6, 100%, $E$6) + CHOOSE(CONTROL!$C$25, 0.0258, 0)</f>
        <v>18.843900000000001</v>
      </c>
      <c r="C218" s="4">
        <f>18.5314 * CHOOSE(CONTROL!$C$6, $C$6, 100%, $E$6) + CHOOSE(CONTROL!$C$25, 0.0258, 0)</f>
        <v>18.531400000000001</v>
      </c>
      <c r="D218" s="4">
        <f>23.4059 * CHOOSE(CONTROL!$C$6, $C$6, 100%, $E$6) + CHOOSE(CONTROL!$C$25, 0, 0)</f>
        <v>23.405899999999999</v>
      </c>
      <c r="E218" s="4">
        <f>106.939919226504 * CHOOSE(CONTROL!$C$6, $C$6, 100%, $E$6) + CHOOSE(CONTROL!$C$25, 0, 0)</f>
        <v>106.939919226504</v>
      </c>
    </row>
    <row r="219" spans="1:5" ht="15">
      <c r="A219" s="13">
        <v>48731</v>
      </c>
      <c r="B219" s="4">
        <f>18.8976 * CHOOSE(CONTROL!$C$6, $C$6, 100%, $E$6) + CHOOSE(CONTROL!$C$25, 0.0258, 0)</f>
        <v>18.897600000000001</v>
      </c>
      <c r="C219" s="4">
        <f>18.5851 * CHOOSE(CONTROL!$C$6, $C$6, 100%, $E$6) + CHOOSE(CONTROL!$C$25, 0.0258, 0)</f>
        <v>18.585100000000001</v>
      </c>
      <c r="D219" s="4">
        <f>23.6095 * CHOOSE(CONTROL!$C$6, $C$6, 100%, $E$6) + CHOOSE(CONTROL!$C$25, 0, 0)</f>
        <v>23.609500000000001</v>
      </c>
      <c r="E219" s="4">
        <f>107.278291700857 * CHOOSE(CONTROL!$C$6, $C$6, 100%, $E$6) + CHOOSE(CONTROL!$C$25, 0, 0)</f>
        <v>107.278291700857</v>
      </c>
    </row>
    <row r="220" spans="1:5" ht="15">
      <c r="A220" s="13">
        <v>48761</v>
      </c>
      <c r="B220" s="4">
        <f>18.8922 * CHOOSE(CONTROL!$C$6, $C$6, 100%, $E$6) + CHOOSE(CONTROL!$C$25, 0.0258, 0)</f>
        <v>18.892199999999999</v>
      </c>
      <c r="C220" s="4">
        <f>18.5797 * CHOOSE(CONTROL!$C$6, $C$6, 100%, $E$6) + CHOOSE(CONTROL!$C$25, 0.0258, 0)</f>
        <v>18.579699999999999</v>
      </c>
      <c r="D220" s="4">
        <f>23.9769 * CHOOSE(CONTROL!$C$6, $C$6, 100%, $E$6) + CHOOSE(CONTROL!$C$25, 0, 0)</f>
        <v>23.976900000000001</v>
      </c>
      <c r="E220" s="4">
        <f>107.244170106805 * CHOOSE(CONTROL!$C$6, $C$6, 100%, $E$6) + CHOOSE(CONTROL!$C$25, 0, 0)</f>
        <v>107.244170106805</v>
      </c>
    </row>
    <row r="221" spans="1:5" ht="15">
      <c r="A221" s="13">
        <v>48792</v>
      </c>
      <c r="B221" s="4">
        <f>19.2996 * CHOOSE(CONTROL!$C$6, $C$6, 100%, $E$6) + CHOOSE(CONTROL!$C$25, 0.0258, 0)</f>
        <v>19.299600000000002</v>
      </c>
      <c r="C221" s="4">
        <f>18.9871 * CHOOSE(CONTROL!$C$6, $C$6, 100%, $E$6) + CHOOSE(CONTROL!$C$25, 0.0258, 0)</f>
        <v>18.987100000000002</v>
      </c>
      <c r="D221" s="4">
        <f>23.7343 * CHOOSE(CONTROL!$C$6, $C$6, 100%, $E$6) + CHOOSE(CONTROL!$C$25, 0, 0)</f>
        <v>23.734300000000001</v>
      </c>
      <c r="E221" s="4">
        <f>109.811820059251 * CHOOSE(CONTROL!$C$6, $C$6, 100%, $E$6) + CHOOSE(CONTROL!$C$25, 0, 0)</f>
        <v>109.811820059251</v>
      </c>
    </row>
    <row r="222" spans="1:5" ht="15">
      <c r="A222" s="13">
        <v>48823</v>
      </c>
      <c r="B222" s="4">
        <f>18.6052 * CHOOSE(CONTROL!$C$6, $C$6, 100%, $E$6) + CHOOSE(CONTROL!$C$25, 0.0258, 0)</f>
        <v>18.6052</v>
      </c>
      <c r="C222" s="4">
        <f>18.2927 * CHOOSE(CONTROL!$C$6, $C$6, 100%, $E$6) + CHOOSE(CONTROL!$C$25, 0.0258, 0)</f>
        <v>18.2927</v>
      </c>
      <c r="D222" s="4">
        <f>23.6196 * CHOOSE(CONTROL!$C$6, $C$6, 100%, $E$6) + CHOOSE(CONTROL!$C$25, 0, 0)</f>
        <v>23.619599999999998</v>
      </c>
      <c r="E222" s="4">
        <f>105.435725622026 * CHOOSE(CONTROL!$C$6, $C$6, 100%, $E$6) + CHOOSE(CONTROL!$C$25, 0, 0)</f>
        <v>105.435725622026</v>
      </c>
    </row>
    <row r="223" spans="1:5" ht="15">
      <c r="A223" s="13">
        <v>48853</v>
      </c>
      <c r="B223" s="4">
        <f>18.0494 * CHOOSE(CONTROL!$C$6, $C$6, 100%, $E$6) + CHOOSE(CONTROL!$C$25, 0.0003, 0)</f>
        <v>18.049399999999999</v>
      </c>
      <c r="C223" s="4">
        <f>17.7369 * CHOOSE(CONTROL!$C$6, $C$6, 100%, $E$6) + CHOOSE(CONTROL!$C$25, 0.0003, 0)</f>
        <v>17.736899999999999</v>
      </c>
      <c r="D223" s="4">
        <f>23.3127 * CHOOSE(CONTROL!$C$6, $C$6, 100%, $E$6) + CHOOSE(CONTROL!$C$25, 0, 0)</f>
        <v>23.3127</v>
      </c>
      <c r="E223" s="4">
        <f>101.932575299309 * CHOOSE(CONTROL!$C$6, $C$6, 100%, $E$6) + CHOOSE(CONTROL!$C$25, 0, 0)</f>
        <v>101.93257529930899</v>
      </c>
    </row>
    <row r="224" spans="1:5" ht="15">
      <c r="A224" s="13">
        <v>48884</v>
      </c>
      <c r="B224" s="4">
        <f>17.6913 * CHOOSE(CONTROL!$C$6, $C$6, 100%, $E$6) + CHOOSE(CONTROL!$C$25, 0.0003, 0)</f>
        <v>17.691299999999998</v>
      </c>
      <c r="C224" s="4">
        <f>17.3788 * CHOOSE(CONTROL!$C$6, $C$6, 100%, $E$6) + CHOOSE(CONTROL!$C$25, 0.0003, 0)</f>
        <v>17.378799999999998</v>
      </c>
      <c r="D224" s="4">
        <f>23.2072 * CHOOSE(CONTROL!$C$6, $C$6, 100%, $E$6) + CHOOSE(CONTROL!$C$25, 0, 0)</f>
        <v>23.2072</v>
      </c>
      <c r="E224" s="4">
        <f>99.6762848925919 * CHOOSE(CONTROL!$C$6, $C$6, 100%, $E$6) + CHOOSE(CONTROL!$C$25, 0, 0)</f>
        <v>99.676284892591895</v>
      </c>
    </row>
    <row r="225" spans="1:5" ht="15">
      <c r="A225" s="13">
        <v>48914</v>
      </c>
      <c r="B225" s="4">
        <f>17.4436 * CHOOSE(CONTROL!$C$6, $C$6, 100%, $E$6) + CHOOSE(CONTROL!$C$25, 0.0003, 0)</f>
        <v>17.4436</v>
      </c>
      <c r="C225" s="4">
        <f>17.1311 * CHOOSE(CONTROL!$C$6, $C$6, 100%, $E$6) + CHOOSE(CONTROL!$C$25, 0.0003, 0)</f>
        <v>17.1311</v>
      </c>
      <c r="D225" s="4">
        <f>22.4305 * CHOOSE(CONTROL!$C$6, $C$6, 100%, $E$6) + CHOOSE(CONTROL!$C$25, 0, 0)</f>
        <v>22.430499999999999</v>
      </c>
      <c r="E225" s="4">
        <f>98.115221964693 * CHOOSE(CONTROL!$C$6, $C$6, 100%, $E$6) + CHOOSE(CONTROL!$C$25, 0, 0)</f>
        <v>98.115221964693006</v>
      </c>
    </row>
    <row r="226" spans="1:5" ht="15">
      <c r="A226" s="13">
        <v>48945</v>
      </c>
      <c r="B226" s="4">
        <f>16.8795 * CHOOSE(CONTROL!$C$6, $C$6, 100%, $E$6) + CHOOSE(CONTROL!$C$25, 0.0003, 0)</f>
        <v>16.8795</v>
      </c>
      <c r="C226" s="4">
        <f>16.567 * CHOOSE(CONTROL!$C$6, $C$6, 100%, $E$6) + CHOOSE(CONTROL!$C$25, 0.0003, 0)</f>
        <v>16.567</v>
      </c>
      <c r="D226" s="4">
        <f>21.4331 * CHOOSE(CONTROL!$C$6, $C$6, 100%, $E$6) + CHOOSE(CONTROL!$C$25, 0, 0)</f>
        <v>21.4331</v>
      </c>
      <c r="E226" s="4">
        <f>94.1733148513432 * CHOOSE(CONTROL!$C$6, $C$6, 100%, $E$6) + CHOOSE(CONTROL!$C$25, 0, 0)</f>
        <v>94.173314851343207</v>
      </c>
    </row>
    <row r="227" spans="1:5" ht="15">
      <c r="A227" s="13">
        <v>48976</v>
      </c>
      <c r="B227" s="4">
        <f>17.2358 * CHOOSE(CONTROL!$C$6, $C$6, 100%, $E$6) + CHOOSE(CONTROL!$C$25, 0.0003, 0)</f>
        <v>17.235800000000001</v>
      </c>
      <c r="C227" s="4">
        <f>16.9233 * CHOOSE(CONTROL!$C$6, $C$6, 100%, $E$6) + CHOOSE(CONTROL!$C$25, 0.0003, 0)</f>
        <v>16.923300000000001</v>
      </c>
      <c r="D227" s="4">
        <f>22.1421 * CHOOSE(CONTROL!$C$6, $C$6, 100%, $E$6) + CHOOSE(CONTROL!$C$25, 0, 0)</f>
        <v>22.142099999999999</v>
      </c>
      <c r="E227" s="4">
        <f>96.4093604744196 * CHOOSE(CONTROL!$C$6, $C$6, 100%, $E$6) + CHOOSE(CONTROL!$C$25, 0, 0)</f>
        <v>96.4093604744196</v>
      </c>
    </row>
    <row r="228" spans="1:5" ht="15">
      <c r="A228" s="13">
        <v>49004</v>
      </c>
      <c r="B228" s="4">
        <f>18.1714 * CHOOSE(CONTROL!$C$6, $C$6, 100%, $E$6) + CHOOSE(CONTROL!$C$25, 0.0003, 0)</f>
        <v>18.171399999999998</v>
      </c>
      <c r="C228" s="4">
        <f>17.8589 * CHOOSE(CONTROL!$C$6, $C$6, 100%, $E$6) + CHOOSE(CONTROL!$C$25, 0.0003, 0)</f>
        <v>17.858899999999998</v>
      </c>
      <c r="D228" s="4">
        <f>23.2518 * CHOOSE(CONTROL!$C$6, $C$6, 100%, $E$6) + CHOOSE(CONTROL!$C$25, 0, 0)</f>
        <v>23.251799999999999</v>
      </c>
      <c r="E228" s="4">
        <f>102.2813351113 * CHOOSE(CONTROL!$C$6, $C$6, 100%, $E$6) + CHOOSE(CONTROL!$C$25, 0, 0)</f>
        <v>102.2813351113</v>
      </c>
    </row>
    <row r="229" spans="1:5" ht="15">
      <c r="A229" s="13">
        <v>49035</v>
      </c>
      <c r="B229" s="4">
        <f>18.8361 * CHOOSE(CONTROL!$C$6, $C$6, 100%, $E$6) + CHOOSE(CONTROL!$C$25, 0.0003, 0)</f>
        <v>18.836099999999998</v>
      </c>
      <c r="C229" s="4">
        <f>18.5236 * CHOOSE(CONTROL!$C$6, $C$6, 100%, $E$6) + CHOOSE(CONTROL!$C$25, 0.0003, 0)</f>
        <v>18.523599999999998</v>
      </c>
      <c r="D229" s="4">
        <f>23.8911 * CHOOSE(CONTROL!$C$6, $C$6, 100%, $E$6) + CHOOSE(CONTROL!$C$25, 0, 0)</f>
        <v>23.891100000000002</v>
      </c>
      <c r="E229" s="4">
        <f>106.453451345154 * CHOOSE(CONTROL!$C$6, $C$6, 100%, $E$6) + CHOOSE(CONTROL!$C$25, 0, 0)</f>
        <v>106.45345134515399</v>
      </c>
    </row>
    <row r="230" spans="1:5" ht="15">
      <c r="A230" s="13">
        <v>49065</v>
      </c>
      <c r="B230" s="4">
        <f>19.2423 * CHOOSE(CONTROL!$C$6, $C$6, 100%, $E$6) + CHOOSE(CONTROL!$C$25, 0.0258, 0)</f>
        <v>19.2423</v>
      </c>
      <c r="C230" s="4">
        <f>18.9298 * CHOOSE(CONTROL!$C$6, $C$6, 100%, $E$6) + CHOOSE(CONTROL!$C$25, 0.0258, 0)</f>
        <v>18.9298</v>
      </c>
      <c r="D230" s="4">
        <f>23.6385 * CHOOSE(CONTROL!$C$6, $C$6, 100%, $E$6) + CHOOSE(CONTROL!$C$25, 0, 0)</f>
        <v>23.638500000000001</v>
      </c>
      <c r="E230" s="4">
        <f>109.002514372368 * CHOOSE(CONTROL!$C$6, $C$6, 100%, $E$6) + CHOOSE(CONTROL!$C$25, 0, 0)</f>
        <v>109.002514372368</v>
      </c>
    </row>
    <row r="231" spans="1:5" ht="15">
      <c r="A231" s="13">
        <v>49096</v>
      </c>
      <c r="B231" s="4">
        <f>19.2972 * CHOOSE(CONTROL!$C$6, $C$6, 100%, $E$6) + CHOOSE(CONTROL!$C$25, 0.0258, 0)</f>
        <v>19.2972</v>
      </c>
      <c r="C231" s="4">
        <f>18.9847 * CHOOSE(CONTROL!$C$6, $C$6, 100%, $E$6) + CHOOSE(CONTROL!$C$25, 0.0258, 0)</f>
        <v>18.9847</v>
      </c>
      <c r="D231" s="4">
        <f>23.8442 * CHOOSE(CONTROL!$C$6, $C$6, 100%, $E$6) + CHOOSE(CONTROL!$C$25, 0, 0)</f>
        <v>23.844200000000001</v>
      </c>
      <c r="E231" s="4">
        <f>109.347413178779 * CHOOSE(CONTROL!$C$6, $C$6, 100%, $E$6) + CHOOSE(CONTROL!$C$25, 0, 0)</f>
        <v>109.34741317877899</v>
      </c>
    </row>
    <row r="232" spans="1:5" ht="15">
      <c r="A232" s="13">
        <v>49126</v>
      </c>
      <c r="B232" s="4">
        <f>19.2917 * CHOOSE(CONTROL!$C$6, $C$6, 100%, $E$6) + CHOOSE(CONTROL!$C$25, 0.0258, 0)</f>
        <v>19.291699999999999</v>
      </c>
      <c r="C232" s="4">
        <f>18.9792 * CHOOSE(CONTROL!$C$6, $C$6, 100%, $E$6) + CHOOSE(CONTROL!$C$25, 0.0258, 0)</f>
        <v>18.979199999999999</v>
      </c>
      <c r="D232" s="4">
        <f>24.2154 * CHOOSE(CONTROL!$C$6, $C$6, 100%, $E$6) + CHOOSE(CONTROL!$C$25, 0, 0)</f>
        <v>24.215399999999999</v>
      </c>
      <c r="E232" s="4">
        <f>109.312633467208 * CHOOSE(CONTROL!$C$6, $C$6, 100%, $E$6) + CHOOSE(CONTROL!$C$25, 0, 0)</f>
        <v>109.312633467208</v>
      </c>
    </row>
    <row r="233" spans="1:5" ht="15">
      <c r="A233" s="13">
        <v>49157</v>
      </c>
      <c r="B233" s="4">
        <f>19.7087 * CHOOSE(CONTROL!$C$6, $C$6, 100%, $E$6) + CHOOSE(CONTROL!$C$25, 0.0258, 0)</f>
        <v>19.7087</v>
      </c>
      <c r="C233" s="4">
        <f>19.3962 * CHOOSE(CONTROL!$C$6, $C$6, 100%, $E$6) + CHOOSE(CONTROL!$C$25, 0.0258, 0)</f>
        <v>19.3962</v>
      </c>
      <c r="D233" s="4">
        <f>23.9703 * CHOOSE(CONTROL!$C$6, $C$6, 100%, $E$6) + CHOOSE(CONTROL!$C$25, 0, 0)</f>
        <v>23.970300000000002</v>
      </c>
      <c r="E233" s="4">
        <f>111.929806762915 * CHOOSE(CONTROL!$C$6, $C$6, 100%, $E$6) + CHOOSE(CONTROL!$C$25, 0, 0)</f>
        <v>111.92980676291501</v>
      </c>
    </row>
    <row r="234" spans="1:5" ht="15">
      <c r="A234" s="13">
        <v>49188</v>
      </c>
      <c r="B234" s="4">
        <f>18.998 * CHOOSE(CONTROL!$C$6, $C$6, 100%, $E$6) + CHOOSE(CONTROL!$C$25, 0.0258, 0)</f>
        <v>18.998000000000001</v>
      </c>
      <c r="C234" s="4">
        <f>18.6855 * CHOOSE(CONTROL!$C$6, $C$6, 100%, $E$6) + CHOOSE(CONTROL!$C$25, 0.0258, 0)</f>
        <v>18.685500000000001</v>
      </c>
      <c r="D234" s="4">
        <f>23.8545 * CHOOSE(CONTROL!$C$6, $C$6, 100%, $E$6) + CHOOSE(CONTROL!$C$25, 0, 0)</f>
        <v>23.854500000000002</v>
      </c>
      <c r="E234" s="4">
        <f>107.469308753953 * CHOOSE(CONTROL!$C$6, $C$6, 100%, $E$6) + CHOOSE(CONTROL!$C$25, 0, 0)</f>
        <v>107.469308753953</v>
      </c>
    </row>
    <row r="235" spans="1:5" ht="15">
      <c r="A235" s="13">
        <v>49218</v>
      </c>
      <c r="B235" s="4">
        <f>18.4291 * CHOOSE(CONTROL!$C$6, $C$6, 100%, $E$6) + CHOOSE(CONTROL!$C$25, 0.0003, 0)</f>
        <v>18.429099999999998</v>
      </c>
      <c r="C235" s="4">
        <f>18.1166 * CHOOSE(CONTROL!$C$6, $C$6, 100%, $E$6) + CHOOSE(CONTROL!$C$25, 0.0003, 0)</f>
        <v>18.116599999999998</v>
      </c>
      <c r="D235" s="4">
        <f>23.5443 * CHOOSE(CONTROL!$C$6, $C$6, 100%, $E$6) + CHOOSE(CONTROL!$C$25, 0, 0)</f>
        <v>23.5443</v>
      </c>
      <c r="E235" s="4">
        <f>103.898591699344 * CHOOSE(CONTROL!$C$6, $C$6, 100%, $E$6) + CHOOSE(CONTROL!$C$25, 0, 0)</f>
        <v>103.898591699344</v>
      </c>
    </row>
    <row r="236" spans="1:5" ht="15">
      <c r="A236" s="13">
        <v>49249</v>
      </c>
      <c r="B236" s="4">
        <f>18.0626 * CHOOSE(CONTROL!$C$6, $C$6, 100%, $E$6) + CHOOSE(CONTROL!$C$25, 0.0003, 0)</f>
        <v>18.0626</v>
      </c>
      <c r="C236" s="4">
        <f>17.7501 * CHOOSE(CONTROL!$C$6, $C$6, 100%, $E$6) + CHOOSE(CONTROL!$C$25, 0.0003, 0)</f>
        <v>17.7501</v>
      </c>
      <c r="D236" s="4">
        <f>23.4377 * CHOOSE(CONTROL!$C$6, $C$6, 100%, $E$6) + CHOOSE(CONTROL!$C$25, 0, 0)</f>
        <v>23.4377</v>
      </c>
      <c r="E236" s="4">
        <f>101.598783271721 * CHOOSE(CONTROL!$C$6, $C$6, 100%, $E$6) + CHOOSE(CONTROL!$C$25, 0, 0)</f>
        <v>101.598783271721</v>
      </c>
    </row>
    <row r="237" spans="1:5" ht="15">
      <c r="A237" s="13">
        <v>49279</v>
      </c>
      <c r="B237" s="4">
        <f>17.8091 * CHOOSE(CONTROL!$C$6, $C$6, 100%, $E$6) + CHOOSE(CONTROL!$C$25, 0.0003, 0)</f>
        <v>17.809100000000001</v>
      </c>
      <c r="C237" s="4">
        <f>17.4966 * CHOOSE(CONTROL!$C$6, $C$6, 100%, $E$6) + CHOOSE(CONTROL!$C$25, 0.0003, 0)</f>
        <v>17.496600000000001</v>
      </c>
      <c r="D237" s="4">
        <f>22.6527 * CHOOSE(CONTROL!$C$6, $C$6, 100%, $E$6) + CHOOSE(CONTROL!$C$25, 0, 0)</f>
        <v>22.652699999999999</v>
      </c>
      <c r="E237" s="4">
        <f>100.007611467355 * CHOOSE(CONTROL!$C$6, $C$6, 100%, $E$6) + CHOOSE(CONTROL!$C$25, 0, 0)</f>
        <v>100.00761146735501</v>
      </c>
    </row>
    <row r="238" spans="1:5" ht="15">
      <c r="A238" s="13">
        <v>49310</v>
      </c>
      <c r="B238" s="4">
        <f>17.2289 * CHOOSE(CONTROL!$C$6, $C$6, 100%, $E$6) + CHOOSE(CONTROL!$C$25, 0.0003, 0)</f>
        <v>17.228899999999999</v>
      </c>
      <c r="C238" s="4">
        <f>16.9164 * CHOOSE(CONTROL!$C$6, $C$6, 100%, $E$6) + CHOOSE(CONTROL!$C$25, 0.0003, 0)</f>
        <v>16.916399999999999</v>
      </c>
      <c r="D238" s="4">
        <f>21.6735 * CHOOSE(CONTROL!$C$6, $C$6, 100%, $E$6) + CHOOSE(CONTROL!$C$25, 0, 0)</f>
        <v>21.673500000000001</v>
      </c>
      <c r="E238" s="4">
        <f>95.9899058236354 * CHOOSE(CONTROL!$C$6, $C$6, 100%, $E$6) + CHOOSE(CONTROL!$C$25, 0, 0)</f>
        <v>95.989905823635397</v>
      </c>
    </row>
    <row r="239" spans="1:5" ht="15">
      <c r="A239" s="13">
        <v>49341</v>
      </c>
      <c r="B239" s="4">
        <f>17.5935 * CHOOSE(CONTROL!$C$6, $C$6, 100%, $E$6) + CHOOSE(CONTROL!$C$25, 0.0003, 0)</f>
        <v>17.593499999999999</v>
      </c>
      <c r="C239" s="4">
        <f>17.281 * CHOOSE(CONTROL!$C$6, $C$6, 100%, $E$6) + CHOOSE(CONTROL!$C$25, 0.0003, 0)</f>
        <v>17.280999999999999</v>
      </c>
      <c r="D239" s="4">
        <f>22.391 * CHOOSE(CONTROL!$C$6, $C$6, 100%, $E$6) + CHOOSE(CONTROL!$C$25, 0, 0)</f>
        <v>22.390999999999998</v>
      </c>
      <c r="E239" s="4">
        <f>98.2690844754146 * CHOOSE(CONTROL!$C$6, $C$6, 100%, $E$6) + CHOOSE(CONTROL!$C$25, 0, 0)</f>
        <v>98.269084475414601</v>
      </c>
    </row>
    <row r="240" spans="1:5" ht="15">
      <c r="A240" s="13">
        <v>49369</v>
      </c>
      <c r="B240" s="4">
        <f>18.5508 * CHOOSE(CONTROL!$C$6, $C$6, 100%, $E$6) + CHOOSE(CONTROL!$C$25, 0.0003, 0)</f>
        <v>18.550799999999999</v>
      </c>
      <c r="C240" s="4">
        <f>18.2383 * CHOOSE(CONTROL!$C$6, $C$6, 100%, $E$6) + CHOOSE(CONTROL!$C$25, 0.0003, 0)</f>
        <v>18.238299999999999</v>
      </c>
      <c r="D240" s="4">
        <f>23.514 * CHOOSE(CONTROL!$C$6, $C$6, 100%, $E$6) + CHOOSE(CONTROL!$C$25, 0, 0)</f>
        <v>23.513999999999999</v>
      </c>
      <c r="E240" s="4">
        <f>104.254328737896 * CHOOSE(CONTROL!$C$6, $C$6, 100%, $E$6) + CHOOSE(CONTROL!$C$25, 0, 0)</f>
        <v>104.254328737896</v>
      </c>
    </row>
    <row r="241" spans="1:5" ht="15">
      <c r="A241" s="13">
        <v>49400</v>
      </c>
      <c r="B241" s="4">
        <f>19.231 * CHOOSE(CONTROL!$C$6, $C$6, 100%, $E$6) + CHOOSE(CONTROL!$C$25, 0.0003, 0)</f>
        <v>19.231000000000002</v>
      </c>
      <c r="C241" s="4">
        <f>18.9185 * CHOOSE(CONTROL!$C$6, $C$6, 100%, $E$6) + CHOOSE(CONTROL!$C$25, 0.0003, 0)</f>
        <v>18.918500000000002</v>
      </c>
      <c r="D241" s="4">
        <f>24.1609 * CHOOSE(CONTROL!$C$6, $C$6, 100%, $E$6) + CHOOSE(CONTROL!$C$25, 0, 0)</f>
        <v>24.160900000000002</v>
      </c>
      <c r="E241" s="4">
        <f>108.506924550257 * CHOOSE(CONTROL!$C$6, $C$6, 100%, $E$6) + CHOOSE(CONTROL!$C$25, 0, 0)</f>
        <v>108.506924550257</v>
      </c>
    </row>
    <row r="242" spans="1:5" ht="15">
      <c r="A242" s="13">
        <v>49430</v>
      </c>
      <c r="B242" s="4">
        <f>19.6466 * CHOOSE(CONTROL!$C$6, $C$6, 100%, $E$6) + CHOOSE(CONTROL!$C$25, 0.0258, 0)</f>
        <v>19.646599999999999</v>
      </c>
      <c r="C242" s="4">
        <f>19.3341 * CHOOSE(CONTROL!$C$6, $C$6, 100%, $E$6) + CHOOSE(CONTROL!$C$25, 0.0258, 0)</f>
        <v>19.334099999999999</v>
      </c>
      <c r="D242" s="4">
        <f>23.9053 * CHOOSE(CONTROL!$C$6, $C$6, 100%, $E$6) + CHOOSE(CONTROL!$C$25, 0, 0)</f>
        <v>23.9053</v>
      </c>
      <c r="E242" s="4">
        <f>111.105158671112 * CHOOSE(CONTROL!$C$6, $C$6, 100%, $E$6) + CHOOSE(CONTROL!$C$25, 0, 0)</f>
        <v>111.10515867111199</v>
      </c>
    </row>
    <row r="243" spans="1:5" ht="15">
      <c r="A243" s="14">
        <v>49461</v>
      </c>
      <c r="B243" s="4">
        <f>19.7029 * CHOOSE(CONTROL!$C$6, $C$6, 100%, $E$6) + CHOOSE(CONTROL!$C$25, 0.0258, 0)</f>
        <v>19.7029</v>
      </c>
      <c r="C243" s="4">
        <f>19.3904 * CHOOSE(CONTROL!$C$6, $C$6, 100%, $E$6) + CHOOSE(CONTROL!$C$25, 0.0258, 0)</f>
        <v>19.3904</v>
      </c>
      <c r="D243" s="4">
        <f>24.1135 * CHOOSE(CONTROL!$C$6, $C$6, 100%, $E$6) + CHOOSE(CONTROL!$C$25, 0, 0)</f>
        <v>24.113499999999998</v>
      </c>
      <c r="E243" s="4">
        <f>111.456710530557 * CHOOSE(CONTROL!$C$6, $C$6, 100%, $E$6) + CHOOSE(CONTROL!$C$25, 0, 0)</f>
        <v>111.456710530557</v>
      </c>
    </row>
    <row r="244" spans="1:5" ht="15">
      <c r="A244" s="14">
        <v>49491</v>
      </c>
      <c r="B244" s="4">
        <f>19.6972 * CHOOSE(CONTROL!$C$6, $C$6, 100%, $E$6) + CHOOSE(CONTROL!$C$25, 0.0258, 0)</f>
        <v>19.697199999999999</v>
      </c>
      <c r="C244" s="4">
        <f>19.3847 * CHOOSE(CONTROL!$C$6, $C$6, 100%, $E$6) + CHOOSE(CONTROL!$C$25, 0.0258, 0)</f>
        <v>19.384699999999999</v>
      </c>
      <c r="D244" s="4">
        <f>24.4891 * CHOOSE(CONTROL!$C$6, $C$6, 100%, $E$6) + CHOOSE(CONTROL!$C$25, 0, 0)</f>
        <v>24.489100000000001</v>
      </c>
      <c r="E244" s="4">
        <f>111.421259922882 * CHOOSE(CONTROL!$C$6, $C$6, 100%, $E$6) + CHOOSE(CONTROL!$C$25, 0, 0)</f>
        <v>111.421259922882</v>
      </c>
    </row>
    <row r="245" spans="1:5" ht="15">
      <c r="A245" s="14">
        <v>49522</v>
      </c>
      <c r="B245" s="4">
        <f>20.1239 * CHOOSE(CONTROL!$C$6, $C$6, 100%, $E$6) + CHOOSE(CONTROL!$C$25, 0.0258, 0)</f>
        <v>20.123899999999999</v>
      </c>
      <c r="C245" s="4">
        <f>19.8114 * CHOOSE(CONTROL!$C$6, $C$6, 100%, $E$6) + CHOOSE(CONTROL!$C$25, 0.0258, 0)</f>
        <v>19.811399999999999</v>
      </c>
      <c r="D245" s="4">
        <f>24.2411 * CHOOSE(CONTROL!$C$6, $C$6, 100%, $E$6) + CHOOSE(CONTROL!$C$25, 0, 0)</f>
        <v>24.241099999999999</v>
      </c>
      <c r="E245" s="4">
        <f>114.088918150434 * CHOOSE(CONTROL!$C$6, $C$6, 100%, $E$6) + CHOOSE(CONTROL!$C$25, 0, 0)</f>
        <v>114.088918150434</v>
      </c>
    </row>
    <row r="246" spans="1:5" ht="15">
      <c r="A246" s="14">
        <v>49553</v>
      </c>
      <c r="B246" s="4">
        <f>19.3967 * CHOOSE(CONTROL!$C$6, $C$6, 100%, $E$6) + CHOOSE(CONTROL!$C$25, 0.0258, 0)</f>
        <v>19.396699999999999</v>
      </c>
      <c r="C246" s="4">
        <f>19.0842 * CHOOSE(CONTROL!$C$6, $C$6, 100%, $E$6) + CHOOSE(CONTROL!$C$25, 0.0258, 0)</f>
        <v>19.084199999999999</v>
      </c>
      <c r="D246" s="4">
        <f>24.1239 * CHOOSE(CONTROL!$C$6, $C$6, 100%, $E$6) + CHOOSE(CONTROL!$C$25, 0, 0)</f>
        <v>24.123899999999999</v>
      </c>
      <c r="E246" s="4">
        <f>109.542377716101 * CHOOSE(CONTROL!$C$6, $C$6, 100%, $E$6) + CHOOSE(CONTROL!$C$25, 0, 0)</f>
        <v>109.542377716101</v>
      </c>
    </row>
    <row r="247" spans="1:5" ht="15">
      <c r="A247" s="14">
        <v>49583</v>
      </c>
      <c r="B247" s="4">
        <f>18.8145 * CHOOSE(CONTROL!$C$6, $C$6, 100%, $E$6) + CHOOSE(CONTROL!$C$25, 0.0003, 0)</f>
        <v>18.814499999999999</v>
      </c>
      <c r="C247" s="4">
        <f>18.502 * CHOOSE(CONTROL!$C$6, $C$6, 100%, $E$6) + CHOOSE(CONTROL!$C$25, 0.0003, 0)</f>
        <v>18.501999999999999</v>
      </c>
      <c r="D247" s="4">
        <f>23.81 * CHOOSE(CONTROL!$C$6, $C$6, 100%, $E$6) + CHOOSE(CONTROL!$C$25, 0, 0)</f>
        <v>23.81</v>
      </c>
      <c r="E247" s="4">
        <f>105.902781994789 * CHOOSE(CONTROL!$C$6, $C$6, 100%, $E$6) + CHOOSE(CONTROL!$C$25, 0, 0)</f>
        <v>105.902781994789</v>
      </c>
    </row>
    <row r="248" spans="1:5" ht="15">
      <c r="A248" s="14">
        <v>49614</v>
      </c>
      <c r="B248" s="4">
        <f>18.4395 * CHOOSE(CONTROL!$C$6, $C$6, 100%, $E$6) + CHOOSE(CONTROL!$C$25, 0.0003, 0)</f>
        <v>18.439499999999999</v>
      </c>
      <c r="C248" s="4">
        <f>18.127 * CHOOSE(CONTROL!$C$6, $C$6, 100%, $E$6) + CHOOSE(CONTROL!$C$25, 0.0003, 0)</f>
        <v>18.126999999999999</v>
      </c>
      <c r="D248" s="4">
        <f>23.7021 * CHOOSE(CONTROL!$C$6, $C$6, 100%, $E$6) + CHOOSE(CONTROL!$C$25, 0, 0)</f>
        <v>23.702100000000002</v>
      </c>
      <c r="E248" s="4">
        <f>103.558610562272 * CHOOSE(CONTROL!$C$6, $C$6, 100%, $E$6) + CHOOSE(CONTROL!$C$25, 0, 0)</f>
        <v>103.55861056227199</v>
      </c>
    </row>
    <row r="249" spans="1:5" ht="15">
      <c r="A249" s="14">
        <v>49644</v>
      </c>
      <c r="B249" s="4">
        <f>18.1801 * CHOOSE(CONTROL!$C$6, $C$6, 100%, $E$6) + CHOOSE(CONTROL!$C$25, 0.0003, 0)</f>
        <v>18.180099999999999</v>
      </c>
      <c r="C249" s="4">
        <f>17.8676 * CHOOSE(CONTROL!$C$6, $C$6, 100%, $E$6) + CHOOSE(CONTROL!$C$25, 0.0003, 0)</f>
        <v>17.867599999999999</v>
      </c>
      <c r="D249" s="4">
        <f>22.9077 * CHOOSE(CONTROL!$C$6, $C$6, 100%, $E$6) + CHOOSE(CONTROL!$C$25, 0, 0)</f>
        <v>22.907699999999998</v>
      </c>
      <c r="E249" s="4">
        <f>101.936745261136 * CHOOSE(CONTROL!$C$6, $C$6, 100%, $E$6) + CHOOSE(CONTROL!$C$25, 0, 0)</f>
        <v>101.936745261136</v>
      </c>
    </row>
    <row r="250" spans="1:5" ht="15">
      <c r="A250" s="14">
        <v>49675</v>
      </c>
      <c r="B250" s="4">
        <f>17.5682 * CHOOSE(CONTROL!$C$6, $C$6, 100%, $E$6) + CHOOSE(CONTROL!$C$25, 0.0003, 0)</f>
        <v>17.568200000000001</v>
      </c>
      <c r="C250" s="4">
        <f>17.2557 * CHOOSE(CONTROL!$C$6, $C$6, 100%, $E$6) + CHOOSE(CONTROL!$C$25, 0.0003, 0)</f>
        <v>17.255700000000001</v>
      </c>
      <c r="D250" s="4">
        <f>22.1329 * CHOOSE(CONTROL!$C$6, $C$6, 100%, $E$6) + CHOOSE(CONTROL!$C$25, 0, 0)</f>
        <v>22.132899999999999</v>
      </c>
      <c r="E250" s="4">
        <f>98.7640141019384 * CHOOSE(CONTROL!$C$6, $C$6, 100%, $E$6) + CHOOSE(CONTROL!$C$25, 0, 0)</f>
        <v>98.7640141019384</v>
      </c>
    </row>
    <row r="251" spans="1:5" ht="15">
      <c r="A251" s="14">
        <v>49706</v>
      </c>
      <c r="B251" s="4">
        <f>17.9408 * CHOOSE(CONTROL!$C$6, $C$6, 100%, $E$6) + CHOOSE(CONTROL!$C$25, 0.0003, 0)</f>
        <v>17.940799999999999</v>
      </c>
      <c r="C251" s="4">
        <f>17.6283 * CHOOSE(CONTROL!$C$6, $C$6, 100%, $E$6) + CHOOSE(CONTROL!$C$25, 0.0003, 0)</f>
        <v>17.628299999999999</v>
      </c>
      <c r="D251" s="4">
        <f>22.8666 * CHOOSE(CONTROL!$C$6, $C$6, 100%, $E$6) + CHOOSE(CONTROL!$C$25, 0, 0)</f>
        <v>22.866599999999998</v>
      </c>
      <c r="E251" s="4">
        <f>101.109061016754 * CHOOSE(CONTROL!$C$6, $C$6, 100%, $E$6) + CHOOSE(CONTROL!$C$25, 0, 0)</f>
        <v>101.109061016754</v>
      </c>
    </row>
    <row r="252" spans="1:5" ht="15">
      <c r="A252" s="14">
        <v>49735</v>
      </c>
      <c r="B252" s="4">
        <f>18.9194 * CHOOSE(CONTROL!$C$6, $C$6, 100%, $E$6) + CHOOSE(CONTROL!$C$25, 0.0003, 0)</f>
        <v>18.9194</v>
      </c>
      <c r="C252" s="4">
        <f>18.6069 * CHOOSE(CONTROL!$C$6, $C$6, 100%, $E$6) + CHOOSE(CONTROL!$C$25, 0.0003, 0)</f>
        <v>18.6069</v>
      </c>
      <c r="D252" s="4">
        <f>24.015 * CHOOSE(CONTROL!$C$6, $C$6, 100%, $E$6) + CHOOSE(CONTROL!$C$25, 0, 0)</f>
        <v>24.015000000000001</v>
      </c>
      <c r="E252" s="4">
        <f>107.267278838421 * CHOOSE(CONTROL!$C$6, $C$6, 100%, $E$6) + CHOOSE(CONTROL!$C$25, 0, 0)</f>
        <v>107.26727883842101</v>
      </c>
    </row>
    <row r="253" spans="1:5" ht="15">
      <c r="A253" s="14">
        <v>49766</v>
      </c>
      <c r="B253" s="4">
        <f>19.6146 * CHOOSE(CONTROL!$C$6, $C$6, 100%, $E$6) + CHOOSE(CONTROL!$C$25, 0.0003, 0)</f>
        <v>19.614599999999999</v>
      </c>
      <c r="C253" s="4">
        <f>19.3021 * CHOOSE(CONTROL!$C$6, $C$6, 100%, $E$6) + CHOOSE(CONTROL!$C$25, 0.0003, 0)</f>
        <v>19.302099999999999</v>
      </c>
      <c r="D253" s="4">
        <f>24.6765 * CHOOSE(CONTROL!$C$6, $C$6, 100%, $E$6) + CHOOSE(CONTROL!$C$25, 0, 0)</f>
        <v>24.676500000000001</v>
      </c>
      <c r="E253" s="4">
        <f>111.642774669759 * CHOOSE(CONTROL!$C$6, $C$6, 100%, $E$6) + CHOOSE(CONTROL!$C$25, 0, 0)</f>
        <v>111.64277466975901</v>
      </c>
    </row>
    <row r="254" spans="1:5" ht="15">
      <c r="A254" s="14">
        <v>49796</v>
      </c>
      <c r="B254" s="4">
        <f>20.0394 * CHOOSE(CONTROL!$C$6, $C$6, 100%, $E$6) + CHOOSE(CONTROL!$C$25, 0.0258, 0)</f>
        <v>20.039400000000001</v>
      </c>
      <c r="C254" s="4">
        <f>19.7269 * CHOOSE(CONTROL!$C$6, $C$6, 100%, $E$6) + CHOOSE(CONTROL!$C$25, 0.0258, 0)</f>
        <v>19.726900000000001</v>
      </c>
      <c r="D254" s="4">
        <f>24.4151 * CHOOSE(CONTROL!$C$6, $C$6, 100%, $E$6) + CHOOSE(CONTROL!$C$25, 0, 0)</f>
        <v>24.415099999999999</v>
      </c>
      <c r="E254" s="4">
        <f>114.316097756707 * CHOOSE(CONTROL!$C$6, $C$6, 100%, $E$6) + CHOOSE(CONTROL!$C$25, 0, 0)</f>
        <v>114.31609775670699</v>
      </c>
    </row>
    <row r="255" spans="1:5" ht="15">
      <c r="A255" s="14">
        <v>49827</v>
      </c>
      <c r="B255" s="4">
        <f>20.0969 * CHOOSE(CONTROL!$C$6, $C$6, 100%, $E$6) + CHOOSE(CONTROL!$C$25, 0.0258, 0)</f>
        <v>20.096900000000002</v>
      </c>
      <c r="C255" s="4">
        <f>19.7844 * CHOOSE(CONTROL!$C$6, $C$6, 100%, $E$6) + CHOOSE(CONTROL!$C$25, 0.0258, 0)</f>
        <v>19.784400000000002</v>
      </c>
      <c r="D255" s="4">
        <f>24.628 * CHOOSE(CONTROL!$C$6, $C$6, 100%, $E$6) + CHOOSE(CONTROL!$C$25, 0, 0)</f>
        <v>24.628</v>
      </c>
      <c r="E255" s="4">
        <f>114.67780946489 * CHOOSE(CONTROL!$C$6, $C$6, 100%, $E$6) + CHOOSE(CONTROL!$C$25, 0, 0)</f>
        <v>114.67780946489</v>
      </c>
    </row>
    <row r="256" spans="1:5" ht="15">
      <c r="A256" s="14">
        <v>49857</v>
      </c>
      <c r="B256" s="4">
        <f>20.0911 * CHOOSE(CONTROL!$C$6, $C$6, 100%, $E$6) + CHOOSE(CONTROL!$C$25, 0.0258, 0)</f>
        <v>20.091100000000001</v>
      </c>
      <c r="C256" s="4">
        <f>19.7786 * CHOOSE(CONTROL!$C$6, $C$6, 100%, $E$6) + CHOOSE(CONTROL!$C$25, 0.0258, 0)</f>
        <v>19.778600000000001</v>
      </c>
      <c r="D256" s="4">
        <f>25.0122 * CHOOSE(CONTROL!$C$6, $C$6, 100%, $E$6) + CHOOSE(CONTROL!$C$25, 0, 0)</f>
        <v>25.0122</v>
      </c>
      <c r="E256" s="4">
        <f>114.641334334653 * CHOOSE(CONTROL!$C$6, $C$6, 100%, $E$6) + CHOOSE(CONTROL!$C$25, 0, 0)</f>
        <v>114.641334334653</v>
      </c>
    </row>
    <row r="257" spans="1:5" ht="15">
      <c r="A257" s="14">
        <v>49888</v>
      </c>
      <c r="B257" s="4">
        <f>20.5272 * CHOOSE(CONTROL!$C$6, $C$6, 100%, $E$6) + CHOOSE(CONTROL!$C$25, 0.0258, 0)</f>
        <v>20.527200000000001</v>
      </c>
      <c r="C257" s="4">
        <f>20.2147 * CHOOSE(CONTROL!$C$6, $C$6, 100%, $E$6) + CHOOSE(CONTROL!$C$25, 0.0258, 0)</f>
        <v>20.214700000000001</v>
      </c>
      <c r="D257" s="4">
        <f>24.7585 * CHOOSE(CONTROL!$C$6, $C$6, 100%, $E$6) + CHOOSE(CONTROL!$C$25, 0, 0)</f>
        <v>24.758500000000002</v>
      </c>
      <c r="E257" s="4">
        <f>117.386087884981 * CHOOSE(CONTROL!$C$6, $C$6, 100%, $E$6) + CHOOSE(CONTROL!$C$25, 0, 0)</f>
        <v>117.38608788498099</v>
      </c>
    </row>
    <row r="258" spans="1:5" ht="15">
      <c r="A258" s="14">
        <v>49919</v>
      </c>
      <c r="B258" s="4">
        <f>19.7839 * CHOOSE(CONTROL!$C$6, $C$6, 100%, $E$6) + CHOOSE(CONTROL!$C$25, 0.0258, 0)</f>
        <v>19.783899999999999</v>
      </c>
      <c r="C258" s="4">
        <f>19.4714 * CHOOSE(CONTROL!$C$6, $C$6, 100%, $E$6) + CHOOSE(CONTROL!$C$25, 0.0258, 0)</f>
        <v>19.471399999999999</v>
      </c>
      <c r="D258" s="4">
        <f>24.6386 * CHOOSE(CONTROL!$C$6, $C$6, 100%, $E$6) + CHOOSE(CONTROL!$C$25, 0, 0)</f>
        <v>24.6386</v>
      </c>
      <c r="E258" s="4">
        <f>112.708152432096 * CHOOSE(CONTROL!$C$6, $C$6, 100%, $E$6) + CHOOSE(CONTROL!$C$25, 0, 0)</f>
        <v>112.708152432096</v>
      </c>
    </row>
    <row r="259" spans="1:5" ht="15">
      <c r="A259" s="14">
        <v>49949</v>
      </c>
      <c r="B259" s="4">
        <f>19.1889 * CHOOSE(CONTROL!$C$6, $C$6, 100%, $E$6) + CHOOSE(CONTROL!$C$25, 0.0003, 0)</f>
        <v>19.1889</v>
      </c>
      <c r="C259" s="4">
        <f>18.8764 * CHOOSE(CONTROL!$C$6, $C$6, 100%, $E$6) + CHOOSE(CONTROL!$C$25, 0.0003, 0)</f>
        <v>18.8764</v>
      </c>
      <c r="D259" s="4">
        <f>24.3177 * CHOOSE(CONTROL!$C$6, $C$6, 100%, $E$6) + CHOOSE(CONTROL!$C$25, 0, 0)</f>
        <v>24.317699999999999</v>
      </c>
      <c r="E259" s="4">
        <f>108.963372394438 * CHOOSE(CONTROL!$C$6, $C$6, 100%, $E$6) + CHOOSE(CONTROL!$C$25, 0, 0)</f>
        <v>108.963372394438</v>
      </c>
    </row>
    <row r="260" spans="1:5" ht="15">
      <c r="A260" s="14">
        <v>49980</v>
      </c>
      <c r="B260" s="4">
        <f>18.8056 * CHOOSE(CONTROL!$C$6, $C$6, 100%, $E$6) + CHOOSE(CONTROL!$C$25, 0.0003, 0)</f>
        <v>18.805599999999998</v>
      </c>
      <c r="C260" s="4">
        <f>18.4931 * CHOOSE(CONTROL!$C$6, $C$6, 100%, $E$6) + CHOOSE(CONTROL!$C$25, 0.0003, 0)</f>
        <v>18.493099999999998</v>
      </c>
      <c r="D260" s="4">
        <f>24.2073 * CHOOSE(CONTROL!$C$6, $C$6, 100%, $E$6) + CHOOSE(CONTROL!$C$25, 0, 0)</f>
        <v>24.2073</v>
      </c>
      <c r="E260" s="4">
        <f>106.551454407522 * CHOOSE(CONTROL!$C$6, $C$6, 100%, $E$6) + CHOOSE(CONTROL!$C$25, 0, 0)</f>
        <v>106.551454407522</v>
      </c>
    </row>
    <row r="261" spans="1:5" ht="15">
      <c r="A261" s="14">
        <v>50010</v>
      </c>
      <c r="B261" s="4">
        <f>18.5405 * CHOOSE(CONTROL!$C$6, $C$6, 100%, $E$6) + CHOOSE(CONTROL!$C$25, 0.0003, 0)</f>
        <v>18.540500000000002</v>
      </c>
      <c r="C261" s="4">
        <f>18.228 * CHOOSE(CONTROL!$C$6, $C$6, 100%, $E$6) + CHOOSE(CONTROL!$C$25, 0.0003, 0)</f>
        <v>18.228000000000002</v>
      </c>
      <c r="D261" s="4">
        <f>23.395 * CHOOSE(CONTROL!$C$6, $C$6, 100%, $E$6) + CHOOSE(CONTROL!$C$25, 0, 0)</f>
        <v>23.395</v>
      </c>
      <c r="E261" s="4">
        <f>104.882717199182 * CHOOSE(CONTROL!$C$6, $C$6, 100%, $E$6) + CHOOSE(CONTROL!$C$25, 0, 0)</f>
        <v>104.882717199182</v>
      </c>
    </row>
    <row r="262" spans="1:5" ht="15">
      <c r="A262" s="14">
        <v>50041</v>
      </c>
      <c r="B262" s="4">
        <f>17.915 * CHOOSE(CONTROL!$C$6, $C$6, 100%, $E$6) + CHOOSE(CONTROL!$C$25, 0.0003, 0)</f>
        <v>17.914999999999999</v>
      </c>
      <c r="C262" s="4">
        <f>17.6025 * CHOOSE(CONTROL!$C$6, $C$6, 100%, $E$6) + CHOOSE(CONTROL!$C$25, 0.0003, 0)</f>
        <v>17.602499999999999</v>
      </c>
      <c r="D262" s="4">
        <f>22.6027 * CHOOSE(CONTROL!$C$6, $C$6, 100%, $E$6) + CHOOSE(CONTROL!$C$25, 0, 0)</f>
        <v>22.602699999999999</v>
      </c>
      <c r="E262" s="4">
        <f>101.618294109484 * CHOOSE(CONTROL!$C$6, $C$6, 100%, $E$6) + CHOOSE(CONTROL!$C$25, 0, 0)</f>
        <v>101.618294109484</v>
      </c>
    </row>
    <row r="263" spans="1:5" ht="15">
      <c r="A263" s="14">
        <v>50072</v>
      </c>
      <c r="B263" s="4">
        <f>18.2959 * CHOOSE(CONTROL!$C$6, $C$6, 100%, $E$6) + CHOOSE(CONTROL!$C$25, 0.0003, 0)</f>
        <v>18.2959</v>
      </c>
      <c r="C263" s="4">
        <f>17.9834 * CHOOSE(CONTROL!$C$6, $C$6, 100%, $E$6) + CHOOSE(CONTROL!$C$25, 0.0003, 0)</f>
        <v>17.9834</v>
      </c>
      <c r="D263" s="4">
        <f>23.3529 * CHOOSE(CONTROL!$C$6, $C$6, 100%, $E$6) + CHOOSE(CONTROL!$C$25, 0, 0)</f>
        <v>23.352900000000002</v>
      </c>
      <c r="E263" s="4">
        <f>104.031112880138 * CHOOSE(CONTROL!$C$6, $C$6, 100%, $E$6) + CHOOSE(CONTROL!$C$25, 0, 0)</f>
        <v>104.031112880138</v>
      </c>
    </row>
    <row r="264" spans="1:5" ht="15">
      <c r="A264" s="14">
        <v>50100</v>
      </c>
      <c r="B264" s="4">
        <f>19.296 * CHOOSE(CONTROL!$C$6, $C$6, 100%, $E$6) + CHOOSE(CONTROL!$C$25, 0.0003, 0)</f>
        <v>19.295999999999999</v>
      </c>
      <c r="C264" s="4">
        <f>18.9835 * CHOOSE(CONTROL!$C$6, $C$6, 100%, $E$6) + CHOOSE(CONTROL!$C$25, 0.0003, 0)</f>
        <v>18.983499999999999</v>
      </c>
      <c r="D264" s="4">
        <f>24.5273 * CHOOSE(CONTROL!$C$6, $C$6, 100%, $E$6) + CHOOSE(CONTROL!$C$25, 0, 0)</f>
        <v>24.5273</v>
      </c>
      <c r="E264" s="4">
        <f>110.367303196852 * CHOOSE(CONTROL!$C$6, $C$6, 100%, $E$6) + CHOOSE(CONTROL!$C$25, 0, 0)</f>
        <v>110.36730319685201</v>
      </c>
    </row>
    <row r="265" spans="1:5" ht="15">
      <c r="A265" s="14">
        <v>50131</v>
      </c>
      <c r="B265" s="4">
        <f>20.0066 * CHOOSE(CONTROL!$C$6, $C$6, 100%, $E$6) + CHOOSE(CONTROL!$C$25, 0.0003, 0)</f>
        <v>20.006599999999999</v>
      </c>
      <c r="C265" s="4">
        <f>19.6941 * CHOOSE(CONTROL!$C$6, $C$6, 100%, $E$6) + CHOOSE(CONTROL!$C$25, 0.0003, 0)</f>
        <v>19.694099999999999</v>
      </c>
      <c r="D265" s="4">
        <f>25.2038 * CHOOSE(CONTROL!$C$6, $C$6, 100%, $E$6) + CHOOSE(CONTROL!$C$25, 0, 0)</f>
        <v>25.203800000000001</v>
      </c>
      <c r="E265" s="4">
        <f>114.869250857715 * CHOOSE(CONTROL!$C$6, $C$6, 100%, $E$6) + CHOOSE(CONTROL!$C$25, 0, 0)</f>
        <v>114.869250857715</v>
      </c>
    </row>
    <row r="266" spans="1:5" ht="15">
      <c r="A266" s="14">
        <v>50161</v>
      </c>
      <c r="B266" s="4">
        <f>20.4408 * CHOOSE(CONTROL!$C$6, $C$6, 100%, $E$6) + CHOOSE(CONTROL!$C$25, 0.0258, 0)</f>
        <v>20.440799999999999</v>
      </c>
      <c r="C266" s="4">
        <f>20.1283 * CHOOSE(CONTROL!$C$6, $C$6, 100%, $E$6) + CHOOSE(CONTROL!$C$25, 0.0258, 0)</f>
        <v>20.128299999999999</v>
      </c>
      <c r="D266" s="4">
        <f>24.9365 * CHOOSE(CONTROL!$C$6, $C$6, 100%, $E$6) + CHOOSE(CONTROL!$C$25, 0, 0)</f>
        <v>24.936499999999999</v>
      </c>
      <c r="E266" s="4">
        <f>117.619832981876 * CHOOSE(CONTROL!$C$6, $C$6, 100%, $E$6) + CHOOSE(CONTROL!$C$25, 0, 0)</f>
        <v>117.619832981876</v>
      </c>
    </row>
    <row r="267" spans="1:5" ht="15">
      <c r="A267" s="14">
        <v>50192</v>
      </c>
      <c r="B267" s="4">
        <f>20.4996 * CHOOSE(CONTROL!$C$6, $C$6, 100%, $E$6) + CHOOSE(CONTROL!$C$25, 0.0258, 0)</f>
        <v>20.499600000000001</v>
      </c>
      <c r="C267" s="4">
        <f>20.1871 * CHOOSE(CONTROL!$C$6, $C$6, 100%, $E$6) + CHOOSE(CONTROL!$C$25, 0.0258, 0)</f>
        <v>20.187100000000001</v>
      </c>
      <c r="D267" s="4">
        <f>25.1542 * CHOOSE(CONTROL!$C$6, $C$6, 100%, $E$6) + CHOOSE(CONTROL!$C$25, 0, 0)</f>
        <v>25.154199999999999</v>
      </c>
      <c r="E267" s="4">
        <f>117.991998158425 * CHOOSE(CONTROL!$C$6, $C$6, 100%, $E$6) + CHOOSE(CONTROL!$C$25, 0, 0)</f>
        <v>117.99199815842501</v>
      </c>
    </row>
    <row r="268" spans="1:5" ht="15">
      <c r="A268" s="14">
        <v>50222</v>
      </c>
      <c r="B268" s="4">
        <f>20.4936 * CHOOSE(CONTROL!$C$6, $C$6, 100%, $E$6) + CHOOSE(CONTROL!$C$25, 0.0258, 0)</f>
        <v>20.493600000000001</v>
      </c>
      <c r="C268" s="4">
        <f>20.1811 * CHOOSE(CONTROL!$C$6, $C$6, 100%, $E$6) + CHOOSE(CONTROL!$C$25, 0.0258, 0)</f>
        <v>20.181100000000001</v>
      </c>
      <c r="D268" s="4">
        <f>25.547 * CHOOSE(CONTROL!$C$6, $C$6, 100%, $E$6) + CHOOSE(CONTROL!$C$25, 0, 0)</f>
        <v>25.547000000000001</v>
      </c>
      <c r="E268" s="4">
        <f>117.954468896924 * CHOOSE(CONTROL!$C$6, $C$6, 100%, $E$6) + CHOOSE(CONTROL!$C$25, 0, 0)</f>
        <v>117.954468896924</v>
      </c>
    </row>
    <row r="269" spans="1:5" ht="15">
      <c r="A269" s="14">
        <v>50253</v>
      </c>
      <c r="B269" s="4">
        <f>20.9394 * CHOOSE(CONTROL!$C$6, $C$6, 100%, $E$6) + CHOOSE(CONTROL!$C$25, 0.0258, 0)</f>
        <v>20.939399999999999</v>
      </c>
      <c r="C269" s="4">
        <f>20.6269 * CHOOSE(CONTROL!$C$6, $C$6, 100%, $E$6) + CHOOSE(CONTROL!$C$25, 0.0258, 0)</f>
        <v>20.626899999999999</v>
      </c>
      <c r="D269" s="4">
        <f>25.2876 * CHOOSE(CONTROL!$C$6, $C$6, 100%, $E$6) + CHOOSE(CONTROL!$C$25, 0, 0)</f>
        <v>25.287600000000001</v>
      </c>
      <c r="E269" s="4">
        <f>120.778545824857 * CHOOSE(CONTROL!$C$6, $C$6, 100%, $E$6) + CHOOSE(CONTROL!$C$25, 0, 0)</f>
        <v>120.77854582485701</v>
      </c>
    </row>
    <row r="270" spans="1:5" ht="15">
      <c r="A270" s="14">
        <v>50284</v>
      </c>
      <c r="B270" s="4">
        <f>20.1797 * CHOOSE(CONTROL!$C$6, $C$6, 100%, $E$6) + CHOOSE(CONTROL!$C$25, 0.0258, 0)</f>
        <v>20.1797</v>
      </c>
      <c r="C270" s="4">
        <f>19.8672 * CHOOSE(CONTROL!$C$6, $C$6, 100%, $E$6) + CHOOSE(CONTROL!$C$25, 0.0258, 0)</f>
        <v>19.8672</v>
      </c>
      <c r="D270" s="4">
        <f>25.165 * CHOOSE(CONTROL!$C$6, $C$6, 100%, $E$6) + CHOOSE(CONTROL!$C$25, 0, 0)</f>
        <v>25.164999999999999</v>
      </c>
      <c r="E270" s="4">
        <f>115.965418037384 * CHOOSE(CONTROL!$C$6, $C$6, 100%, $E$6) + CHOOSE(CONTROL!$C$25, 0, 0)</f>
        <v>115.965418037384</v>
      </c>
    </row>
    <row r="271" spans="1:5" ht="15">
      <c r="A271" s="14">
        <v>50314</v>
      </c>
      <c r="B271" s="4">
        <f>19.5715 * CHOOSE(CONTROL!$C$6, $C$6, 100%, $E$6) + CHOOSE(CONTROL!$C$25, 0.0003, 0)</f>
        <v>19.5715</v>
      </c>
      <c r="C271" s="4">
        <f>19.259 * CHOOSE(CONTROL!$C$6, $C$6, 100%, $E$6) + CHOOSE(CONTROL!$C$25, 0.0003, 0)</f>
        <v>19.259</v>
      </c>
      <c r="D271" s="4">
        <f>24.8368 * CHOOSE(CONTROL!$C$6, $C$6, 100%, $E$6) + CHOOSE(CONTROL!$C$25, 0, 0)</f>
        <v>24.8368</v>
      </c>
      <c r="E271" s="4">
        <f>112.112413856638 * CHOOSE(CONTROL!$C$6, $C$6, 100%, $E$6) + CHOOSE(CONTROL!$C$25, 0, 0)</f>
        <v>112.112413856638</v>
      </c>
    </row>
    <row r="272" spans="1:5" ht="15">
      <c r="A272" s="14">
        <v>50345</v>
      </c>
      <c r="B272" s="4">
        <f>19.1798 * CHOOSE(CONTROL!$C$6, $C$6, 100%, $E$6) + CHOOSE(CONTROL!$C$25, 0.0003, 0)</f>
        <v>19.1798</v>
      </c>
      <c r="C272" s="4">
        <f>18.8673 * CHOOSE(CONTROL!$C$6, $C$6, 100%, $E$6) + CHOOSE(CONTROL!$C$25, 0.0003, 0)</f>
        <v>18.8673</v>
      </c>
      <c r="D272" s="4">
        <f>24.724 * CHOOSE(CONTROL!$C$6, $C$6, 100%, $E$6) + CHOOSE(CONTROL!$C$25, 0, 0)</f>
        <v>24.724</v>
      </c>
      <c r="E272" s="4">
        <f>109.630791439899 * CHOOSE(CONTROL!$C$6, $C$6, 100%, $E$6) + CHOOSE(CONTROL!$C$25, 0, 0)</f>
        <v>109.630791439899</v>
      </c>
    </row>
    <row r="273" spans="1:5" ht="15">
      <c r="A273" s="14">
        <v>50375</v>
      </c>
      <c r="B273" s="4">
        <f>18.9088 * CHOOSE(CONTROL!$C$6, $C$6, 100%, $E$6) + CHOOSE(CONTROL!$C$25, 0.0003, 0)</f>
        <v>18.908799999999999</v>
      </c>
      <c r="C273" s="4">
        <f>18.5963 * CHOOSE(CONTROL!$C$6, $C$6, 100%, $E$6) + CHOOSE(CONTROL!$C$25, 0.0003, 0)</f>
        <v>18.596299999999999</v>
      </c>
      <c r="D273" s="4">
        <f>23.8933 * CHOOSE(CONTROL!$C$6, $C$6, 100%, $E$6) + CHOOSE(CONTROL!$C$25, 0, 0)</f>
        <v>23.8933</v>
      </c>
      <c r="E273" s="4">
        <f>107.913827726239 * CHOOSE(CONTROL!$C$6, $C$6, 100%, $E$6) + CHOOSE(CONTROL!$C$25, 0, 0)</f>
        <v>107.91382772623901</v>
      </c>
    </row>
    <row r="274" spans="1:5" ht="15">
      <c r="A274" s="13">
        <v>50436</v>
      </c>
      <c r="B274" s="4">
        <f>18.2695 * CHOOSE(CONTROL!$C$6, $C$6, 100%, $E$6) + CHOOSE(CONTROL!$C$25, 0.0003, 0)</f>
        <v>18.269500000000001</v>
      </c>
      <c r="C274" s="4">
        <f>17.957 * CHOOSE(CONTROL!$C$6, $C$6, 100%, $E$6) + CHOOSE(CONTROL!$C$25, 0.0003, 0)</f>
        <v>17.957000000000001</v>
      </c>
      <c r="D274" s="4">
        <f>23.0831 * CHOOSE(CONTROL!$C$6, $C$6, 100%, $E$6) + CHOOSE(CONTROL!$C$25, 0, 0)</f>
        <v>23.083100000000002</v>
      </c>
      <c r="E274" s="4">
        <f>104.555062809249 * CHOOSE(CONTROL!$C$6, $C$6, 100%, $E$6) + CHOOSE(CONTROL!$C$25, 0, 0)</f>
        <v>104.55506280924899</v>
      </c>
    </row>
    <row r="275" spans="1:5" ht="15">
      <c r="A275" s="13">
        <v>50464</v>
      </c>
      <c r="B275" s="4">
        <f>18.6588 * CHOOSE(CONTROL!$C$6, $C$6, 100%, $E$6) + CHOOSE(CONTROL!$C$25, 0.0003, 0)</f>
        <v>18.658799999999999</v>
      </c>
      <c r="C275" s="4">
        <f>18.3463 * CHOOSE(CONTROL!$C$6, $C$6, 100%, $E$6) + CHOOSE(CONTROL!$C$25, 0.0003, 0)</f>
        <v>18.346299999999999</v>
      </c>
      <c r="D275" s="4">
        <f>23.8502 * CHOOSE(CONTROL!$C$6, $C$6, 100%, $E$6) + CHOOSE(CONTROL!$C$25, 0, 0)</f>
        <v>23.850200000000001</v>
      </c>
      <c r="E275" s="4">
        <f>107.037612042374 * CHOOSE(CONTROL!$C$6, $C$6, 100%, $E$6) + CHOOSE(CONTROL!$C$25, 0, 0)</f>
        <v>107.03761204237399</v>
      </c>
    </row>
    <row r="276" spans="1:5" ht="15">
      <c r="A276" s="13">
        <v>50495</v>
      </c>
      <c r="B276" s="4">
        <f>19.681 * CHOOSE(CONTROL!$C$6, $C$6, 100%, $E$6) + CHOOSE(CONTROL!$C$25, 0.0003, 0)</f>
        <v>19.681000000000001</v>
      </c>
      <c r="C276" s="4">
        <f>19.3685 * CHOOSE(CONTROL!$C$6, $C$6, 100%, $E$6) + CHOOSE(CONTROL!$C$25, 0.0003, 0)</f>
        <v>19.368500000000001</v>
      </c>
      <c r="D276" s="4">
        <f>25.0512 * CHOOSE(CONTROL!$C$6, $C$6, 100%, $E$6) + CHOOSE(CONTROL!$C$25, 0, 0)</f>
        <v>25.051200000000001</v>
      </c>
      <c r="E276" s="4">
        <f>113.556918259241 * CHOOSE(CONTROL!$C$6, $C$6, 100%, $E$6) + CHOOSE(CONTROL!$C$25, 0, 0)</f>
        <v>113.556918259241</v>
      </c>
    </row>
    <row r="277" spans="1:5" ht="15">
      <c r="A277" s="13">
        <v>50525</v>
      </c>
      <c r="B277" s="4">
        <f>20.4074 * CHOOSE(CONTROL!$C$6, $C$6, 100%, $E$6) + CHOOSE(CONTROL!$C$25, 0.0003, 0)</f>
        <v>20.407399999999999</v>
      </c>
      <c r="C277" s="4">
        <f>20.0949 * CHOOSE(CONTROL!$C$6, $C$6, 100%, $E$6) + CHOOSE(CONTROL!$C$25, 0.0003, 0)</f>
        <v>20.094899999999999</v>
      </c>
      <c r="D277" s="4">
        <f>25.743 * CHOOSE(CONTROL!$C$6, $C$6, 100%, $E$6) + CHOOSE(CONTROL!$C$25, 0, 0)</f>
        <v>25.742999999999999</v>
      </c>
      <c r="E277" s="4">
        <f>118.188972207503 * CHOOSE(CONTROL!$C$6, $C$6, 100%, $E$6) + CHOOSE(CONTROL!$C$25, 0, 0)</f>
        <v>118.188972207503</v>
      </c>
    </row>
    <row r="278" spans="1:5" ht="15">
      <c r="A278" s="13">
        <v>50556</v>
      </c>
      <c r="B278" s="4">
        <f>20.8511 * CHOOSE(CONTROL!$C$6, $C$6, 100%, $E$6) + CHOOSE(CONTROL!$C$25, 0.0258, 0)</f>
        <v>20.851099999999999</v>
      </c>
      <c r="C278" s="4">
        <f>20.5386 * CHOOSE(CONTROL!$C$6, $C$6, 100%, $E$6) + CHOOSE(CONTROL!$C$25, 0.0258, 0)</f>
        <v>20.538599999999999</v>
      </c>
      <c r="D278" s="4">
        <f>25.4696 * CHOOSE(CONTROL!$C$6, $C$6, 100%, $E$6) + CHOOSE(CONTROL!$C$25, 0, 0)</f>
        <v>25.4696</v>
      </c>
      <c r="E278" s="4">
        <f>121.019046155052 * CHOOSE(CONTROL!$C$6, $C$6, 100%, $E$6) + CHOOSE(CONTROL!$C$25, 0, 0)</f>
        <v>121.019046155052</v>
      </c>
    </row>
    <row r="279" spans="1:5" ht="15">
      <c r="A279" s="13">
        <v>50586</v>
      </c>
      <c r="B279" s="4">
        <f>20.9112 * CHOOSE(CONTROL!$C$6, $C$6, 100%, $E$6) + CHOOSE(CONTROL!$C$25, 0.0258, 0)</f>
        <v>20.911200000000001</v>
      </c>
      <c r="C279" s="4">
        <f>20.5987 * CHOOSE(CONTROL!$C$6, $C$6, 100%, $E$6) + CHOOSE(CONTROL!$C$25, 0.0258, 0)</f>
        <v>20.598700000000001</v>
      </c>
      <c r="D279" s="4">
        <f>25.6922 * CHOOSE(CONTROL!$C$6, $C$6, 100%, $E$6) + CHOOSE(CONTROL!$C$25, 0, 0)</f>
        <v>25.6922</v>
      </c>
      <c r="E279" s="4">
        <f>121.401966905204 * CHOOSE(CONTROL!$C$6, $C$6, 100%, $E$6) + CHOOSE(CONTROL!$C$25, 0, 0)</f>
        <v>121.40196690520401</v>
      </c>
    </row>
    <row r="280" spans="1:5" ht="15">
      <c r="A280" s="13">
        <v>50617</v>
      </c>
      <c r="B280" s="4">
        <f>20.9051 * CHOOSE(CONTROL!$C$6, $C$6, 100%, $E$6) + CHOOSE(CONTROL!$C$25, 0.0258, 0)</f>
        <v>20.905100000000001</v>
      </c>
      <c r="C280" s="4">
        <f>20.5926 * CHOOSE(CONTROL!$C$6, $C$6, 100%, $E$6) + CHOOSE(CONTROL!$C$25, 0.0258, 0)</f>
        <v>20.592600000000001</v>
      </c>
      <c r="D280" s="4">
        <f>26.0939 * CHOOSE(CONTROL!$C$6, $C$6, 100%, $E$6) + CHOOSE(CONTROL!$C$25, 0, 0)</f>
        <v>26.093900000000001</v>
      </c>
      <c r="E280" s="4">
        <f>121.363353048045 * CHOOSE(CONTROL!$C$6, $C$6, 100%, $E$6) + CHOOSE(CONTROL!$C$25, 0, 0)</f>
        <v>121.363353048045</v>
      </c>
    </row>
    <row r="281" spans="1:5" ht="15">
      <c r="A281" s="13">
        <v>50648</v>
      </c>
      <c r="B281" s="4">
        <f>21.3607 * CHOOSE(CONTROL!$C$6, $C$6, 100%, $E$6) + CHOOSE(CONTROL!$C$25, 0.0258, 0)</f>
        <v>21.360700000000001</v>
      </c>
      <c r="C281" s="4">
        <f>21.0482 * CHOOSE(CONTROL!$C$6, $C$6, 100%, $E$6) + CHOOSE(CONTROL!$C$25, 0.0258, 0)</f>
        <v>21.048200000000001</v>
      </c>
      <c r="D281" s="4">
        <f>25.8287 * CHOOSE(CONTROL!$C$6, $C$6, 100%, $E$6) + CHOOSE(CONTROL!$C$25, 0, 0)</f>
        <v>25.828700000000001</v>
      </c>
      <c r="E281" s="4">
        <f>124.269045799196 * CHOOSE(CONTROL!$C$6, $C$6, 100%, $E$6) + CHOOSE(CONTROL!$C$25, 0, 0)</f>
        <v>124.26904579919599</v>
      </c>
    </row>
    <row r="282" spans="1:5" ht="15">
      <c r="A282" s="13">
        <v>50678</v>
      </c>
      <c r="B282" s="4">
        <f>20.5842 * CHOOSE(CONTROL!$C$6, $C$6, 100%, $E$6) + CHOOSE(CONTROL!$C$25, 0.0258, 0)</f>
        <v>20.584199999999999</v>
      </c>
      <c r="C282" s="4">
        <f>20.2717 * CHOOSE(CONTROL!$C$6, $C$6, 100%, $E$6) + CHOOSE(CONTROL!$C$25, 0.0258, 0)</f>
        <v>20.271699999999999</v>
      </c>
      <c r="D282" s="4">
        <f>25.7033 * CHOOSE(CONTROL!$C$6, $C$6, 100%, $E$6) + CHOOSE(CONTROL!$C$25, 0, 0)</f>
        <v>25.703299999999999</v>
      </c>
      <c r="E282" s="4">
        <f>119.316818618664 * CHOOSE(CONTROL!$C$6, $C$6, 100%, $E$6) + CHOOSE(CONTROL!$C$25, 0, 0)</f>
        <v>119.316818618664</v>
      </c>
    </row>
    <row r="283" spans="1:5" ht="15">
      <c r="A283" s="13">
        <v>50709</v>
      </c>
      <c r="B283" s="4">
        <f>19.9626 * CHOOSE(CONTROL!$C$6, $C$6, 100%, $E$6) + CHOOSE(CONTROL!$C$25, 0.0003, 0)</f>
        <v>19.962599999999998</v>
      </c>
      <c r="C283" s="4">
        <f>19.6501 * CHOOSE(CONTROL!$C$6, $C$6, 100%, $E$6) + CHOOSE(CONTROL!$C$25, 0.0003, 0)</f>
        <v>19.650099999999998</v>
      </c>
      <c r="D283" s="4">
        <f>25.3677 * CHOOSE(CONTROL!$C$6, $C$6, 100%, $E$6) + CHOOSE(CONTROL!$C$25, 0, 0)</f>
        <v>25.367699999999999</v>
      </c>
      <c r="E283" s="4">
        <f>115.352462617094 * CHOOSE(CONTROL!$C$6, $C$6, 100%, $E$6) + CHOOSE(CONTROL!$C$25, 0, 0)</f>
        <v>115.35246261709401</v>
      </c>
    </row>
    <row r="284" spans="1:5" ht="15">
      <c r="A284" s="13">
        <v>50739</v>
      </c>
      <c r="B284" s="4">
        <f>19.5622 * CHOOSE(CONTROL!$C$6, $C$6, 100%, $E$6) + CHOOSE(CONTROL!$C$25, 0.0003, 0)</f>
        <v>19.562200000000001</v>
      </c>
      <c r="C284" s="4">
        <f>19.2497 * CHOOSE(CONTROL!$C$6, $C$6, 100%, $E$6) + CHOOSE(CONTROL!$C$25, 0.0003, 0)</f>
        <v>19.249700000000001</v>
      </c>
      <c r="D284" s="4">
        <f>25.2523 * CHOOSE(CONTROL!$C$6, $C$6, 100%, $E$6) + CHOOSE(CONTROL!$C$25, 0, 0)</f>
        <v>25.252300000000002</v>
      </c>
      <c r="E284" s="4">
        <f>112.799121312512 * CHOOSE(CONTROL!$C$6, $C$6, 100%, $E$6) + CHOOSE(CONTROL!$C$25, 0, 0)</f>
        <v>112.799121312512</v>
      </c>
    </row>
    <row r="285" spans="1:5" ht="15">
      <c r="A285" s="13">
        <v>50770</v>
      </c>
      <c r="B285" s="4">
        <f>19.2852 * CHOOSE(CONTROL!$C$6, $C$6, 100%, $E$6) + CHOOSE(CONTROL!$C$25, 0.0003, 0)</f>
        <v>19.2852</v>
      </c>
      <c r="C285" s="4">
        <f>18.9727 * CHOOSE(CONTROL!$C$6, $C$6, 100%, $E$6) + CHOOSE(CONTROL!$C$25, 0.0003, 0)</f>
        <v>18.9727</v>
      </c>
      <c r="D285" s="4">
        <f>24.4029 * CHOOSE(CONTROL!$C$6, $C$6, 100%, $E$6) + CHOOSE(CONTROL!$C$25, 0, 0)</f>
        <v>24.402899999999999</v>
      </c>
      <c r="E285" s="4">
        <f>111.032537347527 * CHOOSE(CONTROL!$C$6, $C$6, 100%, $E$6) + CHOOSE(CONTROL!$C$25, 0, 0)</f>
        <v>111.032537347527</v>
      </c>
    </row>
    <row r="286" spans="1:5" ht="15">
      <c r="A286" s="13">
        <v>50801</v>
      </c>
      <c r="B286" s="4">
        <f>18.6318 * CHOOSE(CONTROL!$C$6, $C$6, 100%, $E$6) + CHOOSE(CONTROL!$C$25, 0.0003, 0)</f>
        <v>18.631799999999998</v>
      </c>
      <c r="C286" s="4">
        <f>18.3193 * CHOOSE(CONTROL!$C$6, $C$6, 100%, $E$6) + CHOOSE(CONTROL!$C$25, 0.0003, 0)</f>
        <v>18.319299999999998</v>
      </c>
      <c r="D286" s="4">
        <f>23.5743 * CHOOSE(CONTROL!$C$6, $C$6, 100%, $E$6) + CHOOSE(CONTROL!$C$25, 0, 0)</f>
        <v>23.574300000000001</v>
      </c>
      <c r="E286" s="4">
        <f>107.576704124436 * CHOOSE(CONTROL!$C$6, $C$6, 100%, $E$6) + CHOOSE(CONTROL!$C$25, 0, 0)</f>
        <v>107.57670412443601</v>
      </c>
    </row>
    <row r="287" spans="1:5" ht="15">
      <c r="A287" s="13">
        <v>50829</v>
      </c>
      <c r="B287" s="4">
        <f>19.0297 * CHOOSE(CONTROL!$C$6, $C$6, 100%, $E$6) + CHOOSE(CONTROL!$C$25, 0.0003, 0)</f>
        <v>19.029699999999998</v>
      </c>
      <c r="C287" s="4">
        <f>18.7172 * CHOOSE(CONTROL!$C$6, $C$6, 100%, $E$6) + CHOOSE(CONTROL!$C$25, 0.0003, 0)</f>
        <v>18.717199999999998</v>
      </c>
      <c r="D287" s="4">
        <f>24.3588 * CHOOSE(CONTROL!$C$6, $C$6, 100%, $E$6) + CHOOSE(CONTROL!$C$25, 0, 0)</f>
        <v>24.358799999999999</v>
      </c>
      <c r="E287" s="4">
        <f>110.130999030399 * CHOOSE(CONTROL!$C$6, $C$6, 100%, $E$6) + CHOOSE(CONTROL!$C$25, 0, 0)</f>
        <v>110.130999030399</v>
      </c>
    </row>
    <row r="288" spans="1:5" ht="15">
      <c r="A288" s="13">
        <v>50860</v>
      </c>
      <c r="B288" s="4">
        <f>20.0746 * CHOOSE(CONTROL!$C$6, $C$6, 100%, $E$6) + CHOOSE(CONTROL!$C$25, 0.0003, 0)</f>
        <v>20.0746</v>
      </c>
      <c r="C288" s="4">
        <f>19.7621 * CHOOSE(CONTROL!$C$6, $C$6, 100%, $E$6) + CHOOSE(CONTROL!$C$25, 0.0003, 0)</f>
        <v>19.7621</v>
      </c>
      <c r="D288" s="4">
        <f>25.5869 * CHOOSE(CONTROL!$C$6, $C$6, 100%, $E$6) + CHOOSE(CONTROL!$C$25, 0, 0)</f>
        <v>25.5869</v>
      </c>
      <c r="E288" s="4">
        <f>116.838713196933 * CHOOSE(CONTROL!$C$6, $C$6, 100%, $E$6) + CHOOSE(CONTROL!$C$25, 0, 0)</f>
        <v>116.838713196933</v>
      </c>
    </row>
    <row r="289" spans="1:5" ht="15">
      <c r="A289" s="13">
        <v>50890</v>
      </c>
      <c r="B289" s="4">
        <f>20.8169 * CHOOSE(CONTROL!$C$6, $C$6, 100%, $E$6) + CHOOSE(CONTROL!$C$25, 0.0003, 0)</f>
        <v>20.8169</v>
      </c>
      <c r="C289" s="4">
        <f>20.5044 * CHOOSE(CONTROL!$C$6, $C$6, 100%, $E$6) + CHOOSE(CONTROL!$C$25, 0.0003, 0)</f>
        <v>20.5044</v>
      </c>
      <c r="D289" s="4">
        <f>26.2943 * CHOOSE(CONTROL!$C$6, $C$6, 100%, $E$6) + CHOOSE(CONTROL!$C$25, 0, 0)</f>
        <v>26.2943</v>
      </c>
      <c r="E289" s="4">
        <f>121.6046335043 * CHOOSE(CONTROL!$C$6, $C$6, 100%, $E$6) + CHOOSE(CONTROL!$C$25, 0, 0)</f>
        <v>121.6046335043</v>
      </c>
    </row>
    <row r="290" spans="1:5" ht="15">
      <c r="A290" s="13">
        <v>50921</v>
      </c>
      <c r="B290" s="4">
        <f>21.2705 * CHOOSE(CONTROL!$C$6, $C$6, 100%, $E$6) + CHOOSE(CONTROL!$C$25, 0.0258, 0)</f>
        <v>21.270499999999998</v>
      </c>
      <c r="C290" s="4">
        <f>20.958 * CHOOSE(CONTROL!$C$6, $C$6, 100%, $E$6) + CHOOSE(CONTROL!$C$25, 0.0258, 0)</f>
        <v>20.957999999999998</v>
      </c>
      <c r="D290" s="4">
        <f>26.0148 * CHOOSE(CONTROL!$C$6, $C$6, 100%, $E$6) + CHOOSE(CONTROL!$C$25, 0, 0)</f>
        <v>26.014800000000001</v>
      </c>
      <c r="E290" s="4">
        <f>124.516496588933 * CHOOSE(CONTROL!$C$6, $C$6, 100%, $E$6) + CHOOSE(CONTROL!$C$25, 0, 0)</f>
        <v>124.51649658893299</v>
      </c>
    </row>
    <row r="291" spans="1:5" ht="15">
      <c r="A291" s="13">
        <v>50951</v>
      </c>
      <c r="B291" s="4">
        <f>21.3319 * CHOOSE(CONTROL!$C$6, $C$6, 100%, $E$6) + CHOOSE(CONTROL!$C$25, 0.0258, 0)</f>
        <v>21.331900000000001</v>
      </c>
      <c r="C291" s="4">
        <f>21.0194 * CHOOSE(CONTROL!$C$6, $C$6, 100%, $E$6) + CHOOSE(CONTROL!$C$25, 0.0258, 0)</f>
        <v>21.019400000000001</v>
      </c>
      <c r="D291" s="4">
        <f>26.2424 * CHOOSE(CONTROL!$C$6, $C$6, 100%, $E$6) + CHOOSE(CONTROL!$C$25, 0, 0)</f>
        <v>26.2424</v>
      </c>
      <c r="E291" s="4">
        <f>124.910483748764 * CHOOSE(CONTROL!$C$6, $C$6, 100%, $E$6) + CHOOSE(CONTROL!$C$25, 0, 0)</f>
        <v>124.91048374876399</v>
      </c>
    </row>
    <row r="292" spans="1:5" ht="15">
      <c r="A292" s="13">
        <v>50982</v>
      </c>
      <c r="B292" s="4">
        <f>21.3257 * CHOOSE(CONTROL!$C$6, $C$6, 100%, $E$6) + CHOOSE(CONTROL!$C$25, 0.0258, 0)</f>
        <v>21.325700000000001</v>
      </c>
      <c r="C292" s="4">
        <f>21.0132 * CHOOSE(CONTROL!$C$6, $C$6, 100%, $E$6) + CHOOSE(CONTROL!$C$25, 0.0258, 0)</f>
        <v>21.013200000000001</v>
      </c>
      <c r="D292" s="4">
        <f>26.6532 * CHOOSE(CONTROL!$C$6, $C$6, 100%, $E$6) + CHOOSE(CONTROL!$C$25, 0, 0)</f>
        <v>26.653199999999998</v>
      </c>
      <c r="E292" s="4">
        <f>124.870753951134 * CHOOSE(CONTROL!$C$6, $C$6, 100%, $E$6) + CHOOSE(CONTROL!$C$25, 0, 0)</f>
        <v>124.87075395113401</v>
      </c>
    </row>
    <row r="293" spans="1:5" ht="15">
      <c r="A293" s="13">
        <v>51013</v>
      </c>
      <c r="B293" s="4">
        <f>21.7914 * CHOOSE(CONTROL!$C$6, $C$6, 100%, $E$6) + CHOOSE(CONTROL!$C$25, 0.0258, 0)</f>
        <v>21.791399999999999</v>
      </c>
      <c r="C293" s="4">
        <f>21.4789 * CHOOSE(CONTROL!$C$6, $C$6, 100%, $E$6) + CHOOSE(CONTROL!$C$25, 0.0258, 0)</f>
        <v>21.478899999999999</v>
      </c>
      <c r="D293" s="4">
        <f>26.3819 * CHOOSE(CONTROL!$C$6, $C$6, 100%, $E$6) + CHOOSE(CONTROL!$C$25, 0, 0)</f>
        <v>26.381900000000002</v>
      </c>
      <c r="E293" s="4">
        <f>127.860421222793 * CHOOSE(CONTROL!$C$6, $C$6, 100%, $E$6) + CHOOSE(CONTROL!$C$25, 0, 0)</f>
        <v>127.86042122279299</v>
      </c>
    </row>
    <row r="294" spans="1:5" ht="15">
      <c r="A294" s="13">
        <v>51043</v>
      </c>
      <c r="B294" s="4">
        <f>20.9977 * CHOOSE(CONTROL!$C$6, $C$6, 100%, $E$6) + CHOOSE(CONTROL!$C$25, 0.0258, 0)</f>
        <v>20.997699999999998</v>
      </c>
      <c r="C294" s="4">
        <f>20.6852 * CHOOSE(CONTROL!$C$6, $C$6, 100%, $E$6) + CHOOSE(CONTROL!$C$25, 0.0258, 0)</f>
        <v>20.685199999999998</v>
      </c>
      <c r="D294" s="4">
        <f>26.2538 * CHOOSE(CONTROL!$C$6, $C$6, 100%, $E$6) + CHOOSE(CONTROL!$C$25, 0, 0)</f>
        <v>26.253799999999998</v>
      </c>
      <c r="E294" s="4">
        <f>122.765074676743 * CHOOSE(CONTROL!$C$6, $C$6, 100%, $E$6) + CHOOSE(CONTROL!$C$25, 0, 0)</f>
        <v>122.765074676743</v>
      </c>
    </row>
    <row r="295" spans="1:5" ht="15">
      <c r="A295" s="13">
        <v>51074</v>
      </c>
      <c r="B295" s="4">
        <f>20.3623 * CHOOSE(CONTROL!$C$6, $C$6, 100%, $E$6) + CHOOSE(CONTROL!$C$25, 0.0003, 0)</f>
        <v>20.362300000000001</v>
      </c>
      <c r="C295" s="4">
        <f>20.0498 * CHOOSE(CONTROL!$C$6, $C$6, 100%, $E$6) + CHOOSE(CONTROL!$C$25, 0.0003, 0)</f>
        <v>20.049800000000001</v>
      </c>
      <c r="D295" s="4">
        <f>25.9106 * CHOOSE(CONTROL!$C$6, $C$6, 100%, $E$6) + CHOOSE(CONTROL!$C$25, 0, 0)</f>
        <v>25.910599999999999</v>
      </c>
      <c r="E295" s="4">
        <f>118.686148786728 * CHOOSE(CONTROL!$C$6, $C$6, 100%, $E$6) + CHOOSE(CONTROL!$C$25, 0, 0)</f>
        <v>118.686148786728</v>
      </c>
    </row>
    <row r="296" spans="1:5" ht="15">
      <c r="A296" s="13">
        <v>51104</v>
      </c>
      <c r="B296" s="4">
        <f>19.9531 * CHOOSE(CONTROL!$C$6, $C$6, 100%, $E$6) + CHOOSE(CONTROL!$C$25, 0.0003, 0)</f>
        <v>19.953099999999999</v>
      </c>
      <c r="C296" s="4">
        <f>19.6406 * CHOOSE(CONTROL!$C$6, $C$6, 100%, $E$6) + CHOOSE(CONTROL!$C$25, 0.0003, 0)</f>
        <v>19.640599999999999</v>
      </c>
      <c r="D296" s="4">
        <f>25.7926 * CHOOSE(CONTROL!$C$6, $C$6, 100%, $E$6) + CHOOSE(CONTROL!$C$25, 0, 0)</f>
        <v>25.7926</v>
      </c>
      <c r="E296" s="4">
        <f>116.059015918444 * CHOOSE(CONTROL!$C$6, $C$6, 100%, $E$6) + CHOOSE(CONTROL!$C$25, 0, 0)</f>
        <v>116.059015918444</v>
      </c>
    </row>
    <row r="297" spans="1:5" ht="15">
      <c r="A297" s="13">
        <v>51135</v>
      </c>
      <c r="B297" s="4">
        <f>19.67 * CHOOSE(CONTROL!$C$6, $C$6, 100%, $E$6) + CHOOSE(CONTROL!$C$25, 0.0003, 0)</f>
        <v>19.670000000000002</v>
      </c>
      <c r="C297" s="4">
        <f>19.3575 * CHOOSE(CONTROL!$C$6, $C$6, 100%, $E$6) + CHOOSE(CONTROL!$C$25, 0.0003, 0)</f>
        <v>19.357500000000002</v>
      </c>
      <c r="D297" s="4">
        <f>24.9239 * CHOOSE(CONTROL!$C$6, $C$6, 100%, $E$6) + CHOOSE(CONTROL!$C$25, 0, 0)</f>
        <v>24.9239</v>
      </c>
      <c r="E297" s="4">
        <f>114.241377676871 * CHOOSE(CONTROL!$C$6, $C$6, 100%, $E$6) + CHOOSE(CONTROL!$C$25, 0, 0)</f>
        <v>114.241377676871</v>
      </c>
    </row>
    <row r="298" spans="1:5" ht="15">
      <c r="A298" s="13">
        <v>51166</v>
      </c>
      <c r="B298" s="4">
        <f>19.0022 * CHOOSE(CONTROL!$C$6, $C$6, 100%, $E$6) + CHOOSE(CONTROL!$C$25, 0.0003, 0)</f>
        <v>19.002199999999998</v>
      </c>
      <c r="C298" s="4">
        <f>18.6897 * CHOOSE(CONTROL!$C$6, $C$6, 100%, $E$6) + CHOOSE(CONTROL!$C$25, 0.0003, 0)</f>
        <v>18.689699999999998</v>
      </c>
      <c r="D298" s="4">
        <f>24.0767 * CHOOSE(CONTROL!$C$6, $C$6, 100%, $E$6) + CHOOSE(CONTROL!$C$25, 0, 0)</f>
        <v>24.076699999999999</v>
      </c>
      <c r="E298" s="4">
        <f>110.685670873632 * CHOOSE(CONTROL!$C$6, $C$6, 100%, $E$6) + CHOOSE(CONTROL!$C$25, 0, 0)</f>
        <v>110.68567087363201</v>
      </c>
    </row>
    <row r="299" spans="1:5" ht="15">
      <c r="A299" s="13">
        <v>51194</v>
      </c>
      <c r="B299" s="4">
        <f>19.4088 * CHOOSE(CONTROL!$C$6, $C$6, 100%, $E$6) + CHOOSE(CONTROL!$C$25, 0.0003, 0)</f>
        <v>19.408799999999999</v>
      </c>
      <c r="C299" s="4">
        <f>19.0963 * CHOOSE(CONTROL!$C$6, $C$6, 100%, $E$6) + CHOOSE(CONTROL!$C$25, 0.0003, 0)</f>
        <v>19.096299999999999</v>
      </c>
      <c r="D299" s="4">
        <f>24.8789 * CHOOSE(CONTROL!$C$6, $C$6, 100%, $E$6) + CHOOSE(CONTROL!$C$25, 0, 0)</f>
        <v>24.878900000000002</v>
      </c>
      <c r="E299" s="4">
        <f>113.313784902377 * CHOOSE(CONTROL!$C$6, $C$6, 100%, $E$6) + CHOOSE(CONTROL!$C$25, 0, 0)</f>
        <v>113.31378490237699</v>
      </c>
    </row>
    <row r="300" spans="1:5" ht="15">
      <c r="A300" s="13">
        <v>51226</v>
      </c>
      <c r="B300" s="4">
        <f>20.4768 * CHOOSE(CONTROL!$C$6, $C$6, 100%, $E$6) + CHOOSE(CONTROL!$C$25, 0.0003, 0)</f>
        <v>20.476800000000001</v>
      </c>
      <c r="C300" s="4">
        <f>20.1643 * CHOOSE(CONTROL!$C$6, $C$6, 100%, $E$6) + CHOOSE(CONTROL!$C$25, 0.0003, 0)</f>
        <v>20.164300000000001</v>
      </c>
      <c r="D300" s="4">
        <f>26.1347 * CHOOSE(CONTROL!$C$6, $C$6, 100%, $E$6) + CHOOSE(CONTROL!$C$25, 0, 0)</f>
        <v>26.134699999999999</v>
      </c>
      <c r="E300" s="4">
        <f>120.215352008324 * CHOOSE(CONTROL!$C$6, $C$6, 100%, $E$6) + CHOOSE(CONTROL!$C$25, 0, 0)</f>
        <v>120.215352008324</v>
      </c>
    </row>
    <row r="301" spans="1:5" ht="15">
      <c r="A301" s="13">
        <v>51256</v>
      </c>
      <c r="B301" s="4">
        <f>21.2355 * CHOOSE(CONTROL!$C$6, $C$6, 100%, $E$6) + CHOOSE(CONTROL!$C$25, 0.0003, 0)</f>
        <v>21.235499999999998</v>
      </c>
      <c r="C301" s="4">
        <f>20.923 * CHOOSE(CONTROL!$C$6, $C$6, 100%, $E$6) + CHOOSE(CONTROL!$C$25, 0.0003, 0)</f>
        <v>20.922999999999998</v>
      </c>
      <c r="D301" s="4">
        <f>26.8581 * CHOOSE(CONTROL!$C$6, $C$6, 100%, $E$6) + CHOOSE(CONTROL!$C$25, 0, 0)</f>
        <v>26.8581</v>
      </c>
      <c r="E301" s="4">
        <f>125.119007412574 * CHOOSE(CONTROL!$C$6, $C$6, 100%, $E$6) + CHOOSE(CONTROL!$C$25, 0, 0)</f>
        <v>125.11900741257401</v>
      </c>
    </row>
    <row r="302" spans="1:5" ht="15">
      <c r="A302" s="13">
        <v>51287</v>
      </c>
      <c r="B302" s="4">
        <f>21.6991 * CHOOSE(CONTROL!$C$6, $C$6, 100%, $E$6) + CHOOSE(CONTROL!$C$25, 0.0258, 0)</f>
        <v>21.699100000000001</v>
      </c>
      <c r="C302" s="4">
        <f>21.3866 * CHOOSE(CONTROL!$C$6, $C$6, 100%, $E$6) + CHOOSE(CONTROL!$C$25, 0.0258, 0)</f>
        <v>21.386600000000001</v>
      </c>
      <c r="D302" s="4">
        <f>26.5723 * CHOOSE(CONTROL!$C$6, $C$6, 100%, $E$6) + CHOOSE(CONTROL!$C$25, 0, 0)</f>
        <v>26.572299999999998</v>
      </c>
      <c r="E302" s="4">
        <f>128.115023340353 * CHOOSE(CONTROL!$C$6, $C$6, 100%, $E$6) + CHOOSE(CONTROL!$C$25, 0, 0)</f>
        <v>128.11502334035299</v>
      </c>
    </row>
    <row r="303" spans="1:5" ht="15">
      <c r="A303" s="13">
        <v>51317</v>
      </c>
      <c r="B303" s="4">
        <f>21.7619 * CHOOSE(CONTROL!$C$6, $C$6, 100%, $E$6) + CHOOSE(CONTROL!$C$25, 0.0258, 0)</f>
        <v>21.761900000000001</v>
      </c>
      <c r="C303" s="4">
        <f>21.4494 * CHOOSE(CONTROL!$C$6, $C$6, 100%, $E$6) + CHOOSE(CONTROL!$C$25, 0.0258, 0)</f>
        <v>21.449400000000001</v>
      </c>
      <c r="D303" s="4">
        <f>26.8051 * CHOOSE(CONTROL!$C$6, $C$6, 100%, $E$6) + CHOOSE(CONTROL!$C$25, 0, 0)</f>
        <v>26.805099999999999</v>
      </c>
      <c r="E303" s="4">
        <f>128.520396729103 * CHOOSE(CONTROL!$C$6, $C$6, 100%, $E$6) + CHOOSE(CONTROL!$C$25, 0, 0)</f>
        <v>128.520396729103</v>
      </c>
    </row>
    <row r="304" spans="1:5" ht="15">
      <c r="A304" s="13">
        <v>51348</v>
      </c>
      <c r="B304" s="4">
        <f>21.7555 * CHOOSE(CONTROL!$C$6, $C$6, 100%, $E$6) + CHOOSE(CONTROL!$C$25, 0.0258, 0)</f>
        <v>21.755500000000001</v>
      </c>
      <c r="C304" s="4">
        <f>21.443 * CHOOSE(CONTROL!$C$6, $C$6, 100%, $E$6) + CHOOSE(CONTROL!$C$25, 0.0258, 0)</f>
        <v>21.443000000000001</v>
      </c>
      <c r="D304" s="4">
        <f>27.2252 * CHOOSE(CONTROL!$C$6, $C$6, 100%, $E$6) + CHOOSE(CONTROL!$C$25, 0, 0)</f>
        <v>27.225200000000001</v>
      </c>
      <c r="E304" s="4">
        <f>128.479518740322 * CHOOSE(CONTROL!$C$6, $C$6, 100%, $E$6) + CHOOSE(CONTROL!$C$25, 0, 0)</f>
        <v>128.47951874032199</v>
      </c>
    </row>
    <row r="305" spans="1:5" ht="15">
      <c r="A305" s="13">
        <v>51379</v>
      </c>
      <c r="B305" s="4">
        <f>22.2315 * CHOOSE(CONTROL!$C$6, $C$6, 100%, $E$6) + CHOOSE(CONTROL!$C$25, 0.0258, 0)</f>
        <v>22.2315</v>
      </c>
      <c r="C305" s="4">
        <f>21.919 * CHOOSE(CONTROL!$C$6, $C$6, 100%, $E$6) + CHOOSE(CONTROL!$C$25, 0.0258, 0)</f>
        <v>21.919</v>
      </c>
      <c r="D305" s="4">
        <f>26.9477 * CHOOSE(CONTROL!$C$6, $C$6, 100%, $E$6) + CHOOSE(CONTROL!$C$25, 0, 0)</f>
        <v>26.947700000000001</v>
      </c>
      <c r="E305" s="4">
        <f>131.555587396131 * CHOOSE(CONTROL!$C$6, $C$6, 100%, $E$6) + CHOOSE(CONTROL!$C$25, 0, 0)</f>
        <v>131.55558739613099</v>
      </c>
    </row>
    <row r="306" spans="1:5" ht="15">
      <c r="A306" s="13">
        <v>51409</v>
      </c>
      <c r="B306" s="4">
        <f>21.4203 * CHOOSE(CONTROL!$C$6, $C$6, 100%, $E$6) + CHOOSE(CONTROL!$C$25, 0.0258, 0)</f>
        <v>21.420300000000001</v>
      </c>
      <c r="C306" s="4">
        <f>21.1078 * CHOOSE(CONTROL!$C$6, $C$6, 100%, $E$6) + CHOOSE(CONTROL!$C$25, 0.0258, 0)</f>
        <v>21.107800000000001</v>
      </c>
      <c r="D306" s="4">
        <f>26.8167 * CHOOSE(CONTROL!$C$6, $C$6, 100%, $E$6) + CHOOSE(CONTROL!$C$25, 0, 0)</f>
        <v>26.816700000000001</v>
      </c>
      <c r="E306" s="4">
        <f>126.312985334901 * CHOOSE(CONTROL!$C$6, $C$6, 100%, $E$6) + CHOOSE(CONTROL!$C$25, 0, 0)</f>
        <v>126.312985334901</v>
      </c>
    </row>
    <row r="307" spans="1:5" ht="15">
      <c r="A307" s="13">
        <v>51440</v>
      </c>
      <c r="B307" s="4">
        <f>20.7709 * CHOOSE(CONTROL!$C$6, $C$6, 100%, $E$6) + CHOOSE(CONTROL!$C$25, 0.0003, 0)</f>
        <v>20.770900000000001</v>
      </c>
      <c r="C307" s="4">
        <f>20.4584 * CHOOSE(CONTROL!$C$6, $C$6, 100%, $E$6) + CHOOSE(CONTROL!$C$25, 0.0003, 0)</f>
        <v>20.458400000000001</v>
      </c>
      <c r="D307" s="4">
        <f>26.4657 * CHOOSE(CONTROL!$C$6, $C$6, 100%, $E$6) + CHOOSE(CONTROL!$C$25, 0, 0)</f>
        <v>26.465699999999998</v>
      </c>
      <c r="E307" s="4">
        <f>122.116178486665 * CHOOSE(CONTROL!$C$6, $C$6, 100%, $E$6) + CHOOSE(CONTROL!$C$25, 0, 0)</f>
        <v>122.11617848666501</v>
      </c>
    </row>
    <row r="308" spans="1:5" ht="15">
      <c r="A308" s="13">
        <v>51470</v>
      </c>
      <c r="B308" s="4">
        <f>20.3526 * CHOOSE(CONTROL!$C$6, $C$6, 100%, $E$6) + CHOOSE(CONTROL!$C$25, 0.0003, 0)</f>
        <v>20.352599999999999</v>
      </c>
      <c r="C308" s="4">
        <f>20.0401 * CHOOSE(CONTROL!$C$6, $C$6, 100%, $E$6) + CHOOSE(CONTROL!$C$25, 0.0003, 0)</f>
        <v>20.040099999999999</v>
      </c>
      <c r="D308" s="4">
        <f>26.3451 * CHOOSE(CONTROL!$C$6, $C$6, 100%, $E$6) + CHOOSE(CONTROL!$C$25, 0, 0)</f>
        <v>26.345099999999999</v>
      </c>
      <c r="E308" s="4">
        <f>119.413121478487 * CHOOSE(CONTROL!$C$6, $C$6, 100%, $E$6) + CHOOSE(CONTROL!$C$25, 0, 0)</f>
        <v>119.413121478487</v>
      </c>
    </row>
    <row r="309" spans="1:5" ht="15">
      <c r="A309" s="13">
        <v>51501</v>
      </c>
      <c r="B309" s="4">
        <f>20.0632 * CHOOSE(CONTROL!$C$6, $C$6, 100%, $E$6) + CHOOSE(CONTROL!$C$25, 0.0003, 0)</f>
        <v>20.063199999999998</v>
      </c>
      <c r="C309" s="4">
        <f>19.7507 * CHOOSE(CONTROL!$C$6, $C$6, 100%, $E$6) + CHOOSE(CONTROL!$C$25, 0.0003, 0)</f>
        <v>19.750699999999998</v>
      </c>
      <c r="D309" s="4">
        <f>25.4568 * CHOOSE(CONTROL!$C$6, $C$6, 100%, $E$6) + CHOOSE(CONTROL!$C$25, 0, 0)</f>
        <v>25.456800000000001</v>
      </c>
      <c r="E309" s="4">
        <f>117.542953491732 * CHOOSE(CONTROL!$C$6, $C$6, 100%, $E$6) + CHOOSE(CONTROL!$C$25, 0, 0)</f>
        <v>117.54295349173201</v>
      </c>
    </row>
    <row r="310" spans="1:5" ht="15">
      <c r="A310" s="13">
        <v>51532</v>
      </c>
      <c r="B310" s="4">
        <f>19.3807 * CHOOSE(CONTROL!$C$6, $C$6, 100%, $E$6) + CHOOSE(CONTROL!$C$25, 0.0003, 0)</f>
        <v>19.380700000000001</v>
      </c>
      <c r="C310" s="4">
        <f>19.0682 * CHOOSE(CONTROL!$C$6, $C$6, 100%, $E$6) + CHOOSE(CONTROL!$C$25, 0.0003, 0)</f>
        <v>19.068200000000001</v>
      </c>
      <c r="D310" s="4">
        <f>24.5904 * CHOOSE(CONTROL!$C$6, $C$6, 100%, $E$6) + CHOOSE(CONTROL!$C$25, 0, 0)</f>
        <v>24.590399999999999</v>
      </c>
      <c r="E310" s="4">
        <f>113.88448676188 * CHOOSE(CONTROL!$C$6, $C$6, 100%, $E$6) + CHOOSE(CONTROL!$C$25, 0, 0)</f>
        <v>113.88448676188</v>
      </c>
    </row>
    <row r="311" spans="1:5" ht="15">
      <c r="A311" s="13">
        <v>51560</v>
      </c>
      <c r="B311" s="4">
        <f>19.7963 * CHOOSE(CONTROL!$C$6, $C$6, 100%, $E$6) + CHOOSE(CONTROL!$C$25, 0.0003, 0)</f>
        <v>19.796299999999999</v>
      </c>
      <c r="C311" s="4">
        <f>19.4838 * CHOOSE(CONTROL!$C$6, $C$6, 100%, $E$6) + CHOOSE(CONTROL!$C$25, 0.0003, 0)</f>
        <v>19.483799999999999</v>
      </c>
      <c r="D311" s="4">
        <f>25.4107 * CHOOSE(CONTROL!$C$6, $C$6, 100%, $E$6) + CHOOSE(CONTROL!$C$25, 0, 0)</f>
        <v>25.410699999999999</v>
      </c>
      <c r="E311" s="4">
        <f>116.588553286056 * CHOOSE(CONTROL!$C$6, $C$6, 100%, $E$6) + CHOOSE(CONTROL!$C$25, 0, 0)</f>
        <v>116.588553286056</v>
      </c>
    </row>
    <row r="312" spans="1:5" ht="15">
      <c r="A312" s="13">
        <v>51591</v>
      </c>
      <c r="B312" s="4">
        <f>20.8879 * CHOOSE(CONTROL!$C$6, $C$6, 100%, $E$6) + CHOOSE(CONTROL!$C$25, 0.0003, 0)</f>
        <v>20.887899999999998</v>
      </c>
      <c r="C312" s="4">
        <f>20.5754 * CHOOSE(CONTROL!$C$6, $C$6, 100%, $E$6) + CHOOSE(CONTROL!$C$25, 0.0003, 0)</f>
        <v>20.575399999999998</v>
      </c>
      <c r="D312" s="4">
        <f>26.695 * CHOOSE(CONTROL!$C$6, $C$6, 100%, $E$6) + CHOOSE(CONTROL!$C$25, 0, 0)</f>
        <v>26.695</v>
      </c>
      <c r="E312" s="4">
        <f>123.689575681365 * CHOOSE(CONTROL!$C$6, $C$6, 100%, $E$6) + CHOOSE(CONTROL!$C$25, 0, 0)</f>
        <v>123.689575681365</v>
      </c>
    </row>
    <row r="313" spans="1:5" ht="15">
      <c r="A313" s="13">
        <v>51621</v>
      </c>
      <c r="B313" s="4">
        <f>21.6634 * CHOOSE(CONTROL!$C$6, $C$6, 100%, $E$6) + CHOOSE(CONTROL!$C$25, 0.0003, 0)</f>
        <v>21.663399999999999</v>
      </c>
      <c r="C313" s="4">
        <f>21.3509 * CHOOSE(CONTROL!$C$6, $C$6, 100%, $E$6) + CHOOSE(CONTROL!$C$25, 0.0003, 0)</f>
        <v>21.350899999999999</v>
      </c>
      <c r="D313" s="4">
        <f>27.4347 * CHOOSE(CONTROL!$C$6, $C$6, 100%, $E$6) + CHOOSE(CONTROL!$C$25, 0, 0)</f>
        <v>27.434699999999999</v>
      </c>
      <c r="E313" s="4">
        <f>128.734946726798 * CHOOSE(CONTROL!$C$6, $C$6, 100%, $E$6) + CHOOSE(CONTROL!$C$25, 0, 0)</f>
        <v>128.734946726798</v>
      </c>
    </row>
    <row r="314" spans="1:5" ht="15">
      <c r="A314" s="13">
        <v>51652</v>
      </c>
      <c r="B314" s="4">
        <f>22.1372 * CHOOSE(CONTROL!$C$6, $C$6, 100%, $E$6) + CHOOSE(CONTROL!$C$25, 0.0258, 0)</f>
        <v>22.1372</v>
      </c>
      <c r="C314" s="4">
        <f>21.8247 * CHOOSE(CONTROL!$C$6, $C$6, 100%, $E$6) + CHOOSE(CONTROL!$C$25, 0.0258, 0)</f>
        <v>21.8247</v>
      </c>
      <c r="D314" s="4">
        <f>27.1424 * CHOOSE(CONTROL!$C$6, $C$6, 100%, $E$6) + CHOOSE(CONTROL!$C$25, 0, 0)</f>
        <v>27.142399999999999</v>
      </c>
      <c r="E314" s="4">
        <f>131.817547514889 * CHOOSE(CONTROL!$C$6, $C$6, 100%, $E$6) + CHOOSE(CONTROL!$C$25, 0, 0)</f>
        <v>131.81754751488899</v>
      </c>
    </row>
    <row r="315" spans="1:5" ht="15">
      <c r="A315" s="13">
        <v>51682</v>
      </c>
      <c r="B315" s="4">
        <f>22.2014 * CHOOSE(CONTROL!$C$6, $C$6, 100%, $E$6) + CHOOSE(CONTROL!$C$25, 0.0258, 0)</f>
        <v>22.2014</v>
      </c>
      <c r="C315" s="4">
        <f>21.8889 * CHOOSE(CONTROL!$C$6, $C$6, 100%, $E$6) + CHOOSE(CONTROL!$C$25, 0.0258, 0)</f>
        <v>21.8889</v>
      </c>
      <c r="D315" s="4">
        <f>27.3805 * CHOOSE(CONTROL!$C$6, $C$6, 100%, $E$6) + CHOOSE(CONTROL!$C$25, 0, 0)</f>
        <v>27.380500000000001</v>
      </c>
      <c r="E315" s="4">
        <f>132.234636194574 * CHOOSE(CONTROL!$C$6, $C$6, 100%, $E$6) + CHOOSE(CONTROL!$C$25, 0, 0)</f>
        <v>132.23463619457399</v>
      </c>
    </row>
    <row r="316" spans="1:5" ht="15">
      <c r="A316" s="13">
        <v>51713</v>
      </c>
      <c r="B316" s="4">
        <f>22.1949 * CHOOSE(CONTROL!$C$6, $C$6, 100%, $E$6) + CHOOSE(CONTROL!$C$25, 0.0258, 0)</f>
        <v>22.194900000000001</v>
      </c>
      <c r="C316" s="4">
        <f>21.8824 * CHOOSE(CONTROL!$C$6, $C$6, 100%, $E$6) + CHOOSE(CONTROL!$C$25, 0.0258, 0)</f>
        <v>21.882400000000001</v>
      </c>
      <c r="D316" s="4">
        <f>27.81 * CHOOSE(CONTROL!$C$6, $C$6, 100%, $E$6) + CHOOSE(CONTROL!$C$25, 0, 0)</f>
        <v>27.81</v>
      </c>
      <c r="E316" s="4">
        <f>132.192576831917 * CHOOSE(CONTROL!$C$6, $C$6, 100%, $E$6) + CHOOSE(CONTROL!$C$25, 0, 0)</f>
        <v>132.19257683191699</v>
      </c>
    </row>
    <row r="317" spans="1:5" ht="15">
      <c r="A317" s="13">
        <v>51744</v>
      </c>
      <c r="B317" s="4">
        <f>22.6814 * CHOOSE(CONTROL!$C$6, $C$6, 100%, $E$6) + CHOOSE(CONTROL!$C$25, 0.0258, 0)</f>
        <v>22.6814</v>
      </c>
      <c r="C317" s="4">
        <f>22.3689 * CHOOSE(CONTROL!$C$6, $C$6, 100%, $E$6) + CHOOSE(CONTROL!$C$25, 0.0258, 0)</f>
        <v>22.3689</v>
      </c>
      <c r="D317" s="4">
        <f>27.5263 * CHOOSE(CONTROL!$C$6, $C$6, 100%, $E$6) + CHOOSE(CONTROL!$C$25, 0, 0)</f>
        <v>27.526299999999999</v>
      </c>
      <c r="E317" s="4">
        <f>135.357543871879 * CHOOSE(CONTROL!$C$6, $C$6, 100%, $E$6) + CHOOSE(CONTROL!$C$25, 0, 0)</f>
        <v>135.35754387187899</v>
      </c>
    </row>
    <row r="318" spans="1:5" ht="15">
      <c r="A318" s="13">
        <v>51774</v>
      </c>
      <c r="B318" s="4">
        <f>21.8522 * CHOOSE(CONTROL!$C$6, $C$6, 100%, $E$6) + CHOOSE(CONTROL!$C$25, 0.0258, 0)</f>
        <v>21.8522</v>
      </c>
      <c r="C318" s="4">
        <f>21.5397 * CHOOSE(CONTROL!$C$6, $C$6, 100%, $E$6) + CHOOSE(CONTROL!$C$25, 0.0258, 0)</f>
        <v>21.5397</v>
      </c>
      <c r="D318" s="4">
        <f>27.3923 * CHOOSE(CONTROL!$C$6, $C$6, 100%, $E$6) + CHOOSE(CONTROL!$C$25, 0, 0)</f>
        <v>27.392299999999999</v>
      </c>
      <c r="E318" s="4">
        <f>129.96343061108 * CHOOSE(CONTROL!$C$6, $C$6, 100%, $E$6) + CHOOSE(CONTROL!$C$25, 0, 0)</f>
        <v>129.96343061108001</v>
      </c>
    </row>
    <row r="319" spans="1:5" ht="15">
      <c r="A319" s="13">
        <v>51805</v>
      </c>
      <c r="B319" s="4">
        <f>21.1885 * CHOOSE(CONTROL!$C$6, $C$6, 100%, $E$6) + CHOOSE(CONTROL!$C$25, 0.0003, 0)</f>
        <v>21.188500000000001</v>
      </c>
      <c r="C319" s="4">
        <f>20.876 * CHOOSE(CONTROL!$C$6, $C$6, 100%, $E$6) + CHOOSE(CONTROL!$C$25, 0.0003, 0)</f>
        <v>20.876000000000001</v>
      </c>
      <c r="D319" s="4">
        <f>27.0334 * CHOOSE(CONTROL!$C$6, $C$6, 100%, $E$6) + CHOOSE(CONTROL!$C$25, 0, 0)</f>
        <v>27.0334</v>
      </c>
      <c r="E319" s="4">
        <f>125.64533604493 * CHOOSE(CONTROL!$C$6, $C$6, 100%, $E$6) + CHOOSE(CONTROL!$C$25, 0, 0)</f>
        <v>125.64533604493</v>
      </c>
    </row>
    <row r="320" spans="1:5" ht="15">
      <c r="A320" s="13">
        <v>51835</v>
      </c>
      <c r="B320" s="4">
        <f>20.761 * CHOOSE(CONTROL!$C$6, $C$6, 100%, $E$6) + CHOOSE(CONTROL!$C$25, 0.0003, 0)</f>
        <v>20.760999999999999</v>
      </c>
      <c r="C320" s="4">
        <f>20.4485 * CHOOSE(CONTROL!$C$6, $C$6, 100%, $E$6) + CHOOSE(CONTROL!$C$25, 0.0003, 0)</f>
        <v>20.448499999999999</v>
      </c>
      <c r="D320" s="4">
        <f>26.91 * CHOOSE(CONTROL!$C$6, $C$6, 100%, $E$6) + CHOOSE(CONTROL!$C$25, 0, 0)</f>
        <v>26.91</v>
      </c>
      <c r="E320" s="4">
        <f>122.864160689215 * CHOOSE(CONTROL!$C$6, $C$6, 100%, $E$6) + CHOOSE(CONTROL!$C$25, 0, 0)</f>
        <v>122.864160689215</v>
      </c>
    </row>
    <row r="321" spans="1:5" ht="15">
      <c r="A321" s="13">
        <v>51866</v>
      </c>
      <c r="B321" s="4">
        <f>20.4652 * CHOOSE(CONTROL!$C$6, $C$6, 100%, $E$6) + CHOOSE(CONTROL!$C$25, 0.0003, 0)</f>
        <v>20.465199999999999</v>
      </c>
      <c r="C321" s="4">
        <f>20.1527 * CHOOSE(CONTROL!$C$6, $C$6, 100%, $E$6) + CHOOSE(CONTROL!$C$25, 0.0003, 0)</f>
        <v>20.152699999999999</v>
      </c>
      <c r="D321" s="4">
        <f>26.0017 * CHOOSE(CONTROL!$C$6, $C$6, 100%, $E$6) + CHOOSE(CONTROL!$C$25, 0, 0)</f>
        <v>26.0017</v>
      </c>
      <c r="E321" s="4">
        <f>120.939944847643 * CHOOSE(CONTROL!$C$6, $C$6, 100%, $E$6) + CHOOSE(CONTROL!$C$25, 0, 0)</f>
        <v>120.93994484764301</v>
      </c>
    </row>
    <row r="322" spans="1:5" ht="15">
      <c r="A322" s="13">
        <v>51897</v>
      </c>
      <c r="B322" s="4">
        <f>19.7676 * CHOOSE(CONTROL!$C$6, $C$6, 100%, $E$6) + CHOOSE(CONTROL!$C$25, 0.0003, 0)</f>
        <v>19.767600000000002</v>
      </c>
      <c r="C322" s="4">
        <f>19.4551 * CHOOSE(CONTROL!$C$6, $C$6, 100%, $E$6) + CHOOSE(CONTROL!$C$25, 0.0003, 0)</f>
        <v>19.455100000000002</v>
      </c>
      <c r="D322" s="4">
        <f>25.1157 * CHOOSE(CONTROL!$C$6, $C$6, 100%, $E$6) + CHOOSE(CONTROL!$C$25, 0, 0)</f>
        <v>25.1157</v>
      </c>
      <c r="E322" s="4">
        <f>117.175748429298 * CHOOSE(CONTROL!$C$6, $C$6, 100%, $E$6) + CHOOSE(CONTROL!$C$25, 0, 0)</f>
        <v>117.175748429298</v>
      </c>
    </row>
    <row r="323" spans="1:5" ht="15">
      <c r="A323" s="13">
        <v>51925</v>
      </c>
      <c r="B323" s="4">
        <f>20.1924 * CHOOSE(CONTROL!$C$6, $C$6, 100%, $E$6) + CHOOSE(CONTROL!$C$25, 0.0003, 0)</f>
        <v>20.192399999999999</v>
      </c>
      <c r="C323" s="4">
        <f>19.8799 * CHOOSE(CONTROL!$C$6, $C$6, 100%, $E$6) + CHOOSE(CONTROL!$C$25, 0.0003, 0)</f>
        <v>19.879899999999999</v>
      </c>
      <c r="D323" s="4">
        <f>25.9546 * CHOOSE(CONTROL!$C$6, $C$6, 100%, $E$6) + CHOOSE(CONTROL!$C$25, 0, 0)</f>
        <v>25.954599999999999</v>
      </c>
      <c r="E323" s="4">
        <f>119.957962476023 * CHOOSE(CONTROL!$C$6, $C$6, 100%, $E$6) + CHOOSE(CONTROL!$C$25, 0, 0)</f>
        <v>119.957962476023</v>
      </c>
    </row>
    <row r="324" spans="1:5" ht="15">
      <c r="A324" s="13">
        <v>51956</v>
      </c>
      <c r="B324" s="4">
        <f>21.308 * CHOOSE(CONTROL!$C$6, $C$6, 100%, $E$6) + CHOOSE(CONTROL!$C$25, 0.0003, 0)</f>
        <v>21.308</v>
      </c>
      <c r="C324" s="4">
        <f>20.9955 * CHOOSE(CONTROL!$C$6, $C$6, 100%, $E$6) + CHOOSE(CONTROL!$C$25, 0.0003, 0)</f>
        <v>20.9955</v>
      </c>
      <c r="D324" s="4">
        <f>27.2678 * CHOOSE(CONTROL!$C$6, $C$6, 100%, $E$6) + CHOOSE(CONTROL!$C$25, 0, 0)</f>
        <v>27.267800000000001</v>
      </c>
      <c r="E324" s="4">
        <f>127.264204418556 * CHOOSE(CONTROL!$C$6, $C$6, 100%, $E$6) + CHOOSE(CONTROL!$C$25, 0, 0)</f>
        <v>127.26420441855601</v>
      </c>
    </row>
    <row r="325" spans="1:5" ht="15">
      <c r="A325" s="13">
        <v>51986</v>
      </c>
      <c r="B325" s="4">
        <f>22.1007 * CHOOSE(CONTROL!$C$6, $C$6, 100%, $E$6) + CHOOSE(CONTROL!$C$25, 0.0003, 0)</f>
        <v>22.1007</v>
      </c>
      <c r="C325" s="4">
        <f>21.7882 * CHOOSE(CONTROL!$C$6, $C$6, 100%, $E$6) + CHOOSE(CONTROL!$C$25, 0.0003, 0)</f>
        <v>21.7882</v>
      </c>
      <c r="D325" s="4">
        <f>28.0243 * CHOOSE(CONTROL!$C$6, $C$6, 100%, $E$6) + CHOOSE(CONTROL!$C$25, 0, 0)</f>
        <v>28.0243</v>
      </c>
      <c r="E325" s="4">
        <f>132.455386687202 * CHOOSE(CONTROL!$C$6, $C$6, 100%, $E$6) + CHOOSE(CONTROL!$C$25, 0, 0)</f>
        <v>132.45538668720201</v>
      </c>
    </row>
    <row r="326" spans="1:5" ht="15">
      <c r="A326" s="13">
        <v>52017</v>
      </c>
      <c r="B326" s="4">
        <f>22.585 * CHOOSE(CONTROL!$C$6, $C$6, 100%, $E$6) + CHOOSE(CONTROL!$C$25, 0.0258, 0)</f>
        <v>22.585000000000001</v>
      </c>
      <c r="C326" s="4">
        <f>22.2725 * CHOOSE(CONTROL!$C$6, $C$6, 100%, $E$6) + CHOOSE(CONTROL!$C$25, 0.0258, 0)</f>
        <v>22.272500000000001</v>
      </c>
      <c r="D326" s="4">
        <f>27.7254 * CHOOSE(CONTROL!$C$6, $C$6, 100%, $E$6) + CHOOSE(CONTROL!$C$25, 0, 0)</f>
        <v>27.7254</v>
      </c>
      <c r="E326" s="4">
        <f>135.62707463807 * CHOOSE(CONTROL!$C$6, $C$6, 100%, $E$6) + CHOOSE(CONTROL!$C$25, 0, 0)</f>
        <v>135.62707463807001</v>
      </c>
    </row>
    <row r="327" spans="1:5" ht="15">
      <c r="A327" s="13">
        <v>52047</v>
      </c>
      <c r="B327" s="4">
        <f>22.6506 * CHOOSE(CONTROL!$C$6, $C$6, 100%, $E$6) + CHOOSE(CONTROL!$C$25, 0.0258, 0)</f>
        <v>22.650600000000001</v>
      </c>
      <c r="C327" s="4">
        <f>22.3381 * CHOOSE(CONTROL!$C$6, $C$6, 100%, $E$6) + CHOOSE(CONTROL!$C$25, 0.0258, 0)</f>
        <v>22.338100000000001</v>
      </c>
      <c r="D327" s="4">
        <f>27.9688 * CHOOSE(CONTROL!$C$6, $C$6, 100%, $E$6) + CHOOSE(CONTROL!$C$25, 0, 0)</f>
        <v>27.968800000000002</v>
      </c>
      <c r="E327" s="4">
        <f>136.056217180598 * CHOOSE(CONTROL!$C$6, $C$6, 100%, $E$6) + CHOOSE(CONTROL!$C$25, 0, 0)</f>
        <v>136.056217180598</v>
      </c>
    </row>
    <row r="328" spans="1:5" ht="15">
      <c r="A328" s="13">
        <v>52078</v>
      </c>
      <c r="B328" s="4">
        <f>22.644 * CHOOSE(CONTROL!$C$6, $C$6, 100%, $E$6) + CHOOSE(CONTROL!$C$25, 0.0258, 0)</f>
        <v>22.643999999999998</v>
      </c>
      <c r="C328" s="4">
        <f>22.3315 * CHOOSE(CONTROL!$C$6, $C$6, 100%, $E$6) + CHOOSE(CONTROL!$C$25, 0.0258, 0)</f>
        <v>22.331499999999998</v>
      </c>
      <c r="D328" s="4">
        <f>28.4081 * CHOOSE(CONTROL!$C$6, $C$6, 100%, $E$6) + CHOOSE(CONTROL!$C$25, 0, 0)</f>
        <v>28.408100000000001</v>
      </c>
      <c r="E328" s="4">
        <f>136.012942302359 * CHOOSE(CONTROL!$C$6, $C$6, 100%, $E$6) + CHOOSE(CONTROL!$C$25, 0, 0)</f>
        <v>136.01294230235899</v>
      </c>
    </row>
    <row r="329" spans="1:5" ht="15">
      <c r="A329" s="13">
        <v>52109</v>
      </c>
      <c r="B329" s="4">
        <f>23.1412 * CHOOSE(CONTROL!$C$6, $C$6, 100%, $E$6) + CHOOSE(CONTROL!$C$25, 0.0258, 0)</f>
        <v>23.141200000000001</v>
      </c>
      <c r="C329" s="4">
        <f>22.8287 * CHOOSE(CONTROL!$C$6, $C$6, 100%, $E$6) + CHOOSE(CONTROL!$C$25, 0.0258, 0)</f>
        <v>22.828700000000001</v>
      </c>
      <c r="D329" s="4">
        <f>28.118 * CHOOSE(CONTROL!$C$6, $C$6, 100%, $E$6) + CHOOSE(CONTROL!$C$25, 0, 0)</f>
        <v>28.117999999999999</v>
      </c>
      <c r="E329" s="4">
        <f>139.269376889777 * CHOOSE(CONTROL!$C$6, $C$6, 100%, $E$6) + CHOOSE(CONTROL!$C$25, 0, 0)</f>
        <v>139.26937688977699</v>
      </c>
    </row>
    <row r="330" spans="1:5" ht="15">
      <c r="A330" s="13">
        <v>52139</v>
      </c>
      <c r="B330" s="4">
        <f>22.2937 * CHOOSE(CONTROL!$C$6, $C$6, 100%, $E$6) + CHOOSE(CONTROL!$C$25, 0.0258, 0)</f>
        <v>22.293700000000001</v>
      </c>
      <c r="C330" s="4">
        <f>21.9812 * CHOOSE(CONTROL!$C$6, $C$6, 100%, $E$6) + CHOOSE(CONTROL!$C$25, 0.0258, 0)</f>
        <v>21.981200000000001</v>
      </c>
      <c r="D330" s="4">
        <f>27.9809 * CHOOSE(CONTROL!$C$6, $C$6, 100%, $E$6) + CHOOSE(CONTROL!$C$25, 0, 0)</f>
        <v>27.980899999999998</v>
      </c>
      <c r="E330" s="4">
        <f>133.71937375574 * CHOOSE(CONTROL!$C$6, $C$6, 100%, $E$6) + CHOOSE(CONTROL!$C$25, 0, 0)</f>
        <v>133.71937375574001</v>
      </c>
    </row>
    <row r="331" spans="1:5" ht="15">
      <c r="A331" s="13">
        <v>52170</v>
      </c>
      <c r="B331" s="4">
        <f>21.6153 * CHOOSE(CONTROL!$C$6, $C$6, 100%, $E$6) + CHOOSE(CONTROL!$C$25, 0.0003, 0)</f>
        <v>21.615300000000001</v>
      </c>
      <c r="C331" s="4">
        <f>21.3028 * CHOOSE(CONTROL!$C$6, $C$6, 100%, $E$6) + CHOOSE(CONTROL!$C$25, 0.0003, 0)</f>
        <v>21.302800000000001</v>
      </c>
      <c r="D331" s="4">
        <f>27.6139 * CHOOSE(CONTROL!$C$6, $C$6, 100%, $E$6) + CHOOSE(CONTROL!$C$25, 0, 0)</f>
        <v>27.613900000000001</v>
      </c>
      <c r="E331" s="4">
        <f>129.276486256628 * CHOOSE(CONTROL!$C$6, $C$6, 100%, $E$6) + CHOOSE(CONTROL!$C$25, 0, 0)</f>
        <v>129.276486256628</v>
      </c>
    </row>
    <row r="332" spans="1:5" ht="15">
      <c r="A332" s="13">
        <v>52200</v>
      </c>
      <c r="B332" s="4">
        <f>21.1784 * CHOOSE(CONTROL!$C$6, $C$6, 100%, $E$6) + CHOOSE(CONTROL!$C$25, 0.0003, 0)</f>
        <v>21.1784</v>
      </c>
      <c r="C332" s="4">
        <f>20.8659 * CHOOSE(CONTROL!$C$6, $C$6, 100%, $E$6) + CHOOSE(CONTROL!$C$25, 0.0003, 0)</f>
        <v>20.8659</v>
      </c>
      <c r="D332" s="4">
        <f>27.4878 * CHOOSE(CONTROL!$C$6, $C$6, 100%, $E$6) + CHOOSE(CONTROL!$C$25, 0, 0)</f>
        <v>27.4878</v>
      </c>
      <c r="E332" s="4">
        <f>126.414934933133 * CHOOSE(CONTROL!$C$6, $C$6, 100%, $E$6) + CHOOSE(CONTROL!$C$25, 0, 0)</f>
        <v>126.414934933133</v>
      </c>
    </row>
    <row r="333" spans="1:5" ht="15">
      <c r="A333" s="13">
        <v>52231</v>
      </c>
      <c r="B333" s="4">
        <f>20.876 * CHOOSE(CONTROL!$C$6, $C$6, 100%, $E$6) + CHOOSE(CONTROL!$C$25, 0.0003, 0)</f>
        <v>20.876000000000001</v>
      </c>
      <c r="C333" s="4">
        <f>20.5635 * CHOOSE(CONTROL!$C$6, $C$6, 100%, $E$6) + CHOOSE(CONTROL!$C$25, 0.0003, 0)</f>
        <v>20.563500000000001</v>
      </c>
      <c r="D333" s="4">
        <f>26.5589 * CHOOSE(CONTROL!$C$6, $C$6, 100%, $E$6) + CHOOSE(CONTROL!$C$25, 0, 0)</f>
        <v>26.558900000000001</v>
      </c>
      <c r="E333" s="4">
        <f>124.43510925374 * CHOOSE(CONTROL!$C$6, $C$6, 100%, $E$6) + CHOOSE(CONTROL!$C$25, 0, 0)</f>
        <v>124.43510925373999</v>
      </c>
    </row>
    <row r="334" spans="1:5" ht="15">
      <c r="A334" s="13">
        <v>52262</v>
      </c>
      <c r="B334" s="4">
        <f>20.163 * CHOOSE(CONTROL!$C$6, $C$6, 100%, $E$6) + CHOOSE(CONTROL!$C$25, 0.0003, 0)</f>
        <v>20.163</v>
      </c>
      <c r="C334" s="4">
        <f>19.8505 * CHOOSE(CONTROL!$C$6, $C$6, 100%, $E$6) + CHOOSE(CONTROL!$C$25, 0.0003, 0)</f>
        <v>19.8505</v>
      </c>
      <c r="D334" s="4">
        <f>25.6529 * CHOOSE(CONTROL!$C$6, $C$6, 100%, $E$6) + CHOOSE(CONTROL!$C$25, 0, 0)</f>
        <v>25.652899999999999</v>
      </c>
      <c r="E334" s="4">
        <f>120.562127558905 * CHOOSE(CONTROL!$C$6, $C$6, 100%, $E$6) + CHOOSE(CONTROL!$C$25, 0, 0)</f>
        <v>120.562127558905</v>
      </c>
    </row>
    <row r="335" spans="1:5" ht="15">
      <c r="A335" s="13">
        <v>52290</v>
      </c>
      <c r="B335" s="4">
        <f>20.5972 * CHOOSE(CONTROL!$C$6, $C$6, 100%, $E$6) + CHOOSE(CONTROL!$C$25, 0.0003, 0)</f>
        <v>20.597200000000001</v>
      </c>
      <c r="C335" s="4">
        <f>20.2847 * CHOOSE(CONTROL!$C$6, $C$6, 100%, $E$6) + CHOOSE(CONTROL!$C$25, 0.0003, 0)</f>
        <v>20.284700000000001</v>
      </c>
      <c r="D335" s="4">
        <f>26.5107 * CHOOSE(CONTROL!$C$6, $C$6, 100%, $E$6) + CHOOSE(CONTROL!$C$25, 0, 0)</f>
        <v>26.5107</v>
      </c>
      <c r="E335" s="4">
        <f>123.42474759158 * CHOOSE(CONTROL!$C$6, $C$6, 100%, $E$6) + CHOOSE(CONTROL!$C$25, 0, 0)</f>
        <v>123.42474759158</v>
      </c>
    </row>
    <row r="336" spans="1:5" ht="15">
      <c r="A336" s="13">
        <v>52321</v>
      </c>
      <c r="B336" s="4">
        <f>21.7375 * CHOOSE(CONTROL!$C$6, $C$6, 100%, $E$6) + CHOOSE(CONTROL!$C$25, 0.0003, 0)</f>
        <v>21.737500000000001</v>
      </c>
      <c r="C336" s="4">
        <f>21.425 * CHOOSE(CONTROL!$C$6, $C$6, 100%, $E$6) + CHOOSE(CONTROL!$C$25, 0.0003, 0)</f>
        <v>21.425000000000001</v>
      </c>
      <c r="D336" s="4">
        <f>27.8536 * CHOOSE(CONTROL!$C$6, $C$6, 100%, $E$6) + CHOOSE(CONTROL!$C$25, 0, 0)</f>
        <v>27.8536</v>
      </c>
      <c r="E336" s="4">
        <f>130.942139926252 * CHOOSE(CONTROL!$C$6, $C$6, 100%, $E$6) + CHOOSE(CONTROL!$C$25, 0, 0)</f>
        <v>130.942139926252</v>
      </c>
    </row>
    <row r="337" spans="1:5" ht="15">
      <c r="A337" s="13">
        <v>52351</v>
      </c>
      <c r="B337" s="4">
        <f>22.5477 * CHOOSE(CONTROL!$C$6, $C$6, 100%, $E$6) + CHOOSE(CONTROL!$C$25, 0.0003, 0)</f>
        <v>22.547699999999999</v>
      </c>
      <c r="C337" s="4">
        <f>22.2352 * CHOOSE(CONTROL!$C$6, $C$6, 100%, $E$6) + CHOOSE(CONTROL!$C$25, 0.0003, 0)</f>
        <v>22.235199999999999</v>
      </c>
      <c r="D337" s="4">
        <f>28.6272 * CHOOSE(CONTROL!$C$6, $C$6, 100%, $E$6) + CHOOSE(CONTROL!$C$25, 0, 0)</f>
        <v>28.627199999999998</v>
      </c>
      <c r="E337" s="4">
        <f>136.283347362462 * CHOOSE(CONTROL!$C$6, $C$6, 100%, $E$6) + CHOOSE(CONTROL!$C$25, 0, 0)</f>
        <v>136.283347362462</v>
      </c>
    </row>
    <row r="338" spans="1:5" ht="15">
      <c r="A338" s="13">
        <v>52382</v>
      </c>
      <c r="B338" s="4">
        <f>23.0427 * CHOOSE(CONTROL!$C$6, $C$6, 100%, $E$6) + CHOOSE(CONTROL!$C$25, 0.0258, 0)</f>
        <v>23.0427</v>
      </c>
      <c r="C338" s="4">
        <f>22.7302 * CHOOSE(CONTROL!$C$6, $C$6, 100%, $E$6) + CHOOSE(CONTROL!$C$25, 0.0258, 0)</f>
        <v>22.7302</v>
      </c>
      <c r="D338" s="4">
        <f>28.3215 * CHOOSE(CONTROL!$C$6, $C$6, 100%, $E$6) + CHOOSE(CONTROL!$C$25, 0, 0)</f>
        <v>28.3215</v>
      </c>
      <c r="E338" s="4">
        <f>139.54669709511 * CHOOSE(CONTROL!$C$6, $C$6, 100%, $E$6) + CHOOSE(CONTROL!$C$25, 0, 0)</f>
        <v>139.54669709511001</v>
      </c>
    </row>
    <row r="339" spans="1:5" ht="15">
      <c r="A339" s="13">
        <v>52412</v>
      </c>
      <c r="B339" s="4">
        <f>23.1097 * CHOOSE(CONTROL!$C$6, $C$6, 100%, $E$6) + CHOOSE(CONTROL!$C$25, 0.0258, 0)</f>
        <v>23.1097</v>
      </c>
      <c r="C339" s="4">
        <f>22.7972 * CHOOSE(CONTROL!$C$6, $C$6, 100%, $E$6) + CHOOSE(CONTROL!$C$25, 0.0258, 0)</f>
        <v>22.7972</v>
      </c>
      <c r="D339" s="4">
        <f>28.5705 * CHOOSE(CONTROL!$C$6, $C$6, 100%, $E$6) + CHOOSE(CONTROL!$C$25, 0, 0)</f>
        <v>28.570499999999999</v>
      </c>
      <c r="E339" s="4">
        <f>139.988241857117 * CHOOSE(CONTROL!$C$6, $C$6, 100%, $E$6) + CHOOSE(CONTROL!$C$25, 0, 0)</f>
        <v>139.988241857117</v>
      </c>
    </row>
    <row r="340" spans="1:5" ht="15">
      <c r="A340" s="13">
        <v>52443</v>
      </c>
      <c r="B340" s="4">
        <f>23.103 * CHOOSE(CONTROL!$C$6, $C$6, 100%, $E$6) + CHOOSE(CONTROL!$C$25, 0.0258, 0)</f>
        <v>23.103000000000002</v>
      </c>
      <c r="C340" s="4">
        <f>22.7905 * CHOOSE(CONTROL!$C$6, $C$6, 100%, $E$6) + CHOOSE(CONTROL!$C$25, 0.0258, 0)</f>
        <v>22.790500000000002</v>
      </c>
      <c r="D340" s="4">
        <f>29.0197 * CHOOSE(CONTROL!$C$6, $C$6, 100%, $E$6) + CHOOSE(CONTROL!$C$25, 0, 0)</f>
        <v>29.0197</v>
      </c>
      <c r="E340" s="4">
        <f>139.943716334898 * CHOOSE(CONTROL!$C$6, $C$6, 100%, $E$6) + CHOOSE(CONTROL!$C$25, 0, 0)</f>
        <v>139.943716334898</v>
      </c>
    </row>
    <row r="341" spans="1:5" ht="15">
      <c r="A341" s="13">
        <v>52474</v>
      </c>
      <c r="B341" s="4">
        <f>23.6112 * CHOOSE(CONTROL!$C$6, $C$6, 100%, $E$6) + CHOOSE(CONTROL!$C$25, 0.0258, 0)</f>
        <v>23.6112</v>
      </c>
      <c r="C341" s="4">
        <f>23.2987 * CHOOSE(CONTROL!$C$6, $C$6, 100%, $E$6) + CHOOSE(CONTROL!$C$25, 0.0258, 0)</f>
        <v>23.2987</v>
      </c>
      <c r="D341" s="4">
        <f>28.723 * CHOOSE(CONTROL!$C$6, $C$6, 100%, $E$6) + CHOOSE(CONTROL!$C$25, 0, 0)</f>
        <v>28.722999999999999</v>
      </c>
      <c r="E341" s="4">
        <f>143.294261881891 * CHOOSE(CONTROL!$C$6, $C$6, 100%, $E$6) + CHOOSE(CONTROL!$C$25, 0, 0)</f>
        <v>143.294261881891</v>
      </c>
    </row>
    <row r="342" spans="1:5" ht="15">
      <c r="A342" s="13">
        <v>52504</v>
      </c>
      <c r="B342" s="4">
        <f>22.745 * CHOOSE(CONTROL!$C$6, $C$6, 100%, $E$6) + CHOOSE(CONTROL!$C$25, 0.0258, 0)</f>
        <v>22.745000000000001</v>
      </c>
      <c r="C342" s="4">
        <f>22.4325 * CHOOSE(CONTROL!$C$6, $C$6, 100%, $E$6) + CHOOSE(CONTROL!$C$25, 0.0258, 0)</f>
        <v>22.432500000000001</v>
      </c>
      <c r="D342" s="4">
        <f>28.5829 * CHOOSE(CONTROL!$C$6, $C$6, 100%, $E$6) + CHOOSE(CONTROL!$C$25, 0, 0)</f>
        <v>28.582899999999999</v>
      </c>
      <c r="E342" s="4">
        <f>137.583863657281 * CHOOSE(CONTROL!$C$6, $C$6, 100%, $E$6) + CHOOSE(CONTROL!$C$25, 0, 0)</f>
        <v>137.583863657281</v>
      </c>
    </row>
    <row r="343" spans="1:5" ht="15">
      <c r="A343" s="13">
        <v>52535</v>
      </c>
      <c r="B343" s="4">
        <f>22.0516 * CHOOSE(CONTROL!$C$6, $C$6, 100%, $E$6) + CHOOSE(CONTROL!$C$25, 0.0003, 0)</f>
        <v>22.051600000000001</v>
      </c>
      <c r="C343" s="4">
        <f>21.7391 * CHOOSE(CONTROL!$C$6, $C$6, 100%, $E$6) + CHOOSE(CONTROL!$C$25, 0.0003, 0)</f>
        <v>21.739100000000001</v>
      </c>
      <c r="D343" s="4">
        <f>28.2076 * CHOOSE(CONTROL!$C$6, $C$6, 100%, $E$6) + CHOOSE(CONTROL!$C$25, 0, 0)</f>
        <v>28.207599999999999</v>
      </c>
      <c r="E343" s="4">
        <f>133.012576709445 * CHOOSE(CONTROL!$C$6, $C$6, 100%, $E$6) + CHOOSE(CONTROL!$C$25, 0, 0)</f>
        <v>133.012576709445</v>
      </c>
    </row>
    <row r="344" spans="1:5" ht="15">
      <c r="A344" s="13">
        <v>52565</v>
      </c>
      <c r="B344" s="4">
        <f>21.605 * CHOOSE(CONTROL!$C$6, $C$6, 100%, $E$6) + CHOOSE(CONTROL!$C$25, 0.0003, 0)</f>
        <v>21.605</v>
      </c>
      <c r="C344" s="4">
        <f>21.2925 * CHOOSE(CONTROL!$C$6, $C$6, 100%, $E$6) + CHOOSE(CONTROL!$C$25, 0.0003, 0)</f>
        <v>21.2925</v>
      </c>
      <c r="D344" s="4">
        <f>28.0786 * CHOOSE(CONTROL!$C$6, $C$6, 100%, $E$6) + CHOOSE(CONTROL!$C$25, 0, 0)</f>
        <v>28.078600000000002</v>
      </c>
      <c r="E344" s="4">
        <f>130.068326552701 * CHOOSE(CONTROL!$C$6, $C$6, 100%, $E$6) + CHOOSE(CONTROL!$C$25, 0, 0)</f>
        <v>130.068326552701</v>
      </c>
    </row>
    <row r="345" spans="1:5" ht="15">
      <c r="A345" s="13">
        <v>52596</v>
      </c>
      <c r="B345" s="4">
        <f>21.296 * CHOOSE(CONTROL!$C$6, $C$6, 100%, $E$6) + CHOOSE(CONTROL!$C$25, 0.0003, 0)</f>
        <v>21.295999999999999</v>
      </c>
      <c r="C345" s="4">
        <f>20.9835 * CHOOSE(CONTROL!$C$6, $C$6, 100%, $E$6) + CHOOSE(CONTROL!$C$25, 0.0003, 0)</f>
        <v>20.983499999999999</v>
      </c>
      <c r="D345" s="4">
        <f>27.1287 * CHOOSE(CONTROL!$C$6, $C$6, 100%, $E$6) + CHOOSE(CONTROL!$C$25, 0, 0)</f>
        <v>27.128699999999998</v>
      </c>
      <c r="E345" s="4">
        <f>128.031283911173 * CHOOSE(CONTROL!$C$6, $C$6, 100%, $E$6) + CHOOSE(CONTROL!$C$25, 0, 0)</f>
        <v>128.03128391117301</v>
      </c>
    </row>
    <row r="346" spans="1:5" ht="15">
      <c r="A346" s="13">
        <v>52627</v>
      </c>
      <c r="B346" s="4">
        <f>20.5671 * CHOOSE(CONTROL!$C$6, $C$6, 100%, $E$6) + CHOOSE(CONTROL!$C$25, 0.0003, 0)</f>
        <v>20.5671</v>
      </c>
      <c r="C346" s="4">
        <f>20.2546 * CHOOSE(CONTROL!$C$6, $C$6, 100%, $E$6) + CHOOSE(CONTROL!$C$25, 0.0003, 0)</f>
        <v>20.2546</v>
      </c>
      <c r="D346" s="4">
        <f>26.2022 * CHOOSE(CONTROL!$C$6, $C$6, 100%, $E$6) + CHOOSE(CONTROL!$C$25, 0, 0)</f>
        <v>26.202200000000001</v>
      </c>
      <c r="E346" s="4">
        <f>124.046373045357 * CHOOSE(CONTROL!$C$6, $C$6, 100%, $E$6) + CHOOSE(CONTROL!$C$25, 0, 0)</f>
        <v>124.046373045357</v>
      </c>
    </row>
    <row r="347" spans="1:5" ht="15">
      <c r="A347" s="13">
        <v>52655</v>
      </c>
      <c r="B347" s="4">
        <f>21.011 * CHOOSE(CONTROL!$C$6, $C$6, 100%, $E$6) + CHOOSE(CONTROL!$C$25, 0.0003, 0)</f>
        <v>21.010999999999999</v>
      </c>
      <c r="C347" s="4">
        <f>20.6985 * CHOOSE(CONTROL!$C$6, $C$6, 100%, $E$6) + CHOOSE(CONTROL!$C$25, 0.0003, 0)</f>
        <v>20.698499999999999</v>
      </c>
      <c r="D347" s="4">
        <f>27.0794 * CHOOSE(CONTROL!$C$6, $C$6, 100%, $E$6) + CHOOSE(CONTROL!$C$25, 0, 0)</f>
        <v>27.0794</v>
      </c>
      <c r="E347" s="4">
        <f>126.991722796977 * CHOOSE(CONTROL!$C$6, $C$6, 100%, $E$6) + CHOOSE(CONTROL!$C$25, 0, 0)</f>
        <v>126.991722796977</v>
      </c>
    </row>
    <row r="348" spans="1:5" ht="15">
      <c r="A348" s="13">
        <v>52687</v>
      </c>
      <c r="B348" s="4">
        <f>22.1765 * CHOOSE(CONTROL!$C$6, $C$6, 100%, $E$6) + CHOOSE(CONTROL!$C$25, 0.0003, 0)</f>
        <v>22.176500000000001</v>
      </c>
      <c r="C348" s="4">
        <f>21.864 * CHOOSE(CONTROL!$C$6, $C$6, 100%, $E$6) + CHOOSE(CONTROL!$C$25, 0.0003, 0)</f>
        <v>21.864000000000001</v>
      </c>
      <c r="D348" s="4">
        <f>28.4527 * CHOOSE(CONTROL!$C$6, $C$6, 100%, $E$6) + CHOOSE(CONTROL!$C$25, 0, 0)</f>
        <v>28.4527</v>
      </c>
      <c r="E348" s="4">
        <f>134.726367770121 * CHOOSE(CONTROL!$C$6, $C$6, 100%, $E$6) + CHOOSE(CONTROL!$C$25, 0, 0)</f>
        <v>134.72636777012099</v>
      </c>
    </row>
    <row r="349" spans="1:5" ht="15">
      <c r="A349" s="13">
        <v>52717</v>
      </c>
      <c r="B349" s="4">
        <f>23.0046 * CHOOSE(CONTROL!$C$6, $C$6, 100%, $E$6) + CHOOSE(CONTROL!$C$25, 0.0003, 0)</f>
        <v>23.0046</v>
      </c>
      <c r="C349" s="4">
        <f>22.6921 * CHOOSE(CONTROL!$C$6, $C$6, 100%, $E$6) + CHOOSE(CONTROL!$C$25, 0.0003, 0)</f>
        <v>22.6921</v>
      </c>
      <c r="D349" s="4">
        <f>29.2437 * CHOOSE(CONTROL!$C$6, $C$6, 100%, $E$6) + CHOOSE(CONTROL!$C$25, 0, 0)</f>
        <v>29.2437</v>
      </c>
      <c r="E349" s="4">
        <f>140.221936101237 * CHOOSE(CONTROL!$C$6, $C$6, 100%, $E$6) + CHOOSE(CONTROL!$C$25, 0, 0)</f>
        <v>140.22193610123699</v>
      </c>
    </row>
    <row r="350" spans="1:5" ht="15">
      <c r="A350" s="13">
        <v>52748</v>
      </c>
      <c r="B350" s="4">
        <f>23.5105 * CHOOSE(CONTROL!$C$6, $C$6, 100%, $E$6) + CHOOSE(CONTROL!$C$25, 0.0258, 0)</f>
        <v>23.5105</v>
      </c>
      <c r="C350" s="4">
        <f>23.198 * CHOOSE(CONTROL!$C$6, $C$6, 100%, $E$6) + CHOOSE(CONTROL!$C$25, 0.0258, 0)</f>
        <v>23.198</v>
      </c>
      <c r="D350" s="4">
        <f>28.9312 * CHOOSE(CONTROL!$C$6, $C$6, 100%, $E$6) + CHOOSE(CONTROL!$C$25, 0, 0)</f>
        <v>28.9312</v>
      </c>
      <c r="E350" s="4">
        <f>143.579596641159 * CHOOSE(CONTROL!$C$6, $C$6, 100%, $E$6) + CHOOSE(CONTROL!$C$25, 0, 0)</f>
        <v>143.57959664115899</v>
      </c>
    </row>
    <row r="351" spans="1:5" ht="15">
      <c r="A351" s="13">
        <v>52778</v>
      </c>
      <c r="B351" s="4">
        <f>23.579 * CHOOSE(CONTROL!$C$6, $C$6, 100%, $E$6) + CHOOSE(CONTROL!$C$25, 0.0258, 0)</f>
        <v>23.579000000000001</v>
      </c>
      <c r="C351" s="4">
        <f>23.2665 * CHOOSE(CONTROL!$C$6, $C$6, 100%, $E$6) + CHOOSE(CONTROL!$C$25, 0.0258, 0)</f>
        <v>23.266500000000001</v>
      </c>
      <c r="D351" s="4">
        <f>29.1857 * CHOOSE(CONTROL!$C$6, $C$6, 100%, $E$6) + CHOOSE(CONTROL!$C$25, 0, 0)</f>
        <v>29.185700000000001</v>
      </c>
      <c r="E351" s="4">
        <f>144.033902046787 * CHOOSE(CONTROL!$C$6, $C$6, 100%, $E$6) + CHOOSE(CONTROL!$C$25, 0, 0)</f>
        <v>144.03390204678701</v>
      </c>
    </row>
    <row r="352" spans="1:5" ht="15">
      <c r="A352" s="13">
        <v>52809</v>
      </c>
      <c r="B352" s="4">
        <f>23.5721 * CHOOSE(CONTROL!$C$6, $C$6, 100%, $E$6) + CHOOSE(CONTROL!$C$25, 0.0258, 0)</f>
        <v>23.572099999999999</v>
      </c>
      <c r="C352" s="4">
        <f>23.2596 * CHOOSE(CONTROL!$C$6, $C$6, 100%, $E$6) + CHOOSE(CONTROL!$C$25, 0.0258, 0)</f>
        <v>23.259599999999999</v>
      </c>
      <c r="D352" s="4">
        <f>29.6451 * CHOOSE(CONTROL!$C$6, $C$6, 100%, $E$6) + CHOOSE(CONTROL!$C$25, 0, 0)</f>
        <v>29.645099999999999</v>
      </c>
      <c r="E352" s="4">
        <f>143.988089736976 * CHOOSE(CONTROL!$C$6, $C$6, 100%, $E$6) + CHOOSE(CONTROL!$C$25, 0, 0)</f>
        <v>143.98808973697601</v>
      </c>
    </row>
    <row r="353" spans="1:5" ht="15">
      <c r="A353" s="13">
        <v>52840</v>
      </c>
      <c r="B353" s="4">
        <f>24.0916 * CHOOSE(CONTROL!$C$6, $C$6, 100%, $E$6) + CHOOSE(CONTROL!$C$25, 0.0258, 0)</f>
        <v>24.0916</v>
      </c>
      <c r="C353" s="4">
        <f>23.7791 * CHOOSE(CONTROL!$C$6, $C$6, 100%, $E$6) + CHOOSE(CONTROL!$C$25, 0.0258, 0)</f>
        <v>23.7791</v>
      </c>
      <c r="D353" s="4">
        <f>29.3417 * CHOOSE(CONTROL!$C$6, $C$6, 100%, $E$6) + CHOOSE(CONTROL!$C$25, 0, 0)</f>
        <v>29.341699999999999</v>
      </c>
      <c r="E353" s="4">
        <f>147.435466050278 * CHOOSE(CONTROL!$C$6, $C$6, 100%, $E$6) + CHOOSE(CONTROL!$C$25, 0, 0)</f>
        <v>147.435466050278</v>
      </c>
    </row>
    <row r="354" spans="1:5" ht="15">
      <c r="A354" s="13">
        <v>52870</v>
      </c>
      <c r="B354" s="4">
        <f>23.2062 * CHOOSE(CONTROL!$C$6, $C$6, 100%, $E$6) + CHOOSE(CONTROL!$C$25, 0.0258, 0)</f>
        <v>23.206199999999999</v>
      </c>
      <c r="C354" s="4">
        <f>22.8937 * CHOOSE(CONTROL!$C$6, $C$6, 100%, $E$6) + CHOOSE(CONTROL!$C$25, 0.0258, 0)</f>
        <v>22.893699999999999</v>
      </c>
      <c r="D354" s="4">
        <f>29.1984 * CHOOSE(CONTROL!$C$6, $C$6, 100%, $E$6) + CHOOSE(CONTROL!$C$25, 0, 0)</f>
        <v>29.198399999999999</v>
      </c>
      <c r="E354" s="4">
        <f>141.560037316976 * CHOOSE(CONTROL!$C$6, $C$6, 100%, $E$6) + CHOOSE(CONTROL!$C$25, 0, 0)</f>
        <v>141.56003731697601</v>
      </c>
    </row>
    <row r="355" spans="1:5" ht="15">
      <c r="A355" s="13">
        <v>52901</v>
      </c>
      <c r="B355" s="4">
        <f>22.4975 * CHOOSE(CONTROL!$C$6, $C$6, 100%, $E$6) + CHOOSE(CONTROL!$C$25, 0.0003, 0)</f>
        <v>22.497499999999999</v>
      </c>
      <c r="C355" s="4">
        <f>22.185 * CHOOSE(CONTROL!$C$6, $C$6, 100%, $E$6) + CHOOSE(CONTROL!$C$25, 0.0003, 0)</f>
        <v>22.184999999999999</v>
      </c>
      <c r="D355" s="4">
        <f>28.8146 * CHOOSE(CONTROL!$C$6, $C$6, 100%, $E$6) + CHOOSE(CONTROL!$C$25, 0, 0)</f>
        <v>28.814599999999999</v>
      </c>
      <c r="E355" s="4">
        <f>136.856640176347 * CHOOSE(CONTROL!$C$6, $C$6, 100%, $E$6) + CHOOSE(CONTROL!$C$25, 0, 0)</f>
        <v>136.85664017634701</v>
      </c>
    </row>
    <row r="356" spans="1:5" ht="15">
      <c r="A356" s="13">
        <v>52931</v>
      </c>
      <c r="B356" s="4">
        <f>22.041 * CHOOSE(CONTROL!$C$6, $C$6, 100%, $E$6) + CHOOSE(CONTROL!$C$25, 0.0003, 0)</f>
        <v>22.041</v>
      </c>
      <c r="C356" s="4">
        <f>21.7285 * CHOOSE(CONTROL!$C$6, $C$6, 100%, $E$6) + CHOOSE(CONTROL!$C$25, 0.0003, 0)</f>
        <v>21.7285</v>
      </c>
      <c r="D356" s="4">
        <f>28.6827 * CHOOSE(CONTROL!$C$6, $C$6, 100%, $E$6) + CHOOSE(CONTROL!$C$25, 0, 0)</f>
        <v>28.682700000000001</v>
      </c>
      <c r="E356" s="4">
        <f>133.827301190074 * CHOOSE(CONTROL!$C$6, $C$6, 100%, $E$6) + CHOOSE(CONTROL!$C$25, 0, 0)</f>
        <v>133.827301190074</v>
      </c>
    </row>
    <row r="357" spans="1:5" ht="15">
      <c r="A357" s="13">
        <v>52962</v>
      </c>
      <c r="B357" s="4">
        <f>21.7252 * CHOOSE(CONTROL!$C$6, $C$6, 100%, $E$6) + CHOOSE(CONTROL!$C$25, 0.0003, 0)</f>
        <v>21.725200000000001</v>
      </c>
      <c r="C357" s="4">
        <f>21.4127 * CHOOSE(CONTROL!$C$6, $C$6, 100%, $E$6) + CHOOSE(CONTROL!$C$25, 0.0003, 0)</f>
        <v>21.412700000000001</v>
      </c>
      <c r="D357" s="4">
        <f>27.7114 * CHOOSE(CONTROL!$C$6, $C$6, 100%, $E$6) + CHOOSE(CONTROL!$C$25, 0, 0)</f>
        <v>27.711400000000001</v>
      </c>
      <c r="E357" s="4">
        <f>131.731388016206 * CHOOSE(CONTROL!$C$6, $C$6, 100%, $E$6) + CHOOSE(CONTROL!$C$25, 0, 0)</f>
        <v>131.73138801620601</v>
      </c>
    </row>
    <row r="358" spans="1:5" ht="15">
      <c r="A358" s="13">
        <v>52993</v>
      </c>
      <c r="B358" s="4">
        <f>20.9802 * CHOOSE(CONTROL!$C$6, $C$6, 100%, $E$6) + CHOOSE(CONTROL!$C$25, 0.0003, 0)</f>
        <v>20.9802</v>
      </c>
      <c r="C358" s="4">
        <f>20.6677 * CHOOSE(CONTROL!$C$6, $C$6, 100%, $E$6) + CHOOSE(CONTROL!$C$25, 0.0003, 0)</f>
        <v>20.6677</v>
      </c>
      <c r="D358" s="4">
        <f>26.7639 * CHOOSE(CONTROL!$C$6, $C$6, 100%, $E$6) + CHOOSE(CONTROL!$C$25, 0, 0)</f>
        <v>26.7639</v>
      </c>
      <c r="E358" s="4">
        <f>127.631313226368 * CHOOSE(CONTROL!$C$6, $C$6, 100%, $E$6) + CHOOSE(CONTROL!$C$25, 0, 0)</f>
        <v>127.63131322636799</v>
      </c>
    </row>
    <row r="359" spans="1:5" ht="15">
      <c r="A359" s="13">
        <v>53021</v>
      </c>
      <c r="B359" s="4">
        <f>21.4339 * CHOOSE(CONTROL!$C$6, $C$6, 100%, $E$6) + CHOOSE(CONTROL!$C$25, 0.0003, 0)</f>
        <v>21.433900000000001</v>
      </c>
      <c r="C359" s="4">
        <f>21.1214 * CHOOSE(CONTROL!$C$6, $C$6, 100%, $E$6) + CHOOSE(CONTROL!$C$25, 0.0003, 0)</f>
        <v>21.121400000000001</v>
      </c>
      <c r="D359" s="4">
        <f>27.661 * CHOOSE(CONTROL!$C$6, $C$6, 100%, $E$6) + CHOOSE(CONTROL!$C$25, 0, 0)</f>
        <v>27.661000000000001</v>
      </c>
      <c r="E359" s="4">
        <f>130.661783585809 * CHOOSE(CONTROL!$C$6, $C$6, 100%, $E$6) + CHOOSE(CONTROL!$C$25, 0, 0)</f>
        <v>130.66178358580899</v>
      </c>
    </row>
    <row r="360" spans="1:5" ht="15">
      <c r="A360" s="13">
        <v>53052</v>
      </c>
      <c r="B360" s="4">
        <f>22.6251 * CHOOSE(CONTROL!$C$6, $C$6, 100%, $E$6) + CHOOSE(CONTROL!$C$25, 0.0003, 0)</f>
        <v>22.6251</v>
      </c>
      <c r="C360" s="4">
        <f>22.3126 * CHOOSE(CONTROL!$C$6, $C$6, 100%, $E$6) + CHOOSE(CONTROL!$C$25, 0.0003, 0)</f>
        <v>22.3126</v>
      </c>
      <c r="D360" s="4">
        <f>29.0653 * CHOOSE(CONTROL!$C$6, $C$6, 100%, $E$6) + CHOOSE(CONTROL!$C$25, 0, 0)</f>
        <v>29.065300000000001</v>
      </c>
      <c r="E360" s="4">
        <f>138.619959798678 * CHOOSE(CONTROL!$C$6, $C$6, 100%, $E$6) + CHOOSE(CONTROL!$C$25, 0, 0)</f>
        <v>138.619959798678</v>
      </c>
    </row>
    <row r="361" spans="1:5" ht="15">
      <c r="A361" s="13">
        <v>53082</v>
      </c>
      <c r="B361" s="4">
        <f>23.4715 * CHOOSE(CONTROL!$C$6, $C$6, 100%, $E$6) + CHOOSE(CONTROL!$C$25, 0.0003, 0)</f>
        <v>23.471499999999999</v>
      </c>
      <c r="C361" s="4">
        <f>23.159 * CHOOSE(CONTROL!$C$6, $C$6, 100%, $E$6) + CHOOSE(CONTROL!$C$25, 0.0003, 0)</f>
        <v>23.158999999999999</v>
      </c>
      <c r="D361" s="4">
        <f>29.8742 * CHOOSE(CONTROL!$C$6, $C$6, 100%, $E$6) + CHOOSE(CONTROL!$C$25, 0, 0)</f>
        <v>29.874199999999998</v>
      </c>
      <c r="E361" s="4">
        <f>144.274350054563 * CHOOSE(CONTROL!$C$6, $C$6, 100%, $E$6) + CHOOSE(CONTROL!$C$25, 0, 0)</f>
        <v>144.274350054563</v>
      </c>
    </row>
    <row r="362" spans="1:5" ht="15">
      <c r="A362" s="13">
        <v>53113</v>
      </c>
      <c r="B362" s="4">
        <f>23.9887 * CHOOSE(CONTROL!$C$6, $C$6, 100%, $E$6) + CHOOSE(CONTROL!$C$25, 0.0258, 0)</f>
        <v>23.988700000000001</v>
      </c>
      <c r="C362" s="4">
        <f>23.6762 * CHOOSE(CONTROL!$C$6, $C$6, 100%, $E$6) + CHOOSE(CONTROL!$C$25, 0.0258, 0)</f>
        <v>23.676200000000001</v>
      </c>
      <c r="D362" s="4">
        <f>29.5546 * CHOOSE(CONTROL!$C$6, $C$6, 100%, $E$6) + CHOOSE(CONTROL!$C$25, 0, 0)</f>
        <v>29.554600000000001</v>
      </c>
      <c r="E362" s="4">
        <f>147.729046984088 * CHOOSE(CONTROL!$C$6, $C$6, 100%, $E$6) + CHOOSE(CONTROL!$C$25, 0, 0)</f>
        <v>147.729046984088</v>
      </c>
    </row>
    <row r="363" spans="1:5" ht="15">
      <c r="A363" s="13">
        <v>53143</v>
      </c>
      <c r="B363" s="4">
        <f>24.0587 * CHOOSE(CONTROL!$C$6, $C$6, 100%, $E$6) + CHOOSE(CONTROL!$C$25, 0.0258, 0)</f>
        <v>24.058700000000002</v>
      </c>
      <c r="C363" s="4">
        <f>23.7462 * CHOOSE(CONTROL!$C$6, $C$6, 100%, $E$6) + CHOOSE(CONTROL!$C$25, 0.0258, 0)</f>
        <v>23.746200000000002</v>
      </c>
      <c r="D363" s="4">
        <f>29.8149 * CHOOSE(CONTROL!$C$6, $C$6, 100%, $E$6) + CHOOSE(CONTROL!$C$25, 0, 0)</f>
        <v>29.814900000000002</v>
      </c>
      <c r="E363" s="4">
        <f>148.19648181594 * CHOOSE(CONTROL!$C$6, $C$6, 100%, $E$6) + CHOOSE(CONTROL!$C$25, 0, 0)</f>
        <v>148.19648181593999</v>
      </c>
    </row>
    <row r="364" spans="1:5" ht="15">
      <c r="A364" s="13">
        <v>53174</v>
      </c>
      <c r="B364" s="4">
        <f>24.0516 * CHOOSE(CONTROL!$C$6, $C$6, 100%, $E$6) + CHOOSE(CONTROL!$C$25, 0.0258, 0)</f>
        <v>24.051600000000001</v>
      </c>
      <c r="C364" s="4">
        <f>23.7391 * CHOOSE(CONTROL!$C$6, $C$6, 100%, $E$6) + CHOOSE(CONTROL!$C$25, 0.0258, 0)</f>
        <v>23.739100000000001</v>
      </c>
      <c r="D364" s="4">
        <f>30.2846 * CHOOSE(CONTROL!$C$6, $C$6, 100%, $E$6) + CHOOSE(CONTROL!$C$25, 0, 0)</f>
        <v>30.284600000000001</v>
      </c>
      <c r="E364" s="4">
        <f>148.149345530375 * CHOOSE(CONTROL!$C$6, $C$6, 100%, $E$6) + CHOOSE(CONTROL!$C$25, 0, 0)</f>
        <v>148.149345530375</v>
      </c>
    </row>
    <row r="365" spans="1:5" ht="15">
      <c r="A365" s="13">
        <v>53205</v>
      </c>
      <c r="B365" s="4">
        <f>24.5826 * CHOOSE(CONTROL!$C$6, $C$6, 100%, $E$6) + CHOOSE(CONTROL!$C$25, 0.0258, 0)</f>
        <v>24.582599999999999</v>
      </c>
      <c r="C365" s="4">
        <f>24.2701 * CHOOSE(CONTROL!$C$6, $C$6, 100%, $E$6) + CHOOSE(CONTROL!$C$25, 0.0258, 0)</f>
        <v>24.270099999999999</v>
      </c>
      <c r="D365" s="4">
        <f>29.9744 * CHOOSE(CONTROL!$C$6, $C$6, 100%, $E$6) + CHOOSE(CONTROL!$C$25, 0, 0)</f>
        <v>29.974399999999999</v>
      </c>
      <c r="E365" s="4">
        <f>151.696351019131 * CHOOSE(CONTROL!$C$6, $C$6, 100%, $E$6) + CHOOSE(CONTROL!$C$25, 0, 0)</f>
        <v>151.69635101913099</v>
      </c>
    </row>
    <row r="366" spans="1:5" ht="15">
      <c r="A366" s="13">
        <v>53235</v>
      </c>
      <c r="B366" s="4">
        <f>23.6776 * CHOOSE(CONTROL!$C$6, $C$6, 100%, $E$6) + CHOOSE(CONTROL!$C$25, 0.0258, 0)</f>
        <v>23.677600000000002</v>
      </c>
      <c r="C366" s="4">
        <f>23.3651 * CHOOSE(CONTROL!$C$6, $C$6, 100%, $E$6) + CHOOSE(CONTROL!$C$25, 0.0258, 0)</f>
        <v>23.365100000000002</v>
      </c>
      <c r="D366" s="4">
        <f>29.8279 * CHOOSE(CONTROL!$C$6, $C$6, 100%, $E$6) + CHOOSE(CONTROL!$C$25, 0, 0)</f>
        <v>29.8279</v>
      </c>
      <c r="E366" s="4">
        <f>145.651122395437 * CHOOSE(CONTROL!$C$6, $C$6, 100%, $E$6) + CHOOSE(CONTROL!$C$25, 0, 0)</f>
        <v>145.651122395437</v>
      </c>
    </row>
    <row r="367" spans="1:5" ht="15">
      <c r="A367" s="13">
        <v>53266</v>
      </c>
      <c r="B367" s="4">
        <f>22.9532 * CHOOSE(CONTROL!$C$6, $C$6, 100%, $E$6) + CHOOSE(CONTROL!$C$25, 0.0003, 0)</f>
        <v>22.953199999999999</v>
      </c>
      <c r="C367" s="4">
        <f>22.6407 * CHOOSE(CONTROL!$C$6, $C$6, 100%, $E$6) + CHOOSE(CONTROL!$C$25, 0.0003, 0)</f>
        <v>22.640699999999999</v>
      </c>
      <c r="D367" s="4">
        <f>29.4354 * CHOOSE(CONTROL!$C$6, $C$6, 100%, $E$6) + CHOOSE(CONTROL!$C$25, 0, 0)</f>
        <v>29.435400000000001</v>
      </c>
      <c r="E367" s="4">
        <f>140.811797077444 * CHOOSE(CONTROL!$C$6, $C$6, 100%, $E$6) + CHOOSE(CONTROL!$C$25, 0, 0)</f>
        <v>140.811797077444</v>
      </c>
    </row>
    <row r="368" spans="1:5" ht="15">
      <c r="A368" s="13">
        <v>53296</v>
      </c>
      <c r="B368" s="4">
        <f>22.4867 * CHOOSE(CONTROL!$C$6, $C$6, 100%, $E$6) + CHOOSE(CONTROL!$C$25, 0.0003, 0)</f>
        <v>22.486699999999999</v>
      </c>
      <c r="C368" s="4">
        <f>22.1742 * CHOOSE(CONTROL!$C$6, $C$6, 100%, $E$6) + CHOOSE(CONTROL!$C$25, 0.0003, 0)</f>
        <v>22.174199999999999</v>
      </c>
      <c r="D368" s="4">
        <f>29.3005 * CHOOSE(CONTROL!$C$6, $C$6, 100%, $E$6) + CHOOSE(CONTROL!$C$25, 0, 0)</f>
        <v>29.3005</v>
      </c>
      <c r="E368" s="4">
        <f>137.694910194467 * CHOOSE(CONTROL!$C$6, $C$6, 100%, $E$6) + CHOOSE(CONTROL!$C$25, 0, 0)</f>
        <v>137.69491019446701</v>
      </c>
    </row>
    <row r="369" spans="1:5" ht="15">
      <c r="A369" s="13">
        <v>53327</v>
      </c>
      <c r="B369" s="4">
        <f>22.1639 * CHOOSE(CONTROL!$C$6, $C$6, 100%, $E$6) + CHOOSE(CONTROL!$C$25, 0.0003, 0)</f>
        <v>22.163900000000002</v>
      </c>
      <c r="C369" s="4">
        <f>21.8514 * CHOOSE(CONTROL!$C$6, $C$6, 100%, $E$6) + CHOOSE(CONTROL!$C$25, 0.0003, 0)</f>
        <v>21.851400000000002</v>
      </c>
      <c r="D369" s="4">
        <f>28.3072 * CHOOSE(CONTROL!$C$6, $C$6, 100%, $E$6) + CHOOSE(CONTROL!$C$25, 0, 0)</f>
        <v>28.307200000000002</v>
      </c>
      <c r="E369" s="4">
        <f>135.538425129874 * CHOOSE(CONTROL!$C$6, $C$6, 100%, $E$6) + CHOOSE(CONTROL!$C$25, 0, 0)</f>
        <v>135.53842512987401</v>
      </c>
    </row>
    <row r="370" spans="1:5" ht="15">
      <c r="A370" s="13">
        <v>53358</v>
      </c>
      <c r="B370" s="4">
        <f>21.4025 * CHOOSE(CONTROL!$C$6, $C$6, 100%, $E$6) + CHOOSE(CONTROL!$C$25, 0.0003, 0)</f>
        <v>21.4025</v>
      </c>
      <c r="C370" s="4">
        <f>21.09 * CHOOSE(CONTROL!$C$6, $C$6, 100%, $E$6) + CHOOSE(CONTROL!$C$25, 0.0003, 0)</f>
        <v>21.09</v>
      </c>
      <c r="D370" s="4">
        <f>27.3384 * CHOOSE(CONTROL!$C$6, $C$6, 100%, $E$6) + CHOOSE(CONTROL!$C$25, 0, 0)</f>
        <v>27.3384</v>
      </c>
      <c r="E370" s="4">
        <f>131.31985817861 * CHOOSE(CONTROL!$C$6, $C$6, 100%, $E$6) + CHOOSE(CONTROL!$C$25, 0, 0)</f>
        <v>131.31985817860999</v>
      </c>
    </row>
    <row r="371" spans="1:5" ht="15">
      <c r="A371" s="13">
        <v>53386</v>
      </c>
      <c r="B371" s="4">
        <f>21.8661 * CHOOSE(CONTROL!$C$6, $C$6, 100%, $E$6) + CHOOSE(CONTROL!$C$25, 0.0003, 0)</f>
        <v>21.866099999999999</v>
      </c>
      <c r="C371" s="4">
        <f>21.5536 * CHOOSE(CONTROL!$C$6, $C$6, 100%, $E$6) + CHOOSE(CONTROL!$C$25, 0.0003, 0)</f>
        <v>21.553599999999999</v>
      </c>
      <c r="D371" s="4">
        <f>28.2557 * CHOOSE(CONTROL!$C$6, $C$6, 100%, $E$6) + CHOOSE(CONTROL!$C$25, 0, 0)</f>
        <v>28.255700000000001</v>
      </c>
      <c r="E371" s="4">
        <f>134.437909131439 * CHOOSE(CONTROL!$C$6, $C$6, 100%, $E$6) + CHOOSE(CONTROL!$C$25, 0, 0)</f>
        <v>134.437909131439</v>
      </c>
    </row>
    <row r="372" spans="1:5" ht="15">
      <c r="A372" s="13">
        <v>53417</v>
      </c>
      <c r="B372" s="4">
        <f>23.0837 * CHOOSE(CONTROL!$C$6, $C$6, 100%, $E$6) + CHOOSE(CONTROL!$C$25, 0.0003, 0)</f>
        <v>23.0837</v>
      </c>
      <c r="C372" s="4">
        <f>22.7712 * CHOOSE(CONTROL!$C$6, $C$6, 100%, $E$6) + CHOOSE(CONTROL!$C$25, 0.0003, 0)</f>
        <v>22.7712</v>
      </c>
      <c r="D372" s="4">
        <f>29.6917 * CHOOSE(CONTROL!$C$6, $C$6, 100%, $E$6) + CHOOSE(CONTROL!$C$25, 0, 0)</f>
        <v>29.691700000000001</v>
      </c>
      <c r="E372" s="4">
        <f>142.626076636859 * CHOOSE(CONTROL!$C$6, $C$6, 100%, $E$6) + CHOOSE(CONTROL!$C$25, 0, 0)</f>
        <v>142.62607663685901</v>
      </c>
    </row>
    <row r="373" spans="1:5" ht="15">
      <c r="A373" s="13">
        <v>53447</v>
      </c>
      <c r="B373" s="4">
        <f>23.9488 * CHOOSE(CONTROL!$C$6, $C$6, 100%, $E$6) + CHOOSE(CONTROL!$C$25, 0.0003, 0)</f>
        <v>23.948799999999999</v>
      </c>
      <c r="C373" s="4">
        <f>23.6363 * CHOOSE(CONTROL!$C$6, $C$6, 100%, $E$6) + CHOOSE(CONTROL!$C$25, 0.0003, 0)</f>
        <v>23.636299999999999</v>
      </c>
      <c r="D373" s="4">
        <f>30.5189 * CHOOSE(CONTROL!$C$6, $C$6, 100%, $E$6) + CHOOSE(CONTROL!$C$25, 0, 0)</f>
        <v>30.518899999999999</v>
      </c>
      <c r="E373" s="4">
        <f>148.44387877114 * CHOOSE(CONTROL!$C$6, $C$6, 100%, $E$6) + CHOOSE(CONTROL!$C$25, 0, 0)</f>
        <v>148.44387877113999</v>
      </c>
    </row>
    <row r="374" spans="1:5" ht="15">
      <c r="A374" s="13">
        <v>53478</v>
      </c>
      <c r="B374" s="4">
        <f>24.4774 * CHOOSE(CONTROL!$C$6, $C$6, 100%, $E$6) + CHOOSE(CONTROL!$C$25, 0.0258, 0)</f>
        <v>24.477399999999999</v>
      </c>
      <c r="C374" s="4">
        <f>24.1649 * CHOOSE(CONTROL!$C$6, $C$6, 100%, $E$6) + CHOOSE(CONTROL!$C$25, 0.0258, 0)</f>
        <v>24.164899999999999</v>
      </c>
      <c r="D374" s="4">
        <f>30.1921 * CHOOSE(CONTROL!$C$6, $C$6, 100%, $E$6) + CHOOSE(CONTROL!$C$25, 0, 0)</f>
        <v>30.1921</v>
      </c>
      <c r="E374" s="4">
        <f>151.998416441928 * CHOOSE(CONTROL!$C$6, $C$6, 100%, $E$6) + CHOOSE(CONTROL!$C$25, 0, 0)</f>
        <v>151.99841644192799</v>
      </c>
    </row>
    <row r="375" spans="1:5" ht="15">
      <c r="A375" s="13">
        <v>53508</v>
      </c>
      <c r="B375" s="4">
        <f>24.5489 * CHOOSE(CONTROL!$C$6, $C$6, 100%, $E$6) + CHOOSE(CONTROL!$C$25, 0.0258, 0)</f>
        <v>24.5489</v>
      </c>
      <c r="C375" s="4">
        <f>24.2364 * CHOOSE(CONTROL!$C$6, $C$6, 100%, $E$6) + CHOOSE(CONTROL!$C$25, 0.0258, 0)</f>
        <v>24.2364</v>
      </c>
      <c r="D375" s="4">
        <f>30.4583 * CHOOSE(CONTROL!$C$6, $C$6, 100%, $E$6) + CHOOSE(CONTROL!$C$25, 0, 0)</f>
        <v>30.458300000000001</v>
      </c>
      <c r="E375" s="4">
        <f>152.47936014042 * CHOOSE(CONTROL!$C$6, $C$6, 100%, $E$6) + CHOOSE(CONTROL!$C$25, 0, 0)</f>
        <v>152.47936014042</v>
      </c>
    </row>
    <row r="376" spans="1:5" ht="15">
      <c r="A376" s="13">
        <v>53539</v>
      </c>
      <c r="B376" s="4">
        <f>24.5417 * CHOOSE(CONTROL!$C$6, $C$6, 100%, $E$6) + CHOOSE(CONTROL!$C$25, 0.0258, 0)</f>
        <v>24.541699999999999</v>
      </c>
      <c r="C376" s="4">
        <f>24.2292 * CHOOSE(CONTROL!$C$6, $C$6, 100%, $E$6) + CHOOSE(CONTROL!$C$25, 0.0258, 0)</f>
        <v>24.229199999999999</v>
      </c>
      <c r="D376" s="4">
        <f>30.9386 * CHOOSE(CONTROL!$C$6, $C$6, 100%, $E$6) + CHOOSE(CONTROL!$C$25, 0, 0)</f>
        <v>30.938600000000001</v>
      </c>
      <c r="E376" s="4">
        <f>152.430861616203 * CHOOSE(CONTROL!$C$6, $C$6, 100%, $E$6) + CHOOSE(CONTROL!$C$25, 0, 0)</f>
        <v>152.430861616203</v>
      </c>
    </row>
    <row r="377" spans="1:5" ht="15">
      <c r="A377" s="13">
        <v>53570</v>
      </c>
      <c r="B377" s="4">
        <f>25.0844 * CHOOSE(CONTROL!$C$6, $C$6, 100%, $E$6) + CHOOSE(CONTROL!$C$25, 0.0258, 0)</f>
        <v>25.084399999999999</v>
      </c>
      <c r="C377" s="4">
        <f>24.7719 * CHOOSE(CONTROL!$C$6, $C$6, 100%, $E$6) + CHOOSE(CONTROL!$C$25, 0.0258, 0)</f>
        <v>24.771899999999999</v>
      </c>
      <c r="D377" s="4">
        <f>30.6214 * CHOOSE(CONTROL!$C$6, $C$6, 100%, $E$6) + CHOOSE(CONTROL!$C$25, 0, 0)</f>
        <v>30.621400000000001</v>
      </c>
      <c r="E377" s="4">
        <f>156.080375563584 * CHOOSE(CONTROL!$C$6, $C$6, 100%, $E$6) + CHOOSE(CONTROL!$C$25, 0, 0)</f>
        <v>156.080375563584</v>
      </c>
    </row>
    <row r="378" spans="1:5" ht="15">
      <c r="A378" s="13">
        <v>53600</v>
      </c>
      <c r="B378" s="4">
        <f>24.1595 * CHOOSE(CONTROL!$C$6, $C$6, 100%, $E$6) + CHOOSE(CONTROL!$C$25, 0.0258, 0)</f>
        <v>24.159500000000001</v>
      </c>
      <c r="C378" s="4">
        <f>23.847 * CHOOSE(CONTROL!$C$6, $C$6, 100%, $E$6) + CHOOSE(CONTROL!$C$25, 0.0258, 0)</f>
        <v>23.847000000000001</v>
      </c>
      <c r="D378" s="4">
        <f>30.4715 * CHOOSE(CONTROL!$C$6, $C$6, 100%, $E$6) + CHOOSE(CONTROL!$C$25, 0, 0)</f>
        <v>30.471499999999999</v>
      </c>
      <c r="E378" s="4">
        <f>149.860439832665 * CHOOSE(CONTROL!$C$6, $C$6, 100%, $E$6) + CHOOSE(CONTROL!$C$25, 0, 0)</f>
        <v>149.86043983266501</v>
      </c>
    </row>
    <row r="379" spans="1:5" ht="15">
      <c r="A379" s="13">
        <v>53631</v>
      </c>
      <c r="B379" s="4">
        <f>23.4191 * CHOOSE(CONTROL!$C$6, $C$6, 100%, $E$6) + CHOOSE(CONTROL!$C$25, 0.0003, 0)</f>
        <v>23.4191</v>
      </c>
      <c r="C379" s="4">
        <f>23.1066 * CHOOSE(CONTROL!$C$6, $C$6, 100%, $E$6) + CHOOSE(CONTROL!$C$25, 0.0003, 0)</f>
        <v>23.1066</v>
      </c>
      <c r="D379" s="4">
        <f>30.0702 * CHOOSE(CONTROL!$C$6, $C$6, 100%, $E$6) + CHOOSE(CONTROL!$C$25, 0, 0)</f>
        <v>30.0702</v>
      </c>
      <c r="E379" s="4">
        <f>144.881258012982 * CHOOSE(CONTROL!$C$6, $C$6, 100%, $E$6) + CHOOSE(CONTROL!$C$25, 0, 0)</f>
        <v>144.88125801298199</v>
      </c>
    </row>
    <row r="380" spans="1:5" ht="15">
      <c r="A380" s="13">
        <v>53661</v>
      </c>
      <c r="B380" s="4">
        <f>22.9422 * CHOOSE(CONTROL!$C$6, $C$6, 100%, $E$6) + CHOOSE(CONTROL!$C$25, 0.0003, 0)</f>
        <v>22.9422</v>
      </c>
      <c r="C380" s="4">
        <f>22.6297 * CHOOSE(CONTROL!$C$6, $C$6, 100%, $E$6) + CHOOSE(CONTROL!$C$25, 0.0003, 0)</f>
        <v>22.6297</v>
      </c>
      <c r="D380" s="4">
        <f>29.9323 * CHOOSE(CONTROL!$C$6, $C$6, 100%, $E$6) + CHOOSE(CONTROL!$C$25, 0, 0)</f>
        <v>29.932300000000001</v>
      </c>
      <c r="E380" s="4">
        <f>141.674293099087 * CHOOSE(CONTROL!$C$6, $C$6, 100%, $E$6) + CHOOSE(CONTROL!$C$25, 0, 0)</f>
        <v>141.67429309908701</v>
      </c>
    </row>
    <row r="381" spans="1:5" ht="15">
      <c r="A381" s="13">
        <v>53692</v>
      </c>
      <c r="B381" s="4">
        <f>22.6122 * CHOOSE(CONTROL!$C$6, $C$6, 100%, $E$6) + CHOOSE(CONTROL!$C$25, 0.0003, 0)</f>
        <v>22.612200000000001</v>
      </c>
      <c r="C381" s="4">
        <f>22.2997 * CHOOSE(CONTROL!$C$6, $C$6, 100%, $E$6) + CHOOSE(CONTROL!$C$25, 0.0003, 0)</f>
        <v>22.299700000000001</v>
      </c>
      <c r="D381" s="4">
        <f>28.9165 * CHOOSE(CONTROL!$C$6, $C$6, 100%, $E$6) + CHOOSE(CONTROL!$C$25, 0, 0)</f>
        <v>28.916499999999999</v>
      </c>
      <c r="E381" s="4">
        <f>139.455485616128 * CHOOSE(CONTROL!$C$6, $C$6, 100%, $E$6) + CHOOSE(CONTROL!$C$25, 0, 0)</f>
        <v>139.45548561612799</v>
      </c>
    </row>
    <row r="382" spans="1:5" ht="15">
      <c r="A382" s="13">
        <v>53723</v>
      </c>
      <c r="B382" s="4">
        <f>21.834 * CHOOSE(CONTROL!$C$6, $C$6, 100%, $E$6) + CHOOSE(CONTROL!$C$25, 0.0003, 0)</f>
        <v>21.834</v>
      </c>
      <c r="C382" s="4">
        <f>21.5215 * CHOOSE(CONTROL!$C$6, $C$6, 100%, $E$6) + CHOOSE(CONTROL!$C$25, 0.0003, 0)</f>
        <v>21.5215</v>
      </c>
      <c r="D382" s="4">
        <f>27.9258 * CHOOSE(CONTROL!$C$6, $C$6, 100%, $E$6) + CHOOSE(CONTROL!$C$25, 0, 0)</f>
        <v>27.925799999999999</v>
      </c>
      <c r="E382" s="4">
        <f>135.115002079972 * CHOOSE(CONTROL!$C$6, $C$6, 100%, $E$6) + CHOOSE(CONTROL!$C$25, 0, 0)</f>
        <v>135.11500207997199</v>
      </c>
    </row>
    <row r="383" spans="1:5" ht="15">
      <c r="A383" s="13">
        <v>53751</v>
      </c>
      <c r="B383" s="4">
        <f>22.3079 * CHOOSE(CONTROL!$C$6, $C$6, 100%, $E$6) + CHOOSE(CONTROL!$C$25, 0.0003, 0)</f>
        <v>22.3079</v>
      </c>
      <c r="C383" s="4">
        <f>21.9954 * CHOOSE(CONTROL!$C$6, $C$6, 100%, $E$6) + CHOOSE(CONTROL!$C$25, 0.0003, 0)</f>
        <v>21.9954</v>
      </c>
      <c r="D383" s="4">
        <f>28.8638 * CHOOSE(CONTROL!$C$6, $C$6, 100%, $E$6) + CHOOSE(CONTROL!$C$25, 0, 0)</f>
        <v>28.863800000000001</v>
      </c>
      <c r="E383" s="4">
        <f>138.323164705338 * CHOOSE(CONTROL!$C$6, $C$6, 100%, $E$6) + CHOOSE(CONTROL!$C$25, 0, 0)</f>
        <v>138.323164705338</v>
      </c>
    </row>
    <row r="384" spans="1:5" ht="15">
      <c r="A384" s="13">
        <v>53782</v>
      </c>
      <c r="B384" s="4">
        <f>23.5524 * CHOOSE(CONTROL!$C$6, $C$6, 100%, $E$6) + CHOOSE(CONTROL!$C$25, 0.0003, 0)</f>
        <v>23.552399999999999</v>
      </c>
      <c r="C384" s="4">
        <f>23.2399 * CHOOSE(CONTROL!$C$6, $C$6, 100%, $E$6) + CHOOSE(CONTROL!$C$25, 0.0003, 0)</f>
        <v>23.239899999999999</v>
      </c>
      <c r="D384" s="4">
        <f>30.3323 * CHOOSE(CONTROL!$C$6, $C$6, 100%, $E$6) + CHOOSE(CONTROL!$C$25, 0, 0)</f>
        <v>30.3323</v>
      </c>
      <c r="E384" s="4">
        <f>146.747970251665 * CHOOSE(CONTROL!$C$6, $C$6, 100%, $E$6) + CHOOSE(CONTROL!$C$25, 0, 0)</f>
        <v>146.74797025166501</v>
      </c>
    </row>
    <row r="385" spans="1:5" ht="15">
      <c r="A385" s="13">
        <v>53812</v>
      </c>
      <c r="B385" s="4">
        <f>24.4367 * CHOOSE(CONTROL!$C$6, $C$6, 100%, $E$6) + CHOOSE(CONTROL!$C$25, 0.0003, 0)</f>
        <v>24.436699999999998</v>
      </c>
      <c r="C385" s="4">
        <f>24.1242 * CHOOSE(CONTROL!$C$6, $C$6, 100%, $E$6) + CHOOSE(CONTROL!$C$25, 0.0003, 0)</f>
        <v>24.124199999999998</v>
      </c>
      <c r="D385" s="4">
        <f>31.1782 * CHOOSE(CONTROL!$C$6, $C$6, 100%, $E$6) + CHOOSE(CONTROL!$C$25, 0, 0)</f>
        <v>31.1782</v>
      </c>
      <c r="E385" s="4">
        <f>152.733906867626 * CHOOSE(CONTROL!$C$6, $C$6, 100%, $E$6) + CHOOSE(CONTROL!$C$25, 0, 0)</f>
        <v>152.73390686762599</v>
      </c>
    </row>
    <row r="386" spans="1:5" ht="15">
      <c r="A386" s="13">
        <v>53843</v>
      </c>
      <c r="B386" s="4">
        <f>24.9769 * CHOOSE(CONTROL!$C$6, $C$6, 100%, $E$6) + CHOOSE(CONTROL!$C$25, 0.0258, 0)</f>
        <v>24.976900000000001</v>
      </c>
      <c r="C386" s="4">
        <f>24.6644 * CHOOSE(CONTROL!$C$6, $C$6, 100%, $E$6) + CHOOSE(CONTROL!$C$25, 0.0258, 0)</f>
        <v>24.664400000000001</v>
      </c>
      <c r="D386" s="4">
        <f>30.844 * CHOOSE(CONTROL!$C$6, $C$6, 100%, $E$6) + CHOOSE(CONTROL!$C$25, 0, 0)</f>
        <v>30.844000000000001</v>
      </c>
      <c r="E386" s="4">
        <f>156.3911706771 * CHOOSE(CONTROL!$C$6, $C$6, 100%, $E$6) + CHOOSE(CONTROL!$C$25, 0, 0)</f>
        <v>156.39117067710001</v>
      </c>
    </row>
    <row r="387" spans="1:5" ht="15">
      <c r="A387" s="13">
        <v>53873</v>
      </c>
      <c r="B387" s="4">
        <f>25.05 * CHOOSE(CONTROL!$C$6, $C$6, 100%, $E$6) + CHOOSE(CONTROL!$C$25, 0.0258, 0)</f>
        <v>25.05</v>
      </c>
      <c r="C387" s="4">
        <f>24.7375 * CHOOSE(CONTROL!$C$6, $C$6, 100%, $E$6) + CHOOSE(CONTROL!$C$25, 0.0258, 0)</f>
        <v>24.737500000000001</v>
      </c>
      <c r="D387" s="4">
        <f>31.1162 * CHOOSE(CONTROL!$C$6, $C$6, 100%, $E$6) + CHOOSE(CONTROL!$C$25, 0, 0)</f>
        <v>31.116199999999999</v>
      </c>
      <c r="E387" s="4">
        <f>156.886013648478 * CHOOSE(CONTROL!$C$6, $C$6, 100%, $E$6) + CHOOSE(CONTROL!$C$25, 0, 0)</f>
        <v>156.88601364847801</v>
      </c>
    </row>
    <row r="388" spans="1:5" ht="15">
      <c r="A388" s="13">
        <v>53904</v>
      </c>
      <c r="B388" s="4">
        <f>25.0426 * CHOOSE(CONTROL!$C$6, $C$6, 100%, $E$6) + CHOOSE(CONTROL!$C$25, 0.0258, 0)</f>
        <v>25.0426</v>
      </c>
      <c r="C388" s="4">
        <f>24.7301 * CHOOSE(CONTROL!$C$6, $C$6, 100%, $E$6) + CHOOSE(CONTROL!$C$25, 0.0258, 0)</f>
        <v>24.7301</v>
      </c>
      <c r="D388" s="4">
        <f>31.6074 * CHOOSE(CONTROL!$C$6, $C$6, 100%, $E$6) + CHOOSE(CONTROL!$C$25, 0, 0)</f>
        <v>31.607399999999998</v>
      </c>
      <c r="E388" s="4">
        <f>156.836113516911 * CHOOSE(CONTROL!$C$6, $C$6, 100%, $E$6) + CHOOSE(CONTROL!$C$25, 0, 0)</f>
        <v>156.83611351691101</v>
      </c>
    </row>
    <row r="389" spans="1:5" ht="15">
      <c r="A389" s="13">
        <v>53935</v>
      </c>
      <c r="B389" s="4">
        <f>25.5973 * CHOOSE(CONTROL!$C$6, $C$6, 100%, $E$6) + CHOOSE(CONTROL!$C$25, 0.0258, 0)</f>
        <v>25.597300000000001</v>
      </c>
      <c r="C389" s="4">
        <f>25.2848 * CHOOSE(CONTROL!$C$6, $C$6, 100%, $E$6) + CHOOSE(CONTROL!$C$25, 0.0258, 0)</f>
        <v>25.284800000000001</v>
      </c>
      <c r="D389" s="4">
        <f>31.283 * CHOOSE(CONTROL!$C$6, $C$6, 100%, $E$6) + CHOOSE(CONTROL!$C$25, 0, 0)</f>
        <v>31.283000000000001</v>
      </c>
      <c r="E389" s="4">
        <f>160.591098417371 * CHOOSE(CONTROL!$C$6, $C$6, 100%, $E$6) + CHOOSE(CONTROL!$C$25, 0, 0)</f>
        <v>160.591098417371</v>
      </c>
    </row>
    <row r="390" spans="1:5" ht="15">
      <c r="A390" s="13">
        <v>53965</v>
      </c>
      <c r="B390" s="4">
        <f>24.652 * CHOOSE(CONTROL!$C$6, $C$6, 100%, $E$6) + CHOOSE(CONTROL!$C$25, 0.0258, 0)</f>
        <v>24.652000000000001</v>
      </c>
      <c r="C390" s="4">
        <f>24.3395 * CHOOSE(CONTROL!$C$6, $C$6, 100%, $E$6) + CHOOSE(CONTROL!$C$25, 0.0258, 0)</f>
        <v>24.339500000000001</v>
      </c>
      <c r="D390" s="4">
        <f>31.1298 * CHOOSE(CONTROL!$C$6, $C$6, 100%, $E$6) + CHOOSE(CONTROL!$C$25, 0, 0)</f>
        <v>31.129799999999999</v>
      </c>
      <c r="E390" s="4">
        <f>154.191406543829 * CHOOSE(CONTROL!$C$6, $C$6, 100%, $E$6) + CHOOSE(CONTROL!$C$25, 0, 0)</f>
        <v>154.191406543829</v>
      </c>
    </row>
    <row r="391" spans="1:5" ht="15">
      <c r="A391" s="13">
        <v>53996</v>
      </c>
      <c r="B391" s="4">
        <f>23.8952 * CHOOSE(CONTROL!$C$6, $C$6, 100%, $E$6) + CHOOSE(CONTROL!$C$25, 0.0003, 0)</f>
        <v>23.895199999999999</v>
      </c>
      <c r="C391" s="4">
        <f>23.5827 * CHOOSE(CONTROL!$C$6, $C$6, 100%, $E$6) + CHOOSE(CONTROL!$C$25, 0.0003, 0)</f>
        <v>23.582699999999999</v>
      </c>
      <c r="D391" s="4">
        <f>30.7194 * CHOOSE(CONTROL!$C$6, $C$6, 100%, $E$6) + CHOOSE(CONTROL!$C$25, 0, 0)</f>
        <v>30.7194</v>
      </c>
      <c r="E391" s="4">
        <f>149.068326369557 * CHOOSE(CONTROL!$C$6, $C$6, 100%, $E$6) + CHOOSE(CONTROL!$C$25, 0, 0)</f>
        <v>149.06832636955701</v>
      </c>
    </row>
    <row r="392" spans="1:5" ht="15">
      <c r="A392" s="13">
        <v>54026</v>
      </c>
      <c r="B392" s="4">
        <f>23.4078 * CHOOSE(CONTROL!$C$6, $C$6, 100%, $E$6) + CHOOSE(CONTROL!$C$25, 0.0003, 0)</f>
        <v>23.407800000000002</v>
      </c>
      <c r="C392" s="4">
        <f>23.0953 * CHOOSE(CONTROL!$C$6, $C$6, 100%, $E$6) + CHOOSE(CONTROL!$C$25, 0.0003, 0)</f>
        <v>23.095300000000002</v>
      </c>
      <c r="D392" s="4">
        <f>30.5783 * CHOOSE(CONTROL!$C$6, $C$6, 100%, $E$6) + CHOOSE(CONTROL!$C$25, 0, 0)</f>
        <v>30.578299999999999</v>
      </c>
      <c r="E392" s="4">
        <f>145.768680169651 * CHOOSE(CONTROL!$C$6, $C$6, 100%, $E$6) + CHOOSE(CONTROL!$C$25, 0, 0)</f>
        <v>145.76868016965099</v>
      </c>
    </row>
    <row r="393" spans="1:5" ht="15">
      <c r="A393" s="13">
        <v>54057</v>
      </c>
      <c r="B393" s="4">
        <f>23.0705 * CHOOSE(CONTROL!$C$6, $C$6, 100%, $E$6) + CHOOSE(CONTROL!$C$25, 0.0003, 0)</f>
        <v>23.070499999999999</v>
      </c>
      <c r="C393" s="4">
        <f>22.758 * CHOOSE(CONTROL!$C$6, $C$6, 100%, $E$6) + CHOOSE(CONTROL!$C$25, 0.0003, 0)</f>
        <v>22.757999999999999</v>
      </c>
      <c r="D393" s="4">
        <f>29.5396 * CHOOSE(CONTROL!$C$6, $C$6, 100%, $E$6) + CHOOSE(CONTROL!$C$25, 0, 0)</f>
        <v>29.5396</v>
      </c>
      <c r="E393" s="4">
        <f>143.485749150434 * CHOOSE(CONTROL!$C$6, $C$6, 100%, $E$6) + CHOOSE(CONTROL!$C$25, 0, 0)</f>
        <v>143.485749150434</v>
      </c>
    </row>
    <row r="394" spans="1:5" ht="15">
      <c r="A394" s="13">
        <v>54088</v>
      </c>
      <c r="B394" s="4">
        <f>22.2751 * CHOOSE(CONTROL!$C$6, $C$6, 100%, $E$6) + CHOOSE(CONTROL!$C$25, 0.0003, 0)</f>
        <v>22.275099999999998</v>
      </c>
      <c r="C394" s="4">
        <f>21.9626 * CHOOSE(CONTROL!$C$6, $C$6, 100%, $E$6) + CHOOSE(CONTROL!$C$25, 0.0003, 0)</f>
        <v>21.962599999999998</v>
      </c>
      <c r="D394" s="4">
        <f>28.5265 * CHOOSE(CONTROL!$C$6, $C$6, 100%, $E$6) + CHOOSE(CONTROL!$C$25, 0, 0)</f>
        <v>28.526499999999999</v>
      </c>
      <c r="E394" s="4">
        <f>139.019825640083 * CHOOSE(CONTROL!$C$6, $C$6, 100%, $E$6) + CHOOSE(CONTROL!$C$25, 0, 0)</f>
        <v>139.01982564008301</v>
      </c>
    </row>
    <row r="395" spans="1:5" ht="15">
      <c r="A395" s="13">
        <v>54116</v>
      </c>
      <c r="B395" s="4">
        <f>22.7595 * CHOOSE(CONTROL!$C$6, $C$6, 100%, $E$6) + CHOOSE(CONTROL!$C$25, 0.0003, 0)</f>
        <v>22.759499999999999</v>
      </c>
      <c r="C395" s="4">
        <f>22.447 * CHOOSE(CONTROL!$C$6, $C$6, 100%, $E$6) + CHOOSE(CONTROL!$C$25, 0.0003, 0)</f>
        <v>22.446999999999999</v>
      </c>
      <c r="D395" s="4">
        <f>29.4857 * CHOOSE(CONTROL!$C$6, $C$6, 100%, $E$6) + CHOOSE(CONTROL!$C$25, 0, 0)</f>
        <v>29.485700000000001</v>
      </c>
      <c r="E395" s="4">
        <f>142.320704165322 * CHOOSE(CONTROL!$C$6, $C$6, 100%, $E$6) + CHOOSE(CONTROL!$C$25, 0, 0)</f>
        <v>142.32070416532201</v>
      </c>
    </row>
    <row r="396" spans="1:5" ht="15">
      <c r="A396" s="13">
        <v>54148</v>
      </c>
      <c r="B396" s="4">
        <f>24.0315 * CHOOSE(CONTROL!$C$6, $C$6, 100%, $E$6) + CHOOSE(CONTROL!$C$25, 0.0003, 0)</f>
        <v>24.031500000000001</v>
      </c>
      <c r="C396" s="4">
        <f>23.719 * CHOOSE(CONTROL!$C$6, $C$6, 100%, $E$6) + CHOOSE(CONTROL!$C$25, 0.0003, 0)</f>
        <v>23.719000000000001</v>
      </c>
      <c r="D396" s="4">
        <f>30.9874 * CHOOSE(CONTROL!$C$6, $C$6, 100%, $E$6) + CHOOSE(CONTROL!$C$25, 0, 0)</f>
        <v>30.987400000000001</v>
      </c>
      <c r="E396" s="4">
        <f>150.988986591938 * CHOOSE(CONTROL!$C$6, $C$6, 100%, $E$6) + CHOOSE(CONTROL!$C$25, 0, 0)</f>
        <v>150.98898659193799</v>
      </c>
    </row>
    <row r="397" spans="1:5" ht="15">
      <c r="A397" s="13">
        <v>54178</v>
      </c>
      <c r="B397" s="4">
        <f>24.9353 * CHOOSE(CONTROL!$C$6, $C$6, 100%, $E$6) + CHOOSE(CONTROL!$C$25, 0.0003, 0)</f>
        <v>24.935300000000002</v>
      </c>
      <c r="C397" s="4">
        <f>24.6228 * CHOOSE(CONTROL!$C$6, $C$6, 100%, $E$6) + CHOOSE(CONTROL!$C$25, 0.0003, 0)</f>
        <v>24.622800000000002</v>
      </c>
      <c r="D397" s="4">
        <f>31.8524 * CHOOSE(CONTROL!$C$6, $C$6, 100%, $E$6) + CHOOSE(CONTROL!$C$25, 0, 0)</f>
        <v>31.852399999999999</v>
      </c>
      <c r="E397" s="4">
        <f>157.1479167761 * CHOOSE(CONTROL!$C$6, $C$6, 100%, $E$6) + CHOOSE(CONTROL!$C$25, 0, 0)</f>
        <v>157.1479167761</v>
      </c>
    </row>
    <row r="398" spans="1:5" ht="15">
      <c r="A398" s="13">
        <v>54209</v>
      </c>
      <c r="B398" s="4">
        <f>25.4875 * CHOOSE(CONTROL!$C$6, $C$6, 100%, $E$6) + CHOOSE(CONTROL!$C$25, 0.0258, 0)</f>
        <v>25.487500000000001</v>
      </c>
      <c r="C398" s="4">
        <f>25.175 * CHOOSE(CONTROL!$C$6, $C$6, 100%, $E$6) + CHOOSE(CONTROL!$C$25, 0.0258, 0)</f>
        <v>25.175000000000001</v>
      </c>
      <c r="D398" s="4">
        <f>31.5106 * CHOOSE(CONTROL!$C$6, $C$6, 100%, $E$6) + CHOOSE(CONTROL!$C$25, 0, 0)</f>
        <v>31.5106</v>
      </c>
      <c r="E398" s="4">
        <f>160.910875509668 * CHOOSE(CONTROL!$C$6, $C$6, 100%, $E$6) + CHOOSE(CONTROL!$C$25, 0, 0)</f>
        <v>160.91087550966799</v>
      </c>
    </row>
    <row r="399" spans="1:5" ht="15">
      <c r="A399" s="13">
        <v>54239</v>
      </c>
      <c r="B399" s="4">
        <f>25.5622 * CHOOSE(CONTROL!$C$6, $C$6, 100%, $E$6) + CHOOSE(CONTROL!$C$25, 0.0258, 0)</f>
        <v>25.562200000000001</v>
      </c>
      <c r="C399" s="4">
        <f>25.2497 * CHOOSE(CONTROL!$C$6, $C$6, 100%, $E$6) + CHOOSE(CONTROL!$C$25, 0.0258, 0)</f>
        <v>25.249700000000001</v>
      </c>
      <c r="D399" s="4">
        <f>31.789 * CHOOSE(CONTROL!$C$6, $C$6, 100%, $E$6) + CHOOSE(CONTROL!$C$25, 0, 0)</f>
        <v>31.789000000000001</v>
      </c>
      <c r="E399" s="4">
        <f>161.420019442919 * CHOOSE(CONTROL!$C$6, $C$6, 100%, $E$6) + CHOOSE(CONTROL!$C$25, 0, 0)</f>
        <v>161.420019442919</v>
      </c>
    </row>
    <row r="400" spans="1:5" ht="15">
      <c r="A400" s="13">
        <v>54270</v>
      </c>
      <c r="B400" s="4">
        <f>25.5546 * CHOOSE(CONTROL!$C$6, $C$6, 100%, $E$6) + CHOOSE(CONTROL!$C$25, 0.0258, 0)</f>
        <v>25.554600000000001</v>
      </c>
      <c r="C400" s="4">
        <f>25.2421 * CHOOSE(CONTROL!$C$6, $C$6, 100%, $E$6) + CHOOSE(CONTROL!$C$25, 0.0258, 0)</f>
        <v>25.242100000000001</v>
      </c>
      <c r="D400" s="4">
        <f>32.2913 * CHOOSE(CONTROL!$C$6, $C$6, 100%, $E$6) + CHOOSE(CONTROL!$C$25, 0, 0)</f>
        <v>32.2913</v>
      </c>
      <c r="E400" s="4">
        <f>161.368677197549 * CHOOSE(CONTROL!$C$6, $C$6, 100%, $E$6) + CHOOSE(CONTROL!$C$25, 0, 0)</f>
        <v>161.368677197549</v>
      </c>
    </row>
    <row r="401" spans="1:5" ht="15">
      <c r="A401" s="13">
        <v>54301</v>
      </c>
      <c r="B401" s="4">
        <f>26.1216 * CHOOSE(CONTROL!$C$6, $C$6, 100%, $E$6) + CHOOSE(CONTROL!$C$25, 0.0258, 0)</f>
        <v>26.121600000000001</v>
      </c>
      <c r="C401" s="4">
        <f>25.8091 * CHOOSE(CONTROL!$C$6, $C$6, 100%, $E$6) + CHOOSE(CONTROL!$C$25, 0.0258, 0)</f>
        <v>25.809100000000001</v>
      </c>
      <c r="D401" s="4">
        <f>31.9596 * CHOOSE(CONTROL!$C$6, $C$6, 100%, $E$6) + CHOOSE(CONTROL!$C$25, 0, 0)</f>
        <v>31.959599999999998</v>
      </c>
      <c r="E401" s="4">
        <f>165.232181161633 * CHOOSE(CONTROL!$C$6, $C$6, 100%, $E$6) + CHOOSE(CONTROL!$C$25, 0, 0)</f>
        <v>165.23218116163301</v>
      </c>
    </row>
    <row r="402" spans="1:5" ht="15">
      <c r="A402" s="13">
        <v>54331</v>
      </c>
      <c r="B402" s="4">
        <f>25.1553 * CHOOSE(CONTROL!$C$6, $C$6, 100%, $E$6) + CHOOSE(CONTROL!$C$25, 0.0258, 0)</f>
        <v>25.1553</v>
      </c>
      <c r="C402" s="4">
        <f>24.8428 * CHOOSE(CONTROL!$C$6, $C$6, 100%, $E$6) + CHOOSE(CONTROL!$C$25, 0.0258, 0)</f>
        <v>24.8428</v>
      </c>
      <c r="D402" s="4">
        <f>31.8028 * CHOOSE(CONTROL!$C$6, $C$6, 100%, $E$6) + CHOOSE(CONTROL!$C$25, 0, 0)</f>
        <v>31.802800000000001</v>
      </c>
      <c r="E402" s="4">
        <f>158.647538192946 * CHOOSE(CONTROL!$C$6, $C$6, 100%, $E$6) + CHOOSE(CONTROL!$C$25, 0, 0)</f>
        <v>158.647538192946</v>
      </c>
    </row>
    <row r="403" spans="1:5" ht="15">
      <c r="A403" s="13">
        <v>54362</v>
      </c>
      <c r="B403" s="4">
        <f>24.3818 * CHOOSE(CONTROL!$C$6, $C$6, 100%, $E$6) + CHOOSE(CONTROL!$C$25, 0.0003, 0)</f>
        <v>24.381799999999998</v>
      </c>
      <c r="C403" s="4">
        <f>24.0693 * CHOOSE(CONTROL!$C$6, $C$6, 100%, $E$6) + CHOOSE(CONTROL!$C$25, 0.0003, 0)</f>
        <v>24.069299999999998</v>
      </c>
      <c r="D403" s="4">
        <f>31.3832 * CHOOSE(CONTROL!$C$6, $C$6, 100%, $E$6) + CHOOSE(CONTROL!$C$25, 0, 0)</f>
        <v>31.383199999999999</v>
      </c>
      <c r="E403" s="4">
        <f>153.376401001637 * CHOOSE(CONTROL!$C$6, $C$6, 100%, $E$6) + CHOOSE(CONTROL!$C$25, 0, 0)</f>
        <v>153.37640100163699</v>
      </c>
    </row>
    <row r="404" spans="1:5" ht="15">
      <c r="A404" s="13">
        <v>54392</v>
      </c>
      <c r="B404" s="4">
        <f>23.8836 * CHOOSE(CONTROL!$C$6, $C$6, 100%, $E$6) + CHOOSE(CONTROL!$C$25, 0.0003, 0)</f>
        <v>23.883600000000001</v>
      </c>
      <c r="C404" s="4">
        <f>23.5711 * CHOOSE(CONTROL!$C$6, $C$6, 100%, $E$6) + CHOOSE(CONTROL!$C$25, 0.0003, 0)</f>
        <v>23.571100000000001</v>
      </c>
      <c r="D404" s="4">
        <f>31.2389 * CHOOSE(CONTROL!$C$6, $C$6, 100%, $E$6) + CHOOSE(CONTROL!$C$25, 0, 0)</f>
        <v>31.238900000000001</v>
      </c>
      <c r="E404" s="4">
        <f>149.981395026554 * CHOOSE(CONTROL!$C$6, $C$6, 100%, $E$6) + CHOOSE(CONTROL!$C$25, 0, 0)</f>
        <v>149.981395026554</v>
      </c>
    </row>
    <row r="405" spans="1:5" ht="15">
      <c r="A405" s="13">
        <v>54423</v>
      </c>
      <c r="B405" s="4">
        <f>23.539 * CHOOSE(CONTROL!$C$6, $C$6, 100%, $E$6) + CHOOSE(CONTROL!$C$25, 0.0003, 0)</f>
        <v>23.539000000000001</v>
      </c>
      <c r="C405" s="4">
        <f>23.2265 * CHOOSE(CONTROL!$C$6, $C$6, 100%, $E$6) + CHOOSE(CONTROL!$C$25, 0.0003, 0)</f>
        <v>23.226500000000001</v>
      </c>
      <c r="D405" s="4">
        <f>30.1767 * CHOOSE(CONTROL!$C$6, $C$6, 100%, $E$6) + CHOOSE(CONTROL!$C$25, 0, 0)</f>
        <v>30.1767</v>
      </c>
      <c r="E405" s="4">
        <f>147.632487300881 * CHOOSE(CONTROL!$C$6, $C$6, 100%, $E$6) + CHOOSE(CONTROL!$C$25, 0, 0)</f>
        <v>147.632487300881</v>
      </c>
    </row>
    <row r="406" spans="1:5" ht="15">
      <c r="A406" s="13">
        <v>54454</v>
      </c>
      <c r="B406" s="4">
        <f>22.726 * CHOOSE(CONTROL!$C$6, $C$6, 100%, $E$6) + CHOOSE(CONTROL!$C$25, 0.0003, 0)</f>
        <v>22.725999999999999</v>
      </c>
      <c r="C406" s="4">
        <f>22.4135 * CHOOSE(CONTROL!$C$6, $C$6, 100%, $E$6) + CHOOSE(CONTROL!$C$25, 0.0003, 0)</f>
        <v>22.413499999999999</v>
      </c>
      <c r="D406" s="4">
        <f>29.1407 * CHOOSE(CONTROL!$C$6, $C$6, 100%, $E$6) + CHOOSE(CONTROL!$C$25, 0, 0)</f>
        <v>29.140699999999999</v>
      </c>
      <c r="E406" s="4">
        <f>143.037498601082 * CHOOSE(CONTROL!$C$6, $C$6, 100%, $E$6) + CHOOSE(CONTROL!$C$25, 0, 0)</f>
        <v>143.03749860108201</v>
      </c>
    </row>
    <row r="407" spans="1:5" ht="15">
      <c r="A407" s="13">
        <v>54482</v>
      </c>
      <c r="B407" s="4">
        <f>23.221 * CHOOSE(CONTROL!$C$6, $C$6, 100%, $E$6) + CHOOSE(CONTROL!$C$25, 0.0003, 0)</f>
        <v>23.221</v>
      </c>
      <c r="C407" s="4">
        <f>22.9085 * CHOOSE(CONTROL!$C$6, $C$6, 100%, $E$6) + CHOOSE(CONTROL!$C$25, 0.0003, 0)</f>
        <v>22.9085</v>
      </c>
      <c r="D407" s="4">
        <f>30.1217 * CHOOSE(CONTROL!$C$6, $C$6, 100%, $E$6) + CHOOSE(CONTROL!$C$25, 0, 0)</f>
        <v>30.121700000000001</v>
      </c>
      <c r="E407" s="4">
        <f>146.4337725157 * CHOOSE(CONTROL!$C$6, $C$6, 100%, $E$6) + CHOOSE(CONTROL!$C$25, 0, 0)</f>
        <v>146.43377251570001</v>
      </c>
    </row>
    <row r="408" spans="1:5" ht="15">
      <c r="A408" s="13">
        <v>54513</v>
      </c>
      <c r="B408" s="4">
        <f>24.5212 * CHOOSE(CONTROL!$C$6, $C$6, 100%, $E$6) + CHOOSE(CONTROL!$C$25, 0.0003, 0)</f>
        <v>24.5212</v>
      </c>
      <c r="C408" s="4">
        <f>24.2087 * CHOOSE(CONTROL!$C$6, $C$6, 100%, $E$6) + CHOOSE(CONTROL!$C$25, 0.0003, 0)</f>
        <v>24.2087</v>
      </c>
      <c r="D408" s="4">
        <f>31.6573 * CHOOSE(CONTROL!$C$6, $C$6, 100%, $E$6) + CHOOSE(CONTROL!$C$25, 0, 0)</f>
        <v>31.657299999999999</v>
      </c>
      <c r="E408" s="4">
        <f>155.352568304445 * CHOOSE(CONTROL!$C$6, $C$6, 100%, $E$6) + CHOOSE(CONTROL!$C$25, 0, 0)</f>
        <v>155.35256830444499</v>
      </c>
    </row>
    <row r="409" spans="1:5" ht="15">
      <c r="A409" s="13">
        <v>54543</v>
      </c>
      <c r="B409" s="4">
        <f>25.4449 * CHOOSE(CONTROL!$C$6, $C$6, 100%, $E$6) + CHOOSE(CONTROL!$C$25, 0.0003, 0)</f>
        <v>25.444900000000001</v>
      </c>
      <c r="C409" s="4">
        <f>25.1324 * CHOOSE(CONTROL!$C$6, $C$6, 100%, $E$6) + CHOOSE(CONTROL!$C$25, 0.0003, 0)</f>
        <v>25.132400000000001</v>
      </c>
      <c r="D409" s="4">
        <f>32.5419 * CHOOSE(CONTROL!$C$6, $C$6, 100%, $E$6) + CHOOSE(CONTROL!$C$25, 0, 0)</f>
        <v>32.541899999999998</v>
      </c>
      <c r="E409" s="4">
        <f>161.689491570929 * CHOOSE(CONTROL!$C$6, $C$6, 100%, $E$6) + CHOOSE(CONTROL!$C$25, 0, 0)</f>
        <v>161.68949157092899</v>
      </c>
    </row>
    <row r="410" spans="1:5" ht="15">
      <c r="A410" s="13">
        <v>54574</v>
      </c>
      <c r="B410" s="4">
        <f>26.0093 * CHOOSE(CONTROL!$C$6, $C$6, 100%, $E$6) + CHOOSE(CONTROL!$C$25, 0.0258, 0)</f>
        <v>26.0093</v>
      </c>
      <c r="C410" s="4">
        <f>25.6968 * CHOOSE(CONTROL!$C$6, $C$6, 100%, $E$6) + CHOOSE(CONTROL!$C$25, 0.0258, 0)</f>
        <v>25.6968</v>
      </c>
      <c r="D410" s="4">
        <f>32.1923 * CHOOSE(CONTROL!$C$6, $C$6, 100%, $E$6) + CHOOSE(CONTROL!$C$25, 0, 0)</f>
        <v>32.192300000000003</v>
      </c>
      <c r="E410" s="4">
        <f>165.561199811897 * CHOOSE(CONTROL!$C$6, $C$6, 100%, $E$6) + CHOOSE(CONTROL!$C$25, 0, 0)</f>
        <v>165.56119981189701</v>
      </c>
    </row>
    <row r="411" spans="1:5" ht="15">
      <c r="A411" s="13">
        <v>54604</v>
      </c>
      <c r="B411" s="4">
        <f>26.0857 * CHOOSE(CONTROL!$C$6, $C$6, 100%, $E$6) + CHOOSE(CONTROL!$C$25, 0.0258, 0)</f>
        <v>26.085699999999999</v>
      </c>
      <c r="C411" s="4">
        <f>25.7732 * CHOOSE(CONTROL!$C$6, $C$6, 100%, $E$6) + CHOOSE(CONTROL!$C$25, 0.0258, 0)</f>
        <v>25.773199999999999</v>
      </c>
      <c r="D411" s="4">
        <f>32.477 * CHOOSE(CONTROL!$C$6, $C$6, 100%, $E$6) + CHOOSE(CONTROL!$C$25, 0, 0)</f>
        <v>32.476999999999997</v>
      </c>
      <c r="E411" s="4">
        <f>166.08505800482 * CHOOSE(CONTROL!$C$6, $C$6, 100%, $E$6) + CHOOSE(CONTROL!$C$25, 0, 0)</f>
        <v>166.08505800482001</v>
      </c>
    </row>
    <row r="412" spans="1:5" ht="15">
      <c r="A412" s="13">
        <v>54635</v>
      </c>
      <c r="B412" s="4">
        <f>26.078 * CHOOSE(CONTROL!$C$6, $C$6, 100%, $E$6) + CHOOSE(CONTROL!$C$25, 0.0258, 0)</f>
        <v>26.077999999999999</v>
      </c>
      <c r="C412" s="4">
        <f>25.7655 * CHOOSE(CONTROL!$C$6, $C$6, 100%, $E$6) + CHOOSE(CONTROL!$C$25, 0.0258, 0)</f>
        <v>25.765499999999999</v>
      </c>
      <c r="D412" s="4">
        <f>32.9907 * CHOOSE(CONTROL!$C$6, $C$6, 100%, $E$6) + CHOOSE(CONTROL!$C$25, 0, 0)</f>
        <v>32.990699999999997</v>
      </c>
      <c r="E412" s="4">
        <f>166.032231968559 * CHOOSE(CONTROL!$C$6, $C$6, 100%, $E$6) + CHOOSE(CONTROL!$C$25, 0, 0)</f>
        <v>166.03223196855899</v>
      </c>
    </row>
    <row r="413" spans="1:5" ht="15">
      <c r="A413" s="13">
        <v>54666</v>
      </c>
      <c r="B413" s="4">
        <f>26.6574 * CHOOSE(CONTROL!$C$6, $C$6, 100%, $E$6) + CHOOSE(CONTROL!$C$25, 0.0258, 0)</f>
        <v>26.657399999999999</v>
      </c>
      <c r="C413" s="4">
        <f>26.3449 * CHOOSE(CONTROL!$C$6, $C$6, 100%, $E$6) + CHOOSE(CONTROL!$C$25, 0.0258, 0)</f>
        <v>26.344899999999999</v>
      </c>
      <c r="D413" s="4">
        <f>32.6514 * CHOOSE(CONTROL!$C$6, $C$6, 100%, $E$6) + CHOOSE(CONTROL!$C$25, 0, 0)</f>
        <v>32.651400000000002</v>
      </c>
      <c r="E413" s="4">
        <f>170.007391197205 * CHOOSE(CONTROL!$C$6, $C$6, 100%, $E$6) + CHOOSE(CONTROL!$C$25, 0, 0)</f>
        <v>170.00739119720501</v>
      </c>
    </row>
    <row r="414" spans="1:5" ht="15">
      <c r="A414" s="13">
        <v>54696</v>
      </c>
      <c r="B414" s="4">
        <f>25.6698 * CHOOSE(CONTROL!$C$6, $C$6, 100%, $E$6) + CHOOSE(CONTROL!$C$25, 0.0258, 0)</f>
        <v>25.669799999999999</v>
      </c>
      <c r="C414" s="4">
        <f>25.3573 * CHOOSE(CONTROL!$C$6, $C$6, 100%, $E$6) + CHOOSE(CONTROL!$C$25, 0.0258, 0)</f>
        <v>25.357299999999999</v>
      </c>
      <c r="D414" s="4">
        <f>32.4912 * CHOOSE(CONTROL!$C$6, $C$6, 100%, $E$6) + CHOOSE(CONTROL!$C$25, 0, 0)</f>
        <v>32.491199999999999</v>
      </c>
      <c r="E414" s="4">
        <f>163.232452046722 * CHOOSE(CONTROL!$C$6, $C$6, 100%, $E$6) + CHOOSE(CONTROL!$C$25, 0, 0)</f>
        <v>163.23245204672199</v>
      </c>
    </row>
    <row r="415" spans="1:5" ht="15">
      <c r="A415" s="13">
        <v>54727</v>
      </c>
      <c r="B415" s="4">
        <f>24.8792 * CHOOSE(CONTROL!$C$6, $C$6, 100%, $E$6) + CHOOSE(CONTROL!$C$25, 0.0003, 0)</f>
        <v>24.879200000000001</v>
      </c>
      <c r="C415" s="4">
        <f>24.5667 * CHOOSE(CONTROL!$C$6, $C$6, 100%, $E$6) + CHOOSE(CONTROL!$C$25, 0.0003, 0)</f>
        <v>24.566700000000001</v>
      </c>
      <c r="D415" s="4">
        <f>32.062 * CHOOSE(CONTROL!$C$6, $C$6, 100%, $E$6) + CHOOSE(CONTROL!$C$25, 0, 0)</f>
        <v>32.061999999999998</v>
      </c>
      <c r="E415" s="4">
        <f>157.808978990585 * CHOOSE(CONTROL!$C$6, $C$6, 100%, $E$6) + CHOOSE(CONTROL!$C$25, 0, 0)</f>
        <v>157.80897899058499</v>
      </c>
    </row>
    <row r="416" spans="1:5" ht="15">
      <c r="A416" s="13">
        <v>54757</v>
      </c>
      <c r="B416" s="4">
        <f>24.37 * CHOOSE(CONTROL!$C$6, $C$6, 100%, $E$6) + CHOOSE(CONTROL!$C$25, 0.0003, 0)</f>
        <v>24.37</v>
      </c>
      <c r="C416" s="4">
        <f>24.0575 * CHOOSE(CONTROL!$C$6, $C$6, 100%, $E$6) + CHOOSE(CONTROL!$C$25, 0.0003, 0)</f>
        <v>24.057500000000001</v>
      </c>
      <c r="D416" s="4">
        <f>31.9145 * CHOOSE(CONTROL!$C$6, $C$6, 100%, $E$6) + CHOOSE(CONTROL!$C$25, 0, 0)</f>
        <v>31.9145</v>
      </c>
      <c r="E416" s="4">
        <f>154.315857342821 * CHOOSE(CONTROL!$C$6, $C$6, 100%, $E$6) + CHOOSE(CONTROL!$C$25, 0, 0)</f>
        <v>154.315857342821</v>
      </c>
    </row>
    <row r="417" spans="1:5" ht="15">
      <c r="A417" s="13">
        <v>54788</v>
      </c>
      <c r="B417" s="4">
        <f>24.0177 * CHOOSE(CONTROL!$C$6, $C$6, 100%, $E$6) + CHOOSE(CONTROL!$C$25, 0.0003, 0)</f>
        <v>24.017700000000001</v>
      </c>
      <c r="C417" s="4">
        <f>23.7052 * CHOOSE(CONTROL!$C$6, $C$6, 100%, $E$6) + CHOOSE(CONTROL!$C$25, 0.0003, 0)</f>
        <v>23.705200000000001</v>
      </c>
      <c r="D417" s="4">
        <f>30.8283 * CHOOSE(CONTROL!$C$6, $C$6, 100%, $E$6) + CHOOSE(CONTROL!$C$25, 0, 0)</f>
        <v>30.828299999999999</v>
      </c>
      <c r="E417" s="4">
        <f>151.899066183877 * CHOOSE(CONTROL!$C$6, $C$6, 100%, $E$6) + CHOOSE(CONTROL!$C$25, 0, 0)</f>
        <v>151.89906618387701</v>
      </c>
    </row>
    <row r="418" spans="1:5" ht="15">
      <c r="A418" s="13">
        <v>54819</v>
      </c>
      <c r="B418" s="4">
        <f>23.1868 * CHOOSE(CONTROL!$C$6, $C$6, 100%, $E$6) + CHOOSE(CONTROL!$C$25, 0.0003, 0)</f>
        <v>23.186800000000002</v>
      </c>
      <c r="C418" s="4">
        <f>22.8743 * CHOOSE(CONTROL!$C$6, $C$6, 100%, $E$6) + CHOOSE(CONTROL!$C$25, 0.0003, 0)</f>
        <v>22.874300000000002</v>
      </c>
      <c r="D418" s="4">
        <f>29.7689 * CHOOSE(CONTROL!$C$6, $C$6, 100%, $E$6) + CHOOSE(CONTROL!$C$25, 0, 0)</f>
        <v>29.768899999999999</v>
      </c>
      <c r="E418" s="4">
        <f>147.171282310653 * CHOOSE(CONTROL!$C$6, $C$6, 100%, $E$6) + CHOOSE(CONTROL!$C$25, 0, 0)</f>
        <v>147.171282310653</v>
      </c>
    </row>
    <row r="419" spans="1:5" ht="15">
      <c r="A419" s="13">
        <v>54847</v>
      </c>
      <c r="B419" s="4">
        <f>23.6928 * CHOOSE(CONTROL!$C$6, $C$6, 100%, $E$6) + CHOOSE(CONTROL!$C$25, 0.0003, 0)</f>
        <v>23.692799999999998</v>
      </c>
      <c r="C419" s="4">
        <f>23.3803 * CHOOSE(CONTROL!$C$6, $C$6, 100%, $E$6) + CHOOSE(CONTROL!$C$25, 0.0003, 0)</f>
        <v>23.380299999999998</v>
      </c>
      <c r="D419" s="4">
        <f>30.772 * CHOOSE(CONTROL!$C$6, $C$6, 100%, $E$6) + CHOOSE(CONTROL!$C$25, 0, 0)</f>
        <v>30.771999999999998</v>
      </c>
      <c r="E419" s="4">
        <f>150.665708541404 * CHOOSE(CONTROL!$C$6, $C$6, 100%, $E$6) + CHOOSE(CONTROL!$C$25, 0, 0)</f>
        <v>150.665708541404</v>
      </c>
    </row>
    <row r="420" spans="1:5" ht="15">
      <c r="A420" s="13">
        <v>54878</v>
      </c>
      <c r="B420" s="4">
        <f>25.0216 * CHOOSE(CONTROL!$C$6, $C$6, 100%, $E$6) + CHOOSE(CONTROL!$C$25, 0.0003, 0)</f>
        <v>25.021599999999999</v>
      </c>
      <c r="C420" s="4">
        <f>24.7091 * CHOOSE(CONTROL!$C$6, $C$6, 100%, $E$6) + CHOOSE(CONTROL!$C$25, 0.0003, 0)</f>
        <v>24.709099999999999</v>
      </c>
      <c r="D420" s="4">
        <f>32.3423 * CHOOSE(CONTROL!$C$6, $C$6, 100%, $E$6) + CHOOSE(CONTROL!$C$25, 0, 0)</f>
        <v>32.342300000000002</v>
      </c>
      <c r="E420" s="4">
        <f>159.842257528443 * CHOOSE(CONTROL!$C$6, $C$6, 100%, $E$6) + CHOOSE(CONTROL!$C$25, 0, 0)</f>
        <v>159.84225752844301</v>
      </c>
    </row>
    <row r="421" spans="1:5" ht="15">
      <c r="A421" s="13">
        <v>54908</v>
      </c>
      <c r="B421" s="4">
        <f>25.9658 * CHOOSE(CONTROL!$C$6, $C$6, 100%, $E$6) + CHOOSE(CONTROL!$C$25, 0.0003, 0)</f>
        <v>25.965800000000002</v>
      </c>
      <c r="C421" s="4">
        <f>25.6533 * CHOOSE(CONTROL!$C$6, $C$6, 100%, $E$6) + CHOOSE(CONTROL!$C$25, 0.0003, 0)</f>
        <v>25.653300000000002</v>
      </c>
      <c r="D421" s="4">
        <f>33.2469 * CHOOSE(CONTROL!$C$6, $C$6, 100%, $E$6) + CHOOSE(CONTROL!$C$25, 0, 0)</f>
        <v>33.246899999999997</v>
      </c>
      <c r="E421" s="4">
        <f>166.362317877329 * CHOOSE(CONTROL!$C$6, $C$6, 100%, $E$6) + CHOOSE(CONTROL!$C$25, 0, 0)</f>
        <v>166.36231787732899</v>
      </c>
    </row>
    <row r="422" spans="1:5" ht="15">
      <c r="A422" s="13">
        <v>54939</v>
      </c>
      <c r="B422" s="4">
        <f>26.5427 * CHOOSE(CONTROL!$C$6, $C$6, 100%, $E$6) + CHOOSE(CONTROL!$C$25, 0.0258, 0)</f>
        <v>26.5427</v>
      </c>
      <c r="C422" s="4">
        <f>26.2302 * CHOOSE(CONTROL!$C$6, $C$6, 100%, $E$6) + CHOOSE(CONTROL!$C$25, 0.0258, 0)</f>
        <v>26.2302</v>
      </c>
      <c r="D422" s="4">
        <f>32.8894 * CHOOSE(CONTROL!$C$6, $C$6, 100%, $E$6) + CHOOSE(CONTROL!$C$25, 0, 0)</f>
        <v>32.889400000000002</v>
      </c>
      <c r="E422" s="4">
        <f>170.345918486461 * CHOOSE(CONTROL!$C$6, $C$6, 100%, $E$6) + CHOOSE(CONTROL!$C$25, 0, 0)</f>
        <v>170.34591848646099</v>
      </c>
    </row>
    <row r="423" spans="1:5" ht="15">
      <c r="A423" s="13">
        <v>54969</v>
      </c>
      <c r="B423" s="4">
        <f>26.6207 * CHOOSE(CONTROL!$C$6, $C$6, 100%, $E$6) + CHOOSE(CONTROL!$C$25, 0.0258, 0)</f>
        <v>26.620699999999999</v>
      </c>
      <c r="C423" s="4">
        <f>26.3082 * CHOOSE(CONTROL!$C$6, $C$6, 100%, $E$6) + CHOOSE(CONTROL!$C$25, 0.0258, 0)</f>
        <v>26.308199999999999</v>
      </c>
      <c r="D423" s="4">
        <f>33.1805 * CHOOSE(CONTROL!$C$6, $C$6, 100%, $E$6) + CHOOSE(CONTROL!$C$25, 0, 0)</f>
        <v>33.180500000000002</v>
      </c>
      <c r="E423" s="4">
        <f>170.884916181159 * CHOOSE(CONTROL!$C$6, $C$6, 100%, $E$6) + CHOOSE(CONTROL!$C$25, 0, 0)</f>
        <v>170.88491618115901</v>
      </c>
    </row>
    <row r="424" spans="1:5" ht="15">
      <c r="A424" s="13">
        <v>55000</v>
      </c>
      <c r="B424" s="4">
        <f>26.6128 * CHOOSE(CONTROL!$C$6, $C$6, 100%, $E$6) + CHOOSE(CONTROL!$C$25, 0.0258, 0)</f>
        <v>26.6128</v>
      </c>
      <c r="C424" s="4">
        <f>26.3003 * CHOOSE(CONTROL!$C$6, $C$6, 100%, $E$6) + CHOOSE(CONTROL!$C$25, 0.0258, 0)</f>
        <v>26.3003</v>
      </c>
      <c r="D424" s="4">
        <f>33.7058 * CHOOSE(CONTROL!$C$6, $C$6, 100%, $E$6) + CHOOSE(CONTROL!$C$25, 0, 0)</f>
        <v>33.705800000000004</v>
      </c>
      <c r="E424" s="4">
        <f>170.83056347245 * CHOOSE(CONTROL!$C$6, $C$6, 100%, $E$6) + CHOOSE(CONTROL!$C$25, 0, 0)</f>
        <v>170.83056347245</v>
      </c>
    </row>
    <row r="425" spans="1:5" ht="15">
      <c r="A425" s="13">
        <v>55031</v>
      </c>
      <c r="B425" s="4">
        <f>27.2051 * CHOOSE(CONTROL!$C$6, $C$6, 100%, $E$6) + CHOOSE(CONTROL!$C$25, 0.0258, 0)</f>
        <v>27.205100000000002</v>
      </c>
      <c r="C425" s="4">
        <f>26.8926 * CHOOSE(CONTROL!$C$6, $C$6, 100%, $E$6) + CHOOSE(CONTROL!$C$25, 0.0258, 0)</f>
        <v>26.892600000000002</v>
      </c>
      <c r="D425" s="4">
        <f>33.3589 * CHOOSE(CONTROL!$C$6, $C$6, 100%, $E$6) + CHOOSE(CONTROL!$C$25, 0, 0)</f>
        <v>33.358899999999998</v>
      </c>
      <c r="E425" s="4">
        <f>174.920604802804 * CHOOSE(CONTROL!$C$6, $C$6, 100%, $E$6) + CHOOSE(CONTROL!$C$25, 0, 0)</f>
        <v>174.92060480280401</v>
      </c>
    </row>
    <row r="426" spans="1:5" ht="15">
      <c r="A426" s="13">
        <v>55061</v>
      </c>
      <c r="B426" s="4">
        <f>26.1957 * CHOOSE(CONTROL!$C$6, $C$6, 100%, $E$6) + CHOOSE(CONTROL!$C$25, 0.0258, 0)</f>
        <v>26.195699999999999</v>
      </c>
      <c r="C426" s="4">
        <f>25.8832 * CHOOSE(CONTROL!$C$6, $C$6, 100%, $E$6) + CHOOSE(CONTROL!$C$25, 0.0258, 0)</f>
        <v>25.883199999999999</v>
      </c>
      <c r="D426" s="4">
        <f>33.195 * CHOOSE(CONTROL!$C$6, $C$6, 100%, $E$6) + CHOOSE(CONTROL!$C$25, 0, 0)</f>
        <v>33.195</v>
      </c>
      <c r="E426" s="4">
        <f>167.949869910872 * CHOOSE(CONTROL!$C$6, $C$6, 100%, $E$6) + CHOOSE(CONTROL!$C$25, 0, 0)</f>
        <v>167.949869910872</v>
      </c>
    </row>
    <row r="427" spans="1:5" ht="15">
      <c r="A427" s="13">
        <v>55092</v>
      </c>
      <c r="B427" s="4">
        <f>25.3876 * CHOOSE(CONTROL!$C$6, $C$6, 100%, $E$6) + CHOOSE(CONTROL!$C$25, 0.0003, 0)</f>
        <v>25.387599999999999</v>
      </c>
      <c r="C427" s="4">
        <f>25.0751 * CHOOSE(CONTROL!$C$6, $C$6, 100%, $E$6) + CHOOSE(CONTROL!$C$25, 0.0003, 0)</f>
        <v>25.075099999999999</v>
      </c>
      <c r="D427" s="4">
        <f>32.7562 * CHOOSE(CONTROL!$C$6, $C$6, 100%, $E$6) + CHOOSE(CONTROL!$C$25, 0, 0)</f>
        <v>32.7562</v>
      </c>
      <c r="E427" s="4">
        <f>162.369658483413 * CHOOSE(CONTROL!$C$6, $C$6, 100%, $E$6) + CHOOSE(CONTROL!$C$25, 0, 0)</f>
        <v>162.36965848341299</v>
      </c>
    </row>
    <row r="428" spans="1:5" ht="15">
      <c r="A428" s="13">
        <v>55122</v>
      </c>
      <c r="B428" s="4">
        <f>24.8672 * CHOOSE(CONTROL!$C$6, $C$6, 100%, $E$6) + CHOOSE(CONTROL!$C$25, 0.0003, 0)</f>
        <v>24.8672</v>
      </c>
      <c r="C428" s="4">
        <f>24.5547 * CHOOSE(CONTROL!$C$6, $C$6, 100%, $E$6) + CHOOSE(CONTROL!$C$25, 0.0003, 0)</f>
        <v>24.5547</v>
      </c>
      <c r="D428" s="4">
        <f>32.6053 * CHOOSE(CONTROL!$C$6, $C$6, 100%, $E$6) + CHOOSE(CONTROL!$C$25, 0, 0)</f>
        <v>32.6053</v>
      </c>
      <c r="E428" s="4">
        <f>158.775585620029 * CHOOSE(CONTROL!$C$6, $C$6, 100%, $E$6) + CHOOSE(CONTROL!$C$25, 0, 0)</f>
        <v>158.77558562002901</v>
      </c>
    </row>
    <row r="429" spans="1:5" ht="15">
      <c r="A429" s="13">
        <v>55153</v>
      </c>
      <c r="B429" s="4">
        <f>24.5071 * CHOOSE(CONTROL!$C$6, $C$6, 100%, $E$6) + CHOOSE(CONTROL!$C$25, 0.0003, 0)</f>
        <v>24.507100000000001</v>
      </c>
      <c r="C429" s="4">
        <f>24.1946 * CHOOSE(CONTROL!$C$6, $C$6, 100%, $E$6) + CHOOSE(CONTROL!$C$25, 0.0003, 0)</f>
        <v>24.194600000000001</v>
      </c>
      <c r="D429" s="4">
        <f>31.4946 * CHOOSE(CONTROL!$C$6, $C$6, 100%, $E$6) + CHOOSE(CONTROL!$C$25, 0, 0)</f>
        <v>31.494599999999998</v>
      </c>
      <c r="E429" s="4">
        <f>156.288949196591 * CHOOSE(CONTROL!$C$6, $C$6, 100%, $E$6) + CHOOSE(CONTROL!$C$25, 0, 0)</f>
        <v>156.28894919659101</v>
      </c>
    </row>
    <row r="430" spans="1:5" ht="15">
      <c r="A430" s="13">
        <v>55184</v>
      </c>
      <c r="B430" s="4">
        <f>23.6578 * CHOOSE(CONTROL!$C$6, $C$6, 100%, $E$6) + CHOOSE(CONTROL!$C$25, 0.0003, 0)</f>
        <v>23.657800000000002</v>
      </c>
      <c r="C430" s="4">
        <f>23.3453 * CHOOSE(CONTROL!$C$6, $C$6, 100%, $E$6) + CHOOSE(CONTROL!$C$25, 0.0003, 0)</f>
        <v>23.345300000000002</v>
      </c>
      <c r="D430" s="4">
        <f>30.4112 * CHOOSE(CONTROL!$C$6, $C$6, 100%, $E$6) + CHOOSE(CONTROL!$C$25, 0, 0)</f>
        <v>30.411200000000001</v>
      </c>
      <c r="E430" s="4">
        <f>151.424532369431 * CHOOSE(CONTROL!$C$6, $C$6, 100%, $E$6) + CHOOSE(CONTROL!$C$25, 0, 0)</f>
        <v>151.42453236943101</v>
      </c>
    </row>
    <row r="431" spans="1:5" ht="15">
      <c r="A431" s="13">
        <v>55212</v>
      </c>
      <c r="B431" s="4">
        <f>24.175 * CHOOSE(CONTROL!$C$6, $C$6, 100%, $E$6) + CHOOSE(CONTROL!$C$25, 0.0003, 0)</f>
        <v>24.175000000000001</v>
      </c>
      <c r="C431" s="4">
        <f>23.8625 * CHOOSE(CONTROL!$C$6, $C$6, 100%, $E$6) + CHOOSE(CONTROL!$C$25, 0.0003, 0)</f>
        <v>23.862500000000001</v>
      </c>
      <c r="D431" s="4">
        <f>31.437 * CHOOSE(CONTROL!$C$6, $C$6, 100%, $E$6) + CHOOSE(CONTROL!$C$25, 0, 0)</f>
        <v>31.437000000000001</v>
      </c>
      <c r="E431" s="4">
        <f>155.01994751825 * CHOOSE(CONTROL!$C$6, $C$6, 100%, $E$6) + CHOOSE(CONTROL!$C$25, 0, 0)</f>
        <v>155.01994751825001</v>
      </c>
    </row>
    <row r="432" spans="1:5" ht="15">
      <c r="A432" s="13">
        <v>55243</v>
      </c>
      <c r="B432" s="4">
        <f>25.5332 * CHOOSE(CONTROL!$C$6, $C$6, 100%, $E$6) + CHOOSE(CONTROL!$C$25, 0.0003, 0)</f>
        <v>25.533200000000001</v>
      </c>
      <c r="C432" s="4">
        <f>25.2207 * CHOOSE(CONTROL!$C$6, $C$6, 100%, $E$6) + CHOOSE(CONTROL!$C$25, 0.0003, 0)</f>
        <v>25.220700000000001</v>
      </c>
      <c r="D432" s="4">
        <f>33.0428 * CHOOSE(CONTROL!$C$6, $C$6, 100%, $E$6) + CHOOSE(CONTROL!$C$25, 0, 0)</f>
        <v>33.0428</v>
      </c>
      <c r="E432" s="4">
        <f>164.461698771015 * CHOOSE(CONTROL!$C$6, $C$6, 100%, $E$6) + CHOOSE(CONTROL!$C$25, 0, 0)</f>
        <v>164.46169877101499</v>
      </c>
    </row>
    <row r="433" spans="1:5" ht="15">
      <c r="A433" s="13">
        <v>55273</v>
      </c>
      <c r="B433" s="4">
        <f>26.4982 * CHOOSE(CONTROL!$C$6, $C$6, 100%, $E$6) + CHOOSE(CONTROL!$C$25, 0.0003, 0)</f>
        <v>26.498200000000001</v>
      </c>
      <c r="C433" s="4">
        <f>26.1857 * CHOOSE(CONTROL!$C$6, $C$6, 100%, $E$6) + CHOOSE(CONTROL!$C$25, 0.0003, 0)</f>
        <v>26.185700000000001</v>
      </c>
      <c r="D433" s="4">
        <f>33.9678 * CHOOSE(CONTROL!$C$6, $C$6, 100%, $E$6) + CHOOSE(CONTROL!$C$25, 0, 0)</f>
        <v>33.967799999999997</v>
      </c>
      <c r="E433" s="4">
        <f>171.170188863984 * CHOOSE(CONTROL!$C$6, $C$6, 100%, $E$6) + CHOOSE(CONTROL!$C$25, 0, 0)</f>
        <v>171.17018886398401</v>
      </c>
    </row>
    <row r="434" spans="1:5" ht="15">
      <c r="A434" s="13">
        <v>55304</v>
      </c>
      <c r="B434" s="4">
        <f>27.0878 * CHOOSE(CONTROL!$C$6, $C$6, 100%, $E$6) + CHOOSE(CONTROL!$C$25, 0.0258, 0)</f>
        <v>27.087800000000001</v>
      </c>
      <c r="C434" s="4">
        <f>26.7753 * CHOOSE(CONTROL!$C$6, $C$6, 100%, $E$6) + CHOOSE(CONTROL!$C$25, 0.0258, 0)</f>
        <v>26.775300000000001</v>
      </c>
      <c r="D434" s="4">
        <f>33.6023 * CHOOSE(CONTROL!$C$6, $C$6, 100%, $E$6) + CHOOSE(CONTROL!$C$25, 0, 0)</f>
        <v>33.6023</v>
      </c>
      <c r="E434" s="4">
        <f>175.26891553072 * CHOOSE(CONTROL!$C$6, $C$6, 100%, $E$6) + CHOOSE(CONTROL!$C$25, 0, 0)</f>
        <v>175.26891553071999</v>
      </c>
    </row>
    <row r="435" spans="1:5" ht="15">
      <c r="A435" s="13">
        <v>55334</v>
      </c>
      <c r="B435" s="4">
        <f>27.1676 * CHOOSE(CONTROL!$C$6, $C$6, 100%, $E$6) + CHOOSE(CONTROL!$C$25, 0.0258, 0)</f>
        <v>27.1676</v>
      </c>
      <c r="C435" s="4">
        <f>26.8551 * CHOOSE(CONTROL!$C$6, $C$6, 100%, $E$6) + CHOOSE(CONTROL!$C$25, 0.0258, 0)</f>
        <v>26.8551</v>
      </c>
      <c r="D435" s="4">
        <f>33.9 * CHOOSE(CONTROL!$C$6, $C$6, 100%, $E$6) + CHOOSE(CONTROL!$C$25, 0, 0)</f>
        <v>33.9</v>
      </c>
      <c r="E435" s="4">
        <f>175.823490258794 * CHOOSE(CONTROL!$C$6, $C$6, 100%, $E$6) + CHOOSE(CONTROL!$C$25, 0, 0)</f>
        <v>175.82349025879401</v>
      </c>
    </row>
    <row r="436" spans="1:5" ht="15">
      <c r="A436" s="13">
        <v>55365</v>
      </c>
      <c r="B436" s="4">
        <f>27.1596 * CHOOSE(CONTROL!$C$6, $C$6, 100%, $E$6) + CHOOSE(CONTROL!$C$25, 0.0258, 0)</f>
        <v>27.159600000000001</v>
      </c>
      <c r="C436" s="4">
        <f>26.8471 * CHOOSE(CONTROL!$C$6, $C$6, 100%, $E$6) + CHOOSE(CONTROL!$C$25, 0.0258, 0)</f>
        <v>26.847100000000001</v>
      </c>
      <c r="D436" s="4">
        <f>34.4371 * CHOOSE(CONTROL!$C$6, $C$6, 100%, $E$6) + CHOOSE(CONTROL!$C$25, 0, 0)</f>
        <v>34.437100000000001</v>
      </c>
      <c r="E436" s="4">
        <f>175.767566756804 * CHOOSE(CONTROL!$C$6, $C$6, 100%, $E$6) + CHOOSE(CONTROL!$C$25, 0, 0)</f>
        <v>175.767566756804</v>
      </c>
    </row>
    <row r="437" spans="1:5" ht="15">
      <c r="A437" s="13">
        <v>55396</v>
      </c>
      <c r="B437" s="4">
        <f>27.7649 * CHOOSE(CONTROL!$C$6, $C$6, 100%, $E$6) + CHOOSE(CONTROL!$C$25, 0.0258, 0)</f>
        <v>27.764900000000001</v>
      </c>
      <c r="C437" s="4">
        <f>27.4524 * CHOOSE(CONTROL!$C$6, $C$6, 100%, $E$6) + CHOOSE(CONTROL!$C$25, 0.0258, 0)</f>
        <v>27.452400000000001</v>
      </c>
      <c r="D437" s="4">
        <f>34.0824 * CHOOSE(CONTROL!$C$6, $C$6, 100%, $E$6) + CHOOSE(CONTROL!$C$25, 0, 0)</f>
        <v>34.0824</v>
      </c>
      <c r="E437" s="4">
        <f>179.975810281605 * CHOOSE(CONTROL!$C$6, $C$6, 100%, $E$6) + CHOOSE(CONTROL!$C$25, 0, 0)</f>
        <v>179.97581028160499</v>
      </c>
    </row>
    <row r="438" spans="1:5" ht="15">
      <c r="A438" s="13">
        <v>55426</v>
      </c>
      <c r="B438" s="4">
        <f>26.7332 * CHOOSE(CONTROL!$C$6, $C$6, 100%, $E$6) + CHOOSE(CONTROL!$C$25, 0.0258, 0)</f>
        <v>26.7332</v>
      </c>
      <c r="C438" s="4">
        <f>26.4207 * CHOOSE(CONTROL!$C$6, $C$6, 100%, $E$6) + CHOOSE(CONTROL!$C$25, 0.0258, 0)</f>
        <v>26.4207</v>
      </c>
      <c r="D438" s="4">
        <f>33.9148 * CHOOSE(CONTROL!$C$6, $C$6, 100%, $E$6) + CHOOSE(CONTROL!$C$25, 0, 0)</f>
        <v>33.9148</v>
      </c>
      <c r="E438" s="4">
        <f>172.803621151296 * CHOOSE(CONTROL!$C$6, $C$6, 100%, $E$6) + CHOOSE(CONTROL!$C$25, 0, 0)</f>
        <v>172.803621151296</v>
      </c>
    </row>
    <row r="439" spans="1:5" ht="15">
      <c r="A439" s="13">
        <v>55457</v>
      </c>
      <c r="B439" s="4">
        <f>25.9073 * CHOOSE(CONTROL!$C$6, $C$6, 100%, $E$6) + CHOOSE(CONTROL!$C$25, 0.0003, 0)</f>
        <v>25.907299999999999</v>
      </c>
      <c r="C439" s="4">
        <f>25.5948 * CHOOSE(CONTROL!$C$6, $C$6, 100%, $E$6) + CHOOSE(CONTROL!$C$25, 0.0003, 0)</f>
        <v>25.594799999999999</v>
      </c>
      <c r="D439" s="4">
        <f>33.466 * CHOOSE(CONTROL!$C$6, $C$6, 100%, $E$6) + CHOOSE(CONTROL!$C$25, 0, 0)</f>
        <v>33.466000000000001</v>
      </c>
      <c r="E439" s="4">
        <f>167.062141613583 * CHOOSE(CONTROL!$C$6, $C$6, 100%, $E$6) + CHOOSE(CONTROL!$C$25, 0, 0)</f>
        <v>167.06214161358301</v>
      </c>
    </row>
    <row r="440" spans="1:5" ht="15">
      <c r="A440" s="13">
        <v>55487</v>
      </c>
      <c r="B440" s="4">
        <f>25.3753 * CHOOSE(CONTROL!$C$6, $C$6, 100%, $E$6) + CHOOSE(CONTROL!$C$25, 0.0003, 0)</f>
        <v>25.375299999999999</v>
      </c>
      <c r="C440" s="4">
        <f>25.0628 * CHOOSE(CONTROL!$C$6, $C$6, 100%, $E$6) + CHOOSE(CONTROL!$C$25, 0.0003, 0)</f>
        <v>25.062799999999999</v>
      </c>
      <c r="D440" s="4">
        <f>33.3118 * CHOOSE(CONTROL!$C$6, $C$6, 100%, $E$6) + CHOOSE(CONTROL!$C$25, 0, 0)</f>
        <v>33.311799999999998</v>
      </c>
      <c r="E440" s="4">
        <f>163.364200044447 * CHOOSE(CONTROL!$C$6, $C$6, 100%, $E$6) + CHOOSE(CONTROL!$C$25, 0, 0)</f>
        <v>163.36420004444699</v>
      </c>
    </row>
    <row r="441" spans="1:5" ht="15">
      <c r="A441" s="13">
        <v>55518</v>
      </c>
      <c r="B441" s="4">
        <f>25.0073 * CHOOSE(CONTROL!$C$6, $C$6, 100%, $E$6) + CHOOSE(CONTROL!$C$25, 0.0003, 0)</f>
        <v>25.007300000000001</v>
      </c>
      <c r="C441" s="4">
        <f>24.6948 * CHOOSE(CONTROL!$C$6, $C$6, 100%, $E$6) + CHOOSE(CONTROL!$C$25, 0.0003, 0)</f>
        <v>24.694800000000001</v>
      </c>
      <c r="D441" s="4">
        <f>32.1759 * CHOOSE(CONTROL!$C$6, $C$6, 100%, $E$6) + CHOOSE(CONTROL!$C$25, 0, 0)</f>
        <v>32.175899999999999</v>
      </c>
      <c r="E441" s="4">
        <f>160.805699828372 * CHOOSE(CONTROL!$C$6, $C$6, 100%, $E$6) + CHOOSE(CONTROL!$C$25, 0, 0)</f>
        <v>160.80569982837201</v>
      </c>
    </row>
    <row r="442" spans="1:5" ht="15">
      <c r="A442" s="13">
        <v>55549</v>
      </c>
      <c r="B442" s="4">
        <f>24.1392 * CHOOSE(CONTROL!$C$6, $C$6, 100%, $E$6) + CHOOSE(CONTROL!$C$25, 0.0003, 0)</f>
        <v>24.139199999999999</v>
      </c>
      <c r="C442" s="4">
        <f>23.8267 * CHOOSE(CONTROL!$C$6, $C$6, 100%, $E$6) + CHOOSE(CONTROL!$C$25, 0.0003, 0)</f>
        <v>23.826699999999999</v>
      </c>
      <c r="D442" s="4">
        <f>31.0681 * CHOOSE(CONTROL!$C$6, $C$6, 100%, $E$6) + CHOOSE(CONTROL!$C$25, 0, 0)</f>
        <v>31.068100000000001</v>
      </c>
      <c r="E442" s="4">
        <f>155.800701354907 * CHOOSE(CONTROL!$C$6, $C$6, 100%, $E$6) + CHOOSE(CONTROL!$C$25, 0, 0)</f>
        <v>155.80070135490701</v>
      </c>
    </row>
    <row r="443" spans="1:5" ht="15">
      <c r="A443" s="13">
        <v>55577</v>
      </c>
      <c r="B443" s="4">
        <f>24.6678 * CHOOSE(CONTROL!$C$6, $C$6, 100%, $E$6) + CHOOSE(CONTROL!$C$25, 0.0003, 0)</f>
        <v>24.6678</v>
      </c>
      <c r="C443" s="4">
        <f>24.3553 * CHOOSE(CONTROL!$C$6, $C$6, 100%, $E$6) + CHOOSE(CONTROL!$C$25, 0.0003, 0)</f>
        <v>24.3553</v>
      </c>
      <c r="D443" s="4">
        <f>32.117 * CHOOSE(CONTROL!$C$6, $C$6, 100%, $E$6) + CHOOSE(CONTROL!$C$25, 0, 0)</f>
        <v>32.116999999999997</v>
      </c>
      <c r="E443" s="4">
        <f>159.500024001528 * CHOOSE(CONTROL!$C$6, $C$6, 100%, $E$6) + CHOOSE(CONTROL!$C$25, 0, 0)</f>
        <v>159.500024001528</v>
      </c>
    </row>
    <row r="444" spans="1:5" ht="15">
      <c r="A444" s="13">
        <v>55609</v>
      </c>
      <c r="B444" s="4">
        <f>26.056 * CHOOSE(CONTROL!$C$6, $C$6, 100%, $E$6) + CHOOSE(CONTROL!$C$25, 0.0003, 0)</f>
        <v>26.056000000000001</v>
      </c>
      <c r="C444" s="4">
        <f>25.7435 * CHOOSE(CONTROL!$C$6, $C$6, 100%, $E$6) + CHOOSE(CONTROL!$C$25, 0.0003, 0)</f>
        <v>25.743500000000001</v>
      </c>
      <c r="D444" s="4">
        <f>33.7592 * CHOOSE(CONTROL!$C$6, $C$6, 100%, $E$6) + CHOOSE(CONTROL!$C$25, 0, 0)</f>
        <v>33.7592</v>
      </c>
      <c r="E444" s="4">
        <f>169.214641865497 * CHOOSE(CONTROL!$C$6, $C$6, 100%, $E$6) + CHOOSE(CONTROL!$C$25, 0, 0)</f>
        <v>169.21464186549699</v>
      </c>
    </row>
    <row r="445" spans="1:5" ht="15">
      <c r="A445" s="13">
        <v>55639</v>
      </c>
      <c r="B445" s="4">
        <f>27.0424 * CHOOSE(CONTROL!$C$6, $C$6, 100%, $E$6) + CHOOSE(CONTROL!$C$25, 0.0003, 0)</f>
        <v>27.042400000000001</v>
      </c>
      <c r="C445" s="4">
        <f>26.7299 * CHOOSE(CONTROL!$C$6, $C$6, 100%, $E$6) + CHOOSE(CONTROL!$C$25, 0.0003, 0)</f>
        <v>26.729900000000001</v>
      </c>
      <c r="D445" s="4">
        <f>34.7051 * CHOOSE(CONTROL!$C$6, $C$6, 100%, $E$6) + CHOOSE(CONTROL!$C$25, 0, 0)</f>
        <v>34.705100000000002</v>
      </c>
      <c r="E445" s="4">
        <f>176.117007322153 * CHOOSE(CONTROL!$C$6, $C$6, 100%, $E$6) + CHOOSE(CONTROL!$C$25, 0, 0)</f>
        <v>176.117007322153</v>
      </c>
    </row>
    <row r="446" spans="1:5" ht="15">
      <c r="A446" s="13">
        <v>55670</v>
      </c>
      <c r="B446" s="4">
        <f>27.645 * CHOOSE(CONTROL!$C$6, $C$6, 100%, $E$6) + CHOOSE(CONTROL!$C$25, 0.0258, 0)</f>
        <v>27.645</v>
      </c>
      <c r="C446" s="4">
        <f>27.3325 * CHOOSE(CONTROL!$C$6, $C$6, 100%, $E$6) + CHOOSE(CONTROL!$C$25, 0.0258, 0)</f>
        <v>27.3325</v>
      </c>
      <c r="D446" s="4">
        <f>34.3313 * CHOOSE(CONTROL!$C$6, $C$6, 100%, $E$6) + CHOOSE(CONTROL!$C$25, 0, 0)</f>
        <v>34.331299999999999</v>
      </c>
      <c r="E446" s="4">
        <f>180.334187189558 * CHOOSE(CONTROL!$C$6, $C$6, 100%, $E$6) + CHOOSE(CONTROL!$C$25, 0, 0)</f>
        <v>180.33418718955801</v>
      </c>
    </row>
    <row r="447" spans="1:5" ht="15">
      <c r="A447" s="13">
        <v>55700</v>
      </c>
      <c r="B447" s="4">
        <f>27.7266 * CHOOSE(CONTROL!$C$6, $C$6, 100%, $E$6) + CHOOSE(CONTROL!$C$25, 0.0258, 0)</f>
        <v>27.726600000000001</v>
      </c>
      <c r="C447" s="4">
        <f>27.4141 * CHOOSE(CONTROL!$C$6, $C$6, 100%, $E$6) + CHOOSE(CONTROL!$C$25, 0.0258, 0)</f>
        <v>27.414100000000001</v>
      </c>
      <c r="D447" s="4">
        <f>34.6357 * CHOOSE(CONTROL!$C$6, $C$6, 100%, $E$6) + CHOOSE(CONTROL!$C$25, 0, 0)</f>
        <v>34.6357</v>
      </c>
      <c r="E447" s="4">
        <f>180.904789127274 * CHOOSE(CONTROL!$C$6, $C$6, 100%, $E$6) + CHOOSE(CONTROL!$C$25, 0, 0)</f>
        <v>180.904789127274</v>
      </c>
    </row>
    <row r="448" spans="1:5" ht="15">
      <c r="A448" s="13">
        <v>55731</v>
      </c>
      <c r="B448" s="4">
        <f>27.7183 * CHOOSE(CONTROL!$C$6, $C$6, 100%, $E$6) + CHOOSE(CONTROL!$C$25, 0.0258, 0)</f>
        <v>27.718299999999999</v>
      </c>
      <c r="C448" s="4">
        <f>27.4058 * CHOOSE(CONTROL!$C$6, $C$6, 100%, $E$6) + CHOOSE(CONTROL!$C$25, 0.0258, 0)</f>
        <v>27.405799999999999</v>
      </c>
      <c r="D448" s="4">
        <f>35.185 * CHOOSE(CONTROL!$C$6, $C$6, 100%, $E$6) + CHOOSE(CONTROL!$C$25, 0, 0)</f>
        <v>35.185000000000002</v>
      </c>
      <c r="E448" s="4">
        <f>180.847249436075 * CHOOSE(CONTROL!$C$6, $C$6, 100%, $E$6) + CHOOSE(CONTROL!$C$25, 0, 0)</f>
        <v>180.847249436075</v>
      </c>
    </row>
    <row r="449" spans="1:5" ht="15">
      <c r="A449" s="13">
        <v>55762</v>
      </c>
      <c r="B449" s="4">
        <f>28.3371 * CHOOSE(CONTROL!$C$6, $C$6, 100%, $E$6) + CHOOSE(CONTROL!$C$25, 0.0258, 0)</f>
        <v>28.3371</v>
      </c>
      <c r="C449" s="4">
        <f>28.0246 * CHOOSE(CONTROL!$C$6, $C$6, 100%, $E$6) + CHOOSE(CONTROL!$C$25, 0.0258, 0)</f>
        <v>28.0246</v>
      </c>
      <c r="D449" s="4">
        <f>34.8222 * CHOOSE(CONTROL!$C$6, $C$6, 100%, $E$6) + CHOOSE(CONTROL!$C$25, 0, 0)</f>
        <v>34.822200000000002</v>
      </c>
      <c r="E449" s="4">
        <f>185.177111198743 * CHOOSE(CONTROL!$C$6, $C$6, 100%, $E$6) + CHOOSE(CONTROL!$C$25, 0, 0)</f>
        <v>185.17711119874301</v>
      </c>
    </row>
    <row r="450" spans="1:5" ht="15">
      <c r="A450" s="13">
        <v>55792</v>
      </c>
      <c r="B450" s="4">
        <f>27.2825 * CHOOSE(CONTROL!$C$6, $C$6, 100%, $E$6) + CHOOSE(CONTROL!$C$25, 0.0258, 0)</f>
        <v>27.282499999999999</v>
      </c>
      <c r="C450" s="4">
        <f>26.97 * CHOOSE(CONTROL!$C$6, $C$6, 100%, $E$6) + CHOOSE(CONTROL!$C$25, 0.0258, 0)</f>
        <v>26.97</v>
      </c>
      <c r="D450" s="4">
        <f>34.6508 * CHOOSE(CONTROL!$C$6, $C$6, 100%, $E$6) + CHOOSE(CONTROL!$C$25, 0, 0)</f>
        <v>34.650799999999997</v>
      </c>
      <c r="E450" s="4">
        <f>177.797645802569 * CHOOSE(CONTROL!$C$6, $C$6, 100%, $E$6) + CHOOSE(CONTROL!$C$25, 0, 0)</f>
        <v>177.79764580256901</v>
      </c>
    </row>
    <row r="451" spans="1:5" ht="15">
      <c r="A451" s="13">
        <v>55823</v>
      </c>
      <c r="B451" s="4">
        <f>26.4384 * CHOOSE(CONTROL!$C$6, $C$6, 100%, $E$6) + CHOOSE(CONTROL!$C$25, 0.0003, 0)</f>
        <v>26.438400000000001</v>
      </c>
      <c r="C451" s="4">
        <f>26.1259 * CHOOSE(CONTROL!$C$6, $C$6, 100%, $E$6) + CHOOSE(CONTROL!$C$25, 0.0003, 0)</f>
        <v>26.125900000000001</v>
      </c>
      <c r="D451" s="4">
        <f>34.1919 * CHOOSE(CONTROL!$C$6, $C$6, 100%, $E$6) + CHOOSE(CONTROL!$C$25, 0, 0)</f>
        <v>34.191899999999997</v>
      </c>
      <c r="E451" s="4">
        <f>171.890237506216 * CHOOSE(CONTROL!$C$6, $C$6, 100%, $E$6) + CHOOSE(CONTROL!$C$25, 0, 0)</f>
        <v>171.89023750621601</v>
      </c>
    </row>
    <row r="452" spans="1:5" ht="15">
      <c r="A452" s="13">
        <v>55853</v>
      </c>
      <c r="B452" s="4">
        <f>25.8947 * CHOOSE(CONTROL!$C$6, $C$6, 100%, $E$6) + CHOOSE(CONTROL!$C$25, 0.0003, 0)</f>
        <v>25.8947</v>
      </c>
      <c r="C452" s="4">
        <f>25.5822 * CHOOSE(CONTROL!$C$6, $C$6, 100%, $E$6) + CHOOSE(CONTROL!$C$25, 0.0003, 0)</f>
        <v>25.5822</v>
      </c>
      <c r="D452" s="4">
        <f>34.0342 * CHOOSE(CONTROL!$C$6, $C$6, 100%, $E$6) + CHOOSE(CONTROL!$C$25, 0, 0)</f>
        <v>34.034199999999998</v>
      </c>
      <c r="E452" s="4">
        <f>168.085425425732 * CHOOSE(CONTROL!$C$6, $C$6, 100%, $E$6) + CHOOSE(CONTROL!$C$25, 0, 0)</f>
        <v>168.08542542573201</v>
      </c>
    </row>
    <row r="453" spans="1:5" ht="15">
      <c r="A453" s="13">
        <v>55884</v>
      </c>
      <c r="B453" s="4">
        <f>25.5185 * CHOOSE(CONTROL!$C$6, $C$6, 100%, $E$6) + CHOOSE(CONTROL!$C$25, 0.0003, 0)</f>
        <v>25.5185</v>
      </c>
      <c r="C453" s="4">
        <f>25.206 * CHOOSE(CONTROL!$C$6, $C$6, 100%, $E$6) + CHOOSE(CONTROL!$C$25, 0.0003, 0)</f>
        <v>25.206</v>
      </c>
      <c r="D453" s="4">
        <f>32.8727 * CHOOSE(CONTROL!$C$6, $C$6, 100%, $E$6) + CHOOSE(CONTROL!$C$25, 0, 0)</f>
        <v>32.872700000000002</v>
      </c>
      <c r="E453" s="4">
        <f>165.452984553412 * CHOOSE(CONTROL!$C$6, $C$6, 100%, $E$6) + CHOOSE(CONTROL!$C$25, 0, 0)</f>
        <v>165.45298455341199</v>
      </c>
    </row>
    <row r="454" spans="1:5" ht="15">
      <c r="A454" s="13">
        <v>55915</v>
      </c>
      <c r="B454" s="4">
        <f>24.6312 * CHOOSE(CONTROL!$C$6, $C$6, 100%, $E$6) + CHOOSE(CONTROL!$C$25, 0.0003, 0)</f>
        <v>24.6312</v>
      </c>
      <c r="C454" s="4">
        <f>24.3187 * CHOOSE(CONTROL!$C$6, $C$6, 100%, $E$6) + CHOOSE(CONTROL!$C$25, 0.0003, 0)</f>
        <v>24.3187</v>
      </c>
      <c r="D454" s="4">
        <f>31.7398 * CHOOSE(CONTROL!$C$6, $C$6, 100%, $E$6) + CHOOSE(CONTROL!$C$25, 0, 0)</f>
        <v>31.739799999999999</v>
      </c>
      <c r="E454" s="4">
        <f>160.303341624064 * CHOOSE(CONTROL!$C$6, $C$6, 100%, $E$6) + CHOOSE(CONTROL!$C$25, 0, 0)</f>
        <v>160.30334162406399</v>
      </c>
    </row>
    <row r="455" spans="1:5" ht="15">
      <c r="A455" s="13">
        <v>55943</v>
      </c>
      <c r="B455" s="4">
        <f>25.1715 * CHOOSE(CONTROL!$C$6, $C$6, 100%, $E$6) + CHOOSE(CONTROL!$C$25, 0.0003, 0)</f>
        <v>25.171500000000002</v>
      </c>
      <c r="C455" s="4">
        <f>24.859 * CHOOSE(CONTROL!$C$6, $C$6, 100%, $E$6) + CHOOSE(CONTROL!$C$25, 0.0003, 0)</f>
        <v>24.859000000000002</v>
      </c>
      <c r="D455" s="4">
        <f>32.8125 * CHOOSE(CONTROL!$C$6, $C$6, 100%, $E$6) + CHOOSE(CONTROL!$C$25, 0, 0)</f>
        <v>32.8125</v>
      </c>
      <c r="E455" s="4">
        <f>164.109574695172 * CHOOSE(CONTROL!$C$6, $C$6, 100%, $E$6) + CHOOSE(CONTROL!$C$25, 0, 0)</f>
        <v>164.109574695172</v>
      </c>
    </row>
    <row r="456" spans="1:5" ht="15">
      <c r="A456" s="13">
        <v>55974</v>
      </c>
      <c r="B456" s="4">
        <f>26.5904 * CHOOSE(CONTROL!$C$6, $C$6, 100%, $E$6) + CHOOSE(CONTROL!$C$25, 0.0003, 0)</f>
        <v>26.590399999999999</v>
      </c>
      <c r="C456" s="4">
        <f>26.2779 * CHOOSE(CONTROL!$C$6, $C$6, 100%, $E$6) + CHOOSE(CONTROL!$C$25, 0.0003, 0)</f>
        <v>26.277899999999999</v>
      </c>
      <c r="D456" s="4">
        <f>34.4917 * CHOOSE(CONTROL!$C$6, $C$6, 100%, $E$6) + CHOOSE(CONTROL!$C$25, 0, 0)</f>
        <v>34.491700000000002</v>
      </c>
      <c r="E456" s="4">
        <f>174.10494501541 * CHOOSE(CONTROL!$C$6, $C$6, 100%, $E$6) + CHOOSE(CONTROL!$C$25, 0, 0)</f>
        <v>174.10494501541001</v>
      </c>
    </row>
    <row r="457" spans="1:5" ht="15">
      <c r="A457" s="13">
        <v>56004</v>
      </c>
      <c r="B457" s="4">
        <f>27.5986 * CHOOSE(CONTROL!$C$6, $C$6, 100%, $E$6) + CHOOSE(CONTROL!$C$25, 0.0003, 0)</f>
        <v>27.598600000000001</v>
      </c>
      <c r="C457" s="4">
        <f>27.2861 * CHOOSE(CONTROL!$C$6, $C$6, 100%, $E$6) + CHOOSE(CONTROL!$C$25, 0.0003, 0)</f>
        <v>27.286100000000001</v>
      </c>
      <c r="D457" s="4">
        <f>35.459 * CHOOSE(CONTROL!$C$6, $C$6, 100%, $E$6) + CHOOSE(CONTROL!$C$25, 0, 0)</f>
        <v>35.459000000000003</v>
      </c>
      <c r="E457" s="4">
        <f>181.206788833763 * CHOOSE(CONTROL!$C$6, $C$6, 100%, $E$6) + CHOOSE(CONTROL!$C$25, 0, 0)</f>
        <v>181.206788833763</v>
      </c>
    </row>
    <row r="458" spans="1:5" ht="15">
      <c r="A458" s="13">
        <v>56035</v>
      </c>
      <c r="B458" s="4">
        <f>28.2145 * CHOOSE(CONTROL!$C$6, $C$6, 100%, $E$6) + CHOOSE(CONTROL!$C$25, 0.0258, 0)</f>
        <v>28.214500000000001</v>
      </c>
      <c r="C458" s="4">
        <f>27.902 * CHOOSE(CONTROL!$C$6, $C$6, 100%, $E$6) + CHOOSE(CONTROL!$C$25, 0.0258, 0)</f>
        <v>27.902000000000001</v>
      </c>
      <c r="D458" s="4">
        <f>35.0767 * CHOOSE(CONTROL!$C$6, $C$6, 100%, $E$6) + CHOOSE(CONTROL!$C$25, 0, 0)</f>
        <v>35.076700000000002</v>
      </c>
      <c r="E458" s="4">
        <f>185.545845199336 * CHOOSE(CONTROL!$C$6, $C$6, 100%, $E$6) + CHOOSE(CONTROL!$C$25, 0, 0)</f>
        <v>185.54584519933599</v>
      </c>
    </row>
    <row r="459" spans="1:5" ht="15">
      <c r="A459" s="13">
        <v>56065</v>
      </c>
      <c r="B459" s="4">
        <f>28.2979 * CHOOSE(CONTROL!$C$6, $C$6, 100%, $E$6) + CHOOSE(CONTROL!$C$25, 0.0258, 0)</f>
        <v>28.297899999999998</v>
      </c>
      <c r="C459" s="4">
        <f>27.9854 * CHOOSE(CONTROL!$C$6, $C$6, 100%, $E$6) + CHOOSE(CONTROL!$C$25, 0.0258, 0)</f>
        <v>27.985399999999998</v>
      </c>
      <c r="D459" s="4">
        <f>35.388 * CHOOSE(CONTROL!$C$6, $C$6, 100%, $E$6) + CHOOSE(CONTROL!$C$25, 0, 0)</f>
        <v>35.387999999999998</v>
      </c>
      <c r="E459" s="4">
        <f>186.132937533052 * CHOOSE(CONTROL!$C$6, $C$6, 100%, $E$6) + CHOOSE(CONTROL!$C$25, 0, 0)</f>
        <v>186.132937533052</v>
      </c>
    </row>
    <row r="460" spans="1:5" ht="15">
      <c r="A460" s="13">
        <v>56096</v>
      </c>
      <c r="B460" s="4">
        <f>28.2895 * CHOOSE(CONTROL!$C$6, $C$6, 100%, $E$6) + CHOOSE(CONTROL!$C$25, 0.0258, 0)</f>
        <v>28.2895</v>
      </c>
      <c r="C460" s="4">
        <f>27.977 * CHOOSE(CONTROL!$C$6, $C$6, 100%, $E$6) + CHOOSE(CONTROL!$C$25, 0.0258, 0)</f>
        <v>27.977</v>
      </c>
      <c r="D460" s="4">
        <f>35.9497 * CHOOSE(CONTROL!$C$6, $C$6, 100%, $E$6) + CHOOSE(CONTROL!$C$25, 0, 0)</f>
        <v>35.9497</v>
      </c>
      <c r="E460" s="4">
        <f>186.073734944778 * CHOOSE(CONTROL!$C$6, $C$6, 100%, $E$6) + CHOOSE(CONTROL!$C$25, 0, 0)</f>
        <v>186.07373494477801</v>
      </c>
    </row>
    <row r="461" spans="1:5" ht="15">
      <c r="A461" s="13">
        <v>56127</v>
      </c>
      <c r="B461" s="4">
        <f>28.9219 * CHOOSE(CONTROL!$C$6, $C$6, 100%, $E$6) + CHOOSE(CONTROL!$C$25, 0.0258, 0)</f>
        <v>28.921900000000001</v>
      </c>
      <c r="C461" s="4">
        <f>28.6094 * CHOOSE(CONTROL!$C$6, $C$6, 100%, $E$6) + CHOOSE(CONTROL!$C$25, 0.0258, 0)</f>
        <v>28.609400000000001</v>
      </c>
      <c r="D461" s="4">
        <f>35.5788 * CHOOSE(CONTROL!$C$6, $C$6, 100%, $E$6) + CHOOSE(CONTROL!$C$25, 0, 0)</f>
        <v>35.578800000000001</v>
      </c>
      <c r="E461" s="4">
        <f>190.528729712387 * CHOOSE(CONTROL!$C$6, $C$6, 100%, $E$6) + CHOOSE(CONTROL!$C$25, 0, 0)</f>
        <v>190.52872971238699</v>
      </c>
    </row>
    <row r="462" spans="1:5" ht="15">
      <c r="A462" s="13">
        <v>56157</v>
      </c>
      <c r="B462" s="4">
        <f>27.8441 * CHOOSE(CONTROL!$C$6, $C$6, 100%, $E$6) + CHOOSE(CONTROL!$C$25, 0.0258, 0)</f>
        <v>27.844100000000001</v>
      </c>
      <c r="C462" s="4">
        <f>27.5316 * CHOOSE(CONTROL!$C$6, $C$6, 100%, $E$6) + CHOOSE(CONTROL!$C$25, 0.0258, 0)</f>
        <v>27.531600000000001</v>
      </c>
      <c r="D462" s="4">
        <f>35.4035 * CHOOSE(CONTROL!$C$6, $C$6, 100%, $E$6) + CHOOSE(CONTROL!$C$25, 0, 0)</f>
        <v>35.403500000000001</v>
      </c>
      <c r="E462" s="4">
        <f>182.935997766263 * CHOOSE(CONTROL!$C$6, $C$6, 100%, $E$6) + CHOOSE(CONTROL!$C$25, 0, 0)</f>
        <v>182.935997766263</v>
      </c>
    </row>
    <row r="463" spans="1:5" ht="15">
      <c r="A463" s="13">
        <v>56188</v>
      </c>
      <c r="B463" s="4">
        <f>26.9812 * CHOOSE(CONTROL!$C$6, $C$6, 100%, $E$6) + CHOOSE(CONTROL!$C$25, 0.0003, 0)</f>
        <v>26.981200000000001</v>
      </c>
      <c r="C463" s="4">
        <f>26.6687 * CHOOSE(CONTROL!$C$6, $C$6, 100%, $E$6) + CHOOSE(CONTROL!$C$25, 0.0003, 0)</f>
        <v>26.668700000000001</v>
      </c>
      <c r="D463" s="4">
        <f>34.9343 * CHOOSE(CONTROL!$C$6, $C$6, 100%, $E$6) + CHOOSE(CONTROL!$C$25, 0, 0)</f>
        <v>34.9343</v>
      </c>
      <c r="E463" s="4">
        <f>176.857865370145 * CHOOSE(CONTROL!$C$6, $C$6, 100%, $E$6) + CHOOSE(CONTROL!$C$25, 0, 0)</f>
        <v>176.85786537014499</v>
      </c>
    </row>
    <row r="464" spans="1:5" ht="15">
      <c r="A464" s="13">
        <v>56218</v>
      </c>
      <c r="B464" s="4">
        <f>26.4255 * CHOOSE(CONTROL!$C$6, $C$6, 100%, $E$6) + CHOOSE(CONTROL!$C$25, 0.0003, 0)</f>
        <v>26.4255</v>
      </c>
      <c r="C464" s="4">
        <f>26.113 * CHOOSE(CONTROL!$C$6, $C$6, 100%, $E$6) + CHOOSE(CONTROL!$C$25, 0.0003, 0)</f>
        <v>26.113</v>
      </c>
      <c r="D464" s="4">
        <f>34.7729 * CHOOSE(CONTROL!$C$6, $C$6, 100%, $E$6) + CHOOSE(CONTROL!$C$25, 0, 0)</f>
        <v>34.7729</v>
      </c>
      <c r="E464" s="4">
        <f>172.943094220536 * CHOOSE(CONTROL!$C$6, $C$6, 100%, $E$6) + CHOOSE(CONTROL!$C$25, 0, 0)</f>
        <v>172.94309422053601</v>
      </c>
    </row>
    <row r="465" spans="1:5" ht="15">
      <c r="A465" s="13">
        <v>56249</v>
      </c>
      <c r="B465" s="4">
        <f>26.041 * CHOOSE(CONTROL!$C$6, $C$6, 100%, $E$6) + CHOOSE(CONTROL!$C$25, 0.0003, 0)</f>
        <v>26.041</v>
      </c>
      <c r="C465" s="4">
        <f>25.7285 * CHOOSE(CONTROL!$C$6, $C$6, 100%, $E$6) + CHOOSE(CONTROL!$C$25, 0.0003, 0)</f>
        <v>25.7285</v>
      </c>
      <c r="D465" s="4">
        <f>33.5852 * CHOOSE(CONTROL!$C$6, $C$6, 100%, $E$6) + CHOOSE(CONTROL!$C$25, 0, 0)</f>
        <v>33.5852</v>
      </c>
      <c r="E465" s="4">
        <f>170.234575807006 * CHOOSE(CONTROL!$C$6, $C$6, 100%, $E$6) + CHOOSE(CONTROL!$C$25, 0, 0)</f>
        <v>170.234575807006</v>
      </c>
    </row>
    <row r="466" spans="1:5" ht="15">
      <c r="A466" s="13">
        <v>56280</v>
      </c>
      <c r="B466" s="4">
        <f>25.1341 * CHOOSE(CONTROL!$C$6, $C$6, 100%, $E$6) + CHOOSE(CONTROL!$C$25, 0.0003, 0)</f>
        <v>25.1341</v>
      </c>
      <c r="C466" s="4">
        <f>24.8216 * CHOOSE(CONTROL!$C$6, $C$6, 100%, $E$6) + CHOOSE(CONTROL!$C$25, 0.0003, 0)</f>
        <v>24.8216</v>
      </c>
      <c r="D466" s="4">
        <f>32.4267 * CHOOSE(CONTROL!$C$6, $C$6, 100%, $E$6) + CHOOSE(CONTROL!$C$25, 0, 0)</f>
        <v>32.426699999999997</v>
      </c>
      <c r="E466" s="4">
        <f>164.936108196999 * CHOOSE(CONTROL!$C$6, $C$6, 100%, $E$6) + CHOOSE(CONTROL!$C$25, 0, 0)</f>
        <v>164.93610819699899</v>
      </c>
    </row>
    <row r="467" spans="1:5" ht="15">
      <c r="A467" s="13">
        <v>56308</v>
      </c>
      <c r="B467" s="4">
        <f>25.6864 * CHOOSE(CONTROL!$C$6, $C$6, 100%, $E$6) + CHOOSE(CONTROL!$C$25, 0.0003, 0)</f>
        <v>25.686399999999999</v>
      </c>
      <c r="C467" s="4">
        <f>25.3739 * CHOOSE(CONTROL!$C$6, $C$6, 100%, $E$6) + CHOOSE(CONTROL!$C$25, 0.0003, 0)</f>
        <v>25.373899999999999</v>
      </c>
      <c r="D467" s="4">
        <f>33.5236 * CHOOSE(CONTROL!$C$6, $C$6, 100%, $E$6) + CHOOSE(CONTROL!$C$25, 0, 0)</f>
        <v>33.523600000000002</v>
      </c>
      <c r="E467" s="4">
        <f>168.852341403862 * CHOOSE(CONTROL!$C$6, $C$6, 100%, $E$6) + CHOOSE(CONTROL!$C$25, 0, 0)</f>
        <v>168.852341403862</v>
      </c>
    </row>
    <row r="468" spans="1:5" ht="15">
      <c r="A468" s="13">
        <v>56339</v>
      </c>
      <c r="B468" s="4">
        <f>27.1366 * CHOOSE(CONTROL!$C$6, $C$6, 100%, $E$6) + CHOOSE(CONTROL!$C$25, 0.0003, 0)</f>
        <v>27.136600000000001</v>
      </c>
      <c r="C468" s="4">
        <f>26.8241 * CHOOSE(CONTROL!$C$6, $C$6, 100%, $E$6) + CHOOSE(CONTROL!$C$25, 0.0003, 0)</f>
        <v>26.824100000000001</v>
      </c>
      <c r="D468" s="4">
        <f>35.2408 * CHOOSE(CONTROL!$C$6, $C$6, 100%, $E$6) + CHOOSE(CONTROL!$C$25, 0, 0)</f>
        <v>35.2408</v>
      </c>
      <c r="E468" s="4">
        <f>179.136577926356 * CHOOSE(CONTROL!$C$6, $C$6, 100%, $E$6) + CHOOSE(CONTROL!$C$25, 0, 0)</f>
        <v>179.13657792635601</v>
      </c>
    </row>
    <row r="469" spans="1:5" ht="15">
      <c r="A469" s="13">
        <v>56369</v>
      </c>
      <c r="B469" s="4">
        <f>28.1671 * CHOOSE(CONTROL!$C$6, $C$6, 100%, $E$6) + CHOOSE(CONTROL!$C$25, 0.0003, 0)</f>
        <v>28.167100000000001</v>
      </c>
      <c r="C469" s="4">
        <f>27.8546 * CHOOSE(CONTROL!$C$6, $C$6, 100%, $E$6) + CHOOSE(CONTROL!$C$25, 0.0003, 0)</f>
        <v>27.854600000000001</v>
      </c>
      <c r="D469" s="4">
        <f>36.2299 * CHOOSE(CONTROL!$C$6, $C$6, 100%, $E$6) + CHOOSE(CONTROL!$C$25, 0, 0)</f>
        <v>36.229900000000001</v>
      </c>
      <c r="E469" s="4">
        <f>186.443665031059 * CHOOSE(CONTROL!$C$6, $C$6, 100%, $E$6) + CHOOSE(CONTROL!$C$25, 0, 0)</f>
        <v>186.443665031059</v>
      </c>
    </row>
    <row r="470" spans="1:5" ht="15">
      <c r="A470" s="13">
        <v>56400</v>
      </c>
      <c r="B470" s="4">
        <f>28.7966 * CHOOSE(CONTROL!$C$6, $C$6, 100%, $E$6) + CHOOSE(CONTROL!$C$25, 0.0258, 0)</f>
        <v>28.796600000000002</v>
      </c>
      <c r="C470" s="4">
        <f>28.4841 * CHOOSE(CONTROL!$C$6, $C$6, 100%, $E$6) + CHOOSE(CONTROL!$C$25, 0.0258, 0)</f>
        <v>28.484100000000002</v>
      </c>
      <c r="D470" s="4">
        <f>35.839 * CHOOSE(CONTROL!$C$6, $C$6, 100%, $E$6) + CHOOSE(CONTROL!$C$25, 0, 0)</f>
        <v>35.838999999999999</v>
      </c>
      <c r="E470" s="4">
        <f>190.908120125597 * CHOOSE(CONTROL!$C$6, $C$6, 100%, $E$6) + CHOOSE(CONTROL!$C$25, 0, 0)</f>
        <v>190.90812012559701</v>
      </c>
    </row>
    <row r="471" spans="1:5" ht="15">
      <c r="A471" s="13">
        <v>56430</v>
      </c>
      <c r="B471" s="4">
        <f>28.8818 * CHOOSE(CONTROL!$C$6, $C$6, 100%, $E$6) + CHOOSE(CONTROL!$C$25, 0.0258, 0)</f>
        <v>28.881799999999998</v>
      </c>
      <c r="C471" s="4">
        <f>28.5693 * CHOOSE(CONTROL!$C$6, $C$6, 100%, $E$6) + CHOOSE(CONTROL!$C$25, 0.0258, 0)</f>
        <v>28.569299999999998</v>
      </c>
      <c r="D471" s="4">
        <f>36.1574 * CHOOSE(CONTROL!$C$6, $C$6, 100%, $E$6) + CHOOSE(CONTROL!$C$25, 0, 0)</f>
        <v>36.157400000000003</v>
      </c>
      <c r="E471" s="4">
        <f>191.512179427757 * CHOOSE(CONTROL!$C$6, $C$6, 100%, $E$6) + CHOOSE(CONTROL!$C$25, 0, 0)</f>
        <v>191.51217942775699</v>
      </c>
    </row>
    <row r="472" spans="1:5" ht="15">
      <c r="A472" s="13">
        <v>56461</v>
      </c>
      <c r="B472" s="4">
        <f>28.8732 * CHOOSE(CONTROL!$C$6, $C$6, 100%, $E$6) + CHOOSE(CONTROL!$C$25, 0.0258, 0)</f>
        <v>28.873200000000001</v>
      </c>
      <c r="C472" s="4">
        <f>28.5607 * CHOOSE(CONTROL!$C$6, $C$6, 100%, $E$6) + CHOOSE(CONTROL!$C$25, 0.0258, 0)</f>
        <v>28.560700000000001</v>
      </c>
      <c r="D472" s="4">
        <f>36.7317 * CHOOSE(CONTROL!$C$6, $C$6, 100%, $E$6) + CHOOSE(CONTROL!$C$25, 0, 0)</f>
        <v>36.731699999999996</v>
      </c>
      <c r="E472" s="4">
        <f>191.451265884682 * CHOOSE(CONTROL!$C$6, $C$6, 100%, $E$6) + CHOOSE(CONTROL!$C$25, 0, 0)</f>
        <v>191.45126588468199</v>
      </c>
    </row>
    <row r="473" spans="1:5" ht="15">
      <c r="A473" s="13">
        <v>56492</v>
      </c>
      <c r="B473" s="4">
        <f>29.5196 * CHOOSE(CONTROL!$C$6, $C$6, 100%, $E$6) + CHOOSE(CONTROL!$C$25, 0.0258, 0)</f>
        <v>29.519600000000001</v>
      </c>
      <c r="C473" s="4">
        <f>29.2071 * CHOOSE(CONTROL!$C$6, $C$6, 100%, $E$6) + CHOOSE(CONTROL!$C$25, 0.0258, 0)</f>
        <v>29.207100000000001</v>
      </c>
      <c r="D473" s="4">
        <f>36.3524 * CHOOSE(CONTROL!$C$6, $C$6, 100%, $E$6) + CHOOSE(CONTROL!$C$25, 0, 0)</f>
        <v>36.352400000000003</v>
      </c>
      <c r="E473" s="4">
        <f>196.035010001075 * CHOOSE(CONTROL!$C$6, $C$6, 100%, $E$6) + CHOOSE(CONTROL!$C$25, 0, 0)</f>
        <v>196.03501000107499</v>
      </c>
    </row>
    <row r="474" spans="1:5" ht="15">
      <c r="A474" s="13">
        <v>56522</v>
      </c>
      <c r="B474" s="4">
        <f>28.418 * CHOOSE(CONTROL!$C$6, $C$6, 100%, $E$6) + CHOOSE(CONTROL!$C$25, 0.0258, 0)</f>
        <v>28.417999999999999</v>
      </c>
      <c r="C474" s="4">
        <f>28.1055 * CHOOSE(CONTROL!$C$6, $C$6, 100%, $E$6) + CHOOSE(CONTROL!$C$25, 0.0258, 0)</f>
        <v>28.105499999999999</v>
      </c>
      <c r="D474" s="4">
        <f>36.1732 * CHOOSE(CONTROL!$C$6, $C$6, 100%, $E$6) + CHOOSE(CONTROL!$C$25, 0, 0)</f>
        <v>36.173200000000001</v>
      </c>
      <c r="E474" s="4">
        <f>188.222848101708 * CHOOSE(CONTROL!$C$6, $C$6, 100%, $E$6) + CHOOSE(CONTROL!$C$25, 0, 0)</f>
        <v>188.222848101708</v>
      </c>
    </row>
    <row r="475" spans="1:5" ht="15">
      <c r="A475" s="13">
        <v>56553</v>
      </c>
      <c r="B475" s="4">
        <f>27.5361 * CHOOSE(CONTROL!$C$6, $C$6, 100%, $E$6) + CHOOSE(CONTROL!$C$25, 0.0003, 0)</f>
        <v>27.536100000000001</v>
      </c>
      <c r="C475" s="4">
        <f>27.2236 * CHOOSE(CONTROL!$C$6, $C$6, 100%, $E$6) + CHOOSE(CONTROL!$C$25, 0.0003, 0)</f>
        <v>27.223600000000001</v>
      </c>
      <c r="D475" s="4">
        <f>35.6933 * CHOOSE(CONTROL!$C$6, $C$6, 100%, $E$6) + CHOOSE(CONTROL!$C$25, 0, 0)</f>
        <v>35.693300000000001</v>
      </c>
      <c r="E475" s="4">
        <f>181.969057679343 * CHOOSE(CONTROL!$C$6, $C$6, 100%, $E$6) + CHOOSE(CONTROL!$C$25, 0, 0)</f>
        <v>181.969057679343</v>
      </c>
    </row>
    <row r="476" spans="1:5" ht="15">
      <c r="A476" s="13">
        <v>56583</v>
      </c>
      <c r="B476" s="4">
        <f>26.9681 * CHOOSE(CONTROL!$C$6, $C$6, 100%, $E$6) + CHOOSE(CONTROL!$C$25, 0.0003, 0)</f>
        <v>26.9681</v>
      </c>
      <c r="C476" s="4">
        <f>26.6556 * CHOOSE(CONTROL!$C$6, $C$6, 100%, $E$6) + CHOOSE(CONTROL!$C$25, 0.0003, 0)</f>
        <v>26.6556</v>
      </c>
      <c r="D476" s="4">
        <f>35.5284 * CHOOSE(CONTROL!$C$6, $C$6, 100%, $E$6) + CHOOSE(CONTROL!$C$25, 0, 0)</f>
        <v>35.528399999999998</v>
      </c>
      <c r="E476" s="4">
        <f>177.941149643509 * CHOOSE(CONTROL!$C$6, $C$6, 100%, $E$6) + CHOOSE(CONTROL!$C$25, 0, 0)</f>
        <v>177.94114964350899</v>
      </c>
    </row>
    <row r="477" spans="1:5" ht="15">
      <c r="A477" s="13">
        <v>56614</v>
      </c>
      <c r="B477" s="4">
        <f>26.5751 * CHOOSE(CONTROL!$C$6, $C$6, 100%, $E$6) + CHOOSE(CONTROL!$C$25, 0.0003, 0)</f>
        <v>26.575099999999999</v>
      </c>
      <c r="C477" s="4">
        <f>26.2626 * CHOOSE(CONTROL!$C$6, $C$6, 100%, $E$6) + CHOOSE(CONTROL!$C$25, 0.0003, 0)</f>
        <v>26.262599999999999</v>
      </c>
      <c r="D477" s="4">
        <f>34.3138 * CHOOSE(CONTROL!$C$6, $C$6, 100%, $E$6) + CHOOSE(CONTROL!$C$25, 0, 0)</f>
        <v>34.313800000000001</v>
      </c>
      <c r="E477" s="4">
        <f>175.154355047828 * CHOOSE(CONTROL!$C$6, $C$6, 100%, $E$6) + CHOOSE(CONTROL!$C$25, 0, 0)</f>
        <v>175.15435504782801</v>
      </c>
    </row>
    <row r="478" spans="1:5" ht="15">
      <c r="A478" s="13">
        <v>56645</v>
      </c>
      <c r="B478" s="4">
        <f>25.6481 * CHOOSE(CONTROL!$C$6, $C$6, 100%, $E$6) + CHOOSE(CONTROL!$C$25, 0.0003, 0)</f>
        <v>25.648099999999999</v>
      </c>
      <c r="C478" s="4">
        <f>25.3356 * CHOOSE(CONTROL!$C$6, $C$6, 100%, $E$6) + CHOOSE(CONTROL!$C$25, 0.0003, 0)</f>
        <v>25.335599999999999</v>
      </c>
      <c r="D478" s="4">
        <f>33.1291 * CHOOSE(CONTROL!$C$6, $C$6, 100%, $E$6) + CHOOSE(CONTROL!$C$25, 0, 0)</f>
        <v>33.129100000000001</v>
      </c>
      <c r="E478" s="4">
        <f>169.702761723893 * CHOOSE(CONTROL!$C$6, $C$6, 100%, $E$6) + CHOOSE(CONTROL!$C$25, 0, 0)</f>
        <v>169.70276172389299</v>
      </c>
    </row>
    <row r="479" spans="1:5" ht="15">
      <c r="A479" s="13">
        <v>56673</v>
      </c>
      <c r="B479" s="4">
        <f>26.2126 * CHOOSE(CONTROL!$C$6, $C$6, 100%, $E$6) + CHOOSE(CONTROL!$C$25, 0.0003, 0)</f>
        <v>26.212599999999998</v>
      </c>
      <c r="C479" s="4">
        <f>25.9001 * CHOOSE(CONTROL!$C$6, $C$6, 100%, $E$6) + CHOOSE(CONTROL!$C$25, 0.0003, 0)</f>
        <v>25.900099999999998</v>
      </c>
      <c r="D479" s="4">
        <f>34.2508 * CHOOSE(CONTROL!$C$6, $C$6, 100%, $E$6) + CHOOSE(CONTROL!$C$25, 0, 0)</f>
        <v>34.250799999999998</v>
      </c>
      <c r="E479" s="4">
        <f>173.732174070434 * CHOOSE(CONTROL!$C$6, $C$6, 100%, $E$6) + CHOOSE(CONTROL!$C$25, 0, 0)</f>
        <v>173.73217407043401</v>
      </c>
    </row>
    <row r="480" spans="1:5" ht="15">
      <c r="A480" s="13">
        <v>56704</v>
      </c>
      <c r="B480" s="4">
        <f>27.6949 * CHOOSE(CONTROL!$C$6, $C$6, 100%, $E$6) + CHOOSE(CONTROL!$C$25, 0.0003, 0)</f>
        <v>27.694900000000001</v>
      </c>
      <c r="C480" s="4">
        <f>27.3824 * CHOOSE(CONTROL!$C$6, $C$6, 100%, $E$6) + CHOOSE(CONTROL!$C$25, 0.0003, 0)</f>
        <v>27.382400000000001</v>
      </c>
      <c r="D480" s="4">
        <f>36.0068 * CHOOSE(CONTROL!$C$6, $C$6, 100%, $E$6) + CHOOSE(CONTROL!$C$25, 0, 0)</f>
        <v>36.006799999999998</v>
      </c>
      <c r="E480" s="4">
        <f>184.313625028427 * CHOOSE(CONTROL!$C$6, $C$6, 100%, $E$6) + CHOOSE(CONTROL!$C$25, 0, 0)</f>
        <v>184.313625028427</v>
      </c>
    </row>
    <row r="481" spans="1:5" ht="15">
      <c r="A481" s="13">
        <v>56734</v>
      </c>
      <c r="B481" s="4">
        <f>28.7481 * CHOOSE(CONTROL!$C$6, $C$6, 100%, $E$6) + CHOOSE(CONTROL!$C$25, 0.0003, 0)</f>
        <v>28.748100000000001</v>
      </c>
      <c r="C481" s="4">
        <f>28.4356 * CHOOSE(CONTROL!$C$6, $C$6, 100%, $E$6) + CHOOSE(CONTROL!$C$25, 0.0003, 0)</f>
        <v>28.435600000000001</v>
      </c>
      <c r="D481" s="4">
        <f>37.0183 * CHOOSE(CONTROL!$C$6, $C$6, 100%, $E$6) + CHOOSE(CONTROL!$C$25, 0, 0)</f>
        <v>37.018300000000004</v>
      </c>
      <c r="E481" s="4">
        <f>191.831886950457 * CHOOSE(CONTROL!$C$6, $C$6, 100%, $E$6) + CHOOSE(CONTROL!$C$25, 0, 0)</f>
        <v>191.831886950457</v>
      </c>
    </row>
    <row r="482" spans="1:5" ht="15">
      <c r="A482" s="13">
        <v>56765</v>
      </c>
      <c r="B482" s="4">
        <f>29.3916 * CHOOSE(CONTROL!$C$6, $C$6, 100%, $E$6) + CHOOSE(CONTROL!$C$25, 0.0258, 0)</f>
        <v>29.3916</v>
      </c>
      <c r="C482" s="4">
        <f>29.0791 * CHOOSE(CONTROL!$C$6, $C$6, 100%, $E$6) + CHOOSE(CONTROL!$C$25, 0.0258, 0)</f>
        <v>29.0791</v>
      </c>
      <c r="D482" s="4">
        <f>36.6186 * CHOOSE(CONTROL!$C$6, $C$6, 100%, $E$6) + CHOOSE(CONTROL!$C$25, 0, 0)</f>
        <v>36.618600000000001</v>
      </c>
      <c r="E482" s="4">
        <f>196.425364797226 * CHOOSE(CONTROL!$C$6, $C$6, 100%, $E$6) + CHOOSE(CONTROL!$C$25, 0, 0)</f>
        <v>196.425364797226</v>
      </c>
    </row>
    <row r="483" spans="1:5" ht="15">
      <c r="A483" s="13">
        <v>56795</v>
      </c>
      <c r="B483" s="4">
        <f>29.4787 * CHOOSE(CONTROL!$C$6, $C$6, 100%, $E$6) + CHOOSE(CONTROL!$C$25, 0.0258, 0)</f>
        <v>29.4787</v>
      </c>
      <c r="C483" s="4">
        <f>29.1662 * CHOOSE(CONTROL!$C$6, $C$6, 100%, $E$6) + CHOOSE(CONTROL!$C$25, 0.0258, 0)</f>
        <v>29.1662</v>
      </c>
      <c r="D483" s="4">
        <f>36.9441 * CHOOSE(CONTROL!$C$6, $C$6, 100%, $E$6) + CHOOSE(CONTROL!$C$25, 0, 0)</f>
        <v>36.944099999999999</v>
      </c>
      <c r="E483" s="4">
        <f>197.046881413219 * CHOOSE(CONTROL!$C$6, $C$6, 100%, $E$6) + CHOOSE(CONTROL!$C$25, 0, 0)</f>
        <v>197.04688141321901</v>
      </c>
    </row>
    <row r="484" spans="1:5" ht="15">
      <c r="A484" s="13">
        <v>56826</v>
      </c>
      <c r="B484" s="4">
        <f>29.4699 * CHOOSE(CONTROL!$C$6, $C$6, 100%, $E$6) + CHOOSE(CONTROL!$C$25, 0.0258, 0)</f>
        <v>29.469899999999999</v>
      </c>
      <c r="C484" s="4">
        <f>29.1574 * CHOOSE(CONTROL!$C$6, $C$6, 100%, $E$6) + CHOOSE(CONTROL!$C$25, 0.0258, 0)</f>
        <v>29.157399999999999</v>
      </c>
      <c r="D484" s="4">
        <f>37.5314 * CHOOSE(CONTROL!$C$6, $C$6, 100%, $E$6) + CHOOSE(CONTROL!$C$25, 0, 0)</f>
        <v>37.531399999999998</v>
      </c>
      <c r="E484" s="4">
        <f>196.984207468749 * CHOOSE(CONTROL!$C$6, $C$6, 100%, $E$6) + CHOOSE(CONTROL!$C$25, 0, 0)</f>
        <v>196.98420746874899</v>
      </c>
    </row>
    <row r="485" spans="1:5" ht="15">
      <c r="A485" s="13">
        <v>56857</v>
      </c>
      <c r="B485" s="4">
        <f>30.1306 * CHOOSE(CONTROL!$C$6, $C$6, 100%, $E$6) + CHOOSE(CONTROL!$C$25, 0.0258, 0)</f>
        <v>30.130600000000001</v>
      </c>
      <c r="C485" s="4">
        <f>29.8181 * CHOOSE(CONTROL!$C$6, $C$6, 100%, $E$6) + CHOOSE(CONTROL!$C$25, 0.0258, 0)</f>
        <v>29.818100000000001</v>
      </c>
      <c r="D485" s="4">
        <f>37.1436 * CHOOSE(CONTROL!$C$6, $C$6, 100%, $E$6) + CHOOSE(CONTROL!$C$25, 0, 0)</f>
        <v>37.143599999999999</v>
      </c>
      <c r="E485" s="4">
        <f>201.700421790106 * CHOOSE(CONTROL!$C$6, $C$6, 100%, $E$6) + CHOOSE(CONTROL!$C$25, 0, 0)</f>
        <v>201.70042179010599</v>
      </c>
    </row>
    <row r="486" spans="1:5" ht="15">
      <c r="A486" s="13">
        <v>56887</v>
      </c>
      <c r="B486" s="4">
        <f>29.0046 * CHOOSE(CONTROL!$C$6, $C$6, 100%, $E$6) + CHOOSE(CONTROL!$C$25, 0.0258, 0)</f>
        <v>29.0046</v>
      </c>
      <c r="C486" s="4">
        <f>28.6921 * CHOOSE(CONTROL!$C$6, $C$6, 100%, $E$6) + CHOOSE(CONTROL!$C$25, 0.0258, 0)</f>
        <v>28.6921</v>
      </c>
      <c r="D486" s="4">
        <f>36.9603 * CHOOSE(CONTROL!$C$6, $C$6, 100%, $E$6) + CHOOSE(CONTROL!$C$25, 0, 0)</f>
        <v>36.960299999999997</v>
      </c>
      <c r="E486" s="4">
        <f>193.662488411847 * CHOOSE(CONTROL!$C$6, $C$6, 100%, $E$6) + CHOOSE(CONTROL!$C$25, 0, 0)</f>
        <v>193.66248841184699</v>
      </c>
    </row>
    <row r="487" spans="1:5" ht="15">
      <c r="A487" s="13">
        <v>56918</v>
      </c>
      <c r="B487" s="4">
        <f>28.1032 * CHOOSE(CONTROL!$C$6, $C$6, 100%, $E$6) + CHOOSE(CONTROL!$C$25, 0.0003, 0)</f>
        <v>28.103200000000001</v>
      </c>
      <c r="C487" s="4">
        <f>27.7907 * CHOOSE(CONTROL!$C$6, $C$6, 100%, $E$6) + CHOOSE(CONTROL!$C$25, 0.0003, 0)</f>
        <v>27.790700000000001</v>
      </c>
      <c r="D487" s="4">
        <f>36.4696 * CHOOSE(CONTROL!$C$6, $C$6, 100%, $E$6) + CHOOSE(CONTROL!$C$25, 0, 0)</f>
        <v>36.4696</v>
      </c>
      <c r="E487" s="4">
        <f>187.227963446275 * CHOOSE(CONTROL!$C$6, $C$6, 100%, $E$6) + CHOOSE(CONTROL!$C$25, 0, 0)</f>
        <v>187.227963446275</v>
      </c>
    </row>
    <row r="488" spans="1:5" ht="15">
      <c r="A488" s="13">
        <v>56948</v>
      </c>
      <c r="B488" s="4">
        <f>27.5226 * CHOOSE(CONTROL!$C$6, $C$6, 100%, $E$6) + CHOOSE(CONTROL!$C$25, 0.0003, 0)</f>
        <v>27.522600000000001</v>
      </c>
      <c r="C488" s="4">
        <f>27.2101 * CHOOSE(CONTROL!$C$6, $C$6, 100%, $E$6) + CHOOSE(CONTROL!$C$25, 0.0003, 0)</f>
        <v>27.210100000000001</v>
      </c>
      <c r="D488" s="4">
        <f>36.3009 * CHOOSE(CONTROL!$C$6, $C$6, 100%, $E$6) + CHOOSE(CONTROL!$C$25, 0, 0)</f>
        <v>36.300899999999999</v>
      </c>
      <c r="E488" s="4">
        <f>183.083648868206 * CHOOSE(CONTROL!$C$6, $C$6, 100%, $E$6) + CHOOSE(CONTROL!$C$25, 0, 0)</f>
        <v>183.08364886820601</v>
      </c>
    </row>
    <row r="489" spans="1:5" ht="15">
      <c r="A489" s="13">
        <v>56979</v>
      </c>
      <c r="B489" s="4">
        <f>27.1209 * CHOOSE(CONTROL!$C$6, $C$6, 100%, $E$6) + CHOOSE(CONTROL!$C$25, 0.0003, 0)</f>
        <v>27.120899999999999</v>
      </c>
      <c r="C489" s="4">
        <f>26.8084 * CHOOSE(CONTROL!$C$6, $C$6, 100%, $E$6) + CHOOSE(CONTROL!$C$25, 0.0003, 0)</f>
        <v>26.808399999999999</v>
      </c>
      <c r="D489" s="4">
        <f>35.0588 * CHOOSE(CONTROL!$C$6, $C$6, 100%, $E$6) + CHOOSE(CONTROL!$C$25, 0, 0)</f>
        <v>35.058799999999998</v>
      </c>
      <c r="E489" s="4">
        <f>180.216315908711 * CHOOSE(CONTROL!$C$6, $C$6, 100%, $E$6) + CHOOSE(CONTROL!$C$25, 0, 0)</f>
        <v>180.21631590871101</v>
      </c>
    </row>
    <row r="490" spans="1:5" ht="15">
      <c r="A490" s="13">
        <v>57010</v>
      </c>
      <c r="B490" s="4">
        <f>26.1735 * CHOOSE(CONTROL!$C$6, $C$6, 100%, $E$6) + CHOOSE(CONTROL!$C$25, 0.0003, 0)</f>
        <v>26.173500000000001</v>
      </c>
      <c r="C490" s="4">
        <f>25.861 * CHOOSE(CONTROL!$C$6, $C$6, 100%, $E$6) + CHOOSE(CONTROL!$C$25, 0.0003, 0)</f>
        <v>25.861000000000001</v>
      </c>
      <c r="D490" s="4">
        <f>33.8473 * CHOOSE(CONTROL!$C$6, $C$6, 100%, $E$6) + CHOOSE(CONTROL!$C$25, 0, 0)</f>
        <v>33.847299999999997</v>
      </c>
      <c r="E490" s="4">
        <f>174.607171537713 * CHOOSE(CONTROL!$C$6, $C$6, 100%, $E$6) + CHOOSE(CONTROL!$C$25, 0, 0)</f>
        <v>174.60717153771299</v>
      </c>
    </row>
    <row r="491" spans="1:5" ht="15">
      <c r="A491" s="13">
        <v>57038</v>
      </c>
      <c r="B491" s="4">
        <f>26.7505 * CHOOSE(CONTROL!$C$6, $C$6, 100%, $E$6) + CHOOSE(CONTROL!$C$25, 0.0003, 0)</f>
        <v>26.750499999999999</v>
      </c>
      <c r="C491" s="4">
        <f>26.438 * CHOOSE(CONTROL!$C$6, $C$6, 100%, $E$6) + CHOOSE(CONTROL!$C$25, 0.0003, 0)</f>
        <v>26.437999999999999</v>
      </c>
      <c r="D491" s="4">
        <f>34.9944 * CHOOSE(CONTROL!$C$6, $C$6, 100%, $E$6) + CHOOSE(CONTROL!$C$25, 0, 0)</f>
        <v>34.994399999999999</v>
      </c>
      <c r="E491" s="4">
        <f>178.753033901069 * CHOOSE(CONTROL!$C$6, $C$6, 100%, $E$6) + CHOOSE(CONTROL!$C$25, 0, 0)</f>
        <v>178.75303390106899</v>
      </c>
    </row>
    <row r="492" spans="1:5" ht="15">
      <c r="A492" s="13">
        <v>57070</v>
      </c>
      <c r="B492" s="4">
        <f>28.2655 * CHOOSE(CONTROL!$C$6, $C$6, 100%, $E$6) + CHOOSE(CONTROL!$C$25, 0.0003, 0)</f>
        <v>28.265499999999999</v>
      </c>
      <c r="C492" s="4">
        <f>27.953 * CHOOSE(CONTROL!$C$6, $C$6, 100%, $E$6) + CHOOSE(CONTROL!$C$25, 0.0003, 0)</f>
        <v>27.952999999999999</v>
      </c>
      <c r="D492" s="4">
        <f>36.7901 * CHOOSE(CONTROL!$C$6, $C$6, 100%, $E$6) + CHOOSE(CONTROL!$C$25, 0, 0)</f>
        <v>36.790100000000002</v>
      </c>
      <c r="E492" s="4">
        <f>189.640288791749 * CHOOSE(CONTROL!$C$6, $C$6, 100%, $E$6) + CHOOSE(CONTROL!$C$25, 0, 0)</f>
        <v>189.64028879174899</v>
      </c>
    </row>
    <row r="493" spans="1:5" ht="15">
      <c r="A493" s="13">
        <v>57100</v>
      </c>
      <c r="B493" s="4">
        <f>29.342 * CHOOSE(CONTROL!$C$6, $C$6, 100%, $E$6) + CHOOSE(CONTROL!$C$25, 0.0003, 0)</f>
        <v>29.341999999999999</v>
      </c>
      <c r="C493" s="4">
        <f>29.0295 * CHOOSE(CONTROL!$C$6, $C$6, 100%, $E$6) + CHOOSE(CONTROL!$C$25, 0.0003, 0)</f>
        <v>29.029499999999999</v>
      </c>
      <c r="D493" s="4">
        <f>37.8244 * CHOOSE(CONTROL!$C$6, $C$6, 100%, $E$6) + CHOOSE(CONTROL!$C$25, 0, 0)</f>
        <v>37.824399999999997</v>
      </c>
      <c r="E493" s="4">
        <f>197.375828483325 * CHOOSE(CONTROL!$C$6, $C$6, 100%, $E$6) + CHOOSE(CONTROL!$C$25, 0, 0)</f>
        <v>197.37582848332499</v>
      </c>
    </row>
    <row r="494" spans="1:5" ht="15">
      <c r="A494" s="13">
        <v>57131</v>
      </c>
      <c r="B494" s="4">
        <f>29.9997 * CHOOSE(CONTROL!$C$6, $C$6, 100%, $E$6) + CHOOSE(CONTROL!$C$25, 0.0258, 0)</f>
        <v>29.999700000000001</v>
      </c>
      <c r="C494" s="4">
        <f>29.6872 * CHOOSE(CONTROL!$C$6, $C$6, 100%, $E$6) + CHOOSE(CONTROL!$C$25, 0.0258, 0)</f>
        <v>29.687200000000001</v>
      </c>
      <c r="D494" s="4">
        <f>37.4157 * CHOOSE(CONTROL!$C$6, $C$6, 100%, $E$6) + CHOOSE(CONTROL!$C$25, 0, 0)</f>
        <v>37.415700000000001</v>
      </c>
      <c r="E494" s="4">
        <f>202.102057839866 * CHOOSE(CONTROL!$C$6, $C$6, 100%, $E$6) + CHOOSE(CONTROL!$C$25, 0, 0)</f>
        <v>202.10205783986601</v>
      </c>
    </row>
    <row r="495" spans="1:5" ht="15">
      <c r="A495" s="13">
        <v>57161</v>
      </c>
      <c r="B495" s="4">
        <f>30.0887 * CHOOSE(CONTROL!$C$6, $C$6, 100%, $E$6) + CHOOSE(CONTROL!$C$25, 0.0258, 0)</f>
        <v>30.088699999999999</v>
      </c>
      <c r="C495" s="4">
        <f>29.7762 * CHOOSE(CONTROL!$C$6, $C$6, 100%, $E$6) + CHOOSE(CONTROL!$C$25, 0.0258, 0)</f>
        <v>29.776199999999999</v>
      </c>
      <c r="D495" s="4">
        <f>37.7486 * CHOOSE(CONTROL!$C$6, $C$6, 100%, $E$6) + CHOOSE(CONTROL!$C$25, 0, 0)</f>
        <v>37.748600000000003</v>
      </c>
      <c r="E495" s="4">
        <f>202.741536286061 * CHOOSE(CONTROL!$C$6, $C$6, 100%, $E$6) + CHOOSE(CONTROL!$C$25, 0, 0)</f>
        <v>202.74153628606101</v>
      </c>
    </row>
    <row r="496" spans="1:5" ht="15">
      <c r="A496" s="13">
        <v>57192</v>
      </c>
      <c r="B496" s="4">
        <f>30.0797 * CHOOSE(CONTROL!$C$6, $C$6, 100%, $E$6) + CHOOSE(CONTROL!$C$25, 0.0258, 0)</f>
        <v>30.079699999999999</v>
      </c>
      <c r="C496" s="4">
        <f>29.7672 * CHOOSE(CONTROL!$C$6, $C$6, 100%, $E$6) + CHOOSE(CONTROL!$C$25, 0.0258, 0)</f>
        <v>29.767199999999999</v>
      </c>
      <c r="D496" s="4">
        <f>38.3492 * CHOOSE(CONTROL!$C$6, $C$6, 100%, $E$6) + CHOOSE(CONTROL!$C$25, 0, 0)</f>
        <v>38.349200000000003</v>
      </c>
      <c r="E496" s="4">
        <f>202.677051064596 * CHOOSE(CONTROL!$C$6, $C$6, 100%, $E$6) + CHOOSE(CONTROL!$C$25, 0, 0)</f>
        <v>202.67705106459599</v>
      </c>
    </row>
    <row r="497" spans="1:5" ht="15">
      <c r="A497" s="13">
        <v>57223</v>
      </c>
      <c r="B497" s="4">
        <f>30.755 * CHOOSE(CONTROL!$C$6, $C$6, 100%, $E$6) + CHOOSE(CONTROL!$C$25, 0.0258, 0)</f>
        <v>30.754999999999999</v>
      </c>
      <c r="C497" s="4">
        <f>30.4425 * CHOOSE(CONTROL!$C$6, $C$6, 100%, $E$6) + CHOOSE(CONTROL!$C$25, 0.0258, 0)</f>
        <v>30.442499999999999</v>
      </c>
      <c r="D497" s="4">
        <f>37.9526 * CHOOSE(CONTROL!$C$6, $C$6, 100%, $E$6) + CHOOSE(CONTROL!$C$25, 0, 0)</f>
        <v>37.952599999999997</v>
      </c>
      <c r="E497" s="4">
        <f>207.52956397984 * CHOOSE(CONTROL!$C$6, $C$6, 100%, $E$6) + CHOOSE(CONTROL!$C$25, 0, 0)</f>
        <v>207.52956397983999</v>
      </c>
    </row>
    <row r="498" spans="1:5" ht="15">
      <c r="A498" s="13">
        <v>57253</v>
      </c>
      <c r="B498" s="4">
        <f>29.6041 * CHOOSE(CONTROL!$C$6, $C$6, 100%, $E$6) + CHOOSE(CONTROL!$C$25, 0.0258, 0)</f>
        <v>29.604099999999999</v>
      </c>
      <c r="C498" s="4">
        <f>29.2916 * CHOOSE(CONTROL!$C$6, $C$6, 100%, $E$6) + CHOOSE(CONTROL!$C$25, 0.0258, 0)</f>
        <v>29.291599999999999</v>
      </c>
      <c r="D498" s="4">
        <f>37.7652 * CHOOSE(CONTROL!$C$6, $C$6, 100%, $E$6) + CHOOSE(CONTROL!$C$25, 0, 0)</f>
        <v>37.7652</v>
      </c>
      <c r="E498" s="4">
        <f>199.25933432695 * CHOOSE(CONTROL!$C$6, $C$6, 100%, $E$6) + CHOOSE(CONTROL!$C$25, 0, 0)</f>
        <v>199.25933432695001</v>
      </c>
    </row>
    <row r="499" spans="1:5" ht="15">
      <c r="A499" s="13">
        <v>57284</v>
      </c>
      <c r="B499" s="4">
        <f>28.6828 * CHOOSE(CONTROL!$C$6, $C$6, 100%, $E$6) + CHOOSE(CONTROL!$C$25, 0.0003, 0)</f>
        <v>28.6828</v>
      </c>
      <c r="C499" s="4">
        <f>28.3703 * CHOOSE(CONTROL!$C$6, $C$6, 100%, $E$6) + CHOOSE(CONTROL!$C$25, 0.0003, 0)</f>
        <v>28.3703</v>
      </c>
      <c r="D499" s="4">
        <f>37.2633 * CHOOSE(CONTROL!$C$6, $C$6, 100%, $E$6) + CHOOSE(CONTROL!$C$25, 0, 0)</f>
        <v>37.263300000000001</v>
      </c>
      <c r="E499" s="4">
        <f>192.638851589873 * CHOOSE(CONTROL!$C$6, $C$6, 100%, $E$6) + CHOOSE(CONTROL!$C$25, 0, 0)</f>
        <v>192.63885158987301</v>
      </c>
    </row>
    <row r="500" spans="1:5" ht="15">
      <c r="A500" s="13">
        <v>57314</v>
      </c>
      <c r="B500" s="4">
        <f>28.0894 * CHOOSE(CONTROL!$C$6, $C$6, 100%, $E$6) + CHOOSE(CONTROL!$C$25, 0.0003, 0)</f>
        <v>28.089400000000001</v>
      </c>
      <c r="C500" s="4">
        <f>27.7769 * CHOOSE(CONTROL!$C$6, $C$6, 100%, $E$6) + CHOOSE(CONTROL!$C$25, 0.0003, 0)</f>
        <v>27.776900000000001</v>
      </c>
      <c r="D500" s="4">
        <f>37.0908 * CHOOSE(CONTROL!$C$6, $C$6, 100%, $E$6) + CHOOSE(CONTROL!$C$25, 0, 0)</f>
        <v>37.090800000000002</v>
      </c>
      <c r="E500" s="4">
        <f>188.374766320498 * CHOOSE(CONTROL!$C$6, $C$6, 100%, $E$6) + CHOOSE(CONTROL!$C$25, 0, 0)</f>
        <v>188.374766320498</v>
      </c>
    </row>
    <row r="501" spans="1:5" ht="15">
      <c r="A501" s="13">
        <v>57345</v>
      </c>
      <c r="B501" s="4">
        <f>27.6789 * CHOOSE(CONTROL!$C$6, $C$6, 100%, $E$6) + CHOOSE(CONTROL!$C$25, 0.0003, 0)</f>
        <v>27.678899999999999</v>
      </c>
      <c r="C501" s="4">
        <f>27.3664 * CHOOSE(CONTROL!$C$6, $C$6, 100%, $E$6) + CHOOSE(CONTROL!$C$25, 0.0003, 0)</f>
        <v>27.366399999999999</v>
      </c>
      <c r="D501" s="4">
        <f>35.8207 * CHOOSE(CONTROL!$C$6, $C$6, 100%, $E$6) + CHOOSE(CONTROL!$C$25, 0, 0)</f>
        <v>35.820700000000002</v>
      </c>
      <c r="E501" s="4">
        <f>185.424567438472 * CHOOSE(CONTROL!$C$6, $C$6, 100%, $E$6) + CHOOSE(CONTROL!$C$25, 0, 0)</f>
        <v>185.424567438472</v>
      </c>
    </row>
    <row r="502" spans="1:5" ht="15">
      <c r="A502" s="13">
        <v>57376</v>
      </c>
      <c r="B502" s="4">
        <f>26.7105 * CHOOSE(CONTROL!$C$6, $C$6, 100%, $E$6) + CHOOSE(CONTROL!$C$25, 0.0003, 0)</f>
        <v>26.7105</v>
      </c>
      <c r="C502" s="4">
        <f>26.398 * CHOOSE(CONTROL!$C$6, $C$6, 100%, $E$6) + CHOOSE(CONTROL!$C$25, 0.0003, 0)</f>
        <v>26.398</v>
      </c>
      <c r="D502" s="4">
        <f>34.5819 * CHOOSE(CONTROL!$C$6, $C$6, 100%, $E$6) + CHOOSE(CONTROL!$C$25, 0, 0)</f>
        <v>34.581899999999997</v>
      </c>
      <c r="E502" s="4">
        <f>179.653318795153 * CHOOSE(CONTROL!$C$6, $C$6, 100%, $E$6) + CHOOSE(CONTROL!$C$25, 0, 0)</f>
        <v>179.65331879515301</v>
      </c>
    </row>
    <row r="503" spans="1:5" ht="15">
      <c r="A503" s="13">
        <v>57404</v>
      </c>
      <c r="B503" s="4">
        <f>27.3002 * CHOOSE(CONTROL!$C$6, $C$6, 100%, $E$6) + CHOOSE(CONTROL!$C$25, 0.0003, 0)</f>
        <v>27.3002</v>
      </c>
      <c r="C503" s="4">
        <f>26.9877 * CHOOSE(CONTROL!$C$6, $C$6, 100%, $E$6) + CHOOSE(CONTROL!$C$25, 0.0003, 0)</f>
        <v>26.9877</v>
      </c>
      <c r="D503" s="4">
        <f>35.7549 * CHOOSE(CONTROL!$C$6, $C$6, 100%, $E$6) + CHOOSE(CONTROL!$C$25, 0, 0)</f>
        <v>35.754899999999999</v>
      </c>
      <c r="E503" s="4">
        <f>183.91899658081 * CHOOSE(CONTROL!$C$6, $C$6, 100%, $E$6) + CHOOSE(CONTROL!$C$25, 0, 0)</f>
        <v>183.91899658080999</v>
      </c>
    </row>
    <row r="504" spans="1:5" ht="15">
      <c r="A504" s="13">
        <v>57435</v>
      </c>
      <c r="B504" s="4">
        <f>28.8488 * CHOOSE(CONTROL!$C$6, $C$6, 100%, $E$6) + CHOOSE(CONTROL!$C$25, 0.0003, 0)</f>
        <v>28.848800000000001</v>
      </c>
      <c r="C504" s="4">
        <f>28.5363 * CHOOSE(CONTROL!$C$6, $C$6, 100%, $E$6) + CHOOSE(CONTROL!$C$25, 0.0003, 0)</f>
        <v>28.536300000000001</v>
      </c>
      <c r="D504" s="4">
        <f>37.5911 * CHOOSE(CONTROL!$C$6, $C$6, 100%, $E$6) + CHOOSE(CONTROL!$C$25, 0, 0)</f>
        <v>37.591099999999997</v>
      </c>
      <c r="E504" s="4">
        <f>195.12089313783 * CHOOSE(CONTROL!$C$6, $C$6, 100%, $E$6) + CHOOSE(CONTROL!$C$25, 0, 0)</f>
        <v>195.12089313783</v>
      </c>
    </row>
    <row r="505" spans="1:5" ht="15">
      <c r="A505" s="13">
        <v>57465</v>
      </c>
      <c r="B505" s="4">
        <f>29.949 * CHOOSE(CONTROL!$C$6, $C$6, 100%, $E$6) + CHOOSE(CONTROL!$C$25, 0.0003, 0)</f>
        <v>29.949000000000002</v>
      </c>
      <c r="C505" s="4">
        <f>29.6365 * CHOOSE(CONTROL!$C$6, $C$6, 100%, $E$6) + CHOOSE(CONTROL!$C$25, 0.0003, 0)</f>
        <v>29.636500000000002</v>
      </c>
      <c r="D505" s="4">
        <f>38.6488 * CHOOSE(CONTROL!$C$6, $C$6, 100%, $E$6) + CHOOSE(CONTROL!$C$25, 0, 0)</f>
        <v>38.648800000000001</v>
      </c>
      <c r="E505" s="4">
        <f>203.079989926493 * CHOOSE(CONTROL!$C$6, $C$6, 100%, $E$6) + CHOOSE(CONTROL!$C$25, 0, 0)</f>
        <v>203.079989926493</v>
      </c>
    </row>
    <row r="506" spans="1:5" ht="15">
      <c r="A506" s="13">
        <v>57496</v>
      </c>
      <c r="B506" s="4">
        <f>30.6213 * CHOOSE(CONTROL!$C$6, $C$6, 100%, $E$6) + CHOOSE(CONTROL!$C$25, 0.0258, 0)</f>
        <v>30.621300000000002</v>
      </c>
      <c r="C506" s="4">
        <f>30.3088 * CHOOSE(CONTROL!$C$6, $C$6, 100%, $E$6) + CHOOSE(CONTROL!$C$25, 0.0258, 0)</f>
        <v>30.308800000000002</v>
      </c>
      <c r="D506" s="4">
        <f>38.2309 * CHOOSE(CONTROL!$C$6, $C$6, 100%, $E$6) + CHOOSE(CONTROL!$C$25, 0, 0)</f>
        <v>38.230899999999998</v>
      </c>
      <c r="E506" s="4">
        <f>207.942807311438 * CHOOSE(CONTROL!$C$6, $C$6, 100%, $E$6) + CHOOSE(CONTROL!$C$25, 0, 0)</f>
        <v>207.942807311438</v>
      </c>
    </row>
    <row r="507" spans="1:5" ht="15">
      <c r="A507" s="13">
        <v>57526</v>
      </c>
      <c r="B507" s="4">
        <f>30.7122 * CHOOSE(CONTROL!$C$6, $C$6, 100%, $E$6) + CHOOSE(CONTROL!$C$25, 0.0258, 0)</f>
        <v>30.712199999999999</v>
      </c>
      <c r="C507" s="4">
        <f>30.3997 * CHOOSE(CONTROL!$C$6, $C$6, 100%, $E$6) + CHOOSE(CONTROL!$C$25, 0.0258, 0)</f>
        <v>30.399699999999999</v>
      </c>
      <c r="D507" s="4">
        <f>38.5713 * CHOOSE(CONTROL!$C$6, $C$6, 100%, $E$6) + CHOOSE(CONTROL!$C$25, 0, 0)</f>
        <v>38.571300000000001</v>
      </c>
      <c r="E507" s="4">
        <f>208.600766684728 * CHOOSE(CONTROL!$C$6, $C$6, 100%, $E$6) + CHOOSE(CONTROL!$C$25, 0, 0)</f>
        <v>208.600766684728</v>
      </c>
    </row>
    <row r="508" spans="1:5" ht="15">
      <c r="A508" s="13">
        <v>57557</v>
      </c>
      <c r="B508" s="4">
        <f>30.7031 * CHOOSE(CONTROL!$C$6, $C$6, 100%, $E$6) + CHOOSE(CONTROL!$C$25, 0.0258, 0)</f>
        <v>30.703099999999999</v>
      </c>
      <c r="C508" s="4">
        <f>30.3906 * CHOOSE(CONTROL!$C$6, $C$6, 100%, $E$6) + CHOOSE(CONTROL!$C$25, 0.0258, 0)</f>
        <v>30.390599999999999</v>
      </c>
      <c r="D508" s="4">
        <f>39.1855 * CHOOSE(CONTROL!$C$6, $C$6, 100%, $E$6) + CHOOSE(CONTROL!$C$25, 0, 0)</f>
        <v>39.185499999999998</v>
      </c>
      <c r="E508" s="4">
        <f>208.534417840363 * CHOOSE(CONTROL!$C$6, $C$6, 100%, $E$6) + CHOOSE(CONTROL!$C$25, 0, 0)</f>
        <v>208.53441784036301</v>
      </c>
    </row>
    <row r="509" spans="1:5" ht="15">
      <c r="A509" s="13">
        <v>57588</v>
      </c>
      <c r="B509" s="4">
        <f>31.3933 * CHOOSE(CONTROL!$C$6, $C$6, 100%, $E$6) + CHOOSE(CONTROL!$C$25, 0.0258, 0)</f>
        <v>31.3933</v>
      </c>
      <c r="C509" s="4">
        <f>31.0808 * CHOOSE(CONTROL!$C$6, $C$6, 100%, $E$6) + CHOOSE(CONTROL!$C$25, 0.0258, 0)</f>
        <v>31.0808</v>
      </c>
      <c r="D509" s="4">
        <f>38.7799 * CHOOSE(CONTROL!$C$6, $C$6, 100%, $E$6) + CHOOSE(CONTROL!$C$25, 0, 0)</f>
        <v>38.779899999999998</v>
      </c>
      <c r="E509" s="4">
        <f>213.527168378857 * CHOOSE(CONTROL!$C$6, $C$6, 100%, $E$6) + CHOOSE(CONTROL!$C$25, 0, 0)</f>
        <v>213.527168378857</v>
      </c>
    </row>
    <row r="510" spans="1:5" ht="15">
      <c r="A510" s="13">
        <v>57618</v>
      </c>
      <c r="B510" s="4">
        <f>30.2169 * CHOOSE(CONTROL!$C$6, $C$6, 100%, $E$6) + CHOOSE(CONTROL!$C$25, 0.0258, 0)</f>
        <v>30.216899999999999</v>
      </c>
      <c r="C510" s="4">
        <f>29.9044 * CHOOSE(CONTROL!$C$6, $C$6, 100%, $E$6) + CHOOSE(CONTROL!$C$25, 0.0258, 0)</f>
        <v>29.904399999999999</v>
      </c>
      <c r="D510" s="4">
        <f>38.5882 * CHOOSE(CONTROL!$C$6, $C$6, 100%, $E$6) + CHOOSE(CONTROL!$C$25, 0, 0)</f>
        <v>38.588200000000001</v>
      </c>
      <c r="E510" s="4">
        <f>205.017929088998 * CHOOSE(CONTROL!$C$6, $C$6, 100%, $E$6) + CHOOSE(CONTROL!$C$25, 0, 0)</f>
        <v>205.01792908899799</v>
      </c>
    </row>
    <row r="511" spans="1:5" ht="15">
      <c r="A511" s="13">
        <v>57649</v>
      </c>
      <c r="B511" s="4">
        <f>29.2753 * CHOOSE(CONTROL!$C$6, $C$6, 100%, $E$6) + CHOOSE(CONTROL!$C$25, 0.0003, 0)</f>
        <v>29.275300000000001</v>
      </c>
      <c r="C511" s="4">
        <f>28.9628 * CHOOSE(CONTROL!$C$6, $C$6, 100%, $E$6) + CHOOSE(CONTROL!$C$25, 0.0003, 0)</f>
        <v>28.962800000000001</v>
      </c>
      <c r="D511" s="4">
        <f>38.0751 * CHOOSE(CONTROL!$C$6, $C$6, 100%, $E$6) + CHOOSE(CONTROL!$C$25, 0, 0)</f>
        <v>38.075099999999999</v>
      </c>
      <c r="E511" s="4">
        <f>198.20611440082 * CHOOSE(CONTROL!$C$6, $C$6, 100%, $E$6) + CHOOSE(CONTROL!$C$25, 0, 0)</f>
        <v>198.20611440082001</v>
      </c>
    </row>
    <row r="512" spans="1:5" ht="15">
      <c r="A512" s="13">
        <v>57679</v>
      </c>
      <c r="B512" s="4">
        <f>28.6688 * CHOOSE(CONTROL!$C$6, $C$6, 100%, $E$6) + CHOOSE(CONTROL!$C$25, 0.0003, 0)</f>
        <v>28.668800000000001</v>
      </c>
      <c r="C512" s="4">
        <f>28.3563 * CHOOSE(CONTROL!$C$6, $C$6, 100%, $E$6) + CHOOSE(CONTROL!$C$25, 0.0003, 0)</f>
        <v>28.356300000000001</v>
      </c>
      <c r="D512" s="4">
        <f>37.8986 * CHOOSE(CONTROL!$C$6, $C$6, 100%, $E$6) + CHOOSE(CONTROL!$C$25, 0, 0)</f>
        <v>37.898600000000002</v>
      </c>
      <c r="E512" s="4">
        <f>193.81879706716 * CHOOSE(CONTROL!$C$6, $C$6, 100%, $E$6) + CHOOSE(CONTROL!$C$25, 0, 0)</f>
        <v>193.81879706716001</v>
      </c>
    </row>
    <row r="513" spans="1:5" ht="15">
      <c r="A513" s="13">
        <v>57710</v>
      </c>
      <c r="B513" s="4">
        <f>28.2491 * CHOOSE(CONTROL!$C$6, $C$6, 100%, $E$6) + CHOOSE(CONTROL!$C$25, 0.0003, 0)</f>
        <v>28.249099999999999</v>
      </c>
      <c r="C513" s="4">
        <f>27.9366 * CHOOSE(CONTROL!$C$6, $C$6, 100%, $E$6) + CHOOSE(CONTROL!$C$25, 0.0003, 0)</f>
        <v>27.936599999999999</v>
      </c>
      <c r="D513" s="4">
        <f>36.5998 * CHOOSE(CONTROL!$C$6, $C$6, 100%, $E$6) + CHOOSE(CONTROL!$C$25, 0, 0)</f>
        <v>36.599800000000002</v>
      </c>
      <c r="E513" s="4">
        <f>190.783337437444 * CHOOSE(CONTROL!$C$6, $C$6, 100%, $E$6) + CHOOSE(CONTROL!$C$25, 0, 0)</f>
        <v>190.783337437444</v>
      </c>
    </row>
    <row r="514" spans="1:5" ht="15">
      <c r="A514" s="13">
        <v>57741</v>
      </c>
      <c r="B514" s="4">
        <f>27.2594 * CHOOSE(CONTROL!$C$6, $C$6, 100%, $E$6) + CHOOSE(CONTROL!$C$25, 0.0003, 0)</f>
        <v>27.259399999999999</v>
      </c>
      <c r="C514" s="4">
        <f>26.9469 * CHOOSE(CONTROL!$C$6, $C$6, 100%, $E$6) + CHOOSE(CONTROL!$C$25, 0.0003, 0)</f>
        <v>26.946899999999999</v>
      </c>
      <c r="D514" s="4">
        <f>35.333 * CHOOSE(CONTROL!$C$6, $C$6, 100%, $E$6) + CHOOSE(CONTROL!$C$25, 0, 0)</f>
        <v>35.332999999999998</v>
      </c>
      <c r="E514" s="4">
        <f>184.845299708333 * CHOOSE(CONTROL!$C$6, $C$6, 100%, $E$6) + CHOOSE(CONTROL!$C$25, 0, 0)</f>
        <v>184.84529970833299</v>
      </c>
    </row>
    <row r="515" spans="1:5" ht="15">
      <c r="A515" s="13">
        <v>57769</v>
      </c>
      <c r="B515" s="4">
        <f>27.8621 * CHOOSE(CONTROL!$C$6, $C$6, 100%, $E$6) + CHOOSE(CONTROL!$C$25, 0.0003, 0)</f>
        <v>27.862100000000002</v>
      </c>
      <c r="C515" s="4">
        <f>27.5496 * CHOOSE(CONTROL!$C$6, $C$6, 100%, $E$6) + CHOOSE(CONTROL!$C$25, 0.0003, 0)</f>
        <v>27.549600000000002</v>
      </c>
      <c r="D515" s="4">
        <f>36.5325 * CHOOSE(CONTROL!$C$6, $C$6, 100%, $E$6) + CHOOSE(CONTROL!$C$25, 0, 0)</f>
        <v>36.532499999999999</v>
      </c>
      <c r="E515" s="4">
        <f>189.234255581996 * CHOOSE(CONTROL!$C$6, $C$6, 100%, $E$6) + CHOOSE(CONTROL!$C$25, 0, 0)</f>
        <v>189.234255581996</v>
      </c>
    </row>
    <row r="516" spans="1:5" ht="15">
      <c r="A516" s="13">
        <v>57800</v>
      </c>
      <c r="B516" s="4">
        <f>29.4449 * CHOOSE(CONTROL!$C$6, $C$6, 100%, $E$6) + CHOOSE(CONTROL!$C$25, 0.0003, 0)</f>
        <v>29.444900000000001</v>
      </c>
      <c r="C516" s="4">
        <f>29.1324 * CHOOSE(CONTROL!$C$6, $C$6, 100%, $E$6) + CHOOSE(CONTROL!$C$25, 0.0003, 0)</f>
        <v>29.132400000000001</v>
      </c>
      <c r="D516" s="4">
        <f>38.4102 * CHOOSE(CONTROL!$C$6, $C$6, 100%, $E$6) + CHOOSE(CONTROL!$C$25, 0, 0)</f>
        <v>38.410200000000003</v>
      </c>
      <c r="E516" s="4">
        <f>200.759886949514 * CHOOSE(CONTROL!$C$6, $C$6, 100%, $E$6) + CHOOSE(CONTROL!$C$25, 0, 0)</f>
        <v>200.759886949514</v>
      </c>
    </row>
    <row r="517" spans="1:5" ht="15">
      <c r="A517" s="13">
        <v>57830</v>
      </c>
      <c r="B517" s="4">
        <f>30.5695 * CHOOSE(CONTROL!$C$6, $C$6, 100%, $E$6) + CHOOSE(CONTROL!$C$25, 0.0003, 0)</f>
        <v>30.569500000000001</v>
      </c>
      <c r="C517" s="4">
        <f>30.257 * CHOOSE(CONTROL!$C$6, $C$6, 100%, $E$6) + CHOOSE(CONTROL!$C$25, 0.0003, 0)</f>
        <v>30.257000000000001</v>
      </c>
      <c r="D517" s="4">
        <f>39.4919 * CHOOSE(CONTROL!$C$6, $C$6, 100%, $E$6) + CHOOSE(CONTROL!$C$25, 0, 0)</f>
        <v>39.491900000000001</v>
      </c>
      <c r="E517" s="4">
        <f>208.949001635369 * CHOOSE(CONTROL!$C$6, $C$6, 100%, $E$6) + CHOOSE(CONTROL!$C$25, 0, 0)</f>
        <v>208.949001635369</v>
      </c>
    </row>
    <row r="518" spans="1:5" ht="15">
      <c r="A518" s="13">
        <v>57861</v>
      </c>
      <c r="B518" s="4">
        <f>31.2566 * CHOOSE(CONTROL!$C$6, $C$6, 100%, $E$6) + CHOOSE(CONTROL!$C$25, 0.0258, 0)</f>
        <v>31.256599999999999</v>
      </c>
      <c r="C518" s="4">
        <f>30.9441 * CHOOSE(CONTROL!$C$6, $C$6, 100%, $E$6) + CHOOSE(CONTROL!$C$25, 0.0258, 0)</f>
        <v>30.944099999999999</v>
      </c>
      <c r="D518" s="4">
        <f>39.0645 * CHOOSE(CONTROL!$C$6, $C$6, 100%, $E$6) + CHOOSE(CONTROL!$C$25, 0, 0)</f>
        <v>39.064500000000002</v>
      </c>
      <c r="E518" s="4">
        <f>213.952354442739 * CHOOSE(CONTROL!$C$6, $C$6, 100%, $E$6) + CHOOSE(CONTROL!$C$25, 0, 0)</f>
        <v>213.95235444273899</v>
      </c>
    </row>
    <row r="519" spans="1:5" ht="15">
      <c r="A519" s="13">
        <v>57891</v>
      </c>
      <c r="B519" s="4">
        <f>31.3495 * CHOOSE(CONTROL!$C$6, $C$6, 100%, $E$6) + CHOOSE(CONTROL!$C$25, 0.0258, 0)</f>
        <v>31.349499999999999</v>
      </c>
      <c r="C519" s="4">
        <f>31.037 * CHOOSE(CONTROL!$C$6, $C$6, 100%, $E$6) + CHOOSE(CONTROL!$C$25, 0.0258, 0)</f>
        <v>31.036999999999999</v>
      </c>
      <c r="D519" s="4">
        <f>39.4126 * CHOOSE(CONTROL!$C$6, $C$6, 100%, $E$6) + CHOOSE(CONTROL!$C$25, 0, 0)</f>
        <v>39.412599999999998</v>
      </c>
      <c r="E519" s="4">
        <f>214.629328841917 * CHOOSE(CONTROL!$C$6, $C$6, 100%, $E$6) + CHOOSE(CONTROL!$C$25, 0, 0)</f>
        <v>214.62932884191699</v>
      </c>
    </row>
    <row r="520" spans="1:5" ht="15">
      <c r="A520" s="13">
        <v>57922</v>
      </c>
      <c r="B520" s="4">
        <f>31.3402 * CHOOSE(CONTROL!$C$6, $C$6, 100%, $E$6) + CHOOSE(CONTROL!$C$25, 0.0258, 0)</f>
        <v>31.340199999999999</v>
      </c>
      <c r="C520" s="4">
        <f>31.0277 * CHOOSE(CONTROL!$C$6, $C$6, 100%, $E$6) + CHOOSE(CONTROL!$C$25, 0.0258, 0)</f>
        <v>31.027699999999999</v>
      </c>
      <c r="D520" s="4">
        <f>40.0406 * CHOOSE(CONTROL!$C$6, $C$6, 100%, $E$6) + CHOOSE(CONTROL!$C$25, 0, 0)</f>
        <v>40.040599999999998</v>
      </c>
      <c r="E520" s="4">
        <f>214.561062515949 * CHOOSE(CONTROL!$C$6, $C$6, 100%, $E$6) + CHOOSE(CONTROL!$C$25, 0, 0)</f>
        <v>214.561062515949</v>
      </c>
    </row>
    <row r="521" spans="1:5" ht="15">
      <c r="A521" s="13">
        <v>57953</v>
      </c>
      <c r="B521" s="4">
        <f>32.0456 * CHOOSE(CONTROL!$C$6, $C$6, 100%, $E$6) + CHOOSE(CONTROL!$C$25, 0.0258, 0)</f>
        <v>32.0456</v>
      </c>
      <c r="C521" s="4">
        <f>31.7331 * CHOOSE(CONTROL!$C$6, $C$6, 100%, $E$6) + CHOOSE(CONTROL!$C$25, 0.0258, 0)</f>
        <v>31.7331</v>
      </c>
      <c r="D521" s="4">
        <f>39.6258 * CHOOSE(CONTROL!$C$6, $C$6, 100%, $E$6) + CHOOSE(CONTROL!$C$25, 0, 0)</f>
        <v>39.625799999999998</v>
      </c>
      <c r="E521" s="4">
        <f>219.698103545006 * CHOOSE(CONTROL!$C$6, $C$6, 100%, $E$6) + CHOOSE(CONTROL!$C$25, 0, 0)</f>
        <v>219.69810354500601</v>
      </c>
    </row>
    <row r="522" spans="1:5" ht="15">
      <c r="A522" s="13">
        <v>57983</v>
      </c>
      <c r="B522" s="4">
        <f>30.8433 * CHOOSE(CONTROL!$C$6, $C$6, 100%, $E$6) + CHOOSE(CONTROL!$C$25, 0.0258, 0)</f>
        <v>30.843299999999999</v>
      </c>
      <c r="C522" s="4">
        <f>30.5308 * CHOOSE(CONTROL!$C$6, $C$6, 100%, $E$6) + CHOOSE(CONTROL!$C$25, 0.0258, 0)</f>
        <v>30.530799999999999</v>
      </c>
      <c r="D522" s="4">
        <f>39.4299 * CHOOSE(CONTROL!$C$6, $C$6, 100%, $E$6) + CHOOSE(CONTROL!$C$25, 0, 0)</f>
        <v>39.429900000000004</v>
      </c>
      <c r="E522" s="4">
        <f>210.94294723967 * CHOOSE(CONTROL!$C$6, $C$6, 100%, $E$6) + CHOOSE(CONTROL!$C$25, 0, 0)</f>
        <v>210.94294723966999</v>
      </c>
    </row>
    <row r="523" spans="1:5" ht="15">
      <c r="A523" s="13">
        <v>58014</v>
      </c>
      <c r="B523" s="4">
        <f>29.8808 * CHOOSE(CONTROL!$C$6, $C$6, 100%, $E$6) + CHOOSE(CONTROL!$C$25, 0.0003, 0)</f>
        <v>29.880800000000001</v>
      </c>
      <c r="C523" s="4">
        <f>29.5683 * CHOOSE(CONTROL!$C$6, $C$6, 100%, $E$6) + CHOOSE(CONTROL!$C$25, 0.0003, 0)</f>
        <v>29.568300000000001</v>
      </c>
      <c r="D523" s="4">
        <f>38.9051 * CHOOSE(CONTROL!$C$6, $C$6, 100%, $E$6) + CHOOSE(CONTROL!$C$25, 0, 0)</f>
        <v>38.905099999999997</v>
      </c>
      <c r="E523" s="4">
        <f>203.934271107004 * CHOOSE(CONTROL!$C$6, $C$6, 100%, $E$6) + CHOOSE(CONTROL!$C$25, 0, 0)</f>
        <v>203.93427110700401</v>
      </c>
    </row>
    <row r="524" spans="1:5" ht="15">
      <c r="A524" s="13">
        <v>58044</v>
      </c>
      <c r="B524" s="4">
        <f>29.2609 * CHOOSE(CONTROL!$C$6, $C$6, 100%, $E$6) + CHOOSE(CONTROL!$C$25, 0.0003, 0)</f>
        <v>29.260899999999999</v>
      </c>
      <c r="C524" s="4">
        <f>28.9484 * CHOOSE(CONTROL!$C$6, $C$6, 100%, $E$6) + CHOOSE(CONTROL!$C$25, 0.0003, 0)</f>
        <v>28.948399999999999</v>
      </c>
      <c r="D524" s="4">
        <f>38.7247 * CHOOSE(CONTROL!$C$6, $C$6, 100%, $E$6) + CHOOSE(CONTROL!$C$25, 0, 0)</f>
        <v>38.724699999999999</v>
      </c>
      <c r="E524" s="4">
        <f>199.420160302401 * CHOOSE(CONTROL!$C$6, $C$6, 100%, $E$6) + CHOOSE(CONTROL!$C$25, 0, 0)</f>
        <v>199.420160302401</v>
      </c>
    </row>
    <row r="525" spans="1:5" ht="15">
      <c r="A525" s="13">
        <v>58075</v>
      </c>
      <c r="B525" s="4">
        <f>28.832 * CHOOSE(CONTROL!$C$6, $C$6, 100%, $E$6) + CHOOSE(CONTROL!$C$25, 0.0003, 0)</f>
        <v>28.832000000000001</v>
      </c>
      <c r="C525" s="4">
        <f>28.5195 * CHOOSE(CONTROL!$C$6, $C$6, 100%, $E$6) + CHOOSE(CONTROL!$C$25, 0.0003, 0)</f>
        <v>28.519500000000001</v>
      </c>
      <c r="D525" s="4">
        <f>37.3965 * CHOOSE(CONTROL!$C$6, $C$6, 100%, $E$6) + CHOOSE(CONTROL!$C$25, 0, 0)</f>
        <v>37.396500000000003</v>
      </c>
      <c r="E525" s="4">
        <f>196.296975889386 * CHOOSE(CONTROL!$C$6, $C$6, 100%, $E$6) + CHOOSE(CONTROL!$C$25, 0, 0)</f>
        <v>196.296975889386</v>
      </c>
    </row>
    <row r="526" spans="1:5" ht="15">
      <c r="A526" s="13">
        <v>58106</v>
      </c>
      <c r="B526" s="4">
        <f>27.8204 * CHOOSE(CONTROL!$C$6, $C$6, 100%, $E$6) + CHOOSE(CONTROL!$C$25, 0.0003, 0)</f>
        <v>27.820399999999999</v>
      </c>
      <c r="C526" s="4">
        <f>27.5079 * CHOOSE(CONTROL!$C$6, $C$6, 100%, $E$6) + CHOOSE(CONTROL!$C$25, 0.0003, 0)</f>
        <v>27.507899999999999</v>
      </c>
      <c r="D526" s="4">
        <f>36.1011 * CHOOSE(CONTROL!$C$6, $C$6, 100%, $E$6) + CHOOSE(CONTROL!$C$25, 0, 0)</f>
        <v>36.101100000000002</v>
      </c>
      <c r="E526" s="4">
        <f>190.187328869904 * CHOOSE(CONTROL!$C$6, $C$6, 100%, $E$6) + CHOOSE(CONTROL!$C$25, 0, 0)</f>
        <v>190.18732886990401</v>
      </c>
    </row>
    <row r="527" spans="1:5" ht="15">
      <c r="A527" s="13">
        <v>58134</v>
      </c>
      <c r="B527" s="4">
        <f>28.4364 * CHOOSE(CONTROL!$C$6, $C$6, 100%, $E$6) + CHOOSE(CONTROL!$C$25, 0.0003, 0)</f>
        <v>28.436399999999999</v>
      </c>
      <c r="C527" s="4">
        <f>28.1239 * CHOOSE(CONTROL!$C$6, $C$6, 100%, $E$6) + CHOOSE(CONTROL!$C$25, 0.0003, 0)</f>
        <v>28.123899999999999</v>
      </c>
      <c r="D527" s="4">
        <f>37.3277 * CHOOSE(CONTROL!$C$6, $C$6, 100%, $E$6) + CHOOSE(CONTROL!$C$25, 0, 0)</f>
        <v>37.3277</v>
      </c>
      <c r="E527" s="4">
        <f>194.703125568315 * CHOOSE(CONTROL!$C$6, $C$6, 100%, $E$6) + CHOOSE(CONTROL!$C$25, 0, 0)</f>
        <v>194.70312556831499</v>
      </c>
    </row>
    <row r="528" spans="1:5" ht="15">
      <c r="A528" s="13">
        <v>58165</v>
      </c>
      <c r="B528" s="4">
        <f>30.0542 * CHOOSE(CONTROL!$C$6, $C$6, 100%, $E$6) + CHOOSE(CONTROL!$C$25, 0.0003, 0)</f>
        <v>30.054200000000002</v>
      </c>
      <c r="C528" s="4">
        <f>29.7417 * CHOOSE(CONTROL!$C$6, $C$6, 100%, $E$6) + CHOOSE(CONTROL!$C$25, 0.0003, 0)</f>
        <v>29.741700000000002</v>
      </c>
      <c r="D528" s="4">
        <f>39.2479 * CHOOSE(CONTROL!$C$6, $C$6, 100%, $E$6) + CHOOSE(CONTROL!$C$25, 0, 0)</f>
        <v>39.247900000000001</v>
      </c>
      <c r="E528" s="4">
        <f>206.561847682355 * CHOOSE(CONTROL!$C$6, $C$6, 100%, $E$6) + CHOOSE(CONTROL!$C$25, 0, 0)</f>
        <v>206.56184768235499</v>
      </c>
    </row>
    <row r="529" spans="1:5" ht="15">
      <c r="A529" s="13">
        <v>58195</v>
      </c>
      <c r="B529" s="4">
        <f>31.2036 * CHOOSE(CONTROL!$C$6, $C$6, 100%, $E$6) + CHOOSE(CONTROL!$C$25, 0.0003, 0)</f>
        <v>31.203600000000002</v>
      </c>
      <c r="C529" s="4">
        <f>30.8911 * CHOOSE(CONTROL!$C$6, $C$6, 100%, $E$6) + CHOOSE(CONTROL!$C$25, 0.0003, 0)</f>
        <v>30.891100000000002</v>
      </c>
      <c r="D529" s="4">
        <f>40.354 * CHOOSE(CONTROL!$C$6, $C$6, 100%, $E$6) + CHOOSE(CONTROL!$C$25, 0, 0)</f>
        <v>40.353999999999999</v>
      </c>
      <c r="E529" s="4">
        <f>214.987627782631 * CHOOSE(CONTROL!$C$6, $C$6, 100%, $E$6) + CHOOSE(CONTROL!$C$25, 0, 0)</f>
        <v>214.98762778263099</v>
      </c>
    </row>
    <row r="530" spans="1:5" ht="15">
      <c r="A530" s="13">
        <v>58226</v>
      </c>
      <c r="B530" s="4">
        <f>31.9059 * CHOOSE(CONTROL!$C$6, $C$6, 100%, $E$6) + CHOOSE(CONTROL!$C$25, 0.0258, 0)</f>
        <v>31.905899999999999</v>
      </c>
      <c r="C530" s="4">
        <f>31.5934 * CHOOSE(CONTROL!$C$6, $C$6, 100%, $E$6) + CHOOSE(CONTROL!$C$25, 0.0258, 0)</f>
        <v>31.593399999999999</v>
      </c>
      <c r="D530" s="4">
        <f>39.9169 * CHOOSE(CONTROL!$C$6, $C$6, 100%, $E$6) + CHOOSE(CONTROL!$C$25, 0, 0)</f>
        <v>39.916899999999998</v>
      </c>
      <c r="E530" s="4">
        <f>220.135577486134 * CHOOSE(CONTROL!$C$6, $C$6, 100%, $E$6) + CHOOSE(CONTROL!$C$25, 0, 0)</f>
        <v>220.135577486134</v>
      </c>
    </row>
    <row r="531" spans="1:5" ht="15">
      <c r="A531" s="13">
        <v>58256</v>
      </c>
      <c r="B531" s="4">
        <f>32.0009 * CHOOSE(CONTROL!$C$6, $C$6, 100%, $E$6) + CHOOSE(CONTROL!$C$25, 0.0258, 0)</f>
        <v>32.000900000000001</v>
      </c>
      <c r="C531" s="4">
        <f>31.6884 * CHOOSE(CONTROL!$C$6, $C$6, 100%, $E$6) + CHOOSE(CONTROL!$C$25, 0.0258, 0)</f>
        <v>31.688400000000001</v>
      </c>
      <c r="D531" s="4">
        <f>40.2728 * CHOOSE(CONTROL!$C$6, $C$6, 100%, $E$6) + CHOOSE(CONTROL!$C$25, 0, 0)</f>
        <v>40.272799999999997</v>
      </c>
      <c r="E531" s="4">
        <f>220.832116445448 * CHOOSE(CONTROL!$C$6, $C$6, 100%, $E$6) + CHOOSE(CONTROL!$C$25, 0, 0)</f>
        <v>220.83211644544801</v>
      </c>
    </row>
    <row r="532" spans="1:5" ht="15">
      <c r="A532" s="13">
        <v>58287</v>
      </c>
      <c r="B532" s="4">
        <f>31.9914 * CHOOSE(CONTROL!$C$6, $C$6, 100%, $E$6) + CHOOSE(CONTROL!$C$25, 0.0258, 0)</f>
        <v>31.991399999999999</v>
      </c>
      <c r="C532" s="4">
        <f>31.6789 * CHOOSE(CONTROL!$C$6, $C$6, 100%, $E$6) + CHOOSE(CONTROL!$C$25, 0.0258, 0)</f>
        <v>31.678899999999999</v>
      </c>
      <c r="D532" s="4">
        <f>40.9151 * CHOOSE(CONTROL!$C$6, $C$6, 100%, $E$6) + CHOOSE(CONTROL!$C$25, 0, 0)</f>
        <v>40.915100000000002</v>
      </c>
      <c r="E532" s="4">
        <f>220.76187722266 * CHOOSE(CONTROL!$C$6, $C$6, 100%, $E$6) + CHOOSE(CONTROL!$C$25, 0, 0)</f>
        <v>220.76187722265999</v>
      </c>
    </row>
    <row r="533" spans="1:5" ht="15">
      <c r="A533" s="13">
        <v>58318</v>
      </c>
      <c r="B533" s="4">
        <f>32.7124 * CHOOSE(CONTROL!$C$6, $C$6, 100%, $E$6) + CHOOSE(CONTROL!$C$25, 0.0258, 0)</f>
        <v>32.712400000000002</v>
      </c>
      <c r="C533" s="4">
        <f>32.3999 * CHOOSE(CONTROL!$C$6, $C$6, 100%, $E$6) + CHOOSE(CONTROL!$C$25, 0.0258, 0)</f>
        <v>32.399900000000002</v>
      </c>
      <c r="D533" s="4">
        <f>40.491 * CHOOSE(CONTROL!$C$6, $C$6, 100%, $E$6) + CHOOSE(CONTROL!$C$25, 0, 0)</f>
        <v>40.491</v>
      </c>
      <c r="E533" s="4">
        <f>226.047378737457 * CHOOSE(CONTROL!$C$6, $C$6, 100%, $E$6) + CHOOSE(CONTROL!$C$25, 0, 0)</f>
        <v>226.047378737457</v>
      </c>
    </row>
    <row r="534" spans="1:5" ht="15">
      <c r="A534" s="13">
        <v>58348</v>
      </c>
      <c r="B534" s="4">
        <f>31.4835 * CHOOSE(CONTROL!$C$6, $C$6, 100%, $E$6) + CHOOSE(CONTROL!$C$25, 0.0258, 0)</f>
        <v>31.483499999999999</v>
      </c>
      <c r="C534" s="4">
        <f>31.171 * CHOOSE(CONTROL!$C$6, $C$6, 100%, $E$6) + CHOOSE(CONTROL!$C$25, 0.0258, 0)</f>
        <v>31.170999999999999</v>
      </c>
      <c r="D534" s="4">
        <f>40.2906 * CHOOSE(CONTROL!$C$6, $C$6, 100%, $E$6) + CHOOSE(CONTROL!$C$25, 0, 0)</f>
        <v>40.290599999999998</v>
      </c>
      <c r="E534" s="4">
        <f>217.039198414897 * CHOOSE(CONTROL!$C$6, $C$6, 100%, $E$6) + CHOOSE(CONTROL!$C$25, 0, 0)</f>
        <v>217.03919841489699</v>
      </c>
    </row>
    <row r="535" spans="1:5" ht="15">
      <c r="A535" s="13">
        <v>58379</v>
      </c>
      <c r="B535" s="4">
        <f>30.4997 * CHOOSE(CONTROL!$C$6, $C$6, 100%, $E$6) + CHOOSE(CONTROL!$C$25, 0.0003, 0)</f>
        <v>30.499700000000001</v>
      </c>
      <c r="C535" s="4">
        <f>30.1872 * CHOOSE(CONTROL!$C$6, $C$6, 100%, $E$6) + CHOOSE(CONTROL!$C$25, 0.0003, 0)</f>
        <v>30.187200000000001</v>
      </c>
      <c r="D535" s="4">
        <f>39.7539 * CHOOSE(CONTROL!$C$6, $C$6, 100%, $E$6) + CHOOSE(CONTROL!$C$25, 0, 0)</f>
        <v>39.753900000000002</v>
      </c>
      <c r="E535" s="4">
        <f>209.827971541996 * CHOOSE(CONTROL!$C$6, $C$6, 100%, $E$6) + CHOOSE(CONTROL!$C$25, 0, 0)</f>
        <v>209.82797154199599</v>
      </c>
    </row>
    <row r="536" spans="1:5" ht="15">
      <c r="A536" s="13">
        <v>58409</v>
      </c>
      <c r="B536" s="4">
        <f>29.8661 * CHOOSE(CONTROL!$C$6, $C$6, 100%, $E$6) + CHOOSE(CONTROL!$C$25, 0.0003, 0)</f>
        <v>29.866099999999999</v>
      </c>
      <c r="C536" s="4">
        <f>29.5536 * CHOOSE(CONTROL!$C$6, $C$6, 100%, $E$6) + CHOOSE(CONTROL!$C$25, 0.0003, 0)</f>
        <v>29.553599999999999</v>
      </c>
      <c r="D536" s="4">
        <f>39.5695 * CHOOSE(CONTROL!$C$6, $C$6, 100%, $E$6) + CHOOSE(CONTROL!$C$25, 0, 0)</f>
        <v>39.569499999999998</v>
      </c>
      <c r="E536" s="4">
        <f>205.18340293514 * CHOOSE(CONTROL!$C$6, $C$6, 100%, $E$6) + CHOOSE(CONTROL!$C$25, 0, 0)</f>
        <v>205.18340293514001</v>
      </c>
    </row>
    <row r="537" spans="1:5" ht="15">
      <c r="A537" s="13">
        <v>58440</v>
      </c>
      <c r="B537" s="4">
        <f>29.4278 * CHOOSE(CONTROL!$C$6, $C$6, 100%, $E$6) + CHOOSE(CONTROL!$C$25, 0.0003, 0)</f>
        <v>29.427800000000001</v>
      </c>
      <c r="C537" s="4">
        <f>29.1153 * CHOOSE(CONTROL!$C$6, $C$6, 100%, $E$6) + CHOOSE(CONTROL!$C$25, 0.0003, 0)</f>
        <v>29.115300000000001</v>
      </c>
      <c r="D537" s="4">
        <f>38.2113 * CHOOSE(CONTROL!$C$6, $C$6, 100%, $E$6) + CHOOSE(CONTROL!$C$25, 0, 0)</f>
        <v>38.211300000000001</v>
      </c>
      <c r="E537" s="4">
        <f>201.96995849259 * CHOOSE(CONTROL!$C$6, $C$6, 100%, $E$6) + CHOOSE(CONTROL!$C$25, 0, 0)</f>
        <v>201.96995849259</v>
      </c>
    </row>
    <row r="538" spans="1:5" ht="15">
      <c r="A538" s="13">
        <v>58471</v>
      </c>
      <c r="B538" s="4">
        <f>28.3938 * CHOOSE(CONTROL!$C$6, $C$6, 100%, $E$6) + CHOOSE(CONTROL!$C$25, 0.0003, 0)</f>
        <v>28.393799999999999</v>
      </c>
      <c r="C538" s="4">
        <f>28.0813 * CHOOSE(CONTROL!$C$6, $C$6, 100%, $E$6) + CHOOSE(CONTROL!$C$25, 0.0003, 0)</f>
        <v>28.081299999999999</v>
      </c>
      <c r="D538" s="4">
        <f>36.8865 * CHOOSE(CONTROL!$C$6, $C$6, 100%, $E$6) + CHOOSE(CONTROL!$C$25, 0, 0)</f>
        <v>36.886499999999998</v>
      </c>
      <c r="E538" s="4">
        <f>195.683742674244 * CHOOSE(CONTROL!$C$6, $C$6, 100%, $E$6) + CHOOSE(CONTROL!$C$25, 0, 0)</f>
        <v>195.683742674244</v>
      </c>
    </row>
    <row r="539" spans="1:5" ht="15">
      <c r="A539" s="13">
        <v>58499</v>
      </c>
      <c r="B539" s="4">
        <f>29.0234 * CHOOSE(CONTROL!$C$6, $C$6, 100%, $E$6) + CHOOSE(CONTROL!$C$25, 0.0003, 0)</f>
        <v>29.023399999999999</v>
      </c>
      <c r="C539" s="4">
        <f>28.7109 * CHOOSE(CONTROL!$C$6, $C$6, 100%, $E$6) + CHOOSE(CONTROL!$C$25, 0.0003, 0)</f>
        <v>28.710899999999999</v>
      </c>
      <c r="D539" s="4">
        <f>38.1409 * CHOOSE(CONTROL!$C$6, $C$6, 100%, $E$6) + CHOOSE(CONTROL!$C$25, 0, 0)</f>
        <v>38.140900000000002</v>
      </c>
      <c r="E539" s="4">
        <f>200.33004589724 * CHOOSE(CONTROL!$C$6, $C$6, 100%, $E$6) + CHOOSE(CONTROL!$C$25, 0, 0)</f>
        <v>200.33004589724001</v>
      </c>
    </row>
    <row r="540" spans="1:5" ht="15">
      <c r="A540" s="13">
        <v>58531</v>
      </c>
      <c r="B540" s="4">
        <f>30.6769 * CHOOSE(CONTROL!$C$6, $C$6, 100%, $E$6) + CHOOSE(CONTROL!$C$25, 0.0003, 0)</f>
        <v>30.6769</v>
      </c>
      <c r="C540" s="4">
        <f>30.3644 * CHOOSE(CONTROL!$C$6, $C$6, 100%, $E$6) + CHOOSE(CONTROL!$C$25, 0.0003, 0)</f>
        <v>30.3644</v>
      </c>
      <c r="D540" s="4">
        <f>40.1044 * CHOOSE(CONTROL!$C$6, $C$6, 100%, $E$6) + CHOOSE(CONTROL!$C$25, 0, 0)</f>
        <v>40.104399999999998</v>
      </c>
      <c r="E540" s="4">
        <f>212.531485080375 * CHOOSE(CONTROL!$C$6, $C$6, 100%, $E$6) + CHOOSE(CONTROL!$C$25, 0, 0)</f>
        <v>212.53148508037501</v>
      </c>
    </row>
    <row r="541" spans="1:5" ht="15">
      <c r="A541" s="13">
        <v>58561</v>
      </c>
      <c r="B541" s="4">
        <f>31.8518 * CHOOSE(CONTROL!$C$6, $C$6, 100%, $E$6) + CHOOSE(CONTROL!$C$25, 0.0003, 0)</f>
        <v>31.851800000000001</v>
      </c>
      <c r="C541" s="4">
        <f>31.5393 * CHOOSE(CONTROL!$C$6, $C$6, 100%, $E$6) + CHOOSE(CONTROL!$C$25, 0.0003, 0)</f>
        <v>31.539300000000001</v>
      </c>
      <c r="D541" s="4">
        <f>41.2355 * CHOOSE(CONTROL!$C$6, $C$6, 100%, $E$6) + CHOOSE(CONTROL!$C$25, 0, 0)</f>
        <v>41.235500000000002</v>
      </c>
      <c r="E541" s="4">
        <f>221.200770225549 * CHOOSE(CONTROL!$C$6, $C$6, 100%, $E$6) + CHOOSE(CONTROL!$C$25, 0, 0)</f>
        <v>221.20077022554901</v>
      </c>
    </row>
    <row r="542" spans="1:5" ht="15">
      <c r="A542" s="13">
        <v>58592</v>
      </c>
      <c r="B542" s="4">
        <f>32.5696 * CHOOSE(CONTROL!$C$6, $C$6, 100%, $E$6) + CHOOSE(CONTROL!$C$25, 0.0258, 0)</f>
        <v>32.569600000000001</v>
      </c>
      <c r="C542" s="4">
        <f>32.2571 * CHOOSE(CONTROL!$C$6, $C$6, 100%, $E$6) + CHOOSE(CONTROL!$C$25, 0.0258, 0)</f>
        <v>32.257100000000001</v>
      </c>
      <c r="D542" s="4">
        <f>40.7886 * CHOOSE(CONTROL!$C$6, $C$6, 100%, $E$6) + CHOOSE(CONTROL!$C$25, 0, 0)</f>
        <v>40.788600000000002</v>
      </c>
      <c r="E542" s="4">
        <f>226.497495675483 * CHOOSE(CONTROL!$C$6, $C$6, 100%, $E$6) + CHOOSE(CONTROL!$C$25, 0, 0)</f>
        <v>226.49749567548301</v>
      </c>
    </row>
    <row r="543" spans="1:5" ht="15">
      <c r="A543" s="13">
        <v>58622</v>
      </c>
      <c r="B543" s="4">
        <f>32.6667 * CHOOSE(CONTROL!$C$6, $C$6, 100%, $E$6) + CHOOSE(CONTROL!$C$25, 0.0258, 0)</f>
        <v>32.666699999999999</v>
      </c>
      <c r="C543" s="4">
        <f>32.3542 * CHOOSE(CONTROL!$C$6, $C$6, 100%, $E$6) + CHOOSE(CONTROL!$C$25, 0.0258, 0)</f>
        <v>32.354199999999999</v>
      </c>
      <c r="D543" s="4">
        <f>41.1526 * CHOOSE(CONTROL!$C$6, $C$6, 100%, $E$6) + CHOOSE(CONTROL!$C$25, 0, 0)</f>
        <v>41.1526</v>
      </c>
      <c r="E543" s="4">
        <f>227.214164610722 * CHOOSE(CONTROL!$C$6, $C$6, 100%, $E$6) + CHOOSE(CONTROL!$C$25, 0, 0)</f>
        <v>227.21416461072201</v>
      </c>
    </row>
    <row r="544" spans="1:5" ht="15">
      <c r="A544" s="13">
        <v>58653</v>
      </c>
      <c r="B544" s="4">
        <f>32.6569 * CHOOSE(CONTROL!$C$6, $C$6, 100%, $E$6) + CHOOSE(CONTROL!$C$25, 0.0258, 0)</f>
        <v>32.6569</v>
      </c>
      <c r="C544" s="4">
        <f>32.3444 * CHOOSE(CONTROL!$C$6, $C$6, 100%, $E$6) + CHOOSE(CONTROL!$C$25, 0.0258, 0)</f>
        <v>32.3444</v>
      </c>
      <c r="D544" s="4">
        <f>41.8094 * CHOOSE(CONTROL!$C$6, $C$6, 100%, $E$6) + CHOOSE(CONTROL!$C$25, 0, 0)</f>
        <v>41.809399999999997</v>
      </c>
      <c r="E544" s="4">
        <f>227.141895474395 * CHOOSE(CONTROL!$C$6, $C$6, 100%, $E$6) + CHOOSE(CONTROL!$C$25, 0, 0)</f>
        <v>227.141895474395</v>
      </c>
    </row>
    <row r="545" spans="1:5" ht="15">
      <c r="A545" s="13">
        <v>58684</v>
      </c>
      <c r="B545" s="4">
        <f>33.3939 * CHOOSE(CONTROL!$C$6, $C$6, 100%, $E$6) + CHOOSE(CONTROL!$C$25, 0.0258, 0)</f>
        <v>33.393900000000002</v>
      </c>
      <c r="C545" s="4">
        <f>33.0814 * CHOOSE(CONTROL!$C$6, $C$6, 100%, $E$6) + CHOOSE(CONTROL!$C$25, 0.0258, 0)</f>
        <v>33.081400000000002</v>
      </c>
      <c r="D545" s="4">
        <f>41.3756 * CHOOSE(CONTROL!$C$6, $C$6, 100%, $E$6) + CHOOSE(CONTROL!$C$25, 0, 0)</f>
        <v>41.375599999999999</v>
      </c>
      <c r="E545" s="4">
        <f>232.580147982969 * CHOOSE(CONTROL!$C$6, $C$6, 100%, $E$6) + CHOOSE(CONTROL!$C$25, 0, 0)</f>
        <v>232.58014798296901</v>
      </c>
    </row>
    <row r="546" spans="1:5" ht="15">
      <c r="A546" s="13">
        <v>58714</v>
      </c>
      <c r="B546" s="4">
        <f>32.1379 * CHOOSE(CONTROL!$C$6, $C$6, 100%, $E$6) + CHOOSE(CONTROL!$C$25, 0.0258, 0)</f>
        <v>32.137900000000002</v>
      </c>
      <c r="C546" s="4">
        <f>31.8254 * CHOOSE(CONTROL!$C$6, $C$6, 100%, $E$6) + CHOOSE(CONTROL!$C$25, 0.0258, 0)</f>
        <v>31.825399999999998</v>
      </c>
      <c r="D546" s="4">
        <f>41.1707 * CHOOSE(CONTROL!$C$6, $C$6, 100%, $E$6) + CHOOSE(CONTROL!$C$25, 0, 0)</f>
        <v>41.170699999999997</v>
      </c>
      <c r="E546" s="4">
        <f>223.311631249087 * CHOOSE(CONTROL!$C$6, $C$6, 100%, $E$6) + CHOOSE(CONTROL!$C$25, 0, 0)</f>
        <v>223.31163124908699</v>
      </c>
    </row>
    <row r="547" spans="1:5" ht="15">
      <c r="A547" s="13">
        <v>58745</v>
      </c>
      <c r="B547" s="4">
        <f>31.1324 * CHOOSE(CONTROL!$C$6, $C$6, 100%, $E$6) + CHOOSE(CONTROL!$C$25, 0.0003, 0)</f>
        <v>31.132400000000001</v>
      </c>
      <c r="C547" s="4">
        <f>30.8199 * CHOOSE(CONTROL!$C$6, $C$6, 100%, $E$6) + CHOOSE(CONTROL!$C$25, 0.0003, 0)</f>
        <v>30.819900000000001</v>
      </c>
      <c r="D547" s="4">
        <f>40.622 * CHOOSE(CONTROL!$C$6, $C$6, 100%, $E$6) + CHOOSE(CONTROL!$C$25, 0, 0)</f>
        <v>40.622</v>
      </c>
      <c r="E547" s="4">
        <f>215.89199991956 * CHOOSE(CONTROL!$C$6, $C$6, 100%, $E$6) + CHOOSE(CONTROL!$C$25, 0, 0)</f>
        <v>215.89199991955999</v>
      </c>
    </row>
    <row r="548" spans="1:5" ht="15">
      <c r="A548" s="13">
        <v>58775</v>
      </c>
      <c r="B548" s="4">
        <f>30.4847 * CHOOSE(CONTROL!$C$6, $C$6, 100%, $E$6) + CHOOSE(CONTROL!$C$25, 0.0003, 0)</f>
        <v>30.4847</v>
      </c>
      <c r="C548" s="4">
        <f>30.1722 * CHOOSE(CONTROL!$C$6, $C$6, 100%, $E$6) + CHOOSE(CONTROL!$C$25, 0.0003, 0)</f>
        <v>30.1722</v>
      </c>
      <c r="D548" s="4">
        <f>40.4333 * CHOOSE(CONTROL!$C$6, $C$6, 100%, $E$6) + CHOOSE(CONTROL!$C$25, 0, 0)</f>
        <v>40.433300000000003</v>
      </c>
      <c r="E548" s="4">
        <f>211.113203279966 * CHOOSE(CONTROL!$C$6, $C$6, 100%, $E$6) + CHOOSE(CONTROL!$C$25, 0, 0)</f>
        <v>211.113203279966</v>
      </c>
    </row>
    <row r="549" spans="1:5" ht="15">
      <c r="A549" s="13">
        <v>58806</v>
      </c>
      <c r="B549" s="4">
        <f>30.0367 * CHOOSE(CONTROL!$C$6, $C$6, 100%, $E$6) + CHOOSE(CONTROL!$C$25, 0.0003, 0)</f>
        <v>30.0367</v>
      </c>
      <c r="C549" s="4">
        <f>29.7242 * CHOOSE(CONTROL!$C$6, $C$6, 100%, $E$6) + CHOOSE(CONTROL!$C$25, 0.0003, 0)</f>
        <v>29.7242</v>
      </c>
      <c r="D549" s="4">
        <f>39.0444 * CHOOSE(CONTROL!$C$6, $C$6, 100%, $E$6) + CHOOSE(CONTROL!$C$25, 0, 0)</f>
        <v>39.044400000000003</v>
      </c>
      <c r="E549" s="4">
        <f>207.806890293025 * CHOOSE(CONTROL!$C$6, $C$6, 100%, $E$6) + CHOOSE(CONTROL!$C$25, 0, 0)</f>
        <v>207.80689029302499</v>
      </c>
    </row>
    <row r="550" spans="1:5" ht="15">
      <c r="A550" s="13">
        <v>58837</v>
      </c>
      <c r="B550" s="4">
        <f>28.9798 * CHOOSE(CONTROL!$C$6, $C$6, 100%, $E$6) + CHOOSE(CONTROL!$C$25, 0.0003, 0)</f>
        <v>28.979800000000001</v>
      </c>
      <c r="C550" s="4">
        <f>28.6673 * CHOOSE(CONTROL!$C$6, $C$6, 100%, $E$6) + CHOOSE(CONTROL!$C$25, 0.0003, 0)</f>
        <v>28.667300000000001</v>
      </c>
      <c r="D550" s="4">
        <f>37.6897 * CHOOSE(CONTROL!$C$6, $C$6, 100%, $E$6) + CHOOSE(CONTROL!$C$25, 0, 0)</f>
        <v>37.689700000000002</v>
      </c>
      <c r="E550" s="4">
        <f>201.33900283753 * CHOOSE(CONTROL!$C$6, $C$6, 100%, $E$6) + CHOOSE(CONTROL!$C$25, 0, 0)</f>
        <v>201.33900283752999</v>
      </c>
    </row>
    <row r="551" spans="1:5" ht="15">
      <c r="A551" s="13">
        <v>58865</v>
      </c>
      <c r="B551" s="4">
        <f>29.6234 * CHOOSE(CONTROL!$C$6, $C$6, 100%, $E$6) + CHOOSE(CONTROL!$C$25, 0.0003, 0)</f>
        <v>29.6234</v>
      </c>
      <c r="C551" s="4">
        <f>29.3109 * CHOOSE(CONTROL!$C$6, $C$6, 100%, $E$6) + CHOOSE(CONTROL!$C$25, 0.0003, 0)</f>
        <v>29.3109</v>
      </c>
      <c r="D551" s="4">
        <f>38.9724 * CHOOSE(CONTROL!$C$6, $C$6, 100%, $E$6) + CHOOSE(CONTROL!$C$25, 0, 0)</f>
        <v>38.9724</v>
      </c>
      <c r="E551" s="4">
        <f>206.11958422367 * CHOOSE(CONTROL!$C$6, $C$6, 100%, $E$6) + CHOOSE(CONTROL!$C$25, 0, 0)</f>
        <v>206.11958422366999</v>
      </c>
    </row>
    <row r="552" spans="1:5" ht="15">
      <c r="A552" s="13">
        <v>58893</v>
      </c>
      <c r="B552" s="4">
        <f>31.3135 * CHOOSE(CONTROL!$C$6, $C$6, 100%, $E$6) + CHOOSE(CONTROL!$C$25, 0.0003, 0)</f>
        <v>31.313500000000001</v>
      </c>
      <c r="C552" s="4">
        <f>31.001 * CHOOSE(CONTROL!$C$6, $C$6, 100%, $E$6) + CHOOSE(CONTROL!$C$25, 0.0003, 0)</f>
        <v>31.001000000000001</v>
      </c>
      <c r="D552" s="4">
        <f>40.9804 * CHOOSE(CONTROL!$C$6, $C$6, 100%, $E$6) + CHOOSE(CONTROL!$C$25, 0, 0)</f>
        <v>40.980400000000003</v>
      </c>
      <c r="E552" s="4">
        <f>218.673644999197 * CHOOSE(CONTROL!$C$6, $C$6, 100%, $E$6) + CHOOSE(CONTROL!$C$25, 0, 0)</f>
        <v>218.67364499919699</v>
      </c>
    </row>
    <row r="553" spans="1:5" ht="15">
      <c r="A553" s="13">
        <v>58926</v>
      </c>
      <c r="B553" s="4">
        <f>32.5143 * CHOOSE(CONTROL!$C$6, $C$6, 100%, $E$6) + CHOOSE(CONTROL!$C$25, 0.0003, 0)</f>
        <v>32.514299999999999</v>
      </c>
      <c r="C553" s="4">
        <f>32.2018 * CHOOSE(CONTROL!$C$6, $C$6, 100%, $E$6) + CHOOSE(CONTROL!$C$25, 0.0003, 0)</f>
        <v>32.201799999999999</v>
      </c>
      <c r="D553" s="4">
        <f>42.137 * CHOOSE(CONTROL!$C$6, $C$6, 100%, $E$6) + CHOOSE(CONTROL!$C$25, 0, 0)</f>
        <v>42.137</v>
      </c>
      <c r="E553" s="4">
        <f>227.593472485067 * CHOOSE(CONTROL!$C$6, $C$6, 100%, $E$6) + CHOOSE(CONTROL!$C$25, 0, 0)</f>
        <v>227.593472485067</v>
      </c>
    </row>
    <row r="554" spans="1:5" ht="15">
      <c r="A554" s="13">
        <v>58957</v>
      </c>
      <c r="B554" s="4">
        <f>33.2479 * CHOOSE(CONTROL!$C$6, $C$6, 100%, $E$6) + CHOOSE(CONTROL!$C$25, 0.0258, 0)</f>
        <v>33.247900000000001</v>
      </c>
      <c r="C554" s="4">
        <f>32.9354 * CHOOSE(CONTROL!$C$6, $C$6, 100%, $E$6) + CHOOSE(CONTROL!$C$25, 0.0258, 0)</f>
        <v>32.935400000000001</v>
      </c>
      <c r="D554" s="4">
        <f>41.68 * CHOOSE(CONTROL!$C$6, $C$6, 100%, $E$6) + CHOOSE(CONTROL!$C$25, 0, 0)</f>
        <v>41.68</v>
      </c>
      <c r="E554" s="4">
        <f>233.043273300505 * CHOOSE(CONTROL!$C$6, $C$6, 100%, $E$6) + CHOOSE(CONTROL!$C$25, 0, 0)</f>
        <v>233.04327330050501</v>
      </c>
    </row>
    <row r="555" spans="1:5" ht="15">
      <c r="A555" s="13">
        <v>58987</v>
      </c>
      <c r="B555" s="4">
        <f>33.3472 * CHOOSE(CONTROL!$C$6, $C$6, 100%, $E$6) + CHOOSE(CONTROL!$C$25, 0.0258, 0)</f>
        <v>33.347200000000001</v>
      </c>
      <c r="C555" s="4">
        <f>33.0347 * CHOOSE(CONTROL!$C$6, $C$6, 100%, $E$6) + CHOOSE(CONTROL!$C$25, 0.0258, 0)</f>
        <v>33.034700000000001</v>
      </c>
      <c r="D555" s="4">
        <f>42.0522 * CHOOSE(CONTROL!$C$6, $C$6, 100%, $E$6) + CHOOSE(CONTROL!$C$25, 0, 0)</f>
        <v>42.052199999999999</v>
      </c>
      <c r="E555" s="4">
        <f>233.780653967972 * CHOOSE(CONTROL!$C$6, $C$6, 100%, $E$6) + CHOOSE(CONTROL!$C$25, 0, 0)</f>
        <v>233.780653967972</v>
      </c>
    </row>
    <row r="556" spans="1:5" ht="15">
      <c r="A556" s="13">
        <v>59018</v>
      </c>
      <c r="B556" s="4">
        <f>33.3372 * CHOOSE(CONTROL!$C$6, $C$6, 100%, $E$6) + CHOOSE(CONTROL!$C$25, 0.0258, 0)</f>
        <v>33.337200000000003</v>
      </c>
      <c r="C556" s="4">
        <f>33.0247 * CHOOSE(CONTROL!$C$6, $C$6, 100%, $E$6) + CHOOSE(CONTROL!$C$25, 0.0258, 0)</f>
        <v>33.024700000000003</v>
      </c>
      <c r="D556" s="4">
        <f>42.7238 * CHOOSE(CONTROL!$C$6, $C$6, 100%, $E$6) + CHOOSE(CONTROL!$C$25, 0, 0)</f>
        <v>42.723799999999997</v>
      </c>
      <c r="E556" s="4">
        <f>233.706296253605 * CHOOSE(CONTROL!$C$6, $C$6, 100%, $E$6) + CHOOSE(CONTROL!$C$25, 0, 0)</f>
        <v>233.70629625360499</v>
      </c>
    </row>
    <row r="557" spans="1:5" ht="15">
      <c r="A557" s="13">
        <v>59049</v>
      </c>
      <c r="B557" s="4">
        <f>34.0905 * CHOOSE(CONTROL!$C$6, $C$6, 100%, $E$6) + CHOOSE(CONTROL!$C$25, 0.0258, 0)</f>
        <v>34.090499999999999</v>
      </c>
      <c r="C557" s="4">
        <f>33.778 * CHOOSE(CONTROL!$C$6, $C$6, 100%, $E$6) + CHOOSE(CONTROL!$C$25, 0.0258, 0)</f>
        <v>33.777999999999999</v>
      </c>
      <c r="D557" s="4">
        <f>42.2803 * CHOOSE(CONTROL!$C$6, $C$6, 100%, $E$6) + CHOOSE(CONTROL!$C$25, 0, 0)</f>
        <v>42.280299999999997</v>
      </c>
      <c r="E557" s="4">
        <f>239.301714259677 * CHOOSE(CONTROL!$C$6, $C$6, 100%, $E$6) + CHOOSE(CONTROL!$C$25, 0, 0)</f>
        <v>239.301714259677</v>
      </c>
    </row>
    <row r="558" spans="1:5" ht="15">
      <c r="A558" s="13">
        <v>59079</v>
      </c>
      <c r="B558" s="4">
        <f>32.8067 * CHOOSE(CONTROL!$C$6, $C$6, 100%, $E$6) + CHOOSE(CONTROL!$C$25, 0.0258, 0)</f>
        <v>32.806699999999999</v>
      </c>
      <c r="C558" s="4">
        <f>32.4942 * CHOOSE(CONTROL!$C$6, $C$6, 100%, $E$6) + CHOOSE(CONTROL!$C$25, 0.0258, 0)</f>
        <v>32.494199999999999</v>
      </c>
      <c r="D558" s="4">
        <f>42.0707 * CHOOSE(CONTROL!$C$6, $C$6, 100%, $E$6) + CHOOSE(CONTROL!$C$25, 0, 0)</f>
        <v>42.070700000000002</v>
      </c>
      <c r="E558" s="4">
        <f>229.765337392186 * CHOOSE(CONTROL!$C$6, $C$6, 100%, $E$6) + CHOOSE(CONTROL!$C$25, 0, 0)</f>
        <v>229.76533739218601</v>
      </c>
    </row>
    <row r="559" spans="1:5" ht="15">
      <c r="A559" s="13">
        <v>59110</v>
      </c>
      <c r="B559" s="4">
        <f>31.7789 * CHOOSE(CONTROL!$C$6, $C$6, 100%, $E$6) + CHOOSE(CONTROL!$C$25, 0.0003, 0)</f>
        <v>31.7789</v>
      </c>
      <c r="C559" s="4">
        <f>31.4664 * CHOOSE(CONTROL!$C$6, $C$6, 100%, $E$6) + CHOOSE(CONTROL!$C$25, 0.0003, 0)</f>
        <v>31.4664</v>
      </c>
      <c r="D559" s="4">
        <f>41.5096 * CHOOSE(CONTROL!$C$6, $C$6, 100%, $E$6) + CHOOSE(CONTROL!$C$25, 0, 0)</f>
        <v>41.509599999999999</v>
      </c>
      <c r="E559" s="4">
        <f>222.131278717235 * CHOOSE(CONTROL!$C$6, $C$6, 100%, $E$6) + CHOOSE(CONTROL!$C$25, 0, 0)</f>
        <v>222.13127871723501</v>
      </c>
    </row>
    <row r="560" spans="1:5" ht="15">
      <c r="A560" s="13">
        <v>59140</v>
      </c>
      <c r="B560" s="4">
        <f>31.117 * CHOOSE(CONTROL!$C$6, $C$6, 100%, $E$6) + CHOOSE(CONTROL!$C$25, 0.0003, 0)</f>
        <v>31.117000000000001</v>
      </c>
      <c r="C560" s="4">
        <f>30.8045 * CHOOSE(CONTROL!$C$6, $C$6, 100%, $E$6) + CHOOSE(CONTROL!$C$25, 0.0003, 0)</f>
        <v>30.804500000000001</v>
      </c>
      <c r="D560" s="4">
        <f>41.3167 * CHOOSE(CONTROL!$C$6, $C$6, 100%, $E$6) + CHOOSE(CONTROL!$C$25, 0, 0)</f>
        <v>41.316699999999997</v>
      </c>
      <c r="E560" s="4">
        <f>217.214374854757 * CHOOSE(CONTROL!$C$6, $C$6, 100%, $E$6) + CHOOSE(CONTROL!$C$25, 0, 0)</f>
        <v>217.21437485475701</v>
      </c>
    </row>
    <row r="561" spans="1:5" ht="15">
      <c r="A561" s="13">
        <v>59171</v>
      </c>
      <c r="B561" s="4">
        <f>30.659 * CHOOSE(CONTROL!$C$6, $C$6, 100%, $E$6) + CHOOSE(CONTROL!$C$25, 0.0003, 0)</f>
        <v>30.658999999999999</v>
      </c>
      <c r="C561" s="4">
        <f>30.3465 * CHOOSE(CONTROL!$C$6, $C$6, 100%, $E$6) + CHOOSE(CONTROL!$C$25, 0.0003, 0)</f>
        <v>30.346499999999999</v>
      </c>
      <c r="D561" s="4">
        <f>39.8964 * CHOOSE(CONTROL!$C$6, $C$6, 100%, $E$6) + CHOOSE(CONTROL!$C$25, 0, 0)</f>
        <v>39.8964</v>
      </c>
      <c r="E561" s="4">
        <f>213.812509422494 * CHOOSE(CONTROL!$C$6, $C$6, 100%, $E$6) + CHOOSE(CONTROL!$C$25, 0, 0)</f>
        <v>213.812509422494</v>
      </c>
    </row>
    <row r="562" spans="1:5" ht="15">
      <c r="A562" s="13">
        <v>59202</v>
      </c>
      <c r="B562" s="4">
        <f>29.5788 * CHOOSE(CONTROL!$C$6, $C$6, 100%, $E$6) + CHOOSE(CONTROL!$C$25, 0.0003, 0)</f>
        <v>29.578800000000001</v>
      </c>
      <c r="C562" s="4">
        <f>29.2663 * CHOOSE(CONTROL!$C$6, $C$6, 100%, $E$6) + CHOOSE(CONTROL!$C$25, 0.0003, 0)</f>
        <v>29.266300000000001</v>
      </c>
      <c r="D562" s="4">
        <f>38.5111 * CHOOSE(CONTROL!$C$6, $C$6, 100%, $E$6) + CHOOSE(CONTROL!$C$25, 0, 0)</f>
        <v>38.511099999999999</v>
      </c>
      <c r="E562" s="4">
        <f>207.157700019534 * CHOOSE(CONTROL!$C$6, $C$6, 100%, $E$6) + CHOOSE(CONTROL!$C$25, 0, 0)</f>
        <v>207.15770001953399</v>
      </c>
    </row>
    <row r="563" spans="1:5" ht="15">
      <c r="A563" s="13">
        <v>59230</v>
      </c>
      <c r="B563" s="4">
        <f>30.2366 * CHOOSE(CONTROL!$C$6, $C$6, 100%, $E$6) + CHOOSE(CONTROL!$C$25, 0.0003, 0)</f>
        <v>30.236599999999999</v>
      </c>
      <c r="C563" s="4">
        <f>29.9241 * CHOOSE(CONTROL!$C$6, $C$6, 100%, $E$6) + CHOOSE(CONTROL!$C$25, 0.0003, 0)</f>
        <v>29.924099999999999</v>
      </c>
      <c r="D563" s="4">
        <f>39.8228 * CHOOSE(CONTROL!$C$6, $C$6, 100%, $E$6) + CHOOSE(CONTROL!$C$25, 0, 0)</f>
        <v>39.822800000000001</v>
      </c>
      <c r="E563" s="4">
        <f>212.076440207734 * CHOOSE(CONTROL!$C$6, $C$6, 100%, $E$6) + CHOOSE(CONTROL!$C$25, 0, 0)</f>
        <v>212.07644020773401</v>
      </c>
    </row>
    <row r="564" spans="1:5" ht="15">
      <c r="A564" s="13">
        <v>59261</v>
      </c>
      <c r="B564" s="4">
        <f>31.9641 * CHOOSE(CONTROL!$C$6, $C$6, 100%, $E$6) + CHOOSE(CONTROL!$C$25, 0.0003, 0)</f>
        <v>31.964099999999998</v>
      </c>
      <c r="C564" s="4">
        <f>31.6516 * CHOOSE(CONTROL!$C$6, $C$6, 100%, $E$6) + CHOOSE(CONTROL!$C$25, 0.0003, 0)</f>
        <v>31.651599999999998</v>
      </c>
      <c r="D564" s="4">
        <f>41.8761 * CHOOSE(CONTROL!$C$6, $C$6, 100%, $E$6) + CHOOSE(CONTROL!$C$25, 0, 0)</f>
        <v>41.876100000000001</v>
      </c>
      <c r="E564" s="4">
        <f>224.993313339674 * CHOOSE(CONTROL!$C$6, $C$6, 100%, $E$6) + CHOOSE(CONTROL!$C$25, 0, 0)</f>
        <v>224.99331333967399</v>
      </c>
    </row>
    <row r="565" spans="1:5" ht="15">
      <c r="A565" s="13">
        <v>59291</v>
      </c>
      <c r="B565" s="4">
        <f>33.1914 * CHOOSE(CONTROL!$C$6, $C$6, 100%, $E$6) + CHOOSE(CONTROL!$C$25, 0.0003, 0)</f>
        <v>33.191400000000002</v>
      </c>
      <c r="C565" s="4">
        <f>32.8789 * CHOOSE(CONTROL!$C$6, $C$6, 100%, $E$6) + CHOOSE(CONTROL!$C$25, 0.0003, 0)</f>
        <v>32.878900000000002</v>
      </c>
      <c r="D565" s="4">
        <f>43.0589 * CHOOSE(CONTROL!$C$6, $C$6, 100%, $E$6) + CHOOSE(CONTROL!$C$25, 0, 0)</f>
        <v>43.058900000000001</v>
      </c>
      <c r="E565" s="4">
        <f>234.170923839886 * CHOOSE(CONTROL!$C$6, $C$6, 100%, $E$6) + CHOOSE(CONTROL!$C$25, 0, 0)</f>
        <v>234.170923839886</v>
      </c>
    </row>
    <row r="566" spans="1:5" ht="15">
      <c r="A566" s="13">
        <v>59322</v>
      </c>
      <c r="B566" s="4">
        <f>33.9413 * CHOOSE(CONTROL!$C$6, $C$6, 100%, $E$6) + CHOOSE(CONTROL!$C$25, 0.0258, 0)</f>
        <v>33.941299999999998</v>
      </c>
      <c r="C566" s="4">
        <f>33.6288 * CHOOSE(CONTROL!$C$6, $C$6, 100%, $E$6) + CHOOSE(CONTROL!$C$25, 0.0258, 0)</f>
        <v>33.628799999999998</v>
      </c>
      <c r="D566" s="4">
        <f>42.5915 * CHOOSE(CONTROL!$C$6, $C$6, 100%, $E$6) + CHOOSE(CONTROL!$C$25, 0, 0)</f>
        <v>42.591500000000003</v>
      </c>
      <c r="E566" s="4">
        <f>239.778223898889 * CHOOSE(CONTROL!$C$6, $C$6, 100%, $E$6) + CHOOSE(CONTROL!$C$25, 0, 0)</f>
        <v>239.778223898889</v>
      </c>
    </row>
    <row r="567" spans="1:5" ht="15">
      <c r="A567" s="13">
        <v>59352</v>
      </c>
      <c r="B567" s="4">
        <f>34.0428 * CHOOSE(CONTROL!$C$6, $C$6, 100%, $E$6) + CHOOSE(CONTROL!$C$25, 0.0258, 0)</f>
        <v>34.0428</v>
      </c>
      <c r="C567" s="4">
        <f>33.7303 * CHOOSE(CONTROL!$C$6, $C$6, 100%, $E$6) + CHOOSE(CONTROL!$C$25, 0.0258, 0)</f>
        <v>33.7303</v>
      </c>
      <c r="D567" s="4">
        <f>42.9721 * CHOOSE(CONTROL!$C$6, $C$6, 100%, $E$6) + CHOOSE(CONTROL!$C$25, 0, 0)</f>
        <v>42.972099999999998</v>
      </c>
      <c r="E567" s="4">
        <f>240.536914867646 * CHOOSE(CONTROL!$C$6, $C$6, 100%, $E$6) + CHOOSE(CONTROL!$C$25, 0, 0)</f>
        <v>240.536914867646</v>
      </c>
    </row>
    <row r="568" spans="1:5" ht="15">
      <c r="A568" s="13">
        <v>59383</v>
      </c>
      <c r="B568" s="4">
        <f>34.0325 * CHOOSE(CONTROL!$C$6, $C$6, 100%, $E$6) + CHOOSE(CONTROL!$C$25, 0.0258, 0)</f>
        <v>34.032499999999999</v>
      </c>
      <c r="C568" s="4">
        <f>33.72 * CHOOSE(CONTROL!$C$6, $C$6, 100%, $E$6) + CHOOSE(CONTROL!$C$25, 0.0258, 0)</f>
        <v>33.72</v>
      </c>
      <c r="D568" s="4">
        <f>43.659 * CHOOSE(CONTROL!$C$6, $C$6, 100%, $E$6) + CHOOSE(CONTROL!$C$25, 0, 0)</f>
        <v>43.658999999999999</v>
      </c>
      <c r="E568" s="4">
        <f>240.460408215334 * CHOOSE(CONTROL!$C$6, $C$6, 100%, $E$6) + CHOOSE(CONTROL!$C$25, 0, 0)</f>
        <v>240.46040821533401</v>
      </c>
    </row>
    <row r="569" spans="1:5" ht="15">
      <c r="A569" s="13">
        <v>59414</v>
      </c>
      <c r="B569" s="4">
        <f>34.8024 * CHOOSE(CONTROL!$C$6, $C$6, 100%, $E$6) + CHOOSE(CONTROL!$C$25, 0.0258, 0)</f>
        <v>34.802399999999999</v>
      </c>
      <c r="C569" s="4">
        <f>34.4899 * CHOOSE(CONTROL!$C$6, $C$6, 100%, $E$6) + CHOOSE(CONTROL!$C$25, 0.0258, 0)</f>
        <v>34.489899999999999</v>
      </c>
      <c r="D569" s="4">
        <f>43.2054 * CHOOSE(CONTROL!$C$6, $C$6, 100%, $E$6) + CHOOSE(CONTROL!$C$25, 0, 0)</f>
        <v>43.205399999999997</v>
      </c>
      <c r="E569" s="4">
        <f>246.217533801782 * CHOOSE(CONTROL!$C$6, $C$6, 100%, $E$6) + CHOOSE(CONTROL!$C$25, 0, 0)</f>
        <v>246.217533801782</v>
      </c>
    </row>
    <row r="570" spans="1:5" ht="15">
      <c r="A570" s="13">
        <v>59444</v>
      </c>
      <c r="B570" s="4">
        <f>33.4903 * CHOOSE(CONTROL!$C$6, $C$6, 100%, $E$6) + CHOOSE(CONTROL!$C$25, 0.0258, 0)</f>
        <v>33.490299999999998</v>
      </c>
      <c r="C570" s="4">
        <f>33.1778 * CHOOSE(CONTROL!$C$6, $C$6, 100%, $E$6) + CHOOSE(CONTROL!$C$25, 0.0258, 0)</f>
        <v>33.177799999999998</v>
      </c>
      <c r="D570" s="4">
        <f>42.9911 * CHOOSE(CONTROL!$C$6, $C$6, 100%, $E$6) + CHOOSE(CONTROL!$C$25, 0, 0)</f>
        <v>42.991100000000003</v>
      </c>
      <c r="E570" s="4">
        <f>236.40555564282 * CHOOSE(CONTROL!$C$6, $C$6, 100%, $E$6) + CHOOSE(CONTROL!$C$25, 0, 0)</f>
        <v>236.40555564281999</v>
      </c>
    </row>
    <row r="571" spans="1:5" ht="15">
      <c r="A571" s="13">
        <v>59475</v>
      </c>
      <c r="B571" s="4">
        <f>32.4398 * CHOOSE(CONTROL!$C$6, $C$6, 100%, $E$6) + CHOOSE(CONTROL!$C$25, 0.0003, 0)</f>
        <v>32.439799999999998</v>
      </c>
      <c r="C571" s="4">
        <f>32.1273 * CHOOSE(CONTROL!$C$6, $C$6, 100%, $E$6) + CHOOSE(CONTROL!$C$25, 0.0003, 0)</f>
        <v>32.127299999999998</v>
      </c>
      <c r="D571" s="4">
        <f>42.4173 * CHOOSE(CONTROL!$C$6, $C$6, 100%, $E$6) + CHOOSE(CONTROL!$C$25, 0, 0)</f>
        <v>42.417299999999997</v>
      </c>
      <c r="E571" s="4">
        <f>228.550872672163 * CHOOSE(CONTROL!$C$6, $C$6, 100%, $E$6) + CHOOSE(CONTROL!$C$25, 0, 0)</f>
        <v>228.550872672163</v>
      </c>
    </row>
    <row r="572" spans="1:5" ht="15">
      <c r="A572" s="13">
        <v>59505</v>
      </c>
      <c r="B572" s="4">
        <f>31.7633 * CHOOSE(CONTROL!$C$6, $C$6, 100%, $E$6) + CHOOSE(CONTROL!$C$25, 0.0003, 0)</f>
        <v>31.763300000000001</v>
      </c>
      <c r="C572" s="4">
        <f>31.4508 * CHOOSE(CONTROL!$C$6, $C$6, 100%, $E$6) + CHOOSE(CONTROL!$C$25, 0.0003, 0)</f>
        <v>31.450800000000001</v>
      </c>
      <c r="D572" s="4">
        <f>42.22 * CHOOSE(CONTROL!$C$6, $C$6, 100%, $E$6) + CHOOSE(CONTROL!$C$25, 0, 0)</f>
        <v>42.22</v>
      </c>
      <c r="E572" s="4">
        <f>223.491870288059 * CHOOSE(CONTROL!$C$6, $C$6, 100%, $E$6) + CHOOSE(CONTROL!$C$25, 0, 0)</f>
        <v>223.491870288059</v>
      </c>
    </row>
    <row r="573" spans="1:5" ht="15">
      <c r="A573" s="13">
        <v>59536</v>
      </c>
      <c r="B573" s="4">
        <f>31.2952 * CHOOSE(CONTROL!$C$6, $C$6, 100%, $E$6) + CHOOSE(CONTROL!$C$25, 0.0003, 0)</f>
        <v>31.295200000000001</v>
      </c>
      <c r="C573" s="4">
        <f>30.9827 * CHOOSE(CONTROL!$C$6, $C$6, 100%, $E$6) + CHOOSE(CONTROL!$C$25, 0.0003, 0)</f>
        <v>30.982700000000001</v>
      </c>
      <c r="D573" s="4">
        <f>40.7676 * CHOOSE(CONTROL!$C$6, $C$6, 100%, $E$6) + CHOOSE(CONTROL!$C$25, 0, 0)</f>
        <v>40.767600000000002</v>
      </c>
      <c r="E573" s="4">
        <f>219.991690944804 * CHOOSE(CONTROL!$C$6, $C$6, 100%, $E$6) + CHOOSE(CONTROL!$C$25, 0, 0)</f>
        <v>219.99169094480399</v>
      </c>
    </row>
    <row r="574" spans="1:5" ht="15">
      <c r="A574" s="13">
        <v>59567</v>
      </c>
      <c r="B574" s="4">
        <f>30.1911 * CHOOSE(CONTROL!$C$6, $C$6, 100%, $E$6) + CHOOSE(CONTROL!$C$25, 0.0003, 0)</f>
        <v>30.191099999999999</v>
      </c>
      <c r="C574" s="4">
        <f>29.8786 * CHOOSE(CONTROL!$C$6, $C$6, 100%, $E$6) + CHOOSE(CONTROL!$C$25, 0.0003, 0)</f>
        <v>29.878599999999999</v>
      </c>
      <c r="D574" s="4">
        <f>39.351 * CHOOSE(CONTROL!$C$6, $C$6, 100%, $E$6) + CHOOSE(CONTROL!$C$25, 0, 0)</f>
        <v>39.350999999999999</v>
      </c>
      <c r="E574" s="4">
        <f>213.144557550099 * CHOOSE(CONTROL!$C$6, $C$6, 100%, $E$6) + CHOOSE(CONTROL!$C$25, 0, 0)</f>
        <v>213.14455755009899</v>
      </c>
    </row>
    <row r="575" spans="1:5" ht="15">
      <c r="A575" s="13">
        <v>59595</v>
      </c>
      <c r="B575" s="4">
        <f>30.8634 * CHOOSE(CONTROL!$C$6, $C$6, 100%, $E$6) + CHOOSE(CONTROL!$C$25, 0.0003, 0)</f>
        <v>30.863399999999999</v>
      </c>
      <c r="C575" s="4">
        <f>30.5509 * CHOOSE(CONTROL!$C$6, $C$6, 100%, $E$6) + CHOOSE(CONTROL!$C$25, 0.0003, 0)</f>
        <v>30.550899999999999</v>
      </c>
      <c r="D575" s="4">
        <f>40.6923 * CHOOSE(CONTROL!$C$6, $C$6, 100%, $E$6) + CHOOSE(CONTROL!$C$25, 0, 0)</f>
        <v>40.692300000000003</v>
      </c>
      <c r="E575" s="4">
        <f>218.205449329737 * CHOOSE(CONTROL!$C$6, $C$6, 100%, $E$6) + CHOOSE(CONTROL!$C$25, 0, 0)</f>
        <v>218.20544932973701</v>
      </c>
    </row>
    <row r="576" spans="1:5" ht="15">
      <c r="A576" s="13">
        <v>59626</v>
      </c>
      <c r="B576" s="4">
        <f>32.629 * CHOOSE(CONTROL!$C$6, $C$6, 100%, $E$6) + CHOOSE(CONTROL!$C$25, 0.0003, 0)</f>
        <v>32.628999999999998</v>
      </c>
      <c r="C576" s="4">
        <f>32.3165 * CHOOSE(CONTROL!$C$6, $C$6, 100%, $E$6) + CHOOSE(CONTROL!$C$25, 0.0003, 0)</f>
        <v>32.316499999999998</v>
      </c>
      <c r="D576" s="4">
        <f>42.7921 * CHOOSE(CONTROL!$C$6, $C$6, 100%, $E$6) + CHOOSE(CONTROL!$C$25, 0, 0)</f>
        <v>42.792099999999998</v>
      </c>
      <c r="E576" s="4">
        <f>231.495620095191 * CHOOSE(CONTROL!$C$6, $C$6, 100%, $E$6) + CHOOSE(CONTROL!$C$25, 0, 0)</f>
        <v>231.49562009519099</v>
      </c>
    </row>
    <row r="577" spans="1:5" ht="15">
      <c r="A577" s="13">
        <v>59656</v>
      </c>
      <c r="B577" s="4">
        <f>33.8835 * CHOOSE(CONTROL!$C$6, $C$6, 100%, $E$6) + CHOOSE(CONTROL!$C$25, 0.0003, 0)</f>
        <v>33.883499999999998</v>
      </c>
      <c r="C577" s="4">
        <f>33.571 * CHOOSE(CONTROL!$C$6, $C$6, 100%, $E$6) + CHOOSE(CONTROL!$C$25, 0.0003, 0)</f>
        <v>33.570999999999998</v>
      </c>
      <c r="D577" s="4">
        <f>44.0016 * CHOOSE(CONTROL!$C$6, $C$6, 100%, $E$6) + CHOOSE(CONTROL!$C$25, 0, 0)</f>
        <v>44.001600000000003</v>
      </c>
      <c r="E577" s="4">
        <f>240.938463538858 * CHOOSE(CONTROL!$C$6, $C$6, 100%, $E$6) + CHOOSE(CONTROL!$C$25, 0, 0)</f>
        <v>240.938463538858</v>
      </c>
    </row>
    <row r="578" spans="1:5" ht="15">
      <c r="A578" s="13">
        <v>59687</v>
      </c>
      <c r="B578" s="4">
        <f>34.65 * CHOOSE(CONTROL!$C$6, $C$6, 100%, $E$6) + CHOOSE(CONTROL!$C$25, 0.0258, 0)</f>
        <v>34.65</v>
      </c>
      <c r="C578" s="4">
        <f>34.3375 * CHOOSE(CONTROL!$C$6, $C$6, 100%, $E$6) + CHOOSE(CONTROL!$C$25, 0.0258, 0)</f>
        <v>34.337499999999999</v>
      </c>
      <c r="D578" s="4">
        <f>43.5236 * CHOOSE(CONTROL!$C$6, $C$6, 100%, $E$6) + CHOOSE(CONTROL!$C$25, 0, 0)</f>
        <v>43.523600000000002</v>
      </c>
      <c r="E578" s="4">
        <f>246.707814569567 * CHOOSE(CONTROL!$C$6, $C$6, 100%, $E$6) + CHOOSE(CONTROL!$C$25, 0, 0)</f>
        <v>246.70781456956701</v>
      </c>
    </row>
    <row r="579" spans="1:5" ht="15">
      <c r="A579" s="13">
        <v>59717</v>
      </c>
      <c r="B579" s="4">
        <f>34.7537 * CHOOSE(CONTROL!$C$6, $C$6, 100%, $E$6) + CHOOSE(CONTROL!$C$25, 0.0258, 0)</f>
        <v>34.753700000000002</v>
      </c>
      <c r="C579" s="4">
        <f>34.4412 * CHOOSE(CONTROL!$C$6, $C$6, 100%, $E$6) + CHOOSE(CONTROL!$C$25, 0.0258, 0)</f>
        <v>34.441200000000002</v>
      </c>
      <c r="D579" s="4">
        <f>43.9129 * CHOOSE(CONTROL!$C$6, $C$6, 100%, $E$6) + CHOOSE(CONTROL!$C$25, 0, 0)</f>
        <v>43.9129</v>
      </c>
      <c r="E579" s="4">
        <f>247.488431707321 * CHOOSE(CONTROL!$C$6, $C$6, 100%, $E$6) + CHOOSE(CONTROL!$C$25, 0, 0)</f>
        <v>247.48843170732101</v>
      </c>
    </row>
    <row r="580" spans="1:5" ht="15">
      <c r="A580" s="13">
        <v>59748</v>
      </c>
      <c r="B580" s="4">
        <f>34.7432 * CHOOSE(CONTROL!$C$6, $C$6, 100%, $E$6) + CHOOSE(CONTROL!$C$25, 0.0258, 0)</f>
        <v>34.743200000000002</v>
      </c>
      <c r="C580" s="4">
        <f>34.4307 * CHOOSE(CONTROL!$C$6, $C$6, 100%, $E$6) + CHOOSE(CONTROL!$C$25, 0.0258, 0)</f>
        <v>34.430700000000002</v>
      </c>
      <c r="D580" s="4">
        <f>44.6152 * CHOOSE(CONTROL!$C$6, $C$6, 100%, $E$6) + CHOOSE(CONTROL!$C$25, 0, 0)</f>
        <v>44.615200000000002</v>
      </c>
      <c r="E580" s="4">
        <f>247.409714012758 * CHOOSE(CONTROL!$C$6, $C$6, 100%, $E$6) + CHOOSE(CONTROL!$C$25, 0, 0)</f>
        <v>247.409714012758</v>
      </c>
    </row>
    <row r="581" spans="1:5" ht="15">
      <c r="A581" s="13">
        <v>59779</v>
      </c>
      <c r="B581" s="4">
        <f>35.5301 * CHOOSE(CONTROL!$C$6, $C$6, 100%, $E$6) + CHOOSE(CONTROL!$C$25, 0.0258, 0)</f>
        <v>35.530099999999997</v>
      </c>
      <c r="C581" s="4">
        <f>35.2176 * CHOOSE(CONTROL!$C$6, $C$6, 100%, $E$6) + CHOOSE(CONTROL!$C$25, 0.0258, 0)</f>
        <v>35.217599999999997</v>
      </c>
      <c r="D581" s="4">
        <f>44.1514 * CHOOSE(CONTROL!$C$6, $C$6, 100%, $E$6) + CHOOSE(CONTROL!$C$25, 0, 0)</f>
        <v>44.151400000000002</v>
      </c>
      <c r="E581" s="4">
        <f>253.333220528653 * CHOOSE(CONTROL!$C$6, $C$6, 100%, $E$6) + CHOOSE(CONTROL!$C$25, 0, 0)</f>
        <v>253.33322052865299</v>
      </c>
    </row>
    <row r="582" spans="1:5" ht="15">
      <c r="A582" s="13">
        <v>59809</v>
      </c>
      <c r="B582" s="4">
        <f>34.1889 * CHOOSE(CONTROL!$C$6, $C$6, 100%, $E$6) + CHOOSE(CONTROL!$C$25, 0.0258, 0)</f>
        <v>34.188899999999997</v>
      </c>
      <c r="C582" s="4">
        <f>33.8764 * CHOOSE(CONTROL!$C$6, $C$6, 100%, $E$6) + CHOOSE(CONTROL!$C$25, 0.0258, 0)</f>
        <v>33.876399999999997</v>
      </c>
      <c r="D582" s="4">
        <f>43.9322 * CHOOSE(CONTROL!$C$6, $C$6, 100%, $E$6) + CHOOSE(CONTROL!$C$25, 0, 0)</f>
        <v>43.932200000000002</v>
      </c>
      <c r="E582" s="4">
        <f>243.237676200898 * CHOOSE(CONTROL!$C$6, $C$6, 100%, $E$6) + CHOOSE(CONTROL!$C$25, 0, 0)</f>
        <v>243.23767620089799</v>
      </c>
    </row>
    <row r="583" spans="1:5" ht="15">
      <c r="A583" s="13">
        <v>59840</v>
      </c>
      <c r="B583" s="4">
        <f>33.1153 * CHOOSE(CONTROL!$C$6, $C$6, 100%, $E$6) + CHOOSE(CONTROL!$C$25, 0.0003, 0)</f>
        <v>33.115299999999998</v>
      </c>
      <c r="C583" s="4">
        <f>32.8028 * CHOOSE(CONTROL!$C$6, $C$6, 100%, $E$6) + CHOOSE(CONTROL!$C$25, 0.0003, 0)</f>
        <v>32.802799999999998</v>
      </c>
      <c r="D583" s="4">
        <f>43.3455 * CHOOSE(CONTROL!$C$6, $C$6, 100%, $E$6) + CHOOSE(CONTROL!$C$25, 0, 0)</f>
        <v>43.345500000000001</v>
      </c>
      <c r="E583" s="4">
        <f>235.155992892389 * CHOOSE(CONTROL!$C$6, $C$6, 100%, $E$6) + CHOOSE(CONTROL!$C$25, 0, 0)</f>
        <v>235.15599289238901</v>
      </c>
    </row>
    <row r="584" spans="1:5" ht="15">
      <c r="A584" s="13">
        <v>59870</v>
      </c>
      <c r="B584" s="4">
        <f>32.4238 * CHOOSE(CONTROL!$C$6, $C$6, 100%, $E$6) + CHOOSE(CONTROL!$C$25, 0.0003, 0)</f>
        <v>32.4238</v>
      </c>
      <c r="C584" s="4">
        <f>32.1113 * CHOOSE(CONTROL!$C$6, $C$6, 100%, $E$6) + CHOOSE(CONTROL!$C$25, 0.0003, 0)</f>
        <v>32.1113</v>
      </c>
      <c r="D584" s="4">
        <f>43.1437 * CHOOSE(CONTROL!$C$6, $C$6, 100%, $E$6) + CHOOSE(CONTROL!$C$25, 0, 0)</f>
        <v>43.143700000000003</v>
      </c>
      <c r="E584" s="4">
        <f>229.950785339384 * CHOOSE(CONTROL!$C$6, $C$6, 100%, $E$6) + CHOOSE(CONTROL!$C$25, 0, 0)</f>
        <v>229.950785339384</v>
      </c>
    </row>
    <row r="585" spans="1:5" ht="15">
      <c r="A585" s="13">
        <v>59901</v>
      </c>
      <c r="B585" s="4">
        <f>31.9454 * CHOOSE(CONTROL!$C$6, $C$6, 100%, $E$6) + CHOOSE(CONTROL!$C$25, 0.0003, 0)</f>
        <v>31.945399999999999</v>
      </c>
      <c r="C585" s="4">
        <f>31.6329 * CHOOSE(CONTROL!$C$6, $C$6, 100%, $E$6) + CHOOSE(CONTROL!$C$25, 0.0003, 0)</f>
        <v>31.632899999999999</v>
      </c>
      <c r="D585" s="4">
        <f>41.6585 * CHOOSE(CONTROL!$C$6, $C$6, 100%, $E$6) + CHOOSE(CONTROL!$C$25, 0, 0)</f>
        <v>41.658499999999997</v>
      </c>
      <c r="E585" s="4">
        <f>226.349450813109 * CHOOSE(CONTROL!$C$6, $C$6, 100%, $E$6) + CHOOSE(CONTROL!$C$25, 0, 0)</f>
        <v>226.349450813109</v>
      </c>
    </row>
    <row r="586" spans="1:5" ht="15">
      <c r="A586" s="13">
        <v>59932</v>
      </c>
      <c r="B586" s="4">
        <f>30.8169 * CHOOSE(CONTROL!$C$6, $C$6, 100%, $E$6) + CHOOSE(CONTROL!$C$25, 0.0003, 0)</f>
        <v>30.8169</v>
      </c>
      <c r="C586" s="4">
        <f>30.5044 * CHOOSE(CONTROL!$C$6, $C$6, 100%, $E$6) + CHOOSE(CONTROL!$C$25, 0.0003, 0)</f>
        <v>30.5044</v>
      </c>
      <c r="D586" s="4">
        <f>40.2099 * CHOOSE(CONTROL!$C$6, $C$6, 100%, $E$6) + CHOOSE(CONTROL!$C$25, 0, 0)</f>
        <v>40.209899999999998</v>
      </c>
      <c r="E586" s="4">
        <f>219.304435263297 * CHOOSE(CONTROL!$C$6, $C$6, 100%, $E$6) + CHOOSE(CONTROL!$C$25, 0, 0)</f>
        <v>219.30443526329699</v>
      </c>
    </row>
    <row r="587" spans="1:5" ht="15">
      <c r="A587" s="13">
        <v>59961</v>
      </c>
      <c r="B587" s="4">
        <f>31.5041 * CHOOSE(CONTROL!$C$6, $C$6, 100%, $E$6) + CHOOSE(CONTROL!$C$25, 0.0003, 0)</f>
        <v>31.504100000000001</v>
      </c>
      <c r="C587" s="4">
        <f>31.1916 * CHOOSE(CONTROL!$C$6, $C$6, 100%, $E$6) + CHOOSE(CONTROL!$C$25, 0.0003, 0)</f>
        <v>31.191600000000001</v>
      </c>
      <c r="D587" s="4">
        <f>41.5815 * CHOOSE(CONTROL!$C$6, $C$6, 100%, $E$6) + CHOOSE(CONTROL!$C$25, 0, 0)</f>
        <v>41.581499999999998</v>
      </c>
      <c r="E587" s="4">
        <f>224.511586815367 * CHOOSE(CONTROL!$C$6, $C$6, 100%, $E$6) + CHOOSE(CONTROL!$C$25, 0, 0)</f>
        <v>224.511586815367</v>
      </c>
    </row>
    <row r="588" spans="1:5" ht="15">
      <c r="A588" s="13">
        <v>59992</v>
      </c>
      <c r="B588" s="4">
        <f>33.3087 * CHOOSE(CONTROL!$C$6, $C$6, 100%, $E$6) + CHOOSE(CONTROL!$C$25, 0.0003, 0)</f>
        <v>33.308700000000002</v>
      </c>
      <c r="C588" s="4">
        <f>32.9962 * CHOOSE(CONTROL!$C$6, $C$6, 100%, $E$6) + CHOOSE(CONTROL!$C$25, 0.0003, 0)</f>
        <v>32.996200000000002</v>
      </c>
      <c r="D588" s="4">
        <f>43.7287 * CHOOSE(CONTROL!$C$6, $C$6, 100%, $E$6) + CHOOSE(CONTROL!$C$25, 0, 0)</f>
        <v>43.728700000000003</v>
      </c>
      <c r="E588" s="4">
        <f>238.185843515942 * CHOOSE(CONTROL!$C$6, $C$6, 100%, $E$6) + CHOOSE(CONTROL!$C$25, 0, 0)</f>
        <v>238.185843515942</v>
      </c>
    </row>
    <row r="589" spans="1:5" ht="15">
      <c r="A589" s="13">
        <v>60022</v>
      </c>
      <c r="B589" s="4">
        <f>34.5909 * CHOOSE(CONTROL!$C$6, $C$6, 100%, $E$6) + CHOOSE(CONTROL!$C$25, 0.0003, 0)</f>
        <v>34.590899999999998</v>
      </c>
      <c r="C589" s="4">
        <f>34.2784 * CHOOSE(CONTROL!$C$6, $C$6, 100%, $E$6) + CHOOSE(CONTROL!$C$25, 0.0003, 0)</f>
        <v>34.278399999999998</v>
      </c>
      <c r="D589" s="4">
        <f>44.9656 * CHOOSE(CONTROL!$C$6, $C$6, 100%, $E$6) + CHOOSE(CONTROL!$C$25, 0, 0)</f>
        <v>44.965600000000002</v>
      </c>
      <c r="E589" s="4">
        <f>247.901585135131 * CHOOSE(CONTROL!$C$6, $C$6, 100%, $E$6) + CHOOSE(CONTROL!$C$25, 0, 0)</f>
        <v>247.901585135131</v>
      </c>
    </row>
    <row r="590" spans="1:5" ht="15">
      <c r="A590" s="13">
        <v>60053</v>
      </c>
      <c r="B590" s="4">
        <f>35.3743 * CHOOSE(CONTROL!$C$6, $C$6, 100%, $E$6) + CHOOSE(CONTROL!$C$25, 0.0258, 0)</f>
        <v>35.374299999999998</v>
      </c>
      <c r="C590" s="4">
        <f>35.0618 * CHOOSE(CONTROL!$C$6, $C$6, 100%, $E$6) + CHOOSE(CONTROL!$C$25, 0.0258, 0)</f>
        <v>35.061799999999998</v>
      </c>
      <c r="D590" s="4">
        <f>44.4768 * CHOOSE(CONTROL!$C$6, $C$6, 100%, $E$6) + CHOOSE(CONTROL!$C$25, 0, 0)</f>
        <v>44.476799999999997</v>
      </c>
      <c r="E590" s="4">
        <f>253.837670410628 * CHOOSE(CONTROL!$C$6, $C$6, 100%, $E$6) + CHOOSE(CONTROL!$C$25, 0, 0)</f>
        <v>253.83767041062799</v>
      </c>
    </row>
    <row r="591" spans="1:5" ht="15">
      <c r="A591" s="13">
        <v>60083</v>
      </c>
      <c r="B591" s="4">
        <f>35.4803 * CHOOSE(CONTROL!$C$6, $C$6, 100%, $E$6) + CHOOSE(CONTROL!$C$25, 0.0258, 0)</f>
        <v>35.4803</v>
      </c>
      <c r="C591" s="4">
        <f>35.1678 * CHOOSE(CONTROL!$C$6, $C$6, 100%, $E$6) + CHOOSE(CONTROL!$C$25, 0.0258, 0)</f>
        <v>35.1678</v>
      </c>
      <c r="D591" s="4">
        <f>44.8749 * CHOOSE(CONTROL!$C$6, $C$6, 100%, $E$6) + CHOOSE(CONTROL!$C$25, 0, 0)</f>
        <v>44.874899999999997</v>
      </c>
      <c r="E591" s="4">
        <f>254.640847383663 * CHOOSE(CONTROL!$C$6, $C$6, 100%, $E$6) + CHOOSE(CONTROL!$C$25, 0, 0)</f>
        <v>254.64084738366299</v>
      </c>
    </row>
    <row r="592" spans="1:5" ht="15">
      <c r="A592" s="13">
        <v>60114</v>
      </c>
      <c r="B592" s="4">
        <f>35.4696 * CHOOSE(CONTROL!$C$6, $C$6, 100%, $E$6) + CHOOSE(CONTROL!$C$25, 0.0258, 0)</f>
        <v>35.4696</v>
      </c>
      <c r="C592" s="4">
        <f>35.1571 * CHOOSE(CONTROL!$C$6, $C$6, 100%, $E$6) + CHOOSE(CONTROL!$C$25, 0.0258, 0)</f>
        <v>35.1571</v>
      </c>
      <c r="D592" s="4">
        <f>45.5931 * CHOOSE(CONTROL!$C$6, $C$6, 100%, $E$6) + CHOOSE(CONTROL!$C$25, 0, 0)</f>
        <v>45.5931</v>
      </c>
      <c r="E592" s="4">
        <f>254.559854747726 * CHOOSE(CONTROL!$C$6, $C$6, 100%, $E$6) + CHOOSE(CONTROL!$C$25, 0, 0)</f>
        <v>254.55985474772601</v>
      </c>
    </row>
    <row r="593" spans="1:5" ht="15">
      <c r="A593" s="13">
        <v>60145</v>
      </c>
      <c r="B593" s="4">
        <f>36.2739 * CHOOSE(CONTROL!$C$6, $C$6, 100%, $E$6) + CHOOSE(CONTROL!$C$25, 0.0258, 0)</f>
        <v>36.273899999999998</v>
      </c>
      <c r="C593" s="4">
        <f>35.9614 * CHOOSE(CONTROL!$C$6, $C$6, 100%, $E$6) + CHOOSE(CONTROL!$C$25, 0.0258, 0)</f>
        <v>35.961399999999998</v>
      </c>
      <c r="D593" s="4">
        <f>45.1188 * CHOOSE(CONTROL!$C$6, $C$6, 100%, $E$6) + CHOOSE(CONTROL!$C$25, 0, 0)</f>
        <v>45.1188</v>
      </c>
      <c r="E593" s="4">
        <f>260.654550601931 * CHOOSE(CONTROL!$C$6, $C$6, 100%, $E$6) + CHOOSE(CONTROL!$C$25, 0, 0)</f>
        <v>260.65455060193102</v>
      </c>
    </row>
    <row r="594" spans="1:5" ht="15">
      <c r="A594" s="13">
        <v>60175</v>
      </c>
      <c r="B594" s="4">
        <f>34.9031 * CHOOSE(CONTROL!$C$6, $C$6, 100%, $E$6) + CHOOSE(CONTROL!$C$25, 0.0258, 0)</f>
        <v>34.903100000000002</v>
      </c>
      <c r="C594" s="4">
        <f>34.5906 * CHOOSE(CONTROL!$C$6, $C$6, 100%, $E$6) + CHOOSE(CONTROL!$C$25, 0.0258, 0)</f>
        <v>34.590600000000002</v>
      </c>
      <c r="D594" s="4">
        <f>44.8947 * CHOOSE(CONTROL!$C$6, $C$6, 100%, $E$6) + CHOOSE(CONTROL!$C$25, 0, 0)</f>
        <v>44.8947</v>
      </c>
      <c r="E594" s="4">
        <f>250.267245043104 * CHOOSE(CONTROL!$C$6, $C$6, 100%, $E$6) + CHOOSE(CONTROL!$C$25, 0, 0)</f>
        <v>250.267245043104</v>
      </c>
    </row>
    <row r="595" spans="1:5" ht="15">
      <c r="A595" s="13">
        <v>60206</v>
      </c>
      <c r="B595" s="4">
        <f>33.8057 * CHOOSE(CONTROL!$C$6, $C$6, 100%, $E$6) + CHOOSE(CONTROL!$C$25, 0.0003, 0)</f>
        <v>33.805700000000002</v>
      </c>
      <c r="C595" s="4">
        <f>33.4932 * CHOOSE(CONTROL!$C$6, $C$6, 100%, $E$6) + CHOOSE(CONTROL!$C$25, 0.0003, 0)</f>
        <v>33.493200000000002</v>
      </c>
      <c r="D595" s="4">
        <f>44.2946 * CHOOSE(CONTROL!$C$6, $C$6, 100%, $E$6) + CHOOSE(CONTROL!$C$25, 0, 0)</f>
        <v>44.294600000000003</v>
      </c>
      <c r="E595" s="4">
        <f>241.952001086979 * CHOOSE(CONTROL!$C$6, $C$6, 100%, $E$6) + CHOOSE(CONTROL!$C$25, 0, 0)</f>
        <v>241.95200108697901</v>
      </c>
    </row>
    <row r="596" spans="1:5" ht="15">
      <c r="A596" s="13">
        <v>60236</v>
      </c>
      <c r="B596" s="4">
        <f>33.0989 * CHOOSE(CONTROL!$C$6, $C$6, 100%, $E$6) + CHOOSE(CONTROL!$C$25, 0.0003, 0)</f>
        <v>33.0989</v>
      </c>
      <c r="C596" s="4">
        <f>32.7864 * CHOOSE(CONTROL!$C$6, $C$6, 100%, $E$6) + CHOOSE(CONTROL!$C$25, 0.0003, 0)</f>
        <v>32.7864</v>
      </c>
      <c r="D596" s="4">
        <f>44.0883 * CHOOSE(CONTROL!$C$6, $C$6, 100%, $E$6) + CHOOSE(CONTROL!$C$25, 0, 0)</f>
        <v>44.088299999999997</v>
      </c>
      <c r="E596" s="4">
        <f>236.596363035692 * CHOOSE(CONTROL!$C$6, $C$6, 100%, $E$6) + CHOOSE(CONTROL!$C$25, 0, 0)</f>
        <v>236.59636303569201</v>
      </c>
    </row>
    <row r="597" spans="1:5" ht="15">
      <c r="A597" s="13">
        <v>60267</v>
      </c>
      <c r="B597" s="4">
        <f>32.6099 * CHOOSE(CONTROL!$C$6, $C$6, 100%, $E$6) + CHOOSE(CONTROL!$C$25, 0.0003, 0)</f>
        <v>32.609900000000003</v>
      </c>
      <c r="C597" s="4">
        <f>32.2974 * CHOOSE(CONTROL!$C$6, $C$6, 100%, $E$6) + CHOOSE(CONTROL!$C$25, 0.0003, 0)</f>
        <v>32.297400000000003</v>
      </c>
      <c r="D597" s="4">
        <f>42.5696 * CHOOSE(CONTROL!$C$6, $C$6, 100%, $E$6) + CHOOSE(CONTROL!$C$25, 0, 0)</f>
        <v>42.569600000000001</v>
      </c>
      <c r="E597" s="4">
        <f>232.890949941608 * CHOOSE(CONTROL!$C$6, $C$6, 100%, $E$6) + CHOOSE(CONTROL!$C$25, 0, 0)</f>
        <v>232.890949941608</v>
      </c>
    </row>
    <row r="598" spans="1:5" ht="15">
      <c r="A598" s="13">
        <v>60298</v>
      </c>
      <c r="B598" s="4">
        <f>31.4565 * CHOOSE(CONTROL!$C$6, $C$6, 100%, $E$6) + CHOOSE(CONTROL!$C$25, 0.0003, 0)</f>
        <v>31.456499999999998</v>
      </c>
      <c r="C598" s="4">
        <f>31.144 * CHOOSE(CONTROL!$C$6, $C$6, 100%, $E$6) + CHOOSE(CONTROL!$C$25, 0.0003, 0)</f>
        <v>31.143999999999998</v>
      </c>
      <c r="D598" s="4">
        <f>41.0882 * CHOOSE(CONTROL!$C$6, $C$6, 100%, $E$6) + CHOOSE(CONTROL!$C$25, 0, 0)</f>
        <v>41.088200000000001</v>
      </c>
      <c r="E598" s="4">
        <f>225.642333442406 * CHOOSE(CONTROL!$C$6, $C$6, 100%, $E$6) + CHOOSE(CONTROL!$C$25, 0, 0)</f>
        <v>225.642333442406</v>
      </c>
    </row>
    <row r="599" spans="1:5" ht="15">
      <c r="A599" s="13">
        <v>60326</v>
      </c>
      <c r="B599" s="4">
        <f>32.1589 * CHOOSE(CONTROL!$C$6, $C$6, 100%, $E$6) + CHOOSE(CONTROL!$C$25, 0.0003, 0)</f>
        <v>32.158900000000003</v>
      </c>
      <c r="C599" s="4">
        <f>31.8464 * CHOOSE(CONTROL!$C$6, $C$6, 100%, $E$6) + CHOOSE(CONTROL!$C$25, 0.0003, 0)</f>
        <v>31.846399999999999</v>
      </c>
      <c r="D599" s="4">
        <f>42.4908 * CHOOSE(CONTROL!$C$6, $C$6, 100%, $E$6) + CHOOSE(CONTROL!$C$25, 0, 0)</f>
        <v>42.4908</v>
      </c>
      <c r="E599" s="4">
        <f>230.999971674331 * CHOOSE(CONTROL!$C$6, $C$6, 100%, $E$6) + CHOOSE(CONTROL!$C$25, 0, 0)</f>
        <v>230.99997167433099</v>
      </c>
    </row>
    <row r="600" spans="1:5" ht="15">
      <c r="A600" s="13">
        <v>60357</v>
      </c>
      <c r="B600" s="4">
        <f>34.0034 * CHOOSE(CONTROL!$C$6, $C$6, 100%, $E$6) + CHOOSE(CONTROL!$C$25, 0.0003, 0)</f>
        <v>34.003399999999999</v>
      </c>
      <c r="C600" s="4">
        <f>33.6909 * CHOOSE(CONTROL!$C$6, $C$6, 100%, $E$6) + CHOOSE(CONTROL!$C$25, 0.0003, 0)</f>
        <v>33.690899999999999</v>
      </c>
      <c r="D600" s="4">
        <f>44.6866 * CHOOSE(CONTROL!$C$6, $C$6, 100%, $E$6) + CHOOSE(CONTROL!$C$25, 0, 0)</f>
        <v>44.686599999999999</v>
      </c>
      <c r="E600" s="4">
        <f>245.069414393552 * CHOOSE(CONTROL!$C$6, $C$6, 100%, $E$6) + CHOOSE(CONTROL!$C$25, 0, 0)</f>
        <v>245.06941439355199</v>
      </c>
    </row>
    <row r="601" spans="1:5" ht="15">
      <c r="A601" s="13">
        <v>60387</v>
      </c>
      <c r="B601" s="4">
        <f>35.3139 * CHOOSE(CONTROL!$C$6, $C$6, 100%, $E$6) + CHOOSE(CONTROL!$C$25, 0.0003, 0)</f>
        <v>35.313899999999997</v>
      </c>
      <c r="C601" s="4">
        <f>35.0014 * CHOOSE(CONTROL!$C$6, $C$6, 100%, $E$6) + CHOOSE(CONTROL!$C$25, 0.0003, 0)</f>
        <v>35.001399999999997</v>
      </c>
      <c r="D601" s="4">
        <f>45.9514 * CHOOSE(CONTROL!$C$6, $C$6, 100%, $E$6) + CHOOSE(CONTROL!$C$25, 0, 0)</f>
        <v>45.9514</v>
      </c>
      <c r="E601" s="4">
        <f>255.065940945537 * CHOOSE(CONTROL!$C$6, $C$6, 100%, $E$6) + CHOOSE(CONTROL!$C$25, 0, 0)</f>
        <v>255.06594094553699</v>
      </c>
    </row>
    <row r="602" spans="1:5" ht="15">
      <c r="A602" s="13">
        <v>60418</v>
      </c>
      <c r="B602" s="4">
        <f>36.1146 * CHOOSE(CONTROL!$C$6, $C$6, 100%, $E$6) + CHOOSE(CONTROL!$C$25, 0.0258, 0)</f>
        <v>36.114600000000003</v>
      </c>
      <c r="C602" s="4">
        <f>35.8021 * CHOOSE(CONTROL!$C$6, $C$6, 100%, $E$6) + CHOOSE(CONTROL!$C$25, 0.0258, 0)</f>
        <v>35.802100000000003</v>
      </c>
      <c r="D602" s="4">
        <f>45.4516 * CHOOSE(CONTROL!$C$6, $C$6, 100%, $E$6) + CHOOSE(CONTROL!$C$25, 0, 0)</f>
        <v>45.451599999999999</v>
      </c>
      <c r="E602" s="4">
        <f>261.173579085495 * CHOOSE(CONTROL!$C$6, $C$6, 100%, $E$6) + CHOOSE(CONTROL!$C$25, 0, 0)</f>
        <v>261.17357908549502</v>
      </c>
    </row>
    <row r="603" spans="1:5" ht="15">
      <c r="A603" s="13">
        <v>60448</v>
      </c>
      <c r="B603" s="4">
        <f>36.223 * CHOOSE(CONTROL!$C$6, $C$6, 100%, $E$6) + CHOOSE(CONTROL!$C$25, 0.0258, 0)</f>
        <v>36.222999999999999</v>
      </c>
      <c r="C603" s="4">
        <f>35.9105 * CHOOSE(CONTROL!$C$6, $C$6, 100%, $E$6) + CHOOSE(CONTROL!$C$25, 0.0258, 0)</f>
        <v>35.910499999999999</v>
      </c>
      <c r="D603" s="4">
        <f>45.8586 * CHOOSE(CONTROL!$C$6, $C$6, 100%, $E$6) + CHOOSE(CONTROL!$C$25, 0, 0)</f>
        <v>45.858600000000003</v>
      </c>
      <c r="E603" s="4">
        <f>261.99996787305 * CHOOSE(CONTROL!$C$6, $C$6, 100%, $E$6) + CHOOSE(CONTROL!$C$25, 0, 0)</f>
        <v>261.99996787305002</v>
      </c>
    </row>
    <row r="604" spans="1:5" ht="15">
      <c r="A604" s="13">
        <v>60479</v>
      </c>
      <c r="B604" s="4">
        <f>36.212 * CHOOSE(CONTROL!$C$6, $C$6, 100%, $E$6) + CHOOSE(CONTROL!$C$25, 0.0258, 0)</f>
        <v>36.212000000000003</v>
      </c>
      <c r="C604" s="4">
        <f>35.8995 * CHOOSE(CONTROL!$C$6, $C$6, 100%, $E$6) + CHOOSE(CONTROL!$C$25, 0.0258, 0)</f>
        <v>35.899500000000003</v>
      </c>
      <c r="D604" s="4">
        <f>46.5931 * CHOOSE(CONTROL!$C$6, $C$6, 100%, $E$6) + CHOOSE(CONTROL!$C$25, 0, 0)</f>
        <v>46.5931</v>
      </c>
      <c r="E604" s="4">
        <f>261.916634549936 * CHOOSE(CONTROL!$C$6, $C$6, 100%, $E$6) + CHOOSE(CONTROL!$C$25, 0, 0)</f>
        <v>261.91663454993602</v>
      </c>
    </row>
    <row r="605" spans="1:5" ht="15">
      <c r="A605" s="13">
        <v>60510</v>
      </c>
      <c r="B605" s="4">
        <f>37.0341 * CHOOSE(CONTROL!$C$6, $C$6, 100%, $E$6) + CHOOSE(CONTROL!$C$25, 0.0258, 0)</f>
        <v>37.034100000000002</v>
      </c>
      <c r="C605" s="4">
        <f>36.7216 * CHOOSE(CONTROL!$C$6, $C$6, 100%, $E$6) + CHOOSE(CONTROL!$C$25, 0.0258, 0)</f>
        <v>36.721600000000002</v>
      </c>
      <c r="D605" s="4">
        <f>46.108 * CHOOSE(CONTROL!$C$6, $C$6, 100%, $E$6) + CHOOSE(CONTROL!$C$25, 0, 0)</f>
        <v>46.107999999999997</v>
      </c>
      <c r="E605" s="4">
        <f>268.187467114327 * CHOOSE(CONTROL!$C$6, $C$6, 100%, $E$6) + CHOOSE(CONTROL!$C$25, 0, 0)</f>
        <v>268.18746711432698</v>
      </c>
    </row>
    <row r="606" spans="1:5" ht="15">
      <c r="A606" s="13">
        <v>60540</v>
      </c>
      <c r="B606" s="4">
        <f>35.633 * CHOOSE(CONTROL!$C$6, $C$6, 100%, $E$6) + CHOOSE(CONTROL!$C$25, 0.0258, 0)</f>
        <v>35.633000000000003</v>
      </c>
      <c r="C606" s="4">
        <f>35.3205 * CHOOSE(CONTROL!$C$6, $C$6, 100%, $E$6) + CHOOSE(CONTROL!$C$25, 0.0258, 0)</f>
        <v>35.320500000000003</v>
      </c>
      <c r="D606" s="4">
        <f>45.8789 * CHOOSE(CONTROL!$C$6, $C$6, 100%, $E$6) + CHOOSE(CONTROL!$C$25, 0, 0)</f>
        <v>45.878900000000002</v>
      </c>
      <c r="E606" s="4">
        <f>257.499968424849 * CHOOSE(CONTROL!$C$6, $C$6, 100%, $E$6) + CHOOSE(CONTROL!$C$25, 0, 0)</f>
        <v>257.49996842484899</v>
      </c>
    </row>
    <row r="607" spans="1:5" ht="15">
      <c r="A607" s="13">
        <v>60571</v>
      </c>
      <c r="B607" s="4">
        <f>34.5114 * CHOOSE(CONTROL!$C$6, $C$6, 100%, $E$6) + CHOOSE(CONTROL!$C$25, 0.0003, 0)</f>
        <v>34.511400000000002</v>
      </c>
      <c r="C607" s="4">
        <f>34.1989 * CHOOSE(CONTROL!$C$6, $C$6, 100%, $E$6) + CHOOSE(CONTROL!$C$25, 0.0003, 0)</f>
        <v>34.198900000000002</v>
      </c>
      <c r="D607" s="4">
        <f>45.2653 * CHOOSE(CONTROL!$C$6, $C$6, 100%, $E$6) + CHOOSE(CONTROL!$C$25, 0, 0)</f>
        <v>45.265300000000003</v>
      </c>
      <c r="E607" s="4">
        <f>248.944413918392 * CHOOSE(CONTROL!$C$6, $C$6, 100%, $E$6) + CHOOSE(CONTROL!$C$25, 0, 0)</f>
        <v>248.944413918392</v>
      </c>
    </row>
    <row r="608" spans="1:5" ht="15">
      <c r="A608" s="13">
        <v>60601</v>
      </c>
      <c r="B608" s="4">
        <f>33.789 * CHOOSE(CONTROL!$C$6, $C$6, 100%, $E$6) + CHOOSE(CONTROL!$C$25, 0.0003, 0)</f>
        <v>33.789000000000001</v>
      </c>
      <c r="C608" s="4">
        <f>33.4765 * CHOOSE(CONTROL!$C$6, $C$6, 100%, $E$6) + CHOOSE(CONTROL!$C$25, 0.0003, 0)</f>
        <v>33.476500000000001</v>
      </c>
      <c r="D608" s="4">
        <f>45.0543 * CHOOSE(CONTROL!$C$6, $C$6, 100%, $E$6) + CHOOSE(CONTROL!$C$25, 0, 0)</f>
        <v>45.054299999999998</v>
      </c>
      <c r="E608" s="4">
        <f>243.433997927424 * CHOOSE(CONTROL!$C$6, $C$6, 100%, $E$6) + CHOOSE(CONTROL!$C$25, 0, 0)</f>
        <v>243.433997927424</v>
      </c>
    </row>
    <row r="609" spans="1:5" ht="15">
      <c r="A609" s="13">
        <v>60632</v>
      </c>
      <c r="B609" s="4">
        <f>33.2892 * CHOOSE(CONTROL!$C$6, $C$6, 100%, $E$6) + CHOOSE(CONTROL!$C$25, 0.0003, 0)</f>
        <v>33.289200000000001</v>
      </c>
      <c r="C609" s="4">
        <f>32.9767 * CHOOSE(CONTROL!$C$6, $C$6, 100%, $E$6) + CHOOSE(CONTROL!$C$25, 0.0003, 0)</f>
        <v>32.976700000000001</v>
      </c>
      <c r="D609" s="4">
        <f>43.5012 * CHOOSE(CONTROL!$C$6, $C$6, 100%, $E$6) + CHOOSE(CONTROL!$C$25, 0, 0)</f>
        <v>43.501199999999997</v>
      </c>
      <c r="E609" s="4">
        <f>239.62149839492 * CHOOSE(CONTROL!$C$6, $C$6, 100%, $E$6) + CHOOSE(CONTROL!$C$25, 0, 0)</f>
        <v>239.62149839492</v>
      </c>
    </row>
    <row r="610" spans="1:5" ht="15">
      <c r="A610" s="13">
        <v>60663</v>
      </c>
      <c r="B610" s="4">
        <f>32.1103 * CHOOSE(CONTROL!$C$6, $C$6, 100%, $E$6) + CHOOSE(CONTROL!$C$25, 0.0003, 0)</f>
        <v>32.110300000000002</v>
      </c>
      <c r="C610" s="4">
        <f>31.7978 * CHOOSE(CONTROL!$C$6, $C$6, 100%, $E$6) + CHOOSE(CONTROL!$C$25, 0.0003, 0)</f>
        <v>31.797799999999999</v>
      </c>
      <c r="D610" s="4">
        <f>41.9864 * CHOOSE(CONTROL!$C$6, $C$6, 100%, $E$6) + CHOOSE(CONTROL!$C$25, 0, 0)</f>
        <v>41.986400000000003</v>
      </c>
      <c r="E610" s="4">
        <f>232.163396878891 * CHOOSE(CONTROL!$C$6, $C$6, 100%, $E$6) + CHOOSE(CONTROL!$C$25, 0, 0)</f>
        <v>232.16339687889101</v>
      </c>
    </row>
    <row r="611" spans="1:5" ht="15">
      <c r="A611" s="13">
        <v>60691</v>
      </c>
      <c r="B611" s="4">
        <f>32.8282 * CHOOSE(CONTROL!$C$6, $C$6, 100%, $E$6) + CHOOSE(CONTROL!$C$25, 0.0003, 0)</f>
        <v>32.828200000000002</v>
      </c>
      <c r="C611" s="4">
        <f>32.5157 * CHOOSE(CONTROL!$C$6, $C$6, 100%, $E$6) + CHOOSE(CONTROL!$C$25, 0.0003, 0)</f>
        <v>32.515700000000002</v>
      </c>
      <c r="D611" s="4">
        <f>43.4207 * CHOOSE(CONTROL!$C$6, $C$6, 100%, $E$6) + CHOOSE(CONTROL!$C$25, 0, 0)</f>
        <v>43.420699999999997</v>
      </c>
      <c r="E611" s="4">
        <f>237.675870855719 * CHOOSE(CONTROL!$C$6, $C$6, 100%, $E$6) + CHOOSE(CONTROL!$C$25, 0, 0)</f>
        <v>237.67587085571901</v>
      </c>
    </row>
    <row r="612" spans="1:5" ht="15">
      <c r="A612" s="13">
        <v>60722</v>
      </c>
      <c r="B612" s="4">
        <f>34.7134 * CHOOSE(CONTROL!$C$6, $C$6, 100%, $E$6) + CHOOSE(CONTROL!$C$25, 0.0003, 0)</f>
        <v>34.7134</v>
      </c>
      <c r="C612" s="4">
        <f>34.4009 * CHOOSE(CONTROL!$C$6, $C$6, 100%, $E$6) + CHOOSE(CONTROL!$C$25, 0.0003, 0)</f>
        <v>34.4009</v>
      </c>
      <c r="D612" s="4">
        <f>45.666 * CHOOSE(CONTROL!$C$6, $C$6, 100%, $E$6) + CHOOSE(CONTROL!$C$25, 0, 0)</f>
        <v>45.665999999999997</v>
      </c>
      <c r="E612" s="4">
        <f>252.151920469526 * CHOOSE(CONTROL!$C$6, $C$6, 100%, $E$6) + CHOOSE(CONTROL!$C$25, 0, 0)</f>
        <v>252.151920469526</v>
      </c>
    </row>
    <row r="613" spans="1:5" ht="15">
      <c r="A613" s="13">
        <v>60752</v>
      </c>
      <c r="B613" s="4">
        <f>36.0529 * CHOOSE(CONTROL!$C$6, $C$6, 100%, $E$6) + CHOOSE(CONTROL!$C$25, 0.0003, 0)</f>
        <v>36.052900000000001</v>
      </c>
      <c r="C613" s="4">
        <f>35.7404 * CHOOSE(CONTROL!$C$6, $C$6, 100%, $E$6) + CHOOSE(CONTROL!$C$25, 0.0003, 0)</f>
        <v>35.740400000000001</v>
      </c>
      <c r="D613" s="4">
        <f>46.9594 * CHOOSE(CONTROL!$C$6, $C$6, 100%, $E$6) + CHOOSE(CONTROL!$C$25, 0, 0)</f>
        <v>46.959400000000002</v>
      </c>
      <c r="E613" s="4">
        <f>262.437346638863 * CHOOSE(CONTROL!$C$6, $C$6, 100%, $E$6) + CHOOSE(CONTROL!$C$25, 0, 0)</f>
        <v>262.437346638863</v>
      </c>
    </row>
    <row r="614" spans="1:5" ht="15">
      <c r="A614" s="13">
        <v>60783</v>
      </c>
      <c r="B614" s="4">
        <f>36.8713 * CHOOSE(CONTROL!$C$6, $C$6, 100%, $E$6) + CHOOSE(CONTROL!$C$25, 0.0258, 0)</f>
        <v>36.871299999999998</v>
      </c>
      <c r="C614" s="4">
        <f>36.5588 * CHOOSE(CONTROL!$C$6, $C$6, 100%, $E$6) + CHOOSE(CONTROL!$C$25, 0.0258, 0)</f>
        <v>36.558799999999998</v>
      </c>
      <c r="D614" s="4">
        <f>46.4483 * CHOOSE(CONTROL!$C$6, $C$6, 100%, $E$6) + CHOOSE(CONTROL!$C$25, 0, 0)</f>
        <v>46.448300000000003</v>
      </c>
      <c r="E614" s="4">
        <f>268.721495521066 * CHOOSE(CONTROL!$C$6, $C$6, 100%, $E$6) + CHOOSE(CONTROL!$C$25, 0, 0)</f>
        <v>268.721495521066</v>
      </c>
    </row>
    <row r="615" spans="1:5" ht="15">
      <c r="A615" s="13">
        <v>60813</v>
      </c>
      <c r="B615" s="4">
        <f>36.982 * CHOOSE(CONTROL!$C$6, $C$6, 100%, $E$6) + CHOOSE(CONTROL!$C$25, 0.0258, 0)</f>
        <v>36.981999999999999</v>
      </c>
      <c r="C615" s="4">
        <f>36.6695 * CHOOSE(CONTROL!$C$6, $C$6, 100%, $E$6) + CHOOSE(CONTROL!$C$25, 0.0258, 0)</f>
        <v>36.669499999999999</v>
      </c>
      <c r="D615" s="4">
        <f>46.8646 * CHOOSE(CONTROL!$C$6, $C$6, 100%, $E$6) + CHOOSE(CONTROL!$C$25, 0, 0)</f>
        <v>46.864600000000003</v>
      </c>
      <c r="E615" s="4">
        <f>269.571766944582 * CHOOSE(CONTROL!$C$6, $C$6, 100%, $E$6) + CHOOSE(CONTROL!$C$25, 0, 0)</f>
        <v>269.57176694458201</v>
      </c>
    </row>
    <row r="616" spans="1:5" ht="15">
      <c r="A616" s="13">
        <v>60844</v>
      </c>
      <c r="B616" s="4">
        <f>36.9709 * CHOOSE(CONTROL!$C$6, $C$6, 100%, $E$6) + CHOOSE(CONTROL!$C$25, 0.0258, 0)</f>
        <v>36.9709</v>
      </c>
      <c r="C616" s="4">
        <f>36.6584 * CHOOSE(CONTROL!$C$6, $C$6, 100%, $E$6) + CHOOSE(CONTROL!$C$25, 0.0258, 0)</f>
        <v>36.6584</v>
      </c>
      <c r="D616" s="4">
        <f>47.6156 * CHOOSE(CONTROL!$C$6, $C$6, 100%, $E$6) + CHOOSE(CONTROL!$C$25, 0, 0)</f>
        <v>47.615600000000001</v>
      </c>
      <c r="E616" s="4">
        <f>269.486025288429 * CHOOSE(CONTROL!$C$6, $C$6, 100%, $E$6) + CHOOSE(CONTROL!$C$25, 0, 0)</f>
        <v>269.486025288429</v>
      </c>
    </row>
    <row r="617" spans="1:5" ht="15">
      <c r="A617" s="13">
        <v>60875</v>
      </c>
      <c r="B617" s="4">
        <f>37.8111 * CHOOSE(CONTROL!$C$6, $C$6, 100%, $E$6) + CHOOSE(CONTROL!$C$25, 0.0258, 0)</f>
        <v>37.811100000000003</v>
      </c>
      <c r="C617" s="4">
        <f>37.4986 * CHOOSE(CONTROL!$C$6, $C$6, 100%, $E$6) + CHOOSE(CONTROL!$C$25, 0.0258, 0)</f>
        <v>37.498600000000003</v>
      </c>
      <c r="D617" s="4">
        <f>47.1196 * CHOOSE(CONTROL!$C$6, $C$6, 100%, $E$6) + CHOOSE(CONTROL!$C$25, 0, 0)</f>
        <v>47.119599999999998</v>
      </c>
      <c r="E617" s="4">
        <f>275.938084913931 * CHOOSE(CONTROL!$C$6, $C$6, 100%, $E$6) + CHOOSE(CONTROL!$C$25, 0, 0)</f>
        <v>275.93808491393099</v>
      </c>
    </row>
    <row r="618" spans="1:5" ht="15">
      <c r="A618" s="13">
        <v>60905</v>
      </c>
      <c r="B618" s="4">
        <f>36.3791 * CHOOSE(CONTROL!$C$6, $C$6, 100%, $E$6) + CHOOSE(CONTROL!$C$25, 0.0258, 0)</f>
        <v>36.379100000000001</v>
      </c>
      <c r="C618" s="4">
        <f>36.0666 * CHOOSE(CONTROL!$C$6, $C$6, 100%, $E$6) + CHOOSE(CONTROL!$C$25, 0.0258, 0)</f>
        <v>36.066600000000001</v>
      </c>
      <c r="D618" s="4">
        <f>46.8853 * CHOOSE(CONTROL!$C$6, $C$6, 100%, $E$6) + CHOOSE(CONTROL!$C$25, 0, 0)</f>
        <v>46.885300000000001</v>
      </c>
      <c r="E618" s="4">
        <f>264.941717512327 * CHOOSE(CONTROL!$C$6, $C$6, 100%, $E$6) + CHOOSE(CONTROL!$C$25, 0, 0)</f>
        <v>264.94171751232699</v>
      </c>
    </row>
    <row r="619" spans="1:5" ht="15">
      <c r="A619" s="13">
        <v>60936</v>
      </c>
      <c r="B619" s="4">
        <f>35.2326 * CHOOSE(CONTROL!$C$6, $C$6, 100%, $E$6) + CHOOSE(CONTROL!$C$25, 0.0003, 0)</f>
        <v>35.232599999999998</v>
      </c>
      <c r="C619" s="4">
        <f>34.9201 * CHOOSE(CONTROL!$C$6, $C$6, 100%, $E$6) + CHOOSE(CONTROL!$C$25, 0.0003, 0)</f>
        <v>34.920099999999998</v>
      </c>
      <c r="D619" s="4">
        <f>46.2578 * CHOOSE(CONTROL!$C$6, $C$6, 100%, $E$6) + CHOOSE(CONTROL!$C$25, 0, 0)</f>
        <v>46.257800000000003</v>
      </c>
      <c r="E619" s="4">
        <f>256.138907480634 * CHOOSE(CONTROL!$C$6, $C$6, 100%, $E$6) + CHOOSE(CONTROL!$C$25, 0, 0)</f>
        <v>256.13890748063397</v>
      </c>
    </row>
    <row r="620" spans="1:5" ht="15">
      <c r="A620" s="13">
        <v>60966</v>
      </c>
      <c r="B620" s="4">
        <f>34.4943 * CHOOSE(CONTROL!$C$6, $C$6, 100%, $E$6) + CHOOSE(CONTROL!$C$25, 0.0003, 0)</f>
        <v>34.494300000000003</v>
      </c>
      <c r="C620" s="4">
        <f>34.1818 * CHOOSE(CONTROL!$C$6, $C$6, 100%, $E$6) + CHOOSE(CONTROL!$C$25, 0.0003, 0)</f>
        <v>34.181800000000003</v>
      </c>
      <c r="D620" s="4">
        <f>46.0421 * CHOOSE(CONTROL!$C$6, $C$6, 100%, $E$6) + CHOOSE(CONTROL!$C$25, 0, 0)</f>
        <v>46.042099999999998</v>
      </c>
      <c r="E620" s="4">
        <f>250.469240467526 * CHOOSE(CONTROL!$C$6, $C$6, 100%, $E$6) + CHOOSE(CONTROL!$C$25, 0, 0)</f>
        <v>250.46924046752599</v>
      </c>
    </row>
    <row r="621" spans="1:5" ht="15">
      <c r="A621" s="13">
        <v>60997</v>
      </c>
      <c r="B621" s="4">
        <f>33.9834 * CHOOSE(CONTROL!$C$6, $C$6, 100%, $E$6) + CHOOSE(CONTROL!$C$25, 0.0003, 0)</f>
        <v>33.983400000000003</v>
      </c>
      <c r="C621" s="4">
        <f>33.6709 * CHOOSE(CONTROL!$C$6, $C$6, 100%, $E$6) + CHOOSE(CONTROL!$C$25, 0.0003, 0)</f>
        <v>33.670900000000003</v>
      </c>
      <c r="D621" s="4">
        <f>44.4539 * CHOOSE(CONTROL!$C$6, $C$6, 100%, $E$6) + CHOOSE(CONTROL!$C$25, 0, 0)</f>
        <v>44.453899999999997</v>
      </c>
      <c r="E621" s="4">
        <f>246.546559698533 * CHOOSE(CONTROL!$C$6, $C$6, 100%, $E$6) + CHOOSE(CONTROL!$C$25, 0, 0)</f>
        <v>246.546559698533</v>
      </c>
    </row>
    <row r="622" spans="1:5" ht="15">
      <c r="A622" s="13">
        <v>61028</v>
      </c>
      <c r="B622" s="4">
        <f>32.7785 * CHOOSE(CONTROL!$C$6, $C$6, 100%, $E$6) + CHOOSE(CONTROL!$C$25, 0.0003, 0)</f>
        <v>32.778500000000001</v>
      </c>
      <c r="C622" s="4">
        <f>32.466 * CHOOSE(CONTROL!$C$6, $C$6, 100%, $E$6) + CHOOSE(CONTROL!$C$25, 0.0003, 0)</f>
        <v>32.466000000000001</v>
      </c>
      <c r="D622" s="4">
        <f>42.9048 * CHOOSE(CONTROL!$C$6, $C$6, 100%, $E$6) + CHOOSE(CONTROL!$C$25, 0, 0)</f>
        <v>42.904800000000002</v>
      </c>
      <c r="E622" s="4">
        <f>238.872919048691 * CHOOSE(CONTROL!$C$6, $C$6, 100%, $E$6) + CHOOSE(CONTROL!$C$25, 0, 0)</f>
        <v>238.87291904869099</v>
      </c>
    </row>
    <row r="623" spans="1:5" ht="15">
      <c r="A623" s="13">
        <v>61056</v>
      </c>
      <c r="B623" s="4">
        <f>33.5122 * CHOOSE(CONTROL!$C$6, $C$6, 100%, $E$6) + CHOOSE(CONTROL!$C$25, 0.0003, 0)</f>
        <v>33.5122</v>
      </c>
      <c r="C623" s="4">
        <f>33.1997 * CHOOSE(CONTROL!$C$6, $C$6, 100%, $E$6) + CHOOSE(CONTROL!$C$25, 0.0003, 0)</f>
        <v>33.1997</v>
      </c>
      <c r="D623" s="4">
        <f>44.3716 * CHOOSE(CONTROL!$C$6, $C$6, 100%, $E$6) + CHOOSE(CONTROL!$C$25, 0, 0)</f>
        <v>44.371600000000001</v>
      </c>
      <c r="E623" s="4">
        <f>244.544703523449 * CHOOSE(CONTROL!$C$6, $C$6, 100%, $E$6) + CHOOSE(CONTROL!$C$25, 0, 0)</f>
        <v>244.54470352344899</v>
      </c>
    </row>
    <row r="624" spans="1:5" ht="15">
      <c r="A624" s="13">
        <v>61087</v>
      </c>
      <c r="B624" s="4">
        <f>35.4391 * CHOOSE(CONTROL!$C$6, $C$6, 100%, $E$6) + CHOOSE(CONTROL!$C$25, 0.0003, 0)</f>
        <v>35.439100000000003</v>
      </c>
      <c r="C624" s="4">
        <f>35.1266 * CHOOSE(CONTROL!$C$6, $C$6, 100%, $E$6) + CHOOSE(CONTROL!$C$25, 0.0003, 0)</f>
        <v>35.126600000000003</v>
      </c>
      <c r="D624" s="4">
        <f>46.6677 * CHOOSE(CONTROL!$C$6, $C$6, 100%, $E$6) + CHOOSE(CONTROL!$C$25, 0, 0)</f>
        <v>46.667700000000004</v>
      </c>
      <c r="E624" s="4">
        <f>259.439110971095 * CHOOSE(CONTROL!$C$6, $C$6, 100%, $E$6) + CHOOSE(CONTROL!$C$25, 0, 0)</f>
        <v>259.43911097109498</v>
      </c>
    </row>
    <row r="625" spans="1:5" ht="15">
      <c r="A625" s="13">
        <v>61117</v>
      </c>
      <c r="B625" s="4">
        <f>36.8082 * CHOOSE(CONTROL!$C$6, $C$6, 100%, $E$6) + CHOOSE(CONTROL!$C$25, 0.0003, 0)</f>
        <v>36.808199999999999</v>
      </c>
      <c r="C625" s="4">
        <f>36.4957 * CHOOSE(CONTROL!$C$6, $C$6, 100%, $E$6) + CHOOSE(CONTROL!$C$25, 0.0003, 0)</f>
        <v>36.495699999999999</v>
      </c>
      <c r="D625" s="4">
        <f>47.9903 * CHOOSE(CONTROL!$C$6, $C$6, 100%, $E$6) + CHOOSE(CONTROL!$C$25, 0, 0)</f>
        <v>47.990299999999998</v>
      </c>
      <c r="E625" s="4">
        <f>270.021785956726 * CHOOSE(CONTROL!$C$6, $C$6, 100%, $E$6) + CHOOSE(CONTROL!$C$25, 0, 0)</f>
        <v>270.02178595672598</v>
      </c>
    </row>
    <row r="626" spans="1:5" ht="15">
      <c r="A626" s="13">
        <v>61148</v>
      </c>
      <c r="B626" s="4">
        <f>37.6447 * CHOOSE(CONTROL!$C$6, $C$6, 100%, $E$6) + CHOOSE(CONTROL!$C$25, 0.0258, 0)</f>
        <v>37.6447</v>
      </c>
      <c r="C626" s="4">
        <f>37.3322 * CHOOSE(CONTROL!$C$6, $C$6, 100%, $E$6) + CHOOSE(CONTROL!$C$25, 0.0258, 0)</f>
        <v>37.3322</v>
      </c>
      <c r="D626" s="4">
        <f>47.4676 * CHOOSE(CONTROL!$C$6, $C$6, 100%, $E$6) + CHOOSE(CONTROL!$C$25, 0, 0)</f>
        <v>47.467599999999997</v>
      </c>
      <c r="E626" s="4">
        <f>276.487546741624 * CHOOSE(CONTROL!$C$6, $C$6, 100%, $E$6) + CHOOSE(CONTROL!$C$25, 0, 0)</f>
        <v>276.48754674162399</v>
      </c>
    </row>
    <row r="627" spans="1:5" ht="15">
      <c r="A627" s="13">
        <v>61178</v>
      </c>
      <c r="B627" s="4">
        <f>37.7579 * CHOOSE(CONTROL!$C$6, $C$6, 100%, $E$6) + CHOOSE(CONTROL!$C$25, 0.0258, 0)</f>
        <v>37.757899999999999</v>
      </c>
      <c r="C627" s="4">
        <f>37.4454 * CHOOSE(CONTROL!$C$6, $C$6, 100%, $E$6) + CHOOSE(CONTROL!$C$25, 0.0258, 0)</f>
        <v>37.445399999999999</v>
      </c>
      <c r="D627" s="4">
        <f>47.8933 * CHOOSE(CONTROL!$C$6, $C$6, 100%, $E$6) + CHOOSE(CONTROL!$C$25, 0, 0)</f>
        <v>47.893300000000004</v>
      </c>
      <c r="E627" s="4">
        <f>277.36239100928 * CHOOSE(CONTROL!$C$6, $C$6, 100%, $E$6) + CHOOSE(CONTROL!$C$25, 0, 0)</f>
        <v>277.36239100927997</v>
      </c>
    </row>
    <row r="628" spans="1:5" ht="15">
      <c r="A628" s="13">
        <v>61209</v>
      </c>
      <c r="B628" s="4">
        <f>37.7465 * CHOOSE(CONTROL!$C$6, $C$6, 100%, $E$6) + CHOOSE(CONTROL!$C$25, 0.0258, 0)</f>
        <v>37.746499999999997</v>
      </c>
      <c r="C628" s="4">
        <f>37.434 * CHOOSE(CONTROL!$C$6, $C$6, 100%, $E$6) + CHOOSE(CONTROL!$C$25, 0.0258, 0)</f>
        <v>37.433999999999997</v>
      </c>
      <c r="D628" s="4">
        <f>48.6613 * CHOOSE(CONTROL!$C$6, $C$6, 100%, $E$6) + CHOOSE(CONTROL!$C$25, 0, 0)</f>
        <v>48.661299999999997</v>
      </c>
      <c r="E628" s="4">
        <f>277.274171419264 * CHOOSE(CONTROL!$C$6, $C$6, 100%, $E$6) + CHOOSE(CONTROL!$C$25, 0, 0)</f>
        <v>277.27417141926401</v>
      </c>
    </row>
    <row r="629" spans="1:5" ht="15">
      <c r="A629" s="13">
        <v>61240</v>
      </c>
      <c r="B629" s="4">
        <f>38.6053 * CHOOSE(CONTROL!$C$6, $C$6, 100%, $E$6) + CHOOSE(CONTROL!$C$25, 0.0258, 0)</f>
        <v>38.6053</v>
      </c>
      <c r="C629" s="4">
        <f>38.2928 * CHOOSE(CONTROL!$C$6, $C$6, 100%, $E$6) + CHOOSE(CONTROL!$C$25, 0.0258, 0)</f>
        <v>38.2928</v>
      </c>
      <c r="D629" s="4">
        <f>48.1541 * CHOOSE(CONTROL!$C$6, $C$6, 100%, $E$6) + CHOOSE(CONTROL!$C$25, 0, 0)</f>
        <v>48.1541</v>
      </c>
      <c r="E629" s="4">
        <f>283.912695567944 * CHOOSE(CONTROL!$C$6, $C$6, 100%, $E$6) + CHOOSE(CONTROL!$C$25, 0, 0)</f>
        <v>283.91269556794401</v>
      </c>
    </row>
    <row r="630" spans="1:5" ht="15">
      <c r="A630" s="13">
        <v>61270</v>
      </c>
      <c r="B630" s="4">
        <f>37.1416 * CHOOSE(CONTROL!$C$6, $C$6, 100%, $E$6) + CHOOSE(CONTROL!$C$25, 0.0258, 0)</f>
        <v>37.141599999999997</v>
      </c>
      <c r="C630" s="4">
        <f>36.8291 * CHOOSE(CONTROL!$C$6, $C$6, 100%, $E$6) + CHOOSE(CONTROL!$C$25, 0.0258, 0)</f>
        <v>36.829099999999997</v>
      </c>
      <c r="D630" s="4">
        <f>47.9145 * CHOOSE(CONTROL!$C$6, $C$6, 100%, $E$6) + CHOOSE(CONTROL!$C$25, 0, 0)</f>
        <v>47.914499999999997</v>
      </c>
      <c r="E630" s="4">
        <f>272.598533148434 * CHOOSE(CONTROL!$C$6, $C$6, 100%, $E$6) + CHOOSE(CONTROL!$C$25, 0, 0)</f>
        <v>272.598533148434</v>
      </c>
    </row>
    <row r="631" spans="1:5" ht="15">
      <c r="A631" s="13">
        <v>61301</v>
      </c>
      <c r="B631" s="4">
        <f>35.9699 * CHOOSE(CONTROL!$C$6, $C$6, 100%, $E$6) + CHOOSE(CONTROL!$C$25, 0.0003, 0)</f>
        <v>35.969900000000003</v>
      </c>
      <c r="C631" s="4">
        <f>35.6574 * CHOOSE(CONTROL!$C$6, $C$6, 100%, $E$6) + CHOOSE(CONTROL!$C$25, 0.0003, 0)</f>
        <v>35.657400000000003</v>
      </c>
      <c r="D631" s="4">
        <f>47.2728 * CHOOSE(CONTROL!$C$6, $C$6, 100%, $E$6) + CHOOSE(CONTROL!$C$25, 0, 0)</f>
        <v>47.272799999999997</v>
      </c>
      <c r="E631" s="4">
        <f>263.541321906824 * CHOOSE(CONTROL!$C$6, $C$6, 100%, $E$6) + CHOOSE(CONTROL!$C$25, 0, 0)</f>
        <v>263.54132190682401</v>
      </c>
    </row>
    <row r="632" spans="1:5" ht="15">
      <c r="A632" s="13">
        <v>61331</v>
      </c>
      <c r="B632" s="4">
        <f>35.2152 * CHOOSE(CONTROL!$C$6, $C$6, 100%, $E$6) + CHOOSE(CONTROL!$C$25, 0.0003, 0)</f>
        <v>35.215200000000003</v>
      </c>
      <c r="C632" s="4">
        <f>34.9027 * CHOOSE(CONTROL!$C$6, $C$6, 100%, $E$6) + CHOOSE(CONTROL!$C$25, 0.0003, 0)</f>
        <v>34.902700000000003</v>
      </c>
      <c r="D632" s="4">
        <f>47.0522 * CHOOSE(CONTROL!$C$6, $C$6, 100%, $E$6) + CHOOSE(CONTROL!$C$25, 0, 0)</f>
        <v>47.052199999999999</v>
      </c>
      <c r="E632" s="4">
        <f>257.707801517038 * CHOOSE(CONTROL!$C$6, $C$6, 100%, $E$6) + CHOOSE(CONTROL!$C$25, 0, 0)</f>
        <v>257.70780151703798</v>
      </c>
    </row>
    <row r="633" spans="1:5" ht="15">
      <c r="A633" s="13">
        <v>61362</v>
      </c>
      <c r="B633" s="4">
        <f>34.693 * CHOOSE(CONTROL!$C$6, $C$6, 100%, $E$6) + CHOOSE(CONTROL!$C$25, 0.0003, 0)</f>
        <v>34.692999999999998</v>
      </c>
      <c r="C633" s="4">
        <f>34.3805 * CHOOSE(CONTROL!$C$6, $C$6, 100%, $E$6) + CHOOSE(CONTROL!$C$25, 0.0003, 0)</f>
        <v>34.380499999999998</v>
      </c>
      <c r="D633" s="4">
        <f>45.4281 * CHOOSE(CONTROL!$C$6, $C$6, 100%, $E$6) + CHOOSE(CONTROL!$C$25, 0, 0)</f>
        <v>45.428100000000001</v>
      </c>
      <c r="E633" s="4">
        <f>253.671755273821 * CHOOSE(CONTROL!$C$6, $C$6, 100%, $E$6) + CHOOSE(CONTROL!$C$25, 0, 0)</f>
        <v>253.67175527382099</v>
      </c>
    </row>
    <row r="634" spans="1:5" ht="15">
      <c r="A634" s="13">
        <v>61393</v>
      </c>
      <c r="B634" s="4">
        <f>33.4614 * CHOOSE(CONTROL!$C$6, $C$6, 100%, $E$6) + CHOOSE(CONTROL!$C$25, 0.0003, 0)</f>
        <v>33.461399999999998</v>
      </c>
      <c r="C634" s="4">
        <f>33.1489 * CHOOSE(CONTROL!$C$6, $C$6, 100%, $E$6) + CHOOSE(CONTROL!$C$25, 0.0003, 0)</f>
        <v>33.148899999999998</v>
      </c>
      <c r="D634" s="4">
        <f>43.844 * CHOOSE(CONTROL!$C$6, $C$6, 100%, $E$6) + CHOOSE(CONTROL!$C$25, 0, 0)</f>
        <v>43.844000000000001</v>
      </c>
      <c r="E634" s="4">
        <f>245.776346409198 * CHOOSE(CONTROL!$C$6, $C$6, 100%, $E$6) + CHOOSE(CONTROL!$C$25, 0, 0)</f>
        <v>245.776346409198</v>
      </c>
    </row>
    <row r="635" spans="1:5" ht="15">
      <c r="A635" s="13">
        <v>61422</v>
      </c>
      <c r="B635" s="4">
        <f>34.2114 * CHOOSE(CONTROL!$C$6, $C$6, 100%, $E$6) + CHOOSE(CONTROL!$C$25, 0.0003, 0)</f>
        <v>34.211399999999998</v>
      </c>
      <c r="C635" s="4">
        <f>33.8989 * CHOOSE(CONTROL!$C$6, $C$6, 100%, $E$6) + CHOOSE(CONTROL!$C$25, 0.0003, 0)</f>
        <v>33.898899999999998</v>
      </c>
      <c r="D635" s="4">
        <f>45.3439 * CHOOSE(CONTROL!$C$6, $C$6, 100%, $E$6) + CHOOSE(CONTROL!$C$25, 0, 0)</f>
        <v>45.343899999999998</v>
      </c>
      <c r="E635" s="4">
        <f>251.612045455277 * CHOOSE(CONTROL!$C$6, $C$6, 100%, $E$6) + CHOOSE(CONTROL!$C$25, 0, 0)</f>
        <v>251.61204545527701</v>
      </c>
    </row>
    <row r="636" spans="1:5" ht="15">
      <c r="A636" s="13">
        <v>61453</v>
      </c>
      <c r="B636" s="4">
        <f>36.1809 * CHOOSE(CONTROL!$C$6, $C$6, 100%, $E$6) + CHOOSE(CONTROL!$C$25, 0.0003, 0)</f>
        <v>36.180900000000001</v>
      </c>
      <c r="C636" s="4">
        <f>35.8684 * CHOOSE(CONTROL!$C$6, $C$6, 100%, $E$6) + CHOOSE(CONTROL!$C$25, 0.0003, 0)</f>
        <v>35.868400000000001</v>
      </c>
      <c r="D636" s="4">
        <f>47.6919 * CHOOSE(CONTROL!$C$6, $C$6, 100%, $E$6) + CHOOSE(CONTROL!$C$25, 0, 0)</f>
        <v>47.691899999999997</v>
      </c>
      <c r="E636" s="4">
        <f>266.93690127816 * CHOOSE(CONTROL!$C$6, $C$6, 100%, $E$6) + CHOOSE(CONTROL!$C$25, 0, 0)</f>
        <v>266.93690127816001</v>
      </c>
    </row>
    <row r="637" spans="1:5" ht="15">
      <c r="A637" s="13">
        <v>61483</v>
      </c>
      <c r="B637" s="4">
        <f>37.5803 * CHOOSE(CONTROL!$C$6, $C$6, 100%, $E$6) + CHOOSE(CONTROL!$C$25, 0.0003, 0)</f>
        <v>37.580300000000001</v>
      </c>
      <c r="C637" s="4">
        <f>37.2678 * CHOOSE(CONTROL!$C$6, $C$6, 100%, $E$6) + CHOOSE(CONTROL!$C$25, 0.0003, 0)</f>
        <v>37.267800000000001</v>
      </c>
      <c r="D637" s="4">
        <f>49.0444 * CHOOSE(CONTROL!$C$6, $C$6, 100%, $E$6) + CHOOSE(CONTROL!$C$25, 0, 0)</f>
        <v>49.044400000000003</v>
      </c>
      <c r="E637" s="4">
        <f>277.825415570875 * CHOOSE(CONTROL!$C$6, $C$6, 100%, $E$6) + CHOOSE(CONTROL!$C$25, 0, 0)</f>
        <v>277.82541557087501</v>
      </c>
    </row>
    <row r="638" spans="1:5" ht="15">
      <c r="A638" s="13">
        <v>61514</v>
      </c>
      <c r="B638" s="4">
        <f>38.4352 * CHOOSE(CONTROL!$C$6, $C$6, 100%, $E$6) + CHOOSE(CONTROL!$C$25, 0.0258, 0)</f>
        <v>38.435200000000002</v>
      </c>
      <c r="C638" s="4">
        <f>38.1227 * CHOOSE(CONTROL!$C$6, $C$6, 100%, $E$6) + CHOOSE(CONTROL!$C$25, 0.0258, 0)</f>
        <v>38.122700000000002</v>
      </c>
      <c r="D638" s="4">
        <f>48.51 * CHOOSE(CONTROL!$C$6, $C$6, 100%, $E$6) + CHOOSE(CONTROL!$C$25, 0, 0)</f>
        <v>48.51</v>
      </c>
      <c r="E638" s="4">
        <f>284.478036842457 * CHOOSE(CONTROL!$C$6, $C$6, 100%, $E$6) + CHOOSE(CONTROL!$C$25, 0, 0)</f>
        <v>284.47803684245702</v>
      </c>
    </row>
    <row r="639" spans="1:5" ht="15">
      <c r="A639" s="13">
        <v>61544</v>
      </c>
      <c r="B639" s="4">
        <f>38.5509 * CHOOSE(CONTROL!$C$6, $C$6, 100%, $E$6) + CHOOSE(CONTROL!$C$25, 0.0258, 0)</f>
        <v>38.550899999999999</v>
      </c>
      <c r="C639" s="4">
        <f>38.2384 * CHOOSE(CONTROL!$C$6, $C$6, 100%, $E$6) + CHOOSE(CONTROL!$C$25, 0.0258, 0)</f>
        <v>38.238399999999999</v>
      </c>
      <c r="D639" s="4">
        <f>48.9452 * CHOOSE(CONTROL!$C$6, $C$6, 100%, $E$6) + CHOOSE(CONTROL!$C$25, 0, 0)</f>
        <v>48.9452</v>
      </c>
      <c r="E639" s="4">
        <f>285.378164109448 * CHOOSE(CONTROL!$C$6, $C$6, 100%, $E$6) + CHOOSE(CONTROL!$C$25, 0, 0)</f>
        <v>285.37816410944799</v>
      </c>
    </row>
    <row r="640" spans="1:5" ht="15">
      <c r="A640" s="13">
        <v>61575</v>
      </c>
      <c r="B640" s="4">
        <f>38.5393 * CHOOSE(CONTROL!$C$6, $C$6, 100%, $E$6) + CHOOSE(CONTROL!$C$25, 0.0258, 0)</f>
        <v>38.539299999999997</v>
      </c>
      <c r="C640" s="4">
        <f>38.2268 * CHOOSE(CONTROL!$C$6, $C$6, 100%, $E$6) + CHOOSE(CONTROL!$C$25, 0.0258, 0)</f>
        <v>38.226799999999997</v>
      </c>
      <c r="D640" s="4">
        <f>49.7306 * CHOOSE(CONTROL!$C$6, $C$6, 100%, $E$6) + CHOOSE(CONTROL!$C$25, 0, 0)</f>
        <v>49.730600000000003</v>
      </c>
      <c r="E640" s="4">
        <f>285.287394973281 * CHOOSE(CONTROL!$C$6, $C$6, 100%, $E$6) + CHOOSE(CONTROL!$C$25, 0, 0)</f>
        <v>285.28739497328098</v>
      </c>
    </row>
    <row r="641" spans="1:5" ht="15">
      <c r="A641" s="13">
        <v>61606</v>
      </c>
      <c r="B641" s="4">
        <f>39.4171 * CHOOSE(CONTROL!$C$6, $C$6, 100%, $E$6) + CHOOSE(CONTROL!$C$25, 0.0258, 0)</f>
        <v>39.417099999999998</v>
      </c>
      <c r="C641" s="4">
        <f>39.1046 * CHOOSE(CONTROL!$C$6, $C$6, 100%, $E$6) + CHOOSE(CONTROL!$C$25, 0.0258, 0)</f>
        <v>39.104599999999998</v>
      </c>
      <c r="D641" s="4">
        <f>49.2119 * CHOOSE(CONTROL!$C$6, $C$6, 100%, $E$6) + CHOOSE(CONTROL!$C$25, 0, 0)</f>
        <v>49.2119</v>
      </c>
      <c r="E641" s="4">
        <f>292.117772469857 * CHOOSE(CONTROL!$C$6, $C$6, 100%, $E$6) + CHOOSE(CONTROL!$C$25, 0, 0)</f>
        <v>292.11777246985702</v>
      </c>
    </row>
    <row r="642" spans="1:5" ht="15">
      <c r="A642" s="13">
        <v>61636</v>
      </c>
      <c r="B642" s="4">
        <f>37.921 * CHOOSE(CONTROL!$C$6, $C$6, 100%, $E$6) + CHOOSE(CONTROL!$C$25, 0.0258, 0)</f>
        <v>37.920999999999999</v>
      </c>
      <c r="C642" s="4">
        <f>37.6085 * CHOOSE(CONTROL!$C$6, $C$6, 100%, $E$6) + CHOOSE(CONTROL!$C$25, 0.0258, 0)</f>
        <v>37.608499999999999</v>
      </c>
      <c r="D642" s="4">
        <f>48.9669 * CHOOSE(CONTROL!$C$6, $C$6, 100%, $E$6) + CHOOSE(CONTROL!$C$25, 0, 0)</f>
        <v>48.966900000000003</v>
      </c>
      <c r="E642" s="4">
        <f>280.476630756423 * CHOOSE(CONTROL!$C$6, $C$6, 100%, $E$6) + CHOOSE(CONTROL!$C$25, 0, 0)</f>
        <v>280.47663075642299</v>
      </c>
    </row>
    <row r="643" spans="1:5" ht="15">
      <c r="A643" s="13">
        <v>61667</v>
      </c>
      <c r="B643" s="4">
        <f>36.7233 * CHOOSE(CONTROL!$C$6, $C$6, 100%, $E$6) + CHOOSE(CONTROL!$C$25, 0.0003, 0)</f>
        <v>36.723300000000002</v>
      </c>
      <c r="C643" s="4">
        <f>36.4108 * CHOOSE(CONTROL!$C$6, $C$6, 100%, $E$6) + CHOOSE(CONTROL!$C$25, 0.0003, 0)</f>
        <v>36.410800000000002</v>
      </c>
      <c r="D643" s="4">
        <f>48.3107 * CHOOSE(CONTROL!$C$6, $C$6, 100%, $E$6) + CHOOSE(CONTROL!$C$25, 0, 0)</f>
        <v>48.310699999999997</v>
      </c>
      <c r="E643" s="4">
        <f>271.157666109931 * CHOOSE(CONTROL!$C$6, $C$6, 100%, $E$6) + CHOOSE(CONTROL!$C$25, 0, 0)</f>
        <v>271.15766610993097</v>
      </c>
    </row>
    <row r="644" spans="1:5" ht="15">
      <c r="A644" s="13">
        <v>61697</v>
      </c>
      <c r="B644" s="4">
        <f>35.952 * CHOOSE(CONTROL!$C$6, $C$6, 100%, $E$6) + CHOOSE(CONTROL!$C$25, 0.0003, 0)</f>
        <v>35.951999999999998</v>
      </c>
      <c r="C644" s="4">
        <f>35.6395 * CHOOSE(CONTROL!$C$6, $C$6, 100%, $E$6) + CHOOSE(CONTROL!$C$25, 0.0003, 0)</f>
        <v>35.639499999999998</v>
      </c>
      <c r="D644" s="4">
        <f>48.0852 * CHOOSE(CONTROL!$C$6, $C$6, 100%, $E$6) + CHOOSE(CONTROL!$C$25, 0, 0)</f>
        <v>48.0852</v>
      </c>
      <c r="E644" s="4">
        <f>265.15555698088 * CHOOSE(CONTROL!$C$6, $C$6, 100%, $E$6) + CHOOSE(CONTROL!$C$25, 0, 0)</f>
        <v>265.15555698088002</v>
      </c>
    </row>
    <row r="645" spans="1:5" ht="15">
      <c r="A645" s="13">
        <v>61728</v>
      </c>
      <c r="B645" s="4">
        <f>35.4183 * CHOOSE(CONTROL!$C$6, $C$6, 100%, $E$6) + CHOOSE(CONTROL!$C$25, 0.0003, 0)</f>
        <v>35.418300000000002</v>
      </c>
      <c r="C645" s="4">
        <f>35.1058 * CHOOSE(CONTROL!$C$6, $C$6, 100%, $E$6) + CHOOSE(CONTROL!$C$25, 0.0003, 0)</f>
        <v>35.105800000000002</v>
      </c>
      <c r="D645" s="4">
        <f>46.4244 * CHOOSE(CONTROL!$C$6, $C$6, 100%, $E$6) + CHOOSE(CONTROL!$C$25, 0, 0)</f>
        <v>46.424399999999999</v>
      </c>
      <c r="E645" s="4">
        <f>261.002869001234 * CHOOSE(CONTROL!$C$6, $C$6, 100%, $E$6) + CHOOSE(CONTROL!$C$25, 0, 0)</f>
        <v>261.00286900123399</v>
      </c>
    </row>
    <row r="646" spans="1:5" ht="15">
      <c r="A646" s="13">
        <v>61759</v>
      </c>
      <c r="B646" s="4">
        <f>34.1595 * CHOOSE(CONTROL!$C$6, $C$6, 100%, $E$6) + CHOOSE(CONTROL!$C$25, 0.0003, 0)</f>
        <v>34.159500000000001</v>
      </c>
      <c r="C646" s="4">
        <f>33.847 * CHOOSE(CONTROL!$C$6, $C$6, 100%, $E$6) + CHOOSE(CONTROL!$C$25, 0.0003, 0)</f>
        <v>33.847000000000001</v>
      </c>
      <c r="D646" s="4">
        <f>44.8045 * CHOOSE(CONTROL!$C$6, $C$6, 100%, $E$6) + CHOOSE(CONTROL!$C$25, 0, 0)</f>
        <v>44.804499999999997</v>
      </c>
      <c r="E646" s="4">
        <f>252.879282820424 * CHOOSE(CONTROL!$C$6, $C$6, 100%, $E$6) + CHOOSE(CONTROL!$C$25, 0, 0)</f>
        <v>252.87928282042401</v>
      </c>
    </row>
    <row r="647" spans="1:5" ht="15">
      <c r="A647" s="13">
        <v>61787</v>
      </c>
      <c r="B647" s="4">
        <f>34.926 * CHOOSE(CONTROL!$C$6, $C$6, 100%, $E$6) + CHOOSE(CONTROL!$C$25, 0.0003, 0)</f>
        <v>34.926000000000002</v>
      </c>
      <c r="C647" s="4">
        <f>34.6135 * CHOOSE(CONTROL!$C$6, $C$6, 100%, $E$6) + CHOOSE(CONTROL!$C$25, 0.0003, 0)</f>
        <v>34.613500000000002</v>
      </c>
      <c r="D647" s="4">
        <f>46.3383 * CHOOSE(CONTROL!$C$6, $C$6, 100%, $E$6) + CHOOSE(CONTROL!$C$25, 0, 0)</f>
        <v>46.338299999999997</v>
      </c>
      <c r="E647" s="4">
        <f>258.883633568934 * CHOOSE(CONTROL!$C$6, $C$6, 100%, $E$6) + CHOOSE(CONTROL!$C$25, 0, 0)</f>
        <v>258.88363356893399</v>
      </c>
    </row>
    <row r="648" spans="1:5" ht="15">
      <c r="A648" s="13">
        <v>61818</v>
      </c>
      <c r="B648" s="4">
        <f>36.9391 * CHOOSE(CONTROL!$C$6, $C$6, 100%, $E$6) + CHOOSE(CONTROL!$C$25, 0.0003, 0)</f>
        <v>36.939100000000003</v>
      </c>
      <c r="C648" s="4">
        <f>36.6266 * CHOOSE(CONTROL!$C$6, $C$6, 100%, $E$6) + CHOOSE(CONTROL!$C$25, 0.0003, 0)</f>
        <v>36.626600000000003</v>
      </c>
      <c r="D648" s="4">
        <f>48.7393 * CHOOSE(CONTROL!$C$6, $C$6, 100%, $E$6) + CHOOSE(CONTROL!$C$25, 0, 0)</f>
        <v>48.7393</v>
      </c>
      <c r="E648" s="4">
        <f>274.651377725099 * CHOOSE(CONTROL!$C$6, $C$6, 100%, $E$6) + CHOOSE(CONTROL!$C$25, 0, 0)</f>
        <v>274.651377725099</v>
      </c>
    </row>
    <row r="649" spans="1:5" ht="15">
      <c r="A649" s="13">
        <v>61848</v>
      </c>
      <c r="B649" s="4">
        <f>38.3694 * CHOOSE(CONTROL!$C$6, $C$6, 100%, $E$6) + CHOOSE(CONTROL!$C$25, 0.0003, 0)</f>
        <v>38.369399999999999</v>
      </c>
      <c r="C649" s="4">
        <f>38.0569 * CHOOSE(CONTROL!$C$6, $C$6, 100%, $E$6) + CHOOSE(CONTROL!$C$25, 0.0003, 0)</f>
        <v>38.056899999999999</v>
      </c>
      <c r="D649" s="4">
        <f>50.1224 * CHOOSE(CONTROL!$C$6, $C$6, 100%, $E$6) + CHOOSE(CONTROL!$C$25, 0, 0)</f>
        <v>50.122399999999999</v>
      </c>
      <c r="E649" s="4">
        <f>285.854570080873 * CHOOSE(CONTROL!$C$6, $C$6, 100%, $E$6) + CHOOSE(CONTROL!$C$25, 0, 0)</f>
        <v>285.85457008087297</v>
      </c>
    </row>
    <row r="650" spans="1:5" ht="15">
      <c r="A650" s="13">
        <v>61879</v>
      </c>
      <c r="B650" s="4">
        <f>39.2432 * CHOOSE(CONTROL!$C$6, $C$6, 100%, $E$6) + CHOOSE(CONTROL!$C$25, 0.0258, 0)</f>
        <v>39.243200000000002</v>
      </c>
      <c r="C650" s="4">
        <f>38.9307 * CHOOSE(CONTROL!$C$6, $C$6, 100%, $E$6) + CHOOSE(CONTROL!$C$25, 0.0258, 0)</f>
        <v>38.930700000000002</v>
      </c>
      <c r="D650" s="4">
        <f>49.5759 * CHOOSE(CONTROL!$C$6, $C$6, 100%, $E$6) + CHOOSE(CONTROL!$C$25, 0, 0)</f>
        <v>49.575899999999997</v>
      </c>
      <c r="E650" s="4">
        <f>292.699452107204 * CHOOSE(CONTROL!$C$6, $C$6, 100%, $E$6) + CHOOSE(CONTROL!$C$25, 0, 0)</f>
        <v>292.69945210720402</v>
      </c>
    </row>
    <row r="651" spans="1:5" ht="15">
      <c r="A651" s="13">
        <v>61909</v>
      </c>
      <c r="B651" s="4">
        <f>39.3615 * CHOOSE(CONTROL!$C$6, $C$6, 100%, $E$6) + CHOOSE(CONTROL!$C$25, 0.0258, 0)</f>
        <v>39.361499999999999</v>
      </c>
      <c r="C651" s="4">
        <f>39.049 * CHOOSE(CONTROL!$C$6, $C$6, 100%, $E$6) + CHOOSE(CONTROL!$C$25, 0.0258, 0)</f>
        <v>39.048999999999999</v>
      </c>
      <c r="D651" s="4">
        <f>50.021 * CHOOSE(CONTROL!$C$6, $C$6, 100%, $E$6) + CHOOSE(CONTROL!$C$25, 0, 0)</f>
        <v>50.021000000000001</v>
      </c>
      <c r="E651" s="4">
        <f>293.625593052211 * CHOOSE(CONTROL!$C$6, $C$6, 100%, $E$6) + CHOOSE(CONTROL!$C$25, 0, 0)</f>
        <v>293.625593052211</v>
      </c>
    </row>
    <row r="652" spans="1:5" ht="15">
      <c r="A652" s="13">
        <v>61940</v>
      </c>
      <c r="B652" s="4">
        <f>39.3495 * CHOOSE(CONTROL!$C$6, $C$6, 100%, $E$6) + CHOOSE(CONTROL!$C$25, 0.0258, 0)</f>
        <v>39.349499999999999</v>
      </c>
      <c r="C652" s="4">
        <f>39.037 * CHOOSE(CONTROL!$C$6, $C$6, 100%, $E$6) + CHOOSE(CONTROL!$C$25, 0.0258, 0)</f>
        <v>39.036999999999999</v>
      </c>
      <c r="D652" s="4">
        <f>50.8241 * CHOOSE(CONTROL!$C$6, $C$6, 100%, $E$6) + CHOOSE(CONTROL!$C$25, 0, 0)</f>
        <v>50.824100000000001</v>
      </c>
      <c r="E652" s="4">
        <f>293.532200688009 * CHOOSE(CONTROL!$C$6, $C$6, 100%, $E$6) + CHOOSE(CONTROL!$C$25, 0, 0)</f>
        <v>293.53220068800903</v>
      </c>
    </row>
    <row r="653" spans="1:5" ht="15">
      <c r="A653" s="13">
        <v>61971</v>
      </c>
      <c r="B653" s="4">
        <f>40.2468 * CHOOSE(CONTROL!$C$6, $C$6, 100%, $E$6) + CHOOSE(CONTROL!$C$25, 0.0258, 0)</f>
        <v>40.2468</v>
      </c>
      <c r="C653" s="4">
        <f>39.9343 * CHOOSE(CONTROL!$C$6, $C$6, 100%, $E$6) + CHOOSE(CONTROL!$C$25, 0.0258, 0)</f>
        <v>39.9343</v>
      </c>
      <c r="D653" s="4">
        <f>50.2937 * CHOOSE(CONTROL!$C$6, $C$6, 100%, $E$6) + CHOOSE(CONTROL!$C$25, 0, 0)</f>
        <v>50.293700000000001</v>
      </c>
      <c r="E653" s="4">
        <f>300.559976094236 * CHOOSE(CONTROL!$C$6, $C$6, 100%, $E$6) + CHOOSE(CONTROL!$C$25, 0, 0)</f>
        <v>300.55997609423599</v>
      </c>
    </row>
    <row r="654" spans="1:5" ht="15">
      <c r="A654" s="13">
        <v>62001</v>
      </c>
      <c r="B654" s="4">
        <f>38.7176 * CHOOSE(CONTROL!$C$6, $C$6, 100%, $E$6) + CHOOSE(CONTROL!$C$25, 0.0258, 0)</f>
        <v>38.717599999999997</v>
      </c>
      <c r="C654" s="4">
        <f>38.4051 * CHOOSE(CONTROL!$C$6, $C$6, 100%, $E$6) + CHOOSE(CONTROL!$C$25, 0.0258, 0)</f>
        <v>38.405099999999997</v>
      </c>
      <c r="D654" s="4">
        <f>50.0431 * CHOOSE(CONTROL!$C$6, $C$6, 100%, $E$6) + CHOOSE(CONTROL!$C$25, 0, 0)</f>
        <v>50.043100000000003</v>
      </c>
      <c r="E654" s="4">
        <f>288.582405385284 * CHOOSE(CONTROL!$C$6, $C$6, 100%, $E$6) + CHOOSE(CONTROL!$C$25, 0, 0)</f>
        <v>288.58240538528401</v>
      </c>
    </row>
    <row r="655" spans="1:5" ht="15">
      <c r="A655" s="13">
        <v>62032</v>
      </c>
      <c r="B655" s="4">
        <f>37.4935 * CHOOSE(CONTROL!$C$6, $C$6, 100%, $E$6) + CHOOSE(CONTROL!$C$25, 0.0003, 0)</f>
        <v>37.493499999999997</v>
      </c>
      <c r="C655" s="4">
        <f>37.181 * CHOOSE(CONTROL!$C$6, $C$6, 100%, $E$6) + CHOOSE(CONTROL!$C$25, 0.0003, 0)</f>
        <v>37.180999999999997</v>
      </c>
      <c r="D655" s="4">
        <f>49.3721 * CHOOSE(CONTROL!$C$6, $C$6, 100%, $E$6) + CHOOSE(CONTROL!$C$25, 0, 0)</f>
        <v>49.372100000000003</v>
      </c>
      <c r="E655" s="4">
        <f>278.994122660508 * CHOOSE(CONTROL!$C$6, $C$6, 100%, $E$6) + CHOOSE(CONTROL!$C$25, 0, 0)</f>
        <v>278.99412266050803</v>
      </c>
    </row>
    <row r="656" spans="1:5" ht="15">
      <c r="A656" s="13">
        <v>62062</v>
      </c>
      <c r="B656" s="4">
        <f>36.7051 * CHOOSE(CONTROL!$C$6, $C$6, 100%, $E$6) + CHOOSE(CONTROL!$C$25, 0.0003, 0)</f>
        <v>36.705100000000002</v>
      </c>
      <c r="C656" s="4">
        <f>36.3926 * CHOOSE(CONTROL!$C$6, $C$6, 100%, $E$6) + CHOOSE(CONTROL!$C$25, 0.0003, 0)</f>
        <v>36.392600000000002</v>
      </c>
      <c r="D656" s="4">
        <f>49.1414 * CHOOSE(CONTROL!$C$6, $C$6, 100%, $E$6) + CHOOSE(CONTROL!$C$25, 0, 0)</f>
        <v>49.141399999999997</v>
      </c>
      <c r="E656" s="4">
        <f>272.818552577628 * CHOOSE(CONTROL!$C$6, $C$6, 100%, $E$6) + CHOOSE(CONTROL!$C$25, 0, 0)</f>
        <v>272.818552577628</v>
      </c>
    </row>
    <row r="657" spans="1:5" ht="15">
      <c r="A657" s="13">
        <v>62093</v>
      </c>
      <c r="B657" s="4">
        <f>36.1596 * CHOOSE(CONTROL!$C$6, $C$6, 100%, $E$6) + CHOOSE(CONTROL!$C$25, 0.0003, 0)</f>
        <v>36.159599999999998</v>
      </c>
      <c r="C657" s="4">
        <f>35.8471 * CHOOSE(CONTROL!$C$6, $C$6, 100%, $E$6) + CHOOSE(CONTROL!$C$25, 0.0003, 0)</f>
        <v>35.847099999999998</v>
      </c>
      <c r="D657" s="4">
        <f>47.4431 * CHOOSE(CONTROL!$C$6, $C$6, 100%, $E$6) + CHOOSE(CONTROL!$C$25, 0, 0)</f>
        <v>47.443100000000001</v>
      </c>
      <c r="E657" s="4">
        <f>268.54585191537 * CHOOSE(CONTROL!$C$6, $C$6, 100%, $E$6) + CHOOSE(CONTROL!$C$25, 0, 0)</f>
        <v>268.54585191537001</v>
      </c>
    </row>
    <row r="658" spans="1:5" ht="15">
      <c r="A658" s="13">
        <v>62124</v>
      </c>
      <c r="B658" s="4">
        <f>34.873 * CHOOSE(CONTROL!$C$6, $C$6, 100%, $E$6) + CHOOSE(CONTROL!$C$25, 0.0003, 0)</f>
        <v>34.872999999999998</v>
      </c>
      <c r="C658" s="4">
        <f>34.5605 * CHOOSE(CONTROL!$C$6, $C$6, 100%, $E$6) + CHOOSE(CONTROL!$C$25, 0.0003, 0)</f>
        <v>34.560499999999998</v>
      </c>
      <c r="D658" s="4">
        <f>45.7866 * CHOOSE(CONTROL!$C$6, $C$6, 100%, $E$6) + CHOOSE(CONTROL!$C$25, 0, 0)</f>
        <v>45.7866</v>
      </c>
      <c r="E658" s="4">
        <f>260.187494093935 * CHOOSE(CONTROL!$C$6, $C$6, 100%, $E$6) + CHOOSE(CONTROL!$C$25, 0, 0)</f>
        <v>260.18749409393502</v>
      </c>
    </row>
    <row r="659" spans="1:5" ht="15">
      <c r="A659" s="13">
        <v>62152</v>
      </c>
      <c r="B659" s="4">
        <f>35.6565 * CHOOSE(CONTROL!$C$6, $C$6, 100%, $E$6) + CHOOSE(CONTROL!$C$25, 0.0003, 0)</f>
        <v>35.656500000000001</v>
      </c>
      <c r="C659" s="4">
        <f>35.344 * CHOOSE(CONTROL!$C$6, $C$6, 100%, $E$6) + CHOOSE(CONTROL!$C$25, 0.0003, 0)</f>
        <v>35.344000000000001</v>
      </c>
      <c r="D659" s="4">
        <f>47.3551 * CHOOSE(CONTROL!$C$6, $C$6, 100%, $E$6) + CHOOSE(CONTROL!$C$25, 0, 0)</f>
        <v>47.3551</v>
      </c>
      <c r="E659" s="4">
        <f>266.365370579076 * CHOOSE(CONTROL!$C$6, $C$6, 100%, $E$6) + CHOOSE(CONTROL!$C$25, 0, 0)</f>
        <v>266.365370579076</v>
      </c>
    </row>
    <row r="660" spans="1:5" ht="15">
      <c r="A660" s="13">
        <v>62183</v>
      </c>
      <c r="B660" s="4">
        <f>37.714 * CHOOSE(CONTROL!$C$6, $C$6, 100%, $E$6) + CHOOSE(CONTROL!$C$25, 0.0003, 0)</f>
        <v>37.713999999999999</v>
      </c>
      <c r="C660" s="4">
        <f>37.4015 * CHOOSE(CONTROL!$C$6, $C$6, 100%, $E$6) + CHOOSE(CONTROL!$C$25, 0.0003, 0)</f>
        <v>37.401499999999999</v>
      </c>
      <c r="D660" s="4">
        <f>49.8104 * CHOOSE(CONTROL!$C$6, $C$6, 100%, $E$6) + CHOOSE(CONTROL!$C$25, 0, 0)</f>
        <v>49.810400000000001</v>
      </c>
      <c r="E660" s="4">
        <f>282.588802541354 * CHOOSE(CONTROL!$C$6, $C$6, 100%, $E$6) + CHOOSE(CONTROL!$C$25, 0, 0)</f>
        <v>282.58880254135403</v>
      </c>
    </row>
    <row r="661" spans="1:5" ht="15">
      <c r="A661" s="13">
        <v>62213</v>
      </c>
      <c r="B661" s="4">
        <f>39.1759 * CHOOSE(CONTROL!$C$6, $C$6, 100%, $E$6) + CHOOSE(CONTROL!$C$25, 0.0003, 0)</f>
        <v>39.175899999999999</v>
      </c>
      <c r="C661" s="4">
        <f>38.8634 * CHOOSE(CONTROL!$C$6, $C$6, 100%, $E$6) + CHOOSE(CONTROL!$C$25, 0.0003, 0)</f>
        <v>38.863399999999999</v>
      </c>
      <c r="D661" s="4">
        <f>51.2247 * CHOOSE(CONTROL!$C$6, $C$6, 100%, $E$6) + CHOOSE(CONTROL!$C$25, 0, 0)</f>
        <v>51.224699999999999</v>
      </c>
      <c r="E661" s="4">
        <f>294.115767156211 * CHOOSE(CONTROL!$C$6, $C$6, 100%, $E$6) + CHOOSE(CONTROL!$C$25, 0, 0)</f>
        <v>294.11576715621101</v>
      </c>
    </row>
    <row r="662" spans="1:5" ht="15">
      <c r="A662" s="13">
        <v>62244</v>
      </c>
      <c r="B662" s="4">
        <f>40.0691 * CHOOSE(CONTROL!$C$6, $C$6, 100%, $E$6) + CHOOSE(CONTROL!$C$25, 0.0258, 0)</f>
        <v>40.069099999999999</v>
      </c>
      <c r="C662" s="4">
        <f>39.7566 * CHOOSE(CONTROL!$C$6, $C$6, 100%, $E$6) + CHOOSE(CONTROL!$C$25, 0.0258, 0)</f>
        <v>39.756599999999999</v>
      </c>
      <c r="D662" s="4">
        <f>50.6658 * CHOOSE(CONTROL!$C$6, $C$6, 100%, $E$6) + CHOOSE(CONTROL!$C$25, 0, 0)</f>
        <v>50.665799999999997</v>
      </c>
      <c r="E662" s="4">
        <f>301.158466273103 * CHOOSE(CONTROL!$C$6, $C$6, 100%, $E$6) + CHOOSE(CONTROL!$C$25, 0, 0)</f>
        <v>301.15846627310299</v>
      </c>
    </row>
    <row r="663" spans="1:5" ht="15">
      <c r="A663" s="13">
        <v>62274</v>
      </c>
      <c r="B663" s="4">
        <f>40.1899 * CHOOSE(CONTROL!$C$6, $C$6, 100%, $E$6) + CHOOSE(CONTROL!$C$25, 0.0258, 0)</f>
        <v>40.189900000000002</v>
      </c>
      <c r="C663" s="4">
        <f>39.8774 * CHOOSE(CONTROL!$C$6, $C$6, 100%, $E$6) + CHOOSE(CONTROL!$C$25, 0.0258, 0)</f>
        <v>39.877400000000002</v>
      </c>
      <c r="D663" s="4">
        <f>51.121 * CHOOSE(CONTROL!$C$6, $C$6, 100%, $E$6) + CHOOSE(CONTROL!$C$25, 0, 0)</f>
        <v>51.121000000000002</v>
      </c>
      <c r="E663" s="4">
        <f>302.11137269142 * CHOOSE(CONTROL!$C$6, $C$6, 100%, $E$6) + CHOOSE(CONTROL!$C$25, 0, 0)</f>
        <v>302.11137269142</v>
      </c>
    </row>
    <row r="664" spans="1:5" ht="15">
      <c r="A664" s="13">
        <v>62305</v>
      </c>
      <c r="B664" s="4">
        <f>40.1777 * CHOOSE(CONTROL!$C$6, $C$6, 100%, $E$6) + CHOOSE(CONTROL!$C$25, 0.0258, 0)</f>
        <v>40.177700000000002</v>
      </c>
      <c r="C664" s="4">
        <f>39.8652 * CHOOSE(CONTROL!$C$6, $C$6, 100%, $E$6) + CHOOSE(CONTROL!$C$25, 0.0258, 0)</f>
        <v>39.865200000000002</v>
      </c>
      <c r="D664" s="4">
        <f>51.9423 * CHOOSE(CONTROL!$C$6, $C$6, 100%, $E$6) + CHOOSE(CONTROL!$C$25, 0, 0)</f>
        <v>51.942300000000003</v>
      </c>
      <c r="E664" s="4">
        <f>302.015281287892 * CHOOSE(CONTROL!$C$6, $C$6, 100%, $E$6) + CHOOSE(CONTROL!$C$25, 0, 0)</f>
        <v>302.01528128789198</v>
      </c>
    </row>
    <row r="665" spans="1:5" ht="15">
      <c r="A665" s="13">
        <v>62336</v>
      </c>
      <c r="B665" s="4">
        <f>41.0948 * CHOOSE(CONTROL!$C$6, $C$6, 100%, $E$6) + CHOOSE(CONTROL!$C$25, 0.0258, 0)</f>
        <v>41.094799999999999</v>
      </c>
      <c r="C665" s="4">
        <f>40.7823 * CHOOSE(CONTROL!$C$6, $C$6, 100%, $E$6) + CHOOSE(CONTROL!$C$25, 0.0258, 0)</f>
        <v>40.782299999999999</v>
      </c>
      <c r="D665" s="4">
        <f>51.3999 * CHOOSE(CONTROL!$C$6, $C$6, 100%, $E$6) + CHOOSE(CONTROL!$C$25, 0, 0)</f>
        <v>51.399900000000002</v>
      </c>
      <c r="E665" s="4">
        <f>309.246159403359 * CHOOSE(CONTROL!$C$6, $C$6, 100%, $E$6) + CHOOSE(CONTROL!$C$25, 0, 0)</f>
        <v>309.246159403359</v>
      </c>
    </row>
    <row r="666" spans="1:5" ht="15">
      <c r="A666" s="13">
        <v>62366</v>
      </c>
      <c r="B666" s="4">
        <f>39.5318 * CHOOSE(CONTROL!$C$6, $C$6, 100%, $E$6) + CHOOSE(CONTROL!$C$25, 0.0258, 0)</f>
        <v>39.531799999999997</v>
      </c>
      <c r="C666" s="4">
        <f>39.2193 * CHOOSE(CONTROL!$C$6, $C$6, 100%, $E$6) + CHOOSE(CONTROL!$C$25, 0.0258, 0)</f>
        <v>39.219299999999997</v>
      </c>
      <c r="D666" s="4">
        <f>51.1436 * CHOOSE(CONTROL!$C$6, $C$6, 100%, $E$6) + CHOOSE(CONTROL!$C$25, 0, 0)</f>
        <v>51.143599999999999</v>
      </c>
      <c r="E666" s="4">
        <f>296.922436900919 * CHOOSE(CONTROL!$C$6, $C$6, 100%, $E$6) + CHOOSE(CONTROL!$C$25, 0, 0)</f>
        <v>296.92243690091902</v>
      </c>
    </row>
    <row r="667" spans="1:5" ht="15">
      <c r="A667" s="13">
        <v>62397</v>
      </c>
      <c r="B667" s="4">
        <f>38.2807 * CHOOSE(CONTROL!$C$6, $C$6, 100%, $E$6) + CHOOSE(CONTROL!$C$25, 0.0003, 0)</f>
        <v>38.280700000000003</v>
      </c>
      <c r="C667" s="4">
        <f>37.9682 * CHOOSE(CONTROL!$C$6, $C$6, 100%, $E$6) + CHOOSE(CONTROL!$C$25, 0.0003, 0)</f>
        <v>37.968200000000003</v>
      </c>
      <c r="D667" s="4">
        <f>50.4575 * CHOOSE(CONTROL!$C$6, $C$6, 100%, $E$6) + CHOOSE(CONTROL!$C$25, 0, 0)</f>
        <v>50.457500000000003</v>
      </c>
      <c r="E667" s="4">
        <f>287.057052805397 * CHOOSE(CONTROL!$C$6, $C$6, 100%, $E$6) + CHOOSE(CONTROL!$C$25, 0, 0)</f>
        <v>287.05705280539701</v>
      </c>
    </row>
    <row r="668" spans="1:5" ht="15">
      <c r="A668" s="13">
        <v>62427</v>
      </c>
      <c r="B668" s="4">
        <f>37.4748 * CHOOSE(CONTROL!$C$6, $C$6, 100%, $E$6) + CHOOSE(CONTROL!$C$25, 0.0003, 0)</f>
        <v>37.474800000000002</v>
      </c>
      <c r="C668" s="4">
        <f>37.1623 * CHOOSE(CONTROL!$C$6, $C$6, 100%, $E$6) + CHOOSE(CONTROL!$C$25, 0.0003, 0)</f>
        <v>37.162300000000002</v>
      </c>
      <c r="D668" s="4">
        <f>50.2216 * CHOOSE(CONTROL!$C$6, $C$6, 100%, $E$6) + CHOOSE(CONTROL!$C$25, 0, 0)</f>
        <v>50.221600000000002</v>
      </c>
      <c r="E668" s="4">
        <f>280.703008747121 * CHOOSE(CONTROL!$C$6, $C$6, 100%, $E$6) + CHOOSE(CONTROL!$C$25, 0, 0)</f>
        <v>280.70300874712098</v>
      </c>
    </row>
    <row r="669" spans="1:5" ht="15">
      <c r="A669" s="13">
        <v>62458</v>
      </c>
      <c r="B669" s="4">
        <f>36.9173 * CHOOSE(CONTROL!$C$6, $C$6, 100%, $E$6) + CHOOSE(CONTROL!$C$25, 0.0003, 0)</f>
        <v>36.917299999999997</v>
      </c>
      <c r="C669" s="4">
        <f>36.6048 * CHOOSE(CONTROL!$C$6, $C$6, 100%, $E$6) + CHOOSE(CONTROL!$C$25, 0.0003, 0)</f>
        <v>36.604799999999997</v>
      </c>
      <c r="D669" s="4">
        <f>48.4849 * CHOOSE(CONTROL!$C$6, $C$6, 100%, $E$6) + CHOOSE(CONTROL!$C$25, 0, 0)</f>
        <v>48.484900000000003</v>
      </c>
      <c r="E669" s="4">
        <f>276.306827035724 * CHOOSE(CONTROL!$C$6, $C$6, 100%, $E$6) + CHOOSE(CONTROL!$C$25, 0, 0)</f>
        <v>276.30682703572398</v>
      </c>
    </row>
    <row r="670" spans="1:5" ht="15">
      <c r="A670" s="13">
        <v>62489</v>
      </c>
      <c r="B670" s="4">
        <f>35.6022 * CHOOSE(CONTROL!$C$6, $C$6, 100%, $E$6) + CHOOSE(CONTROL!$C$25, 0.0003, 0)</f>
        <v>35.602200000000003</v>
      </c>
      <c r="C670" s="4">
        <f>35.2897 * CHOOSE(CONTROL!$C$6, $C$6, 100%, $E$6) + CHOOSE(CONTROL!$C$25, 0.0003, 0)</f>
        <v>35.289700000000003</v>
      </c>
      <c r="D670" s="4">
        <f>46.791 * CHOOSE(CONTROL!$C$6, $C$6, 100%, $E$6) + CHOOSE(CONTROL!$C$25, 0, 0)</f>
        <v>46.790999999999997</v>
      </c>
      <c r="E670" s="4">
        <f>267.706912673249 * CHOOSE(CONTROL!$C$6, $C$6, 100%, $E$6) + CHOOSE(CONTROL!$C$25, 0, 0)</f>
        <v>267.70691267324901</v>
      </c>
    </row>
    <row r="671" spans="1:5" ht="15">
      <c r="A671" s="13">
        <v>62517</v>
      </c>
      <c r="B671" s="4">
        <f>36.403 * CHOOSE(CONTROL!$C$6, $C$6, 100%, $E$6) + CHOOSE(CONTROL!$C$25, 0.0003, 0)</f>
        <v>36.402999999999999</v>
      </c>
      <c r="C671" s="4">
        <f>36.0905 * CHOOSE(CONTROL!$C$6, $C$6, 100%, $E$6) + CHOOSE(CONTROL!$C$25, 0.0003, 0)</f>
        <v>36.090499999999999</v>
      </c>
      <c r="D671" s="4">
        <f>48.3949 * CHOOSE(CONTROL!$C$6, $C$6, 100%, $E$6) + CHOOSE(CONTROL!$C$25, 0, 0)</f>
        <v>48.3949</v>
      </c>
      <c r="E671" s="4">
        <f>274.063329788812 * CHOOSE(CONTROL!$C$6, $C$6, 100%, $E$6) + CHOOSE(CONTROL!$C$25, 0, 0)</f>
        <v>274.06332978881198</v>
      </c>
    </row>
    <row r="672" spans="1:5" ht="15">
      <c r="A672" s="13">
        <v>62548</v>
      </c>
      <c r="B672" s="4">
        <f>38.506 * CHOOSE(CONTROL!$C$6, $C$6, 100%, $E$6) + CHOOSE(CONTROL!$C$25, 0.0003, 0)</f>
        <v>38.506</v>
      </c>
      <c r="C672" s="4">
        <f>38.1935 * CHOOSE(CONTROL!$C$6, $C$6, 100%, $E$6) + CHOOSE(CONTROL!$C$25, 0.0003, 0)</f>
        <v>38.1935</v>
      </c>
      <c r="D672" s="4">
        <f>50.9057 * CHOOSE(CONTROL!$C$6, $C$6, 100%, $E$6) + CHOOSE(CONTROL!$C$25, 0, 0)</f>
        <v>50.905700000000003</v>
      </c>
      <c r="E672" s="4">
        <f>290.755618934799 * CHOOSE(CONTROL!$C$6, $C$6, 100%, $E$6) + CHOOSE(CONTROL!$C$25, 0, 0)</f>
        <v>290.75561893479897</v>
      </c>
    </row>
    <row r="673" spans="1:5" ht="15">
      <c r="A673" s="13">
        <v>62578</v>
      </c>
      <c r="B673" s="4">
        <f>40.0002 * CHOOSE(CONTROL!$C$6, $C$6, 100%, $E$6) + CHOOSE(CONTROL!$C$25, 0.0003, 0)</f>
        <v>40.0002</v>
      </c>
      <c r="C673" s="4">
        <f>39.6877 * CHOOSE(CONTROL!$C$6, $C$6, 100%, $E$6) + CHOOSE(CONTROL!$C$25, 0.0003, 0)</f>
        <v>39.6877</v>
      </c>
      <c r="D673" s="4">
        <f>52.352 * CHOOSE(CONTROL!$C$6, $C$6, 100%, $E$6) + CHOOSE(CONTROL!$C$25, 0, 0)</f>
        <v>52.351999999999997</v>
      </c>
      <c r="E673" s="4">
        <f>302.615712827025 * CHOOSE(CONTROL!$C$6, $C$6, 100%, $E$6) + CHOOSE(CONTROL!$C$25, 0, 0)</f>
        <v>302.61571282702499</v>
      </c>
    </row>
    <row r="674" spans="1:5" ht="15">
      <c r="A674" s="13">
        <v>62609</v>
      </c>
      <c r="B674" s="4">
        <f>40.9131 * CHOOSE(CONTROL!$C$6, $C$6, 100%, $E$6) + CHOOSE(CONTROL!$C$25, 0.0258, 0)</f>
        <v>40.9131</v>
      </c>
      <c r="C674" s="4">
        <f>40.6006 * CHOOSE(CONTROL!$C$6, $C$6, 100%, $E$6) + CHOOSE(CONTROL!$C$25, 0.0258, 0)</f>
        <v>40.6006</v>
      </c>
      <c r="D674" s="4">
        <f>51.7805 * CHOOSE(CONTROL!$C$6, $C$6, 100%, $E$6) + CHOOSE(CONTROL!$C$25, 0, 0)</f>
        <v>51.780500000000004</v>
      </c>
      <c r="E674" s="4">
        <f>309.861945948395 * CHOOSE(CONTROL!$C$6, $C$6, 100%, $E$6) + CHOOSE(CONTROL!$C$25, 0, 0)</f>
        <v>309.86194594839498</v>
      </c>
    </row>
    <row r="675" spans="1:5" ht="15">
      <c r="A675" s="13">
        <v>62639</v>
      </c>
      <c r="B675" s="4">
        <f>41.0367 * CHOOSE(CONTROL!$C$6, $C$6, 100%, $E$6) + CHOOSE(CONTROL!$C$25, 0.0258, 0)</f>
        <v>41.036700000000003</v>
      </c>
      <c r="C675" s="4">
        <f>40.7242 * CHOOSE(CONTROL!$C$6, $C$6, 100%, $E$6) + CHOOSE(CONTROL!$C$25, 0.0258, 0)</f>
        <v>40.724200000000003</v>
      </c>
      <c r="D675" s="4">
        <f>52.2459 * CHOOSE(CONTROL!$C$6, $C$6, 100%, $E$6) + CHOOSE(CONTROL!$C$25, 0, 0)</f>
        <v>52.245899999999999</v>
      </c>
      <c r="E675" s="4">
        <f>310.842391362202 * CHOOSE(CONTROL!$C$6, $C$6, 100%, $E$6) + CHOOSE(CONTROL!$C$25, 0, 0)</f>
        <v>310.84239136220202</v>
      </c>
    </row>
    <row r="676" spans="1:5" ht="15">
      <c r="A676" s="13">
        <v>62670</v>
      </c>
      <c r="B676" s="4">
        <f>41.0242 * CHOOSE(CONTROL!$C$6, $C$6, 100%, $E$6) + CHOOSE(CONTROL!$C$25, 0.0258, 0)</f>
        <v>41.0242</v>
      </c>
      <c r="C676" s="4">
        <f>40.7117 * CHOOSE(CONTROL!$C$6, $C$6, 100%, $E$6) + CHOOSE(CONTROL!$C$25, 0.0258, 0)</f>
        <v>40.7117</v>
      </c>
      <c r="D676" s="4">
        <f>53.0857 * CHOOSE(CONTROL!$C$6, $C$6, 100%, $E$6) + CHOOSE(CONTROL!$C$25, 0, 0)</f>
        <v>53.085700000000003</v>
      </c>
      <c r="E676" s="4">
        <f>310.743522917112 * CHOOSE(CONTROL!$C$6, $C$6, 100%, $E$6) + CHOOSE(CONTROL!$C$25, 0, 0)</f>
        <v>310.74352291711199</v>
      </c>
    </row>
    <row r="677" spans="1:5" ht="15">
      <c r="A677" s="13">
        <v>62701</v>
      </c>
      <c r="B677" s="4">
        <f>41.9615 * CHOOSE(CONTROL!$C$6, $C$6, 100%, $E$6) + CHOOSE(CONTROL!$C$25, 0.0258, 0)</f>
        <v>41.961500000000001</v>
      </c>
      <c r="C677" s="4">
        <f>41.649 * CHOOSE(CONTROL!$C$6, $C$6, 100%, $E$6) + CHOOSE(CONTROL!$C$25, 0.0258, 0)</f>
        <v>41.649000000000001</v>
      </c>
      <c r="D677" s="4">
        <f>52.5311 * CHOOSE(CONTROL!$C$6, $C$6, 100%, $E$6) + CHOOSE(CONTROL!$C$25, 0, 0)</f>
        <v>52.531100000000002</v>
      </c>
      <c r="E677" s="4">
        <f>318.183373410117 * CHOOSE(CONTROL!$C$6, $C$6, 100%, $E$6) + CHOOSE(CONTROL!$C$25, 0, 0)</f>
        <v>318.18337341011699</v>
      </c>
    </row>
    <row r="678" spans="1:5" ht="15">
      <c r="A678" s="13">
        <v>62731</v>
      </c>
      <c r="B678" s="4">
        <f>40.364 * CHOOSE(CONTROL!$C$6, $C$6, 100%, $E$6) + CHOOSE(CONTROL!$C$25, 0.0258, 0)</f>
        <v>40.363999999999997</v>
      </c>
      <c r="C678" s="4">
        <f>40.0515 * CHOOSE(CONTROL!$C$6, $C$6, 100%, $E$6) + CHOOSE(CONTROL!$C$25, 0.0258, 0)</f>
        <v>40.051499999999997</v>
      </c>
      <c r="D678" s="4">
        <f>52.2691 * CHOOSE(CONTROL!$C$6, $C$6, 100%, $E$6) + CHOOSE(CONTROL!$C$25, 0, 0)</f>
        <v>52.269100000000002</v>
      </c>
      <c r="E678" s="4">
        <f>305.503495327355 * CHOOSE(CONTROL!$C$6, $C$6, 100%, $E$6) + CHOOSE(CONTROL!$C$25, 0, 0)</f>
        <v>305.50349532735498</v>
      </c>
    </row>
    <row r="679" spans="1:5" ht="15">
      <c r="A679" s="13">
        <v>62762</v>
      </c>
      <c r="B679" s="4">
        <f>39.0852 * CHOOSE(CONTROL!$C$6, $C$6, 100%, $E$6) + CHOOSE(CONTROL!$C$25, 0.0003, 0)</f>
        <v>39.0852</v>
      </c>
      <c r="C679" s="4">
        <f>38.7727 * CHOOSE(CONTROL!$C$6, $C$6, 100%, $E$6) + CHOOSE(CONTROL!$C$25, 0.0003, 0)</f>
        <v>38.7727</v>
      </c>
      <c r="D679" s="4">
        <f>51.5674 * CHOOSE(CONTROL!$C$6, $C$6, 100%, $E$6) + CHOOSE(CONTROL!$C$25, 0, 0)</f>
        <v>51.567399999999999</v>
      </c>
      <c r="E679" s="4">
        <f>295.353001631473 * CHOOSE(CONTROL!$C$6, $C$6, 100%, $E$6) + CHOOSE(CONTROL!$C$25, 0, 0)</f>
        <v>295.35300163147298</v>
      </c>
    </row>
    <row r="680" spans="1:5" ht="15">
      <c r="A680" s="13">
        <v>62792</v>
      </c>
      <c r="B680" s="4">
        <f>38.2616 * CHOOSE(CONTROL!$C$6, $C$6, 100%, $E$6) + CHOOSE(CONTROL!$C$25, 0.0003, 0)</f>
        <v>38.261600000000001</v>
      </c>
      <c r="C680" s="4">
        <f>37.9491 * CHOOSE(CONTROL!$C$6, $C$6, 100%, $E$6) + CHOOSE(CONTROL!$C$25, 0.0003, 0)</f>
        <v>37.949100000000001</v>
      </c>
      <c r="D680" s="4">
        <f>51.3262 * CHOOSE(CONTROL!$C$6, $C$6, 100%, $E$6) + CHOOSE(CONTROL!$C$25, 0, 0)</f>
        <v>51.3262</v>
      </c>
      <c r="E680" s="4">
        <f>288.815325699913 * CHOOSE(CONTROL!$C$6, $C$6, 100%, $E$6) + CHOOSE(CONTROL!$C$25, 0, 0)</f>
        <v>288.81532569991299</v>
      </c>
    </row>
    <row r="681" spans="1:5" ht="15">
      <c r="A681" s="13">
        <v>62823</v>
      </c>
      <c r="B681" s="4">
        <f>37.6917 * CHOOSE(CONTROL!$C$6, $C$6, 100%, $E$6) + CHOOSE(CONTROL!$C$25, 0.0003, 0)</f>
        <v>37.691699999999997</v>
      </c>
      <c r="C681" s="4">
        <f>37.3792 * CHOOSE(CONTROL!$C$6, $C$6, 100%, $E$6) + CHOOSE(CONTROL!$C$25, 0.0003, 0)</f>
        <v>37.379199999999997</v>
      </c>
      <c r="D681" s="4">
        <f>49.5502 * CHOOSE(CONTROL!$C$6, $C$6, 100%, $E$6) + CHOOSE(CONTROL!$C$25, 0, 0)</f>
        <v>49.550199999999997</v>
      </c>
      <c r="E681" s="4">
        <f>284.292094337056 * CHOOSE(CONTROL!$C$6, $C$6, 100%, $E$6) + CHOOSE(CONTROL!$C$25, 0, 0)</f>
        <v>284.29209433705603</v>
      </c>
    </row>
    <row r="682" spans="1:5" ht="15">
      <c r="A682" s="13">
        <v>62854</v>
      </c>
      <c r="B682" s="4">
        <f>36.3476 * CHOOSE(CONTROL!$C$6, $C$6, 100%, $E$6) + CHOOSE(CONTROL!$C$25, 0.0003, 0)</f>
        <v>36.3476</v>
      </c>
      <c r="C682" s="4">
        <f>36.0351 * CHOOSE(CONTROL!$C$6, $C$6, 100%, $E$6) + CHOOSE(CONTROL!$C$25, 0.0003, 0)</f>
        <v>36.0351</v>
      </c>
      <c r="D682" s="4">
        <f>47.818 * CHOOSE(CONTROL!$C$6, $C$6, 100%, $E$6) + CHOOSE(CONTROL!$C$25, 0, 0)</f>
        <v>47.817999999999998</v>
      </c>
      <c r="E682" s="4">
        <f>275.443642449506 * CHOOSE(CONTROL!$C$6, $C$6, 100%, $E$6) + CHOOSE(CONTROL!$C$25, 0, 0)</f>
        <v>275.443642449506</v>
      </c>
    </row>
    <row r="683" spans="1:5" ht="15">
      <c r="A683" s="13">
        <v>62883</v>
      </c>
      <c r="B683" s="4">
        <f>37.1661 * CHOOSE(CONTROL!$C$6, $C$6, 100%, $E$6) + CHOOSE(CONTROL!$C$25, 0.0003, 0)</f>
        <v>37.1661</v>
      </c>
      <c r="C683" s="4">
        <f>36.8536 * CHOOSE(CONTROL!$C$6, $C$6, 100%, $E$6) + CHOOSE(CONTROL!$C$25, 0.0003, 0)</f>
        <v>36.8536</v>
      </c>
      <c r="D683" s="4">
        <f>49.4582 * CHOOSE(CONTROL!$C$6, $C$6, 100%, $E$6) + CHOOSE(CONTROL!$C$25, 0, 0)</f>
        <v>49.458199999999998</v>
      </c>
      <c r="E683" s="4">
        <f>281.983760019708 * CHOOSE(CONTROL!$C$6, $C$6, 100%, $E$6) + CHOOSE(CONTROL!$C$25, 0, 0)</f>
        <v>281.98376001970797</v>
      </c>
    </row>
    <row r="684" spans="1:5" ht="15">
      <c r="A684" s="13">
        <v>62914</v>
      </c>
      <c r="B684" s="4">
        <f>39.3156 * CHOOSE(CONTROL!$C$6, $C$6, 100%, $E$6) + CHOOSE(CONTROL!$C$25, 0.0003, 0)</f>
        <v>39.315600000000003</v>
      </c>
      <c r="C684" s="4">
        <f>39.0031 * CHOOSE(CONTROL!$C$6, $C$6, 100%, $E$6) + CHOOSE(CONTROL!$C$25, 0.0003, 0)</f>
        <v>39.003100000000003</v>
      </c>
      <c r="D684" s="4">
        <f>52.0257 * CHOOSE(CONTROL!$C$6, $C$6, 100%, $E$6) + CHOOSE(CONTROL!$C$25, 0, 0)</f>
        <v>52.025700000000001</v>
      </c>
      <c r="E684" s="4">
        <f>299.158456322015 * CHOOSE(CONTROL!$C$6, $C$6, 100%, $E$6) + CHOOSE(CONTROL!$C$25, 0, 0)</f>
        <v>299.15845632201501</v>
      </c>
    </row>
    <row r="685" spans="1:5" ht="15">
      <c r="A685" s="13">
        <v>62944</v>
      </c>
      <c r="B685" s="4">
        <f>40.8428 * CHOOSE(CONTROL!$C$6, $C$6, 100%, $E$6) + CHOOSE(CONTROL!$C$25, 0.0003, 0)</f>
        <v>40.842799999999997</v>
      </c>
      <c r="C685" s="4">
        <f>40.5303 * CHOOSE(CONTROL!$C$6, $C$6, 100%, $E$6) + CHOOSE(CONTROL!$C$25, 0.0003, 0)</f>
        <v>40.530299999999997</v>
      </c>
      <c r="D685" s="4">
        <f>53.5047 * CHOOSE(CONTROL!$C$6, $C$6, 100%, $E$6) + CHOOSE(CONTROL!$C$25, 0, 0)</f>
        <v>53.5047</v>
      </c>
      <c r="E685" s="4">
        <f>311.361306927726 * CHOOSE(CONTROL!$C$6, $C$6, 100%, $E$6) + CHOOSE(CONTROL!$C$25, 0, 0)</f>
        <v>311.36130692772599</v>
      </c>
    </row>
    <row r="686" spans="1:5" ht="15">
      <c r="A686" s="13">
        <v>62975</v>
      </c>
      <c r="B686" s="4">
        <f>41.7759 * CHOOSE(CONTROL!$C$6, $C$6, 100%, $E$6) + CHOOSE(CONTROL!$C$25, 0.0258, 0)</f>
        <v>41.7759</v>
      </c>
      <c r="C686" s="4">
        <f>41.4634 * CHOOSE(CONTROL!$C$6, $C$6, 100%, $E$6) + CHOOSE(CONTROL!$C$25, 0.0258, 0)</f>
        <v>41.4634</v>
      </c>
      <c r="D686" s="4">
        <f>52.9203 * CHOOSE(CONTROL!$C$6, $C$6, 100%, $E$6) + CHOOSE(CONTROL!$C$25, 0, 0)</f>
        <v>52.920299999999997</v>
      </c>
      <c r="E686" s="4">
        <f>318.816956186304 * CHOOSE(CONTROL!$C$6, $C$6, 100%, $E$6) + CHOOSE(CONTROL!$C$25, 0, 0)</f>
        <v>318.81695618630403</v>
      </c>
    </row>
    <row r="687" spans="1:5" ht="15">
      <c r="A687" s="13">
        <v>63005</v>
      </c>
      <c r="B687" s="4">
        <f>41.9021 * CHOOSE(CONTROL!$C$6, $C$6, 100%, $E$6) + CHOOSE(CONTROL!$C$25, 0.0258, 0)</f>
        <v>41.902099999999997</v>
      </c>
      <c r="C687" s="4">
        <f>41.5896 * CHOOSE(CONTROL!$C$6, $C$6, 100%, $E$6) + CHOOSE(CONTROL!$C$25, 0.0258, 0)</f>
        <v>41.589599999999997</v>
      </c>
      <c r="D687" s="4">
        <f>53.3962 * CHOOSE(CONTROL!$C$6, $C$6, 100%, $E$6) + CHOOSE(CONTROL!$C$25, 0, 0)</f>
        <v>53.3962</v>
      </c>
      <c r="E687" s="4">
        <f>319.82573647257 * CHOOSE(CONTROL!$C$6, $C$6, 100%, $E$6) + CHOOSE(CONTROL!$C$25, 0, 0)</f>
        <v>319.82573647256999</v>
      </c>
    </row>
    <row r="688" spans="1:5" ht="15">
      <c r="A688" s="13">
        <v>63036</v>
      </c>
      <c r="B688" s="4">
        <f>41.8894 * CHOOSE(CONTROL!$C$6, $C$6, 100%, $E$6) + CHOOSE(CONTROL!$C$25, 0.0258, 0)</f>
        <v>41.889400000000002</v>
      </c>
      <c r="C688" s="4">
        <f>41.5769 * CHOOSE(CONTROL!$C$6, $C$6, 100%, $E$6) + CHOOSE(CONTROL!$C$25, 0.0258, 0)</f>
        <v>41.576900000000002</v>
      </c>
      <c r="D688" s="4">
        <f>54.2551 * CHOOSE(CONTROL!$C$6, $C$6, 100%, $E$6) + CHOOSE(CONTROL!$C$25, 0, 0)</f>
        <v>54.255099999999999</v>
      </c>
      <c r="E688" s="4">
        <f>319.724010729417 * CHOOSE(CONTROL!$C$6, $C$6, 100%, $E$6) + CHOOSE(CONTROL!$C$25, 0, 0)</f>
        <v>319.72401072941699</v>
      </c>
    </row>
    <row r="689" spans="1:5" ht="15">
      <c r="A689" s="13">
        <v>63067</v>
      </c>
      <c r="B689" s="4">
        <f>42.8474 * CHOOSE(CONTROL!$C$6, $C$6, 100%, $E$6) + CHOOSE(CONTROL!$C$25, 0.0258, 0)</f>
        <v>42.8474</v>
      </c>
      <c r="C689" s="4">
        <f>42.5349 * CHOOSE(CONTROL!$C$6, $C$6, 100%, $E$6) + CHOOSE(CONTROL!$C$25, 0.0258, 0)</f>
        <v>42.5349</v>
      </c>
      <c r="D689" s="4">
        <f>53.6879 * CHOOSE(CONTROL!$C$6, $C$6, 100%, $E$6) + CHOOSE(CONTROL!$C$25, 0, 0)</f>
        <v>53.687899999999999</v>
      </c>
      <c r="E689" s="4">
        <f>327.378872901669 * CHOOSE(CONTROL!$C$6, $C$6, 100%, $E$6) + CHOOSE(CONTROL!$C$25, 0, 0)</f>
        <v>327.37887290166901</v>
      </c>
    </row>
    <row r="690" spans="1:5" ht="15">
      <c r="A690" s="13">
        <v>63097</v>
      </c>
      <c r="B690" s="4">
        <f>41.2147 * CHOOSE(CONTROL!$C$6, $C$6, 100%, $E$6) + CHOOSE(CONTROL!$C$25, 0.0258, 0)</f>
        <v>41.214700000000001</v>
      </c>
      <c r="C690" s="4">
        <f>40.9022 * CHOOSE(CONTROL!$C$6, $C$6, 100%, $E$6) + CHOOSE(CONTROL!$C$25, 0.0258, 0)</f>
        <v>40.902200000000001</v>
      </c>
      <c r="D690" s="4">
        <f>53.4199 * CHOOSE(CONTROL!$C$6, $C$6, 100%, $E$6) + CHOOSE(CONTROL!$C$25, 0, 0)</f>
        <v>53.419899999999998</v>
      </c>
      <c r="E690" s="4">
        <f>314.332546342316 * CHOOSE(CONTROL!$C$6, $C$6, 100%, $E$6) + CHOOSE(CONTROL!$C$25, 0, 0)</f>
        <v>314.33254634231599</v>
      </c>
    </row>
    <row r="691" spans="1:5" ht="15">
      <c r="A691" s="13">
        <v>63128</v>
      </c>
      <c r="B691" s="4">
        <f>39.9076 * CHOOSE(CONTROL!$C$6, $C$6, 100%, $E$6) + CHOOSE(CONTROL!$C$25, 0.0003, 0)</f>
        <v>39.907600000000002</v>
      </c>
      <c r="C691" s="4">
        <f>39.5951 * CHOOSE(CONTROL!$C$6, $C$6, 100%, $E$6) + CHOOSE(CONTROL!$C$25, 0.0003, 0)</f>
        <v>39.595100000000002</v>
      </c>
      <c r="D691" s="4">
        <f>52.7024 * CHOOSE(CONTROL!$C$6, $C$6, 100%, $E$6) + CHOOSE(CONTROL!$C$25, 0, 0)</f>
        <v>52.702399999999997</v>
      </c>
      <c r="E691" s="4">
        <f>303.888703378623 * CHOOSE(CONTROL!$C$6, $C$6, 100%, $E$6) + CHOOSE(CONTROL!$C$25, 0, 0)</f>
        <v>303.88870337862301</v>
      </c>
    </row>
    <row r="692" spans="1:5" ht="15">
      <c r="A692" s="13">
        <v>63158</v>
      </c>
      <c r="B692" s="4">
        <f>39.0657 * CHOOSE(CONTROL!$C$6, $C$6, 100%, $E$6) + CHOOSE(CONTROL!$C$25, 0.0003, 0)</f>
        <v>39.0657</v>
      </c>
      <c r="C692" s="4">
        <f>38.7532 * CHOOSE(CONTROL!$C$6, $C$6, 100%, $E$6) + CHOOSE(CONTROL!$C$25, 0.0003, 0)</f>
        <v>38.7532</v>
      </c>
      <c r="D692" s="4">
        <f>52.4557 * CHOOSE(CONTROL!$C$6, $C$6, 100%, $E$6) + CHOOSE(CONTROL!$C$25, 0, 0)</f>
        <v>52.4557</v>
      </c>
      <c r="E692" s="4">
        <f>297.16208861264 * CHOOSE(CONTROL!$C$6, $C$6, 100%, $E$6) + CHOOSE(CONTROL!$C$25, 0, 0)</f>
        <v>297.16208861263999</v>
      </c>
    </row>
    <row r="693" spans="1:5" ht="15">
      <c r="A693" s="13">
        <v>63189</v>
      </c>
      <c r="B693" s="4">
        <f>38.4833 * CHOOSE(CONTROL!$C$6, $C$6, 100%, $E$6) + CHOOSE(CONTROL!$C$25, 0.0003, 0)</f>
        <v>38.4833</v>
      </c>
      <c r="C693" s="4">
        <f>38.1708 * CHOOSE(CONTROL!$C$6, $C$6, 100%, $E$6) + CHOOSE(CONTROL!$C$25, 0.0003, 0)</f>
        <v>38.1708</v>
      </c>
      <c r="D693" s="4">
        <f>50.6396 * CHOOSE(CONTROL!$C$6, $C$6, 100%, $E$6) + CHOOSE(CONTROL!$C$25, 0, 0)</f>
        <v>50.639600000000002</v>
      </c>
      <c r="E693" s="4">
        <f>292.508135863397 * CHOOSE(CONTROL!$C$6, $C$6, 100%, $E$6) + CHOOSE(CONTROL!$C$25, 0, 0)</f>
        <v>292.508135863397</v>
      </c>
    </row>
    <row r="694" spans="1:5" ht="15">
      <c r="A694" s="13">
        <v>63220</v>
      </c>
      <c r="B694" s="4">
        <f>37.1094 * CHOOSE(CONTROL!$C$6, $C$6, 100%, $E$6) + CHOOSE(CONTROL!$C$25, 0.0003, 0)</f>
        <v>37.109400000000001</v>
      </c>
      <c r="C694" s="4">
        <f>36.7969 * CHOOSE(CONTROL!$C$6, $C$6, 100%, $E$6) + CHOOSE(CONTROL!$C$25, 0.0003, 0)</f>
        <v>36.796900000000001</v>
      </c>
      <c r="D694" s="4">
        <f>48.8683 * CHOOSE(CONTROL!$C$6, $C$6, 100%, $E$6) + CHOOSE(CONTROL!$C$25, 0, 0)</f>
        <v>48.868299999999998</v>
      </c>
      <c r="E694" s="4">
        <f>283.403963716297 * CHOOSE(CONTROL!$C$6, $C$6, 100%, $E$6) + CHOOSE(CONTROL!$C$25, 0, 0)</f>
        <v>283.40396371629703</v>
      </c>
    </row>
    <row r="695" spans="1:5" ht="15">
      <c r="A695" s="13">
        <v>63248</v>
      </c>
      <c r="B695" s="4">
        <f>37.946 * CHOOSE(CONTROL!$C$6, $C$6, 100%, $E$6) + CHOOSE(CONTROL!$C$25, 0.0003, 0)</f>
        <v>37.945999999999998</v>
      </c>
      <c r="C695" s="4">
        <f>37.6335 * CHOOSE(CONTROL!$C$6, $C$6, 100%, $E$6) + CHOOSE(CONTROL!$C$25, 0.0003, 0)</f>
        <v>37.633499999999998</v>
      </c>
      <c r="D695" s="4">
        <f>50.5455 * CHOOSE(CONTROL!$C$6, $C$6, 100%, $E$6) + CHOOSE(CONTROL!$C$25, 0, 0)</f>
        <v>50.545499999999997</v>
      </c>
      <c r="E695" s="4">
        <f>290.133090684278 * CHOOSE(CONTROL!$C$6, $C$6, 100%, $E$6) + CHOOSE(CONTROL!$C$25, 0, 0)</f>
        <v>290.13309068427799</v>
      </c>
    </row>
    <row r="696" spans="1:5" ht="15">
      <c r="A696" s="13">
        <v>63279</v>
      </c>
      <c r="B696" s="4">
        <f>40.143 * CHOOSE(CONTROL!$C$6, $C$6, 100%, $E$6) + CHOOSE(CONTROL!$C$25, 0.0003, 0)</f>
        <v>40.143000000000001</v>
      </c>
      <c r="C696" s="4">
        <f>39.8305 * CHOOSE(CONTROL!$C$6, $C$6, 100%, $E$6) + CHOOSE(CONTROL!$C$25, 0.0003, 0)</f>
        <v>39.830500000000001</v>
      </c>
      <c r="D696" s="4">
        <f>53.1711 * CHOOSE(CONTROL!$C$6, $C$6, 100%, $E$6) + CHOOSE(CONTROL!$C$25, 0, 0)</f>
        <v>53.171100000000003</v>
      </c>
      <c r="E696" s="4">
        <f>307.804135709721 * CHOOSE(CONTROL!$C$6, $C$6, 100%, $E$6) + CHOOSE(CONTROL!$C$25, 0, 0)</f>
        <v>307.80413570972098</v>
      </c>
    </row>
    <row r="697" spans="1:5" ht="15">
      <c r="A697" s="13">
        <v>63309</v>
      </c>
      <c r="B697" s="4">
        <f>41.704 * CHOOSE(CONTROL!$C$6, $C$6, 100%, $E$6) + CHOOSE(CONTROL!$C$25, 0.0003, 0)</f>
        <v>41.704000000000001</v>
      </c>
      <c r="C697" s="4">
        <f>41.3915 * CHOOSE(CONTROL!$C$6, $C$6, 100%, $E$6) + CHOOSE(CONTROL!$C$25, 0.0003, 0)</f>
        <v>41.391500000000001</v>
      </c>
      <c r="D697" s="4">
        <f>54.6835 * CHOOSE(CONTROL!$C$6, $C$6, 100%, $E$6) + CHOOSE(CONTROL!$C$25, 0, 0)</f>
        <v>54.683500000000002</v>
      </c>
      <c r="E697" s="4">
        <f>320.359648697937 * CHOOSE(CONTROL!$C$6, $C$6, 100%, $E$6) + CHOOSE(CONTROL!$C$25, 0, 0)</f>
        <v>320.35964869793702</v>
      </c>
    </row>
    <row r="698" spans="1:5" ht="15">
      <c r="A698" s="13">
        <v>63340</v>
      </c>
      <c r="B698" s="4">
        <f>42.6577 * CHOOSE(CONTROL!$C$6, $C$6, 100%, $E$6) + CHOOSE(CONTROL!$C$25, 0.0258, 0)</f>
        <v>42.657699999999998</v>
      </c>
      <c r="C698" s="4">
        <f>42.3452 * CHOOSE(CONTROL!$C$6, $C$6, 100%, $E$6) + CHOOSE(CONTROL!$C$25, 0.0258, 0)</f>
        <v>42.345199999999998</v>
      </c>
      <c r="D698" s="4">
        <f>54.0858 * CHOOSE(CONTROL!$C$6, $C$6, 100%, $E$6) + CHOOSE(CONTROL!$C$25, 0, 0)</f>
        <v>54.085799999999999</v>
      </c>
      <c r="E698" s="4">
        <f>328.030766220088 * CHOOSE(CONTROL!$C$6, $C$6, 100%, $E$6) + CHOOSE(CONTROL!$C$25, 0, 0)</f>
        <v>328.03076622008803</v>
      </c>
    </row>
    <row r="699" spans="1:5" ht="15">
      <c r="A699" s="13">
        <v>63370</v>
      </c>
      <c r="B699" s="4">
        <f>42.7867 * CHOOSE(CONTROL!$C$6, $C$6, 100%, $E$6) + CHOOSE(CONTROL!$C$25, 0.0258, 0)</f>
        <v>42.786700000000003</v>
      </c>
      <c r="C699" s="4">
        <f>42.4742 * CHOOSE(CONTROL!$C$6, $C$6, 100%, $E$6) + CHOOSE(CONTROL!$C$25, 0.0258, 0)</f>
        <v>42.474200000000003</v>
      </c>
      <c r="D699" s="4">
        <f>54.5726 * CHOOSE(CONTROL!$C$6, $C$6, 100%, $E$6) + CHOOSE(CONTROL!$C$25, 0, 0)</f>
        <v>54.572600000000001</v>
      </c>
      <c r="E699" s="4">
        <f>329.068700256627 * CHOOSE(CONTROL!$C$6, $C$6, 100%, $E$6) + CHOOSE(CONTROL!$C$25, 0, 0)</f>
        <v>329.06870025662698</v>
      </c>
    </row>
    <row r="700" spans="1:5" ht="15">
      <c r="A700" s="13">
        <v>63401</v>
      </c>
      <c r="B700" s="4">
        <f>42.7737 * CHOOSE(CONTROL!$C$6, $C$6, 100%, $E$6) + CHOOSE(CONTROL!$C$25, 0.0258, 0)</f>
        <v>42.773699999999998</v>
      </c>
      <c r="C700" s="4">
        <f>42.4612 * CHOOSE(CONTROL!$C$6, $C$6, 100%, $E$6) + CHOOSE(CONTROL!$C$25, 0.0258, 0)</f>
        <v>42.461199999999998</v>
      </c>
      <c r="D700" s="4">
        <f>55.4508 * CHOOSE(CONTROL!$C$6, $C$6, 100%, $E$6) + CHOOSE(CONTROL!$C$25, 0, 0)</f>
        <v>55.450800000000001</v>
      </c>
      <c r="E700" s="4">
        <f>328.964034639497 * CHOOSE(CONTROL!$C$6, $C$6, 100%, $E$6) + CHOOSE(CONTROL!$C$25, 0, 0)</f>
        <v>328.96403463949702</v>
      </c>
    </row>
    <row r="701" spans="1:5" ht="15">
      <c r="A701" s="13">
        <v>63432</v>
      </c>
      <c r="B701" s="4">
        <f>43.7529 * CHOOSE(CONTROL!$C$6, $C$6, 100%, $E$6) + CHOOSE(CONTROL!$C$25, 0.0258, 0)</f>
        <v>43.752899999999997</v>
      </c>
      <c r="C701" s="4">
        <f>43.4404 * CHOOSE(CONTROL!$C$6, $C$6, 100%, $E$6) + CHOOSE(CONTROL!$C$25, 0.0258, 0)</f>
        <v>43.440399999999997</v>
      </c>
      <c r="D701" s="4">
        <f>54.8708 * CHOOSE(CONTROL!$C$6, $C$6, 100%, $E$6) + CHOOSE(CONTROL!$C$25, 0, 0)</f>
        <v>54.870800000000003</v>
      </c>
      <c r="E701" s="4">
        <f>336.840122328527 * CHOOSE(CONTROL!$C$6, $C$6, 100%, $E$6) + CHOOSE(CONTROL!$C$25, 0, 0)</f>
        <v>336.840122328527</v>
      </c>
    </row>
    <row r="702" spans="1:5" ht="15">
      <c r="A702" s="13">
        <v>63462</v>
      </c>
      <c r="B702" s="4">
        <f>42.0841 * CHOOSE(CONTROL!$C$6, $C$6, 100%, $E$6) + CHOOSE(CONTROL!$C$25, 0.0258, 0)</f>
        <v>42.084099999999999</v>
      </c>
      <c r="C702" s="4">
        <f>41.7716 * CHOOSE(CONTROL!$C$6, $C$6, 100%, $E$6) + CHOOSE(CONTROL!$C$25, 0.0258, 0)</f>
        <v>41.771599999999999</v>
      </c>
      <c r="D702" s="4">
        <f>54.5968 * CHOOSE(CONTROL!$C$6, $C$6, 100%, $E$6) + CHOOSE(CONTROL!$C$25, 0, 0)</f>
        <v>54.596800000000002</v>
      </c>
      <c r="E702" s="4">
        <f>323.416756931608 * CHOOSE(CONTROL!$C$6, $C$6, 100%, $E$6) + CHOOSE(CONTROL!$C$25, 0, 0)</f>
        <v>323.41675693160801</v>
      </c>
    </row>
    <row r="703" spans="1:5" ht="15">
      <c r="A703" s="13">
        <v>63493</v>
      </c>
      <c r="B703" s="4">
        <f>40.7481 * CHOOSE(CONTROL!$C$6, $C$6, 100%, $E$6) + CHOOSE(CONTROL!$C$25, 0.0003, 0)</f>
        <v>40.748100000000001</v>
      </c>
      <c r="C703" s="4">
        <f>40.4356 * CHOOSE(CONTROL!$C$6, $C$6, 100%, $E$6) + CHOOSE(CONTROL!$C$25, 0.0003, 0)</f>
        <v>40.435600000000001</v>
      </c>
      <c r="D703" s="4">
        <f>53.863 * CHOOSE(CONTROL!$C$6, $C$6, 100%, $E$6) + CHOOSE(CONTROL!$C$25, 0, 0)</f>
        <v>53.863</v>
      </c>
      <c r="E703" s="4">
        <f>312.671086906265 * CHOOSE(CONTROL!$C$6, $C$6, 100%, $E$6) + CHOOSE(CONTROL!$C$25, 0, 0)</f>
        <v>312.67108690626497</v>
      </c>
    </row>
    <row r="704" spans="1:5" ht="15">
      <c r="A704" s="13">
        <v>63523</v>
      </c>
      <c r="B704" s="4">
        <f>39.8876 * CHOOSE(CONTROL!$C$6, $C$6, 100%, $E$6) + CHOOSE(CONTROL!$C$25, 0.0003, 0)</f>
        <v>39.887599999999999</v>
      </c>
      <c r="C704" s="4">
        <f>39.5751 * CHOOSE(CONTROL!$C$6, $C$6, 100%, $E$6) + CHOOSE(CONTROL!$C$25, 0.0003, 0)</f>
        <v>39.575099999999999</v>
      </c>
      <c r="D704" s="4">
        <f>53.6108 * CHOOSE(CONTROL!$C$6, $C$6, 100%, $E$6) + CHOOSE(CONTROL!$C$25, 0, 0)</f>
        <v>53.610799999999998</v>
      </c>
      <c r="E704" s="4">
        <f>305.750072973545 * CHOOSE(CONTROL!$C$6, $C$6, 100%, $E$6) + CHOOSE(CONTROL!$C$25, 0, 0)</f>
        <v>305.750072973545</v>
      </c>
    </row>
    <row r="705" spans="1:5" ht="15">
      <c r="A705" s="13">
        <v>63554</v>
      </c>
      <c r="B705" s="4">
        <f>39.2923 * CHOOSE(CONTROL!$C$6, $C$6, 100%, $E$6) + CHOOSE(CONTROL!$C$25, 0.0003, 0)</f>
        <v>39.292299999999997</v>
      </c>
      <c r="C705" s="4">
        <f>38.9798 * CHOOSE(CONTROL!$C$6, $C$6, 100%, $E$6) + CHOOSE(CONTROL!$C$25, 0.0003, 0)</f>
        <v>38.979799999999997</v>
      </c>
      <c r="D705" s="4">
        <f>51.7537 * CHOOSE(CONTROL!$C$6, $C$6, 100%, $E$6) + CHOOSE(CONTROL!$C$25, 0, 0)</f>
        <v>51.753700000000002</v>
      </c>
      <c r="E705" s="4">
        <f>300.961620989849 * CHOOSE(CONTROL!$C$6, $C$6, 100%, $E$6) + CHOOSE(CONTROL!$C$25, 0, 0)</f>
        <v>300.961620989849</v>
      </c>
    </row>
    <row r="706" spans="1:5" ht="15">
      <c r="A706" s="13">
        <v>63585</v>
      </c>
      <c r="B706" s="4">
        <f>37.8881 * CHOOSE(CONTROL!$C$6, $C$6, 100%, $E$6) + CHOOSE(CONTROL!$C$25, 0.0003, 0)</f>
        <v>37.888100000000001</v>
      </c>
      <c r="C706" s="4">
        <f>37.5756 * CHOOSE(CONTROL!$C$6, $C$6, 100%, $E$6) + CHOOSE(CONTROL!$C$25, 0.0003, 0)</f>
        <v>37.575600000000001</v>
      </c>
      <c r="D706" s="4">
        <f>49.9422 * CHOOSE(CONTROL!$C$6, $C$6, 100%, $E$6) + CHOOSE(CONTROL!$C$25, 0, 0)</f>
        <v>49.9422</v>
      </c>
      <c r="E706" s="4">
        <f>291.594338267698 * CHOOSE(CONTROL!$C$6, $C$6, 100%, $E$6) + CHOOSE(CONTROL!$C$25, 0, 0)</f>
        <v>291.59433826769799</v>
      </c>
    </row>
    <row r="707" spans="1:5" ht="15">
      <c r="A707" s="13">
        <v>63613</v>
      </c>
      <c r="B707" s="4">
        <f>38.7432 * CHOOSE(CONTROL!$C$6, $C$6, 100%, $E$6) + CHOOSE(CONTROL!$C$25, 0.0003, 0)</f>
        <v>38.743200000000002</v>
      </c>
      <c r="C707" s="4">
        <f>38.4307 * CHOOSE(CONTROL!$C$6, $C$6, 100%, $E$6) + CHOOSE(CONTROL!$C$25, 0.0003, 0)</f>
        <v>38.430700000000002</v>
      </c>
      <c r="D707" s="4">
        <f>51.6574 * CHOOSE(CONTROL!$C$6, $C$6, 100%, $E$6) + CHOOSE(CONTROL!$C$25, 0, 0)</f>
        <v>51.657400000000003</v>
      </c>
      <c r="E707" s="4">
        <f>298.517937005053 * CHOOSE(CONTROL!$C$6, $C$6, 100%, $E$6) + CHOOSE(CONTROL!$C$25, 0, 0)</f>
        <v>298.517937005053</v>
      </c>
    </row>
    <row r="708" spans="1:5" ht="15">
      <c r="A708" s="13">
        <v>63644</v>
      </c>
      <c r="B708" s="4">
        <f>40.9887 * CHOOSE(CONTROL!$C$6, $C$6, 100%, $E$6) + CHOOSE(CONTROL!$C$25, 0.0003, 0)</f>
        <v>40.988700000000001</v>
      </c>
      <c r="C708" s="4">
        <f>40.6762 * CHOOSE(CONTROL!$C$6, $C$6, 100%, $E$6) + CHOOSE(CONTROL!$C$25, 0.0003, 0)</f>
        <v>40.676200000000001</v>
      </c>
      <c r="D708" s="4">
        <f>54.3423 * CHOOSE(CONTROL!$C$6, $C$6, 100%, $E$6) + CHOOSE(CONTROL!$C$25, 0, 0)</f>
        <v>54.342300000000002</v>
      </c>
      <c r="E708" s="4">
        <f>316.699675231732 * CHOOSE(CONTROL!$C$6, $C$6, 100%, $E$6) + CHOOSE(CONTROL!$C$25, 0, 0)</f>
        <v>316.69967523173199</v>
      </c>
    </row>
    <row r="709" spans="1:5" ht="15">
      <c r="A709" s="13">
        <v>63674</v>
      </c>
      <c r="B709" s="4">
        <f>42.5842 * CHOOSE(CONTROL!$C$6, $C$6, 100%, $E$6) + CHOOSE(CONTROL!$C$25, 0.0003, 0)</f>
        <v>42.584200000000003</v>
      </c>
      <c r="C709" s="4">
        <f>42.2717 * CHOOSE(CONTROL!$C$6, $C$6, 100%, $E$6) + CHOOSE(CONTROL!$C$25, 0.0003, 0)</f>
        <v>42.271700000000003</v>
      </c>
      <c r="D709" s="4">
        <f>55.8889 * CHOOSE(CONTROL!$C$6, $C$6, 100%, $E$6) + CHOOSE(CONTROL!$C$25, 0, 0)</f>
        <v>55.8889</v>
      </c>
      <c r="E709" s="4">
        <f>329.618042545308 * CHOOSE(CONTROL!$C$6, $C$6, 100%, $E$6) + CHOOSE(CONTROL!$C$25, 0, 0)</f>
        <v>329.61804254530801</v>
      </c>
    </row>
    <row r="710" spans="1:5" ht="15">
      <c r="A710" s="13">
        <v>63705</v>
      </c>
      <c r="B710" s="4">
        <f>43.559 * CHOOSE(CONTROL!$C$6, $C$6, 100%, $E$6) + CHOOSE(CONTROL!$C$25, 0.0258, 0)</f>
        <v>43.558999999999997</v>
      </c>
      <c r="C710" s="4">
        <f>43.2465 * CHOOSE(CONTROL!$C$6, $C$6, 100%, $E$6) + CHOOSE(CONTROL!$C$25, 0.0258, 0)</f>
        <v>43.246499999999997</v>
      </c>
      <c r="D710" s="4">
        <f>55.2777 * CHOOSE(CONTROL!$C$6, $C$6, 100%, $E$6) + CHOOSE(CONTROL!$C$25, 0, 0)</f>
        <v>55.277700000000003</v>
      </c>
      <c r="E710" s="4">
        <f>337.510855363848 * CHOOSE(CONTROL!$C$6, $C$6, 100%, $E$6) + CHOOSE(CONTROL!$C$25, 0, 0)</f>
        <v>337.51085536384801</v>
      </c>
    </row>
    <row r="711" spans="1:5" ht="15">
      <c r="A711" s="13">
        <v>63735</v>
      </c>
      <c r="B711" s="4">
        <f>43.6909 * CHOOSE(CONTROL!$C$6, $C$6, 100%, $E$6) + CHOOSE(CONTROL!$C$25, 0.0258, 0)</f>
        <v>43.690899999999999</v>
      </c>
      <c r="C711" s="4">
        <f>43.3784 * CHOOSE(CONTROL!$C$6, $C$6, 100%, $E$6) + CHOOSE(CONTROL!$C$25, 0.0258, 0)</f>
        <v>43.378399999999999</v>
      </c>
      <c r="D711" s="4">
        <f>55.7755 * CHOOSE(CONTROL!$C$6, $C$6, 100%, $E$6) + CHOOSE(CONTROL!$C$25, 0, 0)</f>
        <v>55.775500000000001</v>
      </c>
      <c r="E711" s="4">
        <f>338.578785694043 * CHOOSE(CONTROL!$C$6, $C$6, 100%, $E$6) + CHOOSE(CONTROL!$C$25, 0, 0)</f>
        <v>338.57878569404301</v>
      </c>
    </row>
    <row r="712" spans="1:5" ht="15">
      <c r="A712" s="13">
        <v>63766</v>
      </c>
      <c r="B712" s="4">
        <f>43.6776 * CHOOSE(CONTROL!$C$6, $C$6, 100%, $E$6) + CHOOSE(CONTROL!$C$25, 0.0258, 0)</f>
        <v>43.677599999999998</v>
      </c>
      <c r="C712" s="4">
        <f>43.3651 * CHOOSE(CONTROL!$C$6, $C$6, 100%, $E$6) + CHOOSE(CONTROL!$C$25, 0.0258, 0)</f>
        <v>43.365099999999998</v>
      </c>
      <c r="D712" s="4">
        <f>56.6735 * CHOOSE(CONTROL!$C$6, $C$6, 100%, $E$6) + CHOOSE(CONTROL!$C$25, 0, 0)</f>
        <v>56.673499999999997</v>
      </c>
      <c r="E712" s="4">
        <f>338.471095240578 * CHOOSE(CONTROL!$C$6, $C$6, 100%, $E$6) + CHOOSE(CONTROL!$C$25, 0, 0)</f>
        <v>338.47109524057799</v>
      </c>
    </row>
    <row r="713" spans="1:5" ht="15">
      <c r="A713" s="13">
        <v>63797</v>
      </c>
      <c r="B713" s="4">
        <f>44.6784 * CHOOSE(CONTROL!$C$6, $C$6, 100%, $E$6) + CHOOSE(CONTROL!$C$25, 0.0258, 0)</f>
        <v>44.678400000000003</v>
      </c>
      <c r="C713" s="4">
        <f>44.3659 * CHOOSE(CONTROL!$C$6, $C$6, 100%, $E$6) + CHOOSE(CONTROL!$C$25, 0.0258, 0)</f>
        <v>44.365900000000003</v>
      </c>
      <c r="D713" s="4">
        <f>56.0804 * CHOOSE(CONTROL!$C$6, $C$6, 100%, $E$6) + CHOOSE(CONTROL!$C$25, 0, 0)</f>
        <v>56.080399999999997</v>
      </c>
      <c r="E713" s="4">
        <f>346.574801863821 * CHOOSE(CONTROL!$C$6, $C$6, 100%, $E$6) + CHOOSE(CONTROL!$C$25, 0, 0)</f>
        <v>346.57480186382099</v>
      </c>
    </row>
    <row r="714" spans="1:5" ht="15">
      <c r="A714" s="13">
        <v>63827</v>
      </c>
      <c r="B714" s="4">
        <f>42.9727 * CHOOSE(CONTROL!$C$6, $C$6, 100%, $E$6) + CHOOSE(CONTROL!$C$25, 0.0258, 0)</f>
        <v>42.972700000000003</v>
      </c>
      <c r="C714" s="4">
        <f>42.6602 * CHOOSE(CONTROL!$C$6, $C$6, 100%, $E$6) + CHOOSE(CONTROL!$C$25, 0.0258, 0)</f>
        <v>42.660200000000003</v>
      </c>
      <c r="D714" s="4">
        <f>55.8002 * CHOOSE(CONTROL!$C$6, $C$6, 100%, $E$6) + CHOOSE(CONTROL!$C$25, 0, 0)</f>
        <v>55.800199999999997</v>
      </c>
      <c r="E714" s="4">
        <f>332.763501206932 * CHOOSE(CONTROL!$C$6, $C$6, 100%, $E$6) + CHOOSE(CONTROL!$C$25, 0, 0)</f>
        <v>332.76350120693201</v>
      </c>
    </row>
    <row r="715" spans="1:5" ht="15">
      <c r="A715" s="13">
        <v>63858</v>
      </c>
      <c r="B715" s="4">
        <f>41.6072 * CHOOSE(CONTROL!$C$6, $C$6, 100%, $E$6) + CHOOSE(CONTROL!$C$25, 0.0003, 0)</f>
        <v>41.607199999999999</v>
      </c>
      <c r="C715" s="4">
        <f>41.2947 * CHOOSE(CONTROL!$C$6, $C$6, 100%, $E$6) + CHOOSE(CONTROL!$C$25, 0.0003, 0)</f>
        <v>41.294699999999999</v>
      </c>
      <c r="D715" s="4">
        <f>55.0499 * CHOOSE(CONTROL!$C$6, $C$6, 100%, $E$6) + CHOOSE(CONTROL!$C$25, 0, 0)</f>
        <v>55.049900000000001</v>
      </c>
      <c r="E715" s="4">
        <f>321.707281317856 * CHOOSE(CONTROL!$C$6, $C$6, 100%, $E$6) + CHOOSE(CONTROL!$C$25, 0, 0)</f>
        <v>321.70728131785597</v>
      </c>
    </row>
    <row r="716" spans="1:5" ht="15">
      <c r="A716" s="13">
        <v>63888</v>
      </c>
      <c r="B716" s="4">
        <f>40.7277 * CHOOSE(CONTROL!$C$6, $C$6, 100%, $E$6) + CHOOSE(CONTROL!$C$25, 0.0003, 0)</f>
        <v>40.727699999999999</v>
      </c>
      <c r="C716" s="4">
        <f>40.4152 * CHOOSE(CONTROL!$C$6, $C$6, 100%, $E$6) + CHOOSE(CONTROL!$C$25, 0.0003, 0)</f>
        <v>40.415199999999999</v>
      </c>
      <c r="D716" s="4">
        <f>54.792 * CHOOSE(CONTROL!$C$6, $C$6, 100%, $E$6) + CHOOSE(CONTROL!$C$25, 0, 0)</f>
        <v>54.792000000000002</v>
      </c>
      <c r="E716" s="4">
        <f>314.586250082481 * CHOOSE(CONTROL!$C$6, $C$6, 100%, $E$6) + CHOOSE(CONTROL!$C$25, 0, 0)</f>
        <v>314.586250082481</v>
      </c>
    </row>
    <row r="717" spans="1:5" ht="15">
      <c r="A717" s="13">
        <v>63919</v>
      </c>
      <c r="B717" s="4">
        <f>40.1192 * CHOOSE(CONTROL!$C$6, $C$6, 100%, $E$6) + CHOOSE(CONTROL!$C$25, 0.0003, 0)</f>
        <v>40.119199999999999</v>
      </c>
      <c r="C717" s="4">
        <f>39.8067 * CHOOSE(CONTROL!$C$6, $C$6, 100%, $E$6) + CHOOSE(CONTROL!$C$25, 0.0003, 0)</f>
        <v>39.806699999999999</v>
      </c>
      <c r="D717" s="4">
        <f>52.8929 * CHOOSE(CONTROL!$C$6, $C$6, 100%, $E$6) + CHOOSE(CONTROL!$C$25, 0, 0)</f>
        <v>52.892899999999997</v>
      </c>
      <c r="E717" s="4">
        <f>309.659411836456 * CHOOSE(CONTROL!$C$6, $C$6, 100%, $E$6) + CHOOSE(CONTROL!$C$25, 0, 0)</f>
        <v>309.659411836456</v>
      </c>
    </row>
    <row r="718" spans="1:5" ht="15">
      <c r="A718" s="13">
        <v>63950</v>
      </c>
      <c r="B718" s="4">
        <f>38.684 * CHOOSE(CONTROL!$C$6, $C$6, 100%, $E$6) + CHOOSE(CONTROL!$C$25, 0.0003, 0)</f>
        <v>38.683999999999997</v>
      </c>
      <c r="C718" s="4">
        <f>38.3715 * CHOOSE(CONTROL!$C$6, $C$6, 100%, $E$6) + CHOOSE(CONTROL!$C$25, 0.0003, 0)</f>
        <v>38.371499999999997</v>
      </c>
      <c r="D718" s="4">
        <f>51.0405 * CHOOSE(CONTROL!$C$6, $C$6, 100%, $E$6) + CHOOSE(CONTROL!$C$25, 0, 0)</f>
        <v>51.040500000000002</v>
      </c>
      <c r="E718" s="4">
        <f>300.021414643634 * CHOOSE(CONTROL!$C$6, $C$6, 100%, $E$6) + CHOOSE(CONTROL!$C$25, 0, 0)</f>
        <v>300.02141464363399</v>
      </c>
    </row>
    <row r="719" spans="1:5" ht="15">
      <c r="A719" s="13">
        <v>63978</v>
      </c>
      <c r="B719" s="4">
        <f>39.558 * CHOOSE(CONTROL!$C$6, $C$6, 100%, $E$6) + CHOOSE(CONTROL!$C$25, 0.0003, 0)</f>
        <v>39.558</v>
      </c>
      <c r="C719" s="4">
        <f>39.2455 * CHOOSE(CONTROL!$C$6, $C$6, 100%, $E$6) + CHOOSE(CONTROL!$C$25, 0.0003, 0)</f>
        <v>39.2455</v>
      </c>
      <c r="D719" s="4">
        <f>52.7944 * CHOOSE(CONTROL!$C$6, $C$6, 100%, $E$6) + CHOOSE(CONTROL!$C$25, 0, 0)</f>
        <v>52.794400000000003</v>
      </c>
      <c r="E719" s="4">
        <f>307.1451053845 * CHOOSE(CONTROL!$C$6, $C$6, 100%, $E$6) + CHOOSE(CONTROL!$C$25, 0, 0)</f>
        <v>307.14510538450003</v>
      </c>
    </row>
    <row r="720" spans="1:5" ht="15">
      <c r="A720" s="13">
        <v>64009</v>
      </c>
      <c r="B720" s="4">
        <f>41.8531 * CHOOSE(CONTROL!$C$6, $C$6, 100%, $E$6) + CHOOSE(CONTROL!$C$25, 0.0003, 0)</f>
        <v>41.853099999999998</v>
      </c>
      <c r="C720" s="4">
        <f>41.5406 * CHOOSE(CONTROL!$C$6, $C$6, 100%, $E$6) + CHOOSE(CONTROL!$C$25, 0.0003, 0)</f>
        <v>41.540599999999998</v>
      </c>
      <c r="D720" s="4">
        <f>55.54 * CHOOSE(CONTROL!$C$6, $C$6, 100%, $E$6) + CHOOSE(CONTROL!$C$25, 0, 0)</f>
        <v>55.54</v>
      </c>
      <c r="E720" s="4">
        <f>325.852295845929 * CHOOSE(CONTROL!$C$6, $C$6, 100%, $E$6) + CHOOSE(CONTROL!$C$25, 0, 0)</f>
        <v>325.85229584592901</v>
      </c>
    </row>
    <row r="721" spans="1:5" ht="15">
      <c r="A721" s="13">
        <v>64039</v>
      </c>
      <c r="B721" s="4">
        <f>43.4839 * CHOOSE(CONTROL!$C$6, $C$6, 100%, $E$6) + CHOOSE(CONTROL!$C$25, 0.0003, 0)</f>
        <v>43.483899999999998</v>
      </c>
      <c r="C721" s="4">
        <f>43.1714 * CHOOSE(CONTROL!$C$6, $C$6, 100%, $E$6) + CHOOSE(CONTROL!$C$25, 0.0003, 0)</f>
        <v>43.171399999999998</v>
      </c>
      <c r="D721" s="4">
        <f>57.1215 * CHOOSE(CONTROL!$C$6, $C$6, 100%, $E$6) + CHOOSE(CONTROL!$C$25, 0, 0)</f>
        <v>57.121499999999997</v>
      </c>
      <c r="E721" s="4">
        <f>339.144003974867 * CHOOSE(CONTROL!$C$6, $C$6, 100%, $E$6) + CHOOSE(CONTROL!$C$25, 0, 0)</f>
        <v>339.14400397486702</v>
      </c>
    </row>
    <row r="722" spans="1:5" ht="15">
      <c r="A722" s="13">
        <v>64070</v>
      </c>
      <c r="B722" s="4">
        <f>44.4802 * CHOOSE(CONTROL!$C$6, $C$6, 100%, $E$6) + CHOOSE(CONTROL!$C$25, 0.0258, 0)</f>
        <v>44.480200000000004</v>
      </c>
      <c r="C722" s="4">
        <f>44.1677 * CHOOSE(CONTROL!$C$6, $C$6, 100%, $E$6) + CHOOSE(CONTROL!$C$25, 0.0258, 0)</f>
        <v>44.167700000000004</v>
      </c>
      <c r="D722" s="4">
        <f>56.4966 * CHOOSE(CONTROL!$C$6, $C$6, 100%, $E$6) + CHOOSE(CONTROL!$C$25, 0, 0)</f>
        <v>56.496600000000001</v>
      </c>
      <c r="E722" s="4">
        <f>347.264919083864 * CHOOSE(CONTROL!$C$6, $C$6, 100%, $E$6) + CHOOSE(CONTROL!$C$25, 0, 0)</f>
        <v>347.26491908386402</v>
      </c>
    </row>
    <row r="723" spans="1:5" ht="15">
      <c r="A723" s="13">
        <v>64100</v>
      </c>
      <c r="B723" s="4">
        <f>44.615 * CHOOSE(CONTROL!$C$6, $C$6, 100%, $E$6) + CHOOSE(CONTROL!$C$25, 0.0258, 0)</f>
        <v>44.615000000000002</v>
      </c>
      <c r="C723" s="4">
        <f>44.3025 * CHOOSE(CONTROL!$C$6, $C$6, 100%, $E$6) + CHOOSE(CONTROL!$C$25, 0.0258, 0)</f>
        <v>44.302500000000002</v>
      </c>
      <c r="D723" s="4">
        <f>57.0055 * CHOOSE(CONTROL!$C$6, $C$6, 100%, $E$6) + CHOOSE(CONTROL!$C$25, 0, 0)</f>
        <v>57.005499999999998</v>
      </c>
      <c r="E723" s="4">
        <f>348.363712600601 * CHOOSE(CONTROL!$C$6, $C$6, 100%, $E$6) + CHOOSE(CONTROL!$C$25, 0, 0)</f>
        <v>348.36371260060099</v>
      </c>
    </row>
    <row r="724" spans="1:5" ht="15">
      <c r="A724" s="13">
        <v>64131</v>
      </c>
      <c r="B724" s="4">
        <f>44.6014 * CHOOSE(CONTROL!$C$6, $C$6, 100%, $E$6) + CHOOSE(CONTROL!$C$25, 0.0258, 0)</f>
        <v>44.601399999999998</v>
      </c>
      <c r="C724" s="4">
        <f>44.2889 * CHOOSE(CONTROL!$C$6, $C$6, 100%, $E$6) + CHOOSE(CONTROL!$C$25, 0.0258, 0)</f>
        <v>44.288899999999998</v>
      </c>
      <c r="D724" s="4">
        <f>57.9239 * CHOOSE(CONTROL!$C$6, $C$6, 100%, $E$6) + CHOOSE(CONTROL!$C$25, 0, 0)</f>
        <v>57.923900000000003</v>
      </c>
      <c r="E724" s="4">
        <f>348.252909893031 * CHOOSE(CONTROL!$C$6, $C$6, 100%, $E$6) + CHOOSE(CONTROL!$C$25, 0, 0)</f>
        <v>348.25290989303102</v>
      </c>
    </row>
    <row r="725" spans="1:5" ht="15">
      <c r="A725" s="13">
        <v>64162</v>
      </c>
      <c r="B725" s="4">
        <f>45.6244 * CHOOSE(CONTROL!$C$6, $C$6, 100%, $E$6) + CHOOSE(CONTROL!$C$25, 0.0258, 0)</f>
        <v>45.624400000000001</v>
      </c>
      <c r="C725" s="4">
        <f>45.3119 * CHOOSE(CONTROL!$C$6, $C$6, 100%, $E$6) + CHOOSE(CONTROL!$C$25, 0.0258, 0)</f>
        <v>45.311900000000001</v>
      </c>
      <c r="D725" s="4">
        <f>57.3174 * CHOOSE(CONTROL!$C$6, $C$6, 100%, $E$6) + CHOOSE(CONTROL!$C$25, 0, 0)</f>
        <v>57.317399999999999</v>
      </c>
      <c r="E725" s="4">
        <f>356.590813637686 * CHOOSE(CONTROL!$C$6, $C$6, 100%, $E$6) + CHOOSE(CONTROL!$C$25, 0, 0)</f>
        <v>356.59081363768598</v>
      </c>
    </row>
    <row r="726" spans="1:5" ht="15">
      <c r="A726" s="13">
        <v>64192</v>
      </c>
      <c r="B726" s="4">
        <f>43.8809 * CHOOSE(CONTROL!$C$6, $C$6, 100%, $E$6) + CHOOSE(CONTROL!$C$25, 0.0258, 0)</f>
        <v>43.880899999999997</v>
      </c>
      <c r="C726" s="4">
        <f>43.5684 * CHOOSE(CONTROL!$C$6, $C$6, 100%, $E$6) + CHOOSE(CONTROL!$C$25, 0.0258, 0)</f>
        <v>43.568399999999997</v>
      </c>
      <c r="D726" s="4">
        <f>57.0309 * CHOOSE(CONTROL!$C$6, $C$6, 100%, $E$6) + CHOOSE(CONTROL!$C$25, 0, 0)</f>
        <v>57.030900000000003</v>
      </c>
      <c r="E726" s="4">
        <f>342.380366391812 * CHOOSE(CONTROL!$C$6, $C$6, 100%, $E$6) + CHOOSE(CONTROL!$C$25, 0, 0)</f>
        <v>342.380366391812</v>
      </c>
    </row>
    <row r="727" spans="1:5" ht="15">
      <c r="A727" s="13">
        <v>64223</v>
      </c>
      <c r="B727" s="4">
        <f>42.4853 * CHOOSE(CONTROL!$C$6, $C$6, 100%, $E$6) + CHOOSE(CONTROL!$C$25, 0.0003, 0)</f>
        <v>42.485300000000002</v>
      </c>
      <c r="C727" s="4">
        <f>42.1728 * CHOOSE(CONTROL!$C$6, $C$6, 100%, $E$6) + CHOOSE(CONTROL!$C$25, 0.0003, 0)</f>
        <v>42.172800000000002</v>
      </c>
      <c r="D727" s="4">
        <f>56.2636 * CHOOSE(CONTROL!$C$6, $C$6, 100%, $E$6) + CHOOSE(CONTROL!$C$25, 0, 0)</f>
        <v>56.263599999999997</v>
      </c>
      <c r="E727" s="4">
        <f>331.004621747942 * CHOOSE(CONTROL!$C$6, $C$6, 100%, $E$6) + CHOOSE(CONTROL!$C$25, 0, 0)</f>
        <v>331.004621747942</v>
      </c>
    </row>
    <row r="728" spans="1:5" ht="15">
      <c r="A728" s="13">
        <v>64253</v>
      </c>
      <c r="B728" s="4">
        <f>41.5864 * CHOOSE(CONTROL!$C$6, $C$6, 100%, $E$6) + CHOOSE(CONTROL!$C$25, 0.0003, 0)</f>
        <v>41.586399999999998</v>
      </c>
      <c r="C728" s="4">
        <f>41.2739 * CHOOSE(CONTROL!$C$6, $C$6, 100%, $E$6) + CHOOSE(CONTROL!$C$25, 0.0003, 0)</f>
        <v>41.273899999999998</v>
      </c>
      <c r="D728" s="4">
        <f>55.9998 * CHOOSE(CONTROL!$C$6, $C$6, 100%, $E$6) + CHOOSE(CONTROL!$C$25, 0, 0)</f>
        <v>55.9998</v>
      </c>
      <c r="E728" s="4">
        <f>323.677792709865 * CHOOSE(CONTROL!$C$6, $C$6, 100%, $E$6) + CHOOSE(CONTROL!$C$25, 0, 0)</f>
        <v>323.677792709865</v>
      </c>
    </row>
    <row r="729" spans="1:5" ht="15">
      <c r="A729" s="13">
        <v>64284</v>
      </c>
      <c r="B729" s="4">
        <f>40.9644 * CHOOSE(CONTROL!$C$6, $C$6, 100%, $E$6) + CHOOSE(CONTROL!$C$25, 0.0003, 0)</f>
        <v>40.964399999999998</v>
      </c>
      <c r="C729" s="4">
        <f>40.6519 * CHOOSE(CONTROL!$C$6, $C$6, 100%, $E$6) + CHOOSE(CONTROL!$C$25, 0.0003, 0)</f>
        <v>40.651899999999998</v>
      </c>
      <c r="D729" s="4">
        <f>54.0578 * CHOOSE(CONTROL!$C$6, $C$6, 100%, $E$6) + CHOOSE(CONTROL!$C$25, 0, 0)</f>
        <v>54.0578</v>
      </c>
      <c r="E729" s="4">
        <f>318.60856883853 * CHOOSE(CONTROL!$C$6, $C$6, 100%, $E$6) + CHOOSE(CONTROL!$C$25, 0, 0)</f>
        <v>318.60856883853</v>
      </c>
    </row>
    <row r="730" spans="1:5" ht="15">
      <c r="A730" s="13">
        <v>64315</v>
      </c>
      <c r="B730" s="4">
        <f>39.4975 * CHOOSE(CONTROL!$C$6, $C$6, 100%, $E$6) + CHOOSE(CONTROL!$C$25, 0.0003, 0)</f>
        <v>39.497500000000002</v>
      </c>
      <c r="C730" s="4">
        <f>39.185 * CHOOSE(CONTROL!$C$6, $C$6, 100%, $E$6) + CHOOSE(CONTROL!$C$25, 0.0003, 0)</f>
        <v>39.185000000000002</v>
      </c>
      <c r="D730" s="4">
        <f>52.1636 * CHOOSE(CONTROL!$C$6, $C$6, 100%, $E$6) + CHOOSE(CONTROL!$C$25, 0, 0)</f>
        <v>52.163600000000002</v>
      </c>
      <c r="E730" s="4">
        <f>308.692033526835 * CHOOSE(CONTROL!$C$6, $C$6, 100%, $E$6) + CHOOSE(CONTROL!$C$25, 0, 0)</f>
        <v>308.69203352683502</v>
      </c>
    </row>
    <row r="731" spans="1:5" ht="15">
      <c r="A731" s="13">
        <v>64344</v>
      </c>
      <c r="B731" s="4">
        <f>40.3908 * CHOOSE(CONTROL!$C$6, $C$6, 100%, $E$6) + CHOOSE(CONTROL!$C$25, 0.0003, 0)</f>
        <v>40.390799999999999</v>
      </c>
      <c r="C731" s="4">
        <f>40.0783 * CHOOSE(CONTROL!$C$6, $C$6, 100%, $E$6) + CHOOSE(CONTROL!$C$25, 0.0003, 0)</f>
        <v>40.078299999999999</v>
      </c>
      <c r="D731" s="4">
        <f>53.9571 * CHOOSE(CONTROL!$C$6, $C$6, 100%, $E$6) + CHOOSE(CONTROL!$C$25, 0, 0)</f>
        <v>53.957099999999997</v>
      </c>
      <c r="E731" s="4">
        <f>316.021598930112 * CHOOSE(CONTROL!$C$6, $C$6, 100%, $E$6) + CHOOSE(CONTROL!$C$25, 0, 0)</f>
        <v>316.02159893011202</v>
      </c>
    </row>
    <row r="732" spans="1:5" ht="15">
      <c r="A732" s="13">
        <v>64375</v>
      </c>
      <c r="B732" s="4">
        <f>42.7367 * CHOOSE(CONTROL!$C$6, $C$6, 100%, $E$6) + CHOOSE(CONTROL!$C$25, 0.0003, 0)</f>
        <v>42.736699999999999</v>
      </c>
      <c r="C732" s="4">
        <f>42.4242 * CHOOSE(CONTROL!$C$6, $C$6, 100%, $E$6) + CHOOSE(CONTROL!$C$25, 0.0003, 0)</f>
        <v>42.424199999999999</v>
      </c>
      <c r="D732" s="4">
        <f>56.7648 * CHOOSE(CONTROL!$C$6, $C$6, 100%, $E$6) + CHOOSE(CONTROL!$C$25, 0, 0)</f>
        <v>56.764800000000001</v>
      </c>
      <c r="E732" s="4">
        <f>335.269427195876 * CHOOSE(CONTROL!$C$6, $C$6, 100%, $E$6) + CHOOSE(CONTROL!$C$25, 0, 0)</f>
        <v>335.26942719587601</v>
      </c>
    </row>
    <row r="733" spans="1:5" ht="15">
      <c r="A733" s="13">
        <v>64405</v>
      </c>
      <c r="B733" s="4">
        <f>44.4034 * CHOOSE(CONTROL!$C$6, $C$6, 100%, $E$6) + CHOOSE(CONTROL!$C$25, 0.0003, 0)</f>
        <v>44.403399999999998</v>
      </c>
      <c r="C733" s="4">
        <f>44.0909 * CHOOSE(CONTROL!$C$6, $C$6, 100%, $E$6) + CHOOSE(CONTROL!$C$25, 0.0003, 0)</f>
        <v>44.090899999999998</v>
      </c>
      <c r="D733" s="4">
        <f>58.382 * CHOOSE(CONTROL!$C$6, $C$6, 100%, $E$6) + CHOOSE(CONTROL!$C$25, 0, 0)</f>
        <v>58.381999999999998</v>
      </c>
      <c r="E733" s="4">
        <f>348.945265689741 * CHOOSE(CONTROL!$C$6, $C$6, 100%, $E$6) + CHOOSE(CONTROL!$C$25, 0, 0)</f>
        <v>348.94526568974101</v>
      </c>
    </row>
    <row r="734" spans="1:5" ht="15">
      <c r="A734" s="13">
        <v>64436</v>
      </c>
      <c r="B734" s="4">
        <f>45.4218 * CHOOSE(CONTROL!$C$6, $C$6, 100%, $E$6) + CHOOSE(CONTROL!$C$25, 0.0258, 0)</f>
        <v>45.421799999999998</v>
      </c>
      <c r="C734" s="4">
        <f>45.1093 * CHOOSE(CONTROL!$C$6, $C$6, 100%, $E$6) + CHOOSE(CONTROL!$C$25, 0.0258, 0)</f>
        <v>45.109299999999998</v>
      </c>
      <c r="D734" s="4">
        <f>57.743 * CHOOSE(CONTROL!$C$6, $C$6, 100%, $E$6) + CHOOSE(CONTROL!$C$25, 0, 0)</f>
        <v>57.743000000000002</v>
      </c>
      <c r="E734" s="4">
        <f>357.300875245387 * CHOOSE(CONTROL!$C$6, $C$6, 100%, $E$6) + CHOOSE(CONTROL!$C$25, 0, 0)</f>
        <v>357.30087524538698</v>
      </c>
    </row>
    <row r="735" spans="1:5" ht="15">
      <c r="A735" s="13">
        <v>64466</v>
      </c>
      <c r="B735" s="4">
        <f>45.5596 * CHOOSE(CONTROL!$C$6, $C$6, 100%, $E$6) + CHOOSE(CONTROL!$C$25, 0.0258, 0)</f>
        <v>45.559600000000003</v>
      </c>
      <c r="C735" s="4">
        <f>45.2471 * CHOOSE(CONTROL!$C$6, $C$6, 100%, $E$6) + CHOOSE(CONTROL!$C$25, 0.0258, 0)</f>
        <v>45.247100000000003</v>
      </c>
      <c r="D735" s="4">
        <f>58.2634 * CHOOSE(CONTROL!$C$6, $C$6, 100%, $E$6) + CHOOSE(CONTROL!$C$25, 0, 0)</f>
        <v>58.263399999999997</v>
      </c>
      <c r="E735" s="4">
        <f>358.431423894758 * CHOOSE(CONTROL!$C$6, $C$6, 100%, $E$6) + CHOOSE(CONTROL!$C$25, 0, 0)</f>
        <v>358.43142389475798</v>
      </c>
    </row>
    <row r="736" spans="1:5" ht="15">
      <c r="A736" s="13">
        <v>64497</v>
      </c>
      <c r="B736" s="4">
        <f>45.5457 * CHOOSE(CONTROL!$C$6, $C$6, 100%, $E$6) + CHOOSE(CONTROL!$C$25, 0.0258, 0)</f>
        <v>45.545699999999997</v>
      </c>
      <c r="C736" s="4">
        <f>45.2332 * CHOOSE(CONTROL!$C$6, $C$6, 100%, $E$6) + CHOOSE(CONTROL!$C$25, 0.0258, 0)</f>
        <v>45.233199999999997</v>
      </c>
      <c r="D736" s="4">
        <f>59.2026 * CHOOSE(CONTROL!$C$6, $C$6, 100%, $E$6) + CHOOSE(CONTROL!$C$25, 0, 0)</f>
        <v>59.202599999999997</v>
      </c>
      <c r="E736" s="4">
        <f>358.31741898894 * CHOOSE(CONTROL!$C$6, $C$6, 100%, $E$6) + CHOOSE(CONTROL!$C$25, 0, 0)</f>
        <v>358.31741898894001</v>
      </c>
    </row>
    <row r="737" spans="1:5" ht="15">
      <c r="A737" s="13">
        <v>64528</v>
      </c>
      <c r="B737" s="4">
        <f>46.5913 * CHOOSE(CONTROL!$C$6, $C$6, 100%, $E$6) + CHOOSE(CONTROL!$C$25, 0.0258, 0)</f>
        <v>46.591299999999997</v>
      </c>
      <c r="C737" s="4">
        <f>46.2788 * CHOOSE(CONTROL!$C$6, $C$6, 100%, $E$6) + CHOOSE(CONTROL!$C$25, 0.0258, 0)</f>
        <v>46.278799999999997</v>
      </c>
      <c r="D737" s="4">
        <f>58.5824 * CHOOSE(CONTROL!$C$6, $C$6, 100%, $E$6) + CHOOSE(CONTROL!$C$25, 0, 0)</f>
        <v>58.5824</v>
      </c>
      <c r="E737" s="4">
        <f>366.896288151815 * CHOOSE(CONTROL!$C$6, $C$6, 100%, $E$6) + CHOOSE(CONTROL!$C$25, 0, 0)</f>
        <v>366.89628815181499</v>
      </c>
    </row>
    <row r="738" spans="1:5" ht="15">
      <c r="A738" s="13">
        <v>64558</v>
      </c>
      <c r="B738" s="4">
        <f>44.8093 * CHOOSE(CONTROL!$C$6, $C$6, 100%, $E$6) + CHOOSE(CONTROL!$C$25, 0.0258, 0)</f>
        <v>44.8093</v>
      </c>
      <c r="C738" s="4">
        <f>44.4968 * CHOOSE(CONTROL!$C$6, $C$6, 100%, $E$6) + CHOOSE(CONTROL!$C$25, 0.0258, 0)</f>
        <v>44.4968</v>
      </c>
      <c r="D738" s="4">
        <f>58.2893 * CHOOSE(CONTROL!$C$6, $C$6, 100%, $E$6) + CHOOSE(CONTROL!$C$25, 0, 0)</f>
        <v>58.289299999999997</v>
      </c>
      <c r="E738" s="4">
        <f>352.275158980536 * CHOOSE(CONTROL!$C$6, $C$6, 100%, $E$6) + CHOOSE(CONTROL!$C$25, 0, 0)</f>
        <v>352.27515898053599</v>
      </c>
    </row>
    <row r="739" spans="1:5" ht="15">
      <c r="A739" s="13">
        <v>64589</v>
      </c>
      <c r="B739" s="4">
        <f>43.3828 * CHOOSE(CONTROL!$C$6, $C$6, 100%, $E$6) + CHOOSE(CONTROL!$C$25, 0.0003, 0)</f>
        <v>43.382800000000003</v>
      </c>
      <c r="C739" s="4">
        <f>43.0703 * CHOOSE(CONTROL!$C$6, $C$6, 100%, $E$6) + CHOOSE(CONTROL!$C$25, 0.0003, 0)</f>
        <v>43.070300000000003</v>
      </c>
      <c r="D739" s="4">
        <f>57.5047 * CHOOSE(CONTROL!$C$6, $C$6, 100%, $E$6) + CHOOSE(CONTROL!$C$25, 0, 0)</f>
        <v>57.5047</v>
      </c>
      <c r="E739" s="4">
        <f>340.570655316457 * CHOOSE(CONTROL!$C$6, $C$6, 100%, $E$6) + CHOOSE(CONTROL!$C$25, 0, 0)</f>
        <v>340.57065531645702</v>
      </c>
    </row>
    <row r="740" spans="1:5" ht="15">
      <c r="A740" s="13">
        <v>64619</v>
      </c>
      <c r="B740" s="4">
        <f>42.464 * CHOOSE(CONTROL!$C$6, $C$6, 100%, $E$6) + CHOOSE(CONTROL!$C$25, 0.0003, 0)</f>
        <v>42.463999999999999</v>
      </c>
      <c r="C740" s="4">
        <f>42.1515 * CHOOSE(CONTROL!$C$6, $C$6, 100%, $E$6) + CHOOSE(CONTROL!$C$25, 0.0003, 0)</f>
        <v>42.151499999999999</v>
      </c>
      <c r="D740" s="4">
        <f>57.235 * CHOOSE(CONTROL!$C$6, $C$6, 100%, $E$6) + CHOOSE(CONTROL!$C$25, 0, 0)</f>
        <v>57.234999999999999</v>
      </c>
      <c r="E740" s="4">
        <f>333.03208091918 * CHOOSE(CONTROL!$C$6, $C$6, 100%, $E$6) + CHOOSE(CONTROL!$C$25, 0, 0)</f>
        <v>333.03208091917998</v>
      </c>
    </row>
    <row r="741" spans="1:5" ht="15">
      <c r="A741" s="13">
        <v>64650</v>
      </c>
      <c r="B741" s="4">
        <f>41.8283 * CHOOSE(CONTROL!$C$6, $C$6, 100%, $E$6) + CHOOSE(CONTROL!$C$25, 0.0003, 0)</f>
        <v>41.828299999999999</v>
      </c>
      <c r="C741" s="4">
        <f>41.5158 * CHOOSE(CONTROL!$C$6, $C$6, 100%, $E$6) + CHOOSE(CONTROL!$C$25, 0.0003, 0)</f>
        <v>41.515799999999999</v>
      </c>
      <c r="D741" s="4">
        <f>55.2491 * CHOOSE(CONTROL!$C$6, $C$6, 100%, $E$6) + CHOOSE(CONTROL!$C$25, 0, 0)</f>
        <v>55.249099999999999</v>
      </c>
      <c r="E741" s="4">
        <f>327.816356477963 * CHOOSE(CONTROL!$C$6, $C$6, 100%, $E$6) + CHOOSE(CONTROL!$C$25, 0, 0)</f>
        <v>327.81635647796298</v>
      </c>
    </row>
    <row r="742" spans="1:5" ht="15">
      <c r="A742" s="13">
        <v>64681</v>
      </c>
      <c r="B742" s="4">
        <f>40.3289 * CHOOSE(CONTROL!$C$6, $C$6, 100%, $E$6) + CHOOSE(CONTROL!$C$25, 0.0003, 0)</f>
        <v>40.328899999999997</v>
      </c>
      <c r="C742" s="4">
        <f>40.0164 * CHOOSE(CONTROL!$C$6, $C$6, 100%, $E$6) + CHOOSE(CONTROL!$C$25, 0.0003, 0)</f>
        <v>40.016399999999997</v>
      </c>
      <c r="D742" s="4">
        <f>53.3121 * CHOOSE(CONTROL!$C$6, $C$6, 100%, $E$6) + CHOOSE(CONTROL!$C$25, 0, 0)</f>
        <v>53.312100000000001</v>
      </c>
      <c r="E742" s="4">
        <f>317.613233295761 * CHOOSE(CONTROL!$C$6, $C$6, 100%, $E$6) + CHOOSE(CONTROL!$C$25, 0, 0)</f>
        <v>317.61323329576101</v>
      </c>
    </row>
    <row r="743" spans="1:5" ht="15">
      <c r="A743" s="13">
        <v>64709</v>
      </c>
      <c r="B743" s="4">
        <f>41.242 * CHOOSE(CONTROL!$C$6, $C$6, 100%, $E$6) + CHOOSE(CONTROL!$C$25, 0.0003, 0)</f>
        <v>41.241999999999997</v>
      </c>
      <c r="C743" s="4">
        <f>40.9295 * CHOOSE(CONTROL!$C$6, $C$6, 100%, $E$6) + CHOOSE(CONTROL!$C$25, 0.0003, 0)</f>
        <v>40.929499999999997</v>
      </c>
      <c r="D743" s="4">
        <f>55.1461 * CHOOSE(CONTROL!$C$6, $C$6, 100%, $E$6) + CHOOSE(CONTROL!$C$25, 0, 0)</f>
        <v>55.146099999999997</v>
      </c>
      <c r="E743" s="4">
        <f>325.154623139192 * CHOOSE(CONTROL!$C$6, $C$6, 100%, $E$6) + CHOOSE(CONTROL!$C$25, 0, 0)</f>
        <v>325.15462313919198</v>
      </c>
    </row>
    <row r="744" spans="1:5" ht="15">
      <c r="A744" s="13">
        <v>64740</v>
      </c>
      <c r="B744" s="4">
        <f>43.6397 * CHOOSE(CONTROL!$C$6, $C$6, 100%, $E$6) + CHOOSE(CONTROL!$C$25, 0.0003, 0)</f>
        <v>43.639699999999998</v>
      </c>
      <c r="C744" s="4">
        <f>43.3272 * CHOOSE(CONTROL!$C$6, $C$6, 100%, $E$6) + CHOOSE(CONTROL!$C$25, 0.0003, 0)</f>
        <v>43.327199999999998</v>
      </c>
      <c r="D744" s="4">
        <f>58.0172 * CHOOSE(CONTROL!$C$6, $C$6, 100%, $E$6) + CHOOSE(CONTROL!$C$25, 0, 0)</f>
        <v>58.017200000000003</v>
      </c>
      <c r="E744" s="4">
        <f>344.958713641837 * CHOOSE(CONTROL!$C$6, $C$6, 100%, $E$6) + CHOOSE(CONTROL!$C$25, 0, 0)</f>
        <v>344.95871364183699</v>
      </c>
    </row>
    <row r="745" spans="1:5" ht="15">
      <c r="A745" s="13">
        <v>64770</v>
      </c>
      <c r="B745" s="4">
        <f>45.3433 * CHOOSE(CONTROL!$C$6, $C$6, 100%, $E$6) + CHOOSE(CONTROL!$C$25, 0.0003, 0)</f>
        <v>45.343299999999999</v>
      </c>
      <c r="C745" s="4">
        <f>45.0308 * CHOOSE(CONTROL!$C$6, $C$6, 100%, $E$6) + CHOOSE(CONTROL!$C$25, 0.0003, 0)</f>
        <v>45.030799999999999</v>
      </c>
      <c r="D745" s="4">
        <f>59.671 * CHOOSE(CONTROL!$C$6, $C$6, 100%, $E$6) + CHOOSE(CONTROL!$C$25, 0, 0)</f>
        <v>59.670999999999999</v>
      </c>
      <c r="E745" s="4">
        <f>359.029783868174 * CHOOSE(CONTROL!$C$6, $C$6, 100%, $E$6) + CHOOSE(CONTROL!$C$25, 0, 0)</f>
        <v>359.02978386817398</v>
      </c>
    </row>
    <row r="746" spans="1:5" ht="15">
      <c r="A746" s="13">
        <v>64801</v>
      </c>
      <c r="B746" s="4">
        <f>46.3842 * CHOOSE(CONTROL!$C$6, $C$6, 100%, $E$6) + CHOOSE(CONTROL!$C$25, 0.0258, 0)</f>
        <v>46.3842</v>
      </c>
      <c r="C746" s="4">
        <f>46.0717 * CHOOSE(CONTROL!$C$6, $C$6, 100%, $E$6) + CHOOSE(CONTROL!$C$25, 0.0258, 0)</f>
        <v>46.0717</v>
      </c>
      <c r="D746" s="4">
        <f>59.0175 * CHOOSE(CONTROL!$C$6, $C$6, 100%, $E$6) + CHOOSE(CONTROL!$C$25, 0, 0)</f>
        <v>59.017499999999998</v>
      </c>
      <c r="E746" s="4">
        <f>367.626870539979 * CHOOSE(CONTROL!$C$6, $C$6, 100%, $E$6) + CHOOSE(CONTROL!$C$25, 0, 0)</f>
        <v>367.626870539979</v>
      </c>
    </row>
    <row r="747" spans="1:5" ht="15">
      <c r="A747" s="13">
        <v>64831</v>
      </c>
      <c r="B747" s="4">
        <f>46.525 * CHOOSE(CONTROL!$C$6, $C$6, 100%, $E$6) + CHOOSE(CONTROL!$C$25, 0.0258, 0)</f>
        <v>46.524999999999999</v>
      </c>
      <c r="C747" s="4">
        <f>46.2125 * CHOOSE(CONTROL!$C$6, $C$6, 100%, $E$6) + CHOOSE(CONTROL!$C$25, 0.0258, 0)</f>
        <v>46.212499999999999</v>
      </c>
      <c r="D747" s="4">
        <f>59.5498 * CHOOSE(CONTROL!$C$6, $C$6, 100%, $E$6) + CHOOSE(CONTROL!$C$25, 0, 0)</f>
        <v>59.549799999999998</v>
      </c>
      <c r="E747" s="4">
        <f>368.790092045317 * CHOOSE(CONTROL!$C$6, $C$6, 100%, $E$6) + CHOOSE(CONTROL!$C$25, 0, 0)</f>
        <v>368.79009204531701</v>
      </c>
    </row>
    <row r="748" spans="1:5" ht="15">
      <c r="A748" s="13">
        <v>64862</v>
      </c>
      <c r="B748" s="4">
        <f>46.5108 * CHOOSE(CONTROL!$C$6, $C$6, 100%, $E$6) + CHOOSE(CONTROL!$C$25, 0.0258, 0)</f>
        <v>46.510800000000003</v>
      </c>
      <c r="C748" s="4">
        <f>46.1983 * CHOOSE(CONTROL!$C$6, $C$6, 100%, $E$6) + CHOOSE(CONTROL!$C$25, 0.0258, 0)</f>
        <v>46.198300000000003</v>
      </c>
      <c r="D748" s="4">
        <f>60.5101 * CHOOSE(CONTROL!$C$6, $C$6, 100%, $E$6) + CHOOSE(CONTROL!$C$25, 0, 0)</f>
        <v>60.510100000000001</v>
      </c>
      <c r="E748" s="4">
        <f>368.67279239772 * CHOOSE(CONTROL!$C$6, $C$6, 100%, $E$6) + CHOOSE(CONTROL!$C$25, 0, 0)</f>
        <v>368.67279239772</v>
      </c>
    </row>
    <row r="749" spans="1:5" ht="15">
      <c r="A749" s="13">
        <v>64893</v>
      </c>
      <c r="B749" s="4">
        <f>47.5795 * CHOOSE(CONTROL!$C$6, $C$6, 100%, $E$6) + CHOOSE(CONTROL!$C$25, 0.0258, 0)</f>
        <v>47.579500000000003</v>
      </c>
      <c r="C749" s="4">
        <f>47.267 * CHOOSE(CONTROL!$C$6, $C$6, 100%, $E$6) + CHOOSE(CONTROL!$C$25, 0.0258, 0)</f>
        <v>47.267000000000003</v>
      </c>
      <c r="D749" s="4">
        <f>59.8759 * CHOOSE(CONTROL!$C$6, $C$6, 100%, $E$6) + CHOOSE(CONTROL!$C$25, 0, 0)</f>
        <v>59.875900000000001</v>
      </c>
      <c r="E749" s="4">
        <f>377.499590879402 * CHOOSE(CONTROL!$C$6, $C$6, 100%, $E$6) + CHOOSE(CONTROL!$C$25, 0, 0)</f>
        <v>377.49959087940198</v>
      </c>
    </row>
    <row r="750" spans="1:5" ht="15">
      <c r="A750" s="13">
        <v>64923</v>
      </c>
      <c r="B750" s="4">
        <f>45.7581 * CHOOSE(CONTROL!$C$6, $C$6, 100%, $E$6) + CHOOSE(CONTROL!$C$25, 0.0258, 0)</f>
        <v>45.758099999999999</v>
      </c>
      <c r="C750" s="4">
        <f>45.4456 * CHOOSE(CONTROL!$C$6, $C$6, 100%, $E$6) + CHOOSE(CONTROL!$C$25, 0.0258, 0)</f>
        <v>45.445599999999999</v>
      </c>
      <c r="D750" s="4">
        <f>59.5762 * CHOOSE(CONTROL!$C$6, $C$6, 100%, $E$6) + CHOOSE(CONTROL!$C$25, 0, 0)</f>
        <v>59.5762</v>
      </c>
      <c r="E750" s="4">
        <f>362.455911075073 * CHOOSE(CONTROL!$C$6, $C$6, 100%, $E$6) + CHOOSE(CONTROL!$C$25, 0, 0)</f>
        <v>362.455911075073</v>
      </c>
    </row>
    <row r="751" spans="1:5" ht="15">
      <c r="A751" s="13">
        <v>64954</v>
      </c>
      <c r="B751" s="4">
        <f>44.3001 * CHOOSE(CONTROL!$C$6, $C$6, 100%, $E$6) + CHOOSE(CONTROL!$C$25, 0.0003, 0)</f>
        <v>44.3001</v>
      </c>
      <c r="C751" s="4">
        <f>43.9876 * CHOOSE(CONTROL!$C$6, $C$6, 100%, $E$6) + CHOOSE(CONTROL!$C$25, 0.0003, 0)</f>
        <v>43.9876</v>
      </c>
      <c r="D751" s="4">
        <f>58.7739 * CHOOSE(CONTROL!$C$6, $C$6, 100%, $E$6) + CHOOSE(CONTROL!$C$25, 0, 0)</f>
        <v>58.773899999999998</v>
      </c>
      <c r="E751" s="4">
        <f>350.413147255103 * CHOOSE(CONTROL!$C$6, $C$6, 100%, $E$6) + CHOOSE(CONTROL!$C$25, 0, 0)</f>
        <v>350.41314725510301</v>
      </c>
    </row>
    <row r="752" spans="1:5" ht="15">
      <c r="A752" s="13">
        <v>64984</v>
      </c>
      <c r="B752" s="4">
        <f>43.361 * CHOOSE(CONTROL!$C$6, $C$6, 100%, $E$6) + CHOOSE(CONTROL!$C$25, 0.0003, 0)</f>
        <v>43.360999999999997</v>
      </c>
      <c r="C752" s="4">
        <f>43.0485 * CHOOSE(CONTROL!$C$6, $C$6, 100%, $E$6) + CHOOSE(CONTROL!$C$25, 0.0003, 0)</f>
        <v>43.048499999999997</v>
      </c>
      <c r="D752" s="4">
        <f>58.4981 * CHOOSE(CONTROL!$C$6, $C$6, 100%, $E$6) + CHOOSE(CONTROL!$C$25, 0, 0)</f>
        <v>58.498100000000001</v>
      </c>
      <c r="E752" s="4">
        <f>342.656708057744 * CHOOSE(CONTROL!$C$6, $C$6, 100%, $E$6) + CHOOSE(CONTROL!$C$25, 0, 0)</f>
        <v>342.65670805774403</v>
      </c>
    </row>
    <row r="753" spans="1:5" ht="15">
      <c r="A753" s="13">
        <v>65015</v>
      </c>
      <c r="B753" s="4">
        <f>42.7113 * CHOOSE(CONTROL!$C$6, $C$6, 100%, $E$6) + CHOOSE(CONTROL!$C$25, 0.0003, 0)</f>
        <v>42.711300000000001</v>
      </c>
      <c r="C753" s="4">
        <f>42.3988 * CHOOSE(CONTROL!$C$6, $C$6, 100%, $E$6) + CHOOSE(CONTROL!$C$25, 0.0003, 0)</f>
        <v>42.398800000000001</v>
      </c>
      <c r="D753" s="4">
        <f>56.4673 * CHOOSE(CONTROL!$C$6, $C$6, 100%, $E$6) + CHOOSE(CONTROL!$C$25, 0, 0)</f>
        <v>56.467300000000002</v>
      </c>
      <c r="E753" s="4">
        <f>337.290249180176 * CHOOSE(CONTROL!$C$6, $C$6, 100%, $E$6) + CHOOSE(CONTROL!$C$25, 0, 0)</f>
        <v>337.29024918017598</v>
      </c>
    </row>
    <row r="754" spans="1:5" ht="15">
      <c r="A754" s="13">
        <v>65046</v>
      </c>
      <c r="B754" s="4">
        <f>41.1788 * CHOOSE(CONTROL!$C$6, $C$6, 100%, $E$6) + CHOOSE(CONTROL!$C$25, 0.0003, 0)</f>
        <v>41.178800000000003</v>
      </c>
      <c r="C754" s="4">
        <f>40.8663 * CHOOSE(CONTROL!$C$6, $C$6, 100%, $E$6) + CHOOSE(CONTROL!$C$25, 0.0003, 0)</f>
        <v>40.866300000000003</v>
      </c>
      <c r="D754" s="4">
        <f>54.4865 * CHOOSE(CONTROL!$C$6, $C$6, 100%, $E$6) + CHOOSE(CONTROL!$C$25, 0, 0)</f>
        <v>54.486499999999999</v>
      </c>
      <c r="E754" s="4">
        <f>326.792255738008 * CHOOSE(CONTROL!$C$6, $C$6, 100%, $E$6) + CHOOSE(CONTROL!$C$25, 0, 0)</f>
        <v>326.79225573800801</v>
      </c>
    </row>
    <row r="755" spans="1:5" ht="15">
      <c r="A755" s="13">
        <v>65074</v>
      </c>
      <c r="B755" s="4">
        <f>42.112 * CHOOSE(CONTROL!$C$6, $C$6, 100%, $E$6) + CHOOSE(CONTROL!$C$25, 0.0003, 0)</f>
        <v>42.112000000000002</v>
      </c>
      <c r="C755" s="4">
        <f>41.7995 * CHOOSE(CONTROL!$C$6, $C$6, 100%, $E$6) + CHOOSE(CONTROL!$C$25, 0.0003, 0)</f>
        <v>41.799500000000002</v>
      </c>
      <c r="D755" s="4">
        <f>56.362 * CHOOSE(CONTROL!$C$6, $C$6, 100%, $E$6) + CHOOSE(CONTROL!$C$25, 0, 0)</f>
        <v>56.362000000000002</v>
      </c>
      <c r="E755" s="4">
        <f>334.551591747914 * CHOOSE(CONTROL!$C$6, $C$6, 100%, $E$6) + CHOOSE(CONTROL!$C$25, 0, 0)</f>
        <v>334.55159174791402</v>
      </c>
    </row>
    <row r="756" spans="1:5" ht="15">
      <c r="A756" s="13">
        <v>65105</v>
      </c>
      <c r="B756" s="4">
        <f>44.5627 * CHOOSE(CONTROL!$C$6, $C$6, 100%, $E$6) + CHOOSE(CONTROL!$C$25, 0.0003, 0)</f>
        <v>44.5627</v>
      </c>
      <c r="C756" s="4">
        <f>44.2502 * CHOOSE(CONTROL!$C$6, $C$6, 100%, $E$6) + CHOOSE(CONTROL!$C$25, 0.0003, 0)</f>
        <v>44.2502</v>
      </c>
      <c r="D756" s="4">
        <f>59.298 * CHOOSE(CONTROL!$C$6, $C$6, 100%, $E$6) + CHOOSE(CONTROL!$C$25, 0, 0)</f>
        <v>59.298000000000002</v>
      </c>
      <c r="E756" s="4">
        <f>354.928020466086 * CHOOSE(CONTROL!$C$6, $C$6, 100%, $E$6) + CHOOSE(CONTROL!$C$25, 0, 0)</f>
        <v>354.92802046608602</v>
      </c>
    </row>
    <row r="757" spans="1:5" ht="15">
      <c r="A757" s="13">
        <v>65135</v>
      </c>
      <c r="B757" s="4">
        <f>46.304 * CHOOSE(CONTROL!$C$6, $C$6, 100%, $E$6) + CHOOSE(CONTROL!$C$25, 0.0003, 0)</f>
        <v>46.304000000000002</v>
      </c>
      <c r="C757" s="4">
        <f>45.9915 * CHOOSE(CONTROL!$C$6, $C$6, 100%, $E$6) + CHOOSE(CONTROL!$C$25, 0.0003, 0)</f>
        <v>45.991500000000002</v>
      </c>
      <c r="D757" s="4">
        <f>60.9892 * CHOOSE(CONTROL!$C$6, $C$6, 100%, $E$6) + CHOOSE(CONTROL!$C$25, 0, 0)</f>
        <v>60.989199999999997</v>
      </c>
      <c r="E757" s="4">
        <f>369.405744621964 * CHOOSE(CONTROL!$C$6, $C$6, 100%, $E$6) + CHOOSE(CONTROL!$C$25, 0, 0)</f>
        <v>369.405744621964</v>
      </c>
    </row>
    <row r="758" spans="1:5" ht="15">
      <c r="A758" s="13">
        <v>65166</v>
      </c>
      <c r="B758" s="4">
        <f>47.3678 * CHOOSE(CONTROL!$C$6, $C$6, 100%, $E$6) + CHOOSE(CONTROL!$C$25, 0.0258, 0)</f>
        <v>47.367800000000003</v>
      </c>
      <c r="C758" s="4">
        <f>47.0553 * CHOOSE(CONTROL!$C$6, $C$6, 100%, $E$6) + CHOOSE(CONTROL!$C$25, 0.0258, 0)</f>
        <v>47.055300000000003</v>
      </c>
      <c r="D758" s="4">
        <f>60.3209 * CHOOSE(CONTROL!$C$6, $C$6, 100%, $E$6) + CHOOSE(CONTROL!$C$25, 0, 0)</f>
        <v>60.320900000000002</v>
      </c>
      <c r="E758" s="4">
        <f>378.251287098584 * CHOOSE(CONTROL!$C$6, $C$6, 100%, $E$6) + CHOOSE(CONTROL!$C$25, 0, 0)</f>
        <v>378.25128709858399</v>
      </c>
    </row>
    <row r="759" spans="1:5" ht="15">
      <c r="A759" s="13">
        <v>65196</v>
      </c>
      <c r="B759" s="4">
        <f>47.5118 * CHOOSE(CONTROL!$C$6, $C$6, 100%, $E$6) + CHOOSE(CONTROL!$C$25, 0.0258, 0)</f>
        <v>47.511800000000001</v>
      </c>
      <c r="C759" s="4">
        <f>47.1993 * CHOOSE(CONTROL!$C$6, $C$6, 100%, $E$6) + CHOOSE(CONTROL!$C$25, 0.0258, 0)</f>
        <v>47.199300000000001</v>
      </c>
      <c r="D759" s="4">
        <f>60.8652 * CHOOSE(CONTROL!$C$6, $C$6, 100%, $E$6) + CHOOSE(CONTROL!$C$25, 0, 0)</f>
        <v>60.865200000000002</v>
      </c>
      <c r="E759" s="4">
        <f>379.448125705427 * CHOOSE(CONTROL!$C$6, $C$6, 100%, $E$6) + CHOOSE(CONTROL!$C$25, 0, 0)</f>
        <v>379.448125705427</v>
      </c>
    </row>
    <row r="760" spans="1:5" ht="15">
      <c r="A760" s="13">
        <v>65227</v>
      </c>
      <c r="B760" s="4">
        <f>47.4973 * CHOOSE(CONTROL!$C$6, $C$6, 100%, $E$6) + CHOOSE(CONTROL!$C$25, 0.0258, 0)</f>
        <v>47.497300000000003</v>
      </c>
      <c r="C760" s="4">
        <f>47.1848 * CHOOSE(CONTROL!$C$6, $C$6, 100%, $E$6) + CHOOSE(CONTROL!$C$25, 0.0258, 0)</f>
        <v>47.184800000000003</v>
      </c>
      <c r="D760" s="4">
        <f>61.8472 * CHOOSE(CONTROL!$C$6, $C$6, 100%, $E$6) + CHOOSE(CONTROL!$C$25, 0, 0)</f>
        <v>61.847200000000001</v>
      </c>
      <c r="E760" s="4">
        <f>379.327436098014 * CHOOSE(CONTROL!$C$6, $C$6, 100%, $E$6) + CHOOSE(CONTROL!$C$25, 0, 0)</f>
        <v>379.327436098014</v>
      </c>
    </row>
    <row r="761" spans="1:5" ht="15">
      <c r="A761" s="13">
        <v>65258</v>
      </c>
      <c r="B761" s="4">
        <f>48.5895 * CHOOSE(CONTROL!$C$6, $C$6, 100%, $E$6) + CHOOSE(CONTROL!$C$25, 0.0258, 0)</f>
        <v>48.589500000000001</v>
      </c>
      <c r="C761" s="4">
        <f>48.277 * CHOOSE(CONTROL!$C$6, $C$6, 100%, $E$6) + CHOOSE(CONTROL!$C$25, 0.0258, 0)</f>
        <v>48.277000000000001</v>
      </c>
      <c r="D761" s="4">
        <f>61.1987 * CHOOSE(CONTROL!$C$6, $C$6, 100%, $E$6) + CHOOSE(CONTROL!$C$25, 0, 0)</f>
        <v>61.198700000000002</v>
      </c>
      <c r="E761" s="4">
        <f>388.409329055817 * CHOOSE(CONTROL!$C$6, $C$6, 100%, $E$6) + CHOOSE(CONTROL!$C$25, 0, 0)</f>
        <v>388.40932905581701</v>
      </c>
    </row>
    <row r="762" spans="1:5" ht="15">
      <c r="A762" s="13">
        <v>65288</v>
      </c>
      <c r="B762" s="4">
        <f>46.7279 * CHOOSE(CONTROL!$C$6, $C$6, 100%, $E$6) + CHOOSE(CONTROL!$C$25, 0.0258, 0)</f>
        <v>46.727899999999998</v>
      </c>
      <c r="C762" s="4">
        <f>46.4154 * CHOOSE(CONTROL!$C$6, $C$6, 100%, $E$6) + CHOOSE(CONTROL!$C$25, 0.0258, 0)</f>
        <v>46.415399999999998</v>
      </c>
      <c r="D762" s="4">
        <f>60.8922 * CHOOSE(CONTROL!$C$6, $C$6, 100%, $E$6) + CHOOSE(CONTROL!$C$25, 0, 0)</f>
        <v>60.892200000000003</v>
      </c>
      <c r="E762" s="4">
        <f>372.930886905143 * CHOOSE(CONTROL!$C$6, $C$6, 100%, $E$6) + CHOOSE(CONTROL!$C$25, 0, 0)</f>
        <v>372.93088690514298</v>
      </c>
    </row>
    <row r="763" spans="1:5" ht="15">
      <c r="A763" s="13">
        <v>65319</v>
      </c>
      <c r="B763" s="4">
        <f>45.2377 * CHOOSE(CONTROL!$C$6, $C$6, 100%, $E$6) + CHOOSE(CONTROL!$C$25, 0.0003, 0)</f>
        <v>45.237699999999997</v>
      </c>
      <c r="C763" s="4">
        <f>44.9252 * CHOOSE(CONTROL!$C$6, $C$6, 100%, $E$6) + CHOOSE(CONTROL!$C$25, 0.0003, 0)</f>
        <v>44.925199999999997</v>
      </c>
      <c r="D763" s="4">
        <f>60.0718 * CHOOSE(CONTROL!$C$6, $C$6, 100%, $E$6) + CHOOSE(CONTROL!$C$25, 0, 0)</f>
        <v>60.071800000000003</v>
      </c>
      <c r="E763" s="4">
        <f>360.540087210775 * CHOOSE(CONTROL!$C$6, $C$6, 100%, $E$6) + CHOOSE(CONTROL!$C$25, 0, 0)</f>
        <v>360.54008721077503</v>
      </c>
    </row>
    <row r="764" spans="1:5" ht="15">
      <c r="A764" s="13">
        <v>65349</v>
      </c>
      <c r="B764" s="4">
        <f>44.2778 * CHOOSE(CONTROL!$C$6, $C$6, 100%, $E$6) + CHOOSE(CONTROL!$C$25, 0.0003, 0)</f>
        <v>44.277799999999999</v>
      </c>
      <c r="C764" s="4">
        <f>43.9653 * CHOOSE(CONTROL!$C$6, $C$6, 100%, $E$6) + CHOOSE(CONTROL!$C$25, 0.0003, 0)</f>
        <v>43.965299999999999</v>
      </c>
      <c r="D764" s="4">
        <f>59.7897 * CHOOSE(CONTROL!$C$6, $C$6, 100%, $E$6) + CHOOSE(CONTROL!$C$25, 0, 0)</f>
        <v>59.789700000000003</v>
      </c>
      <c r="E764" s="4">
        <f>352.559486920613 * CHOOSE(CONTROL!$C$6, $C$6, 100%, $E$6) + CHOOSE(CONTROL!$C$25, 0, 0)</f>
        <v>352.55948692061298</v>
      </c>
    </row>
    <row r="765" spans="1:5" ht="15">
      <c r="A765" s="13">
        <v>65380</v>
      </c>
      <c r="B765" s="4">
        <f>43.6138 * CHOOSE(CONTROL!$C$6, $C$6, 100%, $E$6) + CHOOSE(CONTROL!$C$25, 0.0003, 0)</f>
        <v>43.613799999999998</v>
      </c>
      <c r="C765" s="4">
        <f>43.3013 * CHOOSE(CONTROL!$C$6, $C$6, 100%, $E$6) + CHOOSE(CONTROL!$C$25, 0.0003, 0)</f>
        <v>43.301299999999998</v>
      </c>
      <c r="D765" s="4">
        <f>57.713 * CHOOSE(CONTROL!$C$6, $C$6, 100%, $E$6) + CHOOSE(CONTROL!$C$25, 0, 0)</f>
        <v>57.713000000000001</v>
      </c>
      <c r="E765" s="4">
        <f>347.037937381483 * CHOOSE(CONTROL!$C$6, $C$6, 100%, $E$6) + CHOOSE(CONTROL!$C$25, 0, 0)</f>
        <v>347.037937381483</v>
      </c>
    </row>
    <row r="766" spans="1:5" ht="15">
      <c r="A766" s="13">
        <v>65411</v>
      </c>
      <c r="B766" s="4">
        <f>42.0474 * CHOOSE(CONTROL!$C$6, $C$6, 100%, $E$6) + CHOOSE(CONTROL!$C$25, 0.0003, 0)</f>
        <v>42.047400000000003</v>
      </c>
      <c r="C766" s="4">
        <f>41.7349 * CHOOSE(CONTROL!$C$6, $C$6, 100%, $E$6) + CHOOSE(CONTROL!$C$25, 0.0003, 0)</f>
        <v>41.734900000000003</v>
      </c>
      <c r="D766" s="4">
        <f>55.6874 * CHOOSE(CONTROL!$C$6, $C$6, 100%, $E$6) + CHOOSE(CONTROL!$C$25, 0, 0)</f>
        <v>55.687399999999997</v>
      </c>
      <c r="E766" s="4">
        <f>336.236551928837 * CHOOSE(CONTROL!$C$6, $C$6, 100%, $E$6) + CHOOSE(CONTROL!$C$25, 0, 0)</f>
        <v>336.236551928837</v>
      </c>
    </row>
    <row r="767" spans="1:5" ht="15">
      <c r="A767" s="13">
        <v>65439</v>
      </c>
      <c r="B767" s="4">
        <f>43.0012 * CHOOSE(CONTROL!$C$6, $C$6, 100%, $E$6) + CHOOSE(CONTROL!$C$25, 0.0003, 0)</f>
        <v>43.001199999999997</v>
      </c>
      <c r="C767" s="4">
        <f>42.6887 * CHOOSE(CONTROL!$C$6, $C$6, 100%, $E$6) + CHOOSE(CONTROL!$C$25, 0.0003, 0)</f>
        <v>42.688699999999997</v>
      </c>
      <c r="D767" s="4">
        <f>57.6053 * CHOOSE(CONTROL!$C$6, $C$6, 100%, $E$6) + CHOOSE(CONTROL!$C$25, 0, 0)</f>
        <v>57.6053</v>
      </c>
      <c r="E767" s="4">
        <f>344.220132749429 * CHOOSE(CONTROL!$C$6, $C$6, 100%, $E$6) + CHOOSE(CONTROL!$C$25, 0, 0)</f>
        <v>344.22013274942901</v>
      </c>
    </row>
    <row r="768" spans="1:5" ht="15">
      <c r="A768" s="13">
        <v>65470</v>
      </c>
      <c r="B768" s="4">
        <f>45.5061 * CHOOSE(CONTROL!$C$6, $C$6, 100%, $E$6) + CHOOSE(CONTROL!$C$25, 0.0003, 0)</f>
        <v>45.506100000000004</v>
      </c>
      <c r="C768" s="4">
        <f>45.1936 * CHOOSE(CONTROL!$C$6, $C$6, 100%, $E$6) + CHOOSE(CONTROL!$C$25, 0.0003, 0)</f>
        <v>45.193600000000004</v>
      </c>
      <c r="D768" s="4">
        <f>60.6077 * CHOOSE(CONTROL!$C$6, $C$6, 100%, $E$6) + CHOOSE(CONTROL!$C$25, 0, 0)</f>
        <v>60.607700000000001</v>
      </c>
      <c r="E768" s="4">
        <f>365.185440257556 * CHOOSE(CONTROL!$C$6, $C$6, 100%, $E$6) + CHOOSE(CONTROL!$C$25, 0, 0)</f>
        <v>365.18544025755602</v>
      </c>
    </row>
    <row r="769" spans="1:5" ht="15">
      <c r="A769" s="13">
        <v>65500</v>
      </c>
      <c r="B769" s="4">
        <f>47.2858 * CHOOSE(CONTROL!$C$6, $C$6, 100%, $E$6) + CHOOSE(CONTROL!$C$25, 0.0003, 0)</f>
        <v>47.285800000000002</v>
      </c>
      <c r="C769" s="4">
        <f>46.9733 * CHOOSE(CONTROL!$C$6, $C$6, 100%, $E$6) + CHOOSE(CONTROL!$C$25, 0.0003, 0)</f>
        <v>46.973300000000002</v>
      </c>
      <c r="D769" s="4">
        <f>62.3371 * CHOOSE(CONTROL!$C$6, $C$6, 100%, $E$6) + CHOOSE(CONTROL!$C$25, 0, 0)</f>
        <v>62.3371</v>
      </c>
      <c r="E769" s="4">
        <f>380.081570641539 * CHOOSE(CONTROL!$C$6, $C$6, 100%, $E$6) + CHOOSE(CONTROL!$C$25, 0, 0)</f>
        <v>380.08157064153897</v>
      </c>
    </row>
    <row r="770" spans="1:5" ht="15">
      <c r="A770" s="13">
        <v>65531</v>
      </c>
      <c r="B770" s="4">
        <f>48.3732 * CHOOSE(CONTROL!$C$6, $C$6, 100%, $E$6) + CHOOSE(CONTROL!$C$25, 0.0258, 0)</f>
        <v>48.373199999999997</v>
      </c>
      <c r="C770" s="4">
        <f>48.0607 * CHOOSE(CONTROL!$C$6, $C$6, 100%, $E$6) + CHOOSE(CONTROL!$C$25, 0.0258, 0)</f>
        <v>48.060699999999997</v>
      </c>
      <c r="D770" s="4">
        <f>61.6537 * CHOOSE(CONTROL!$C$6, $C$6, 100%, $E$6) + CHOOSE(CONTROL!$C$25, 0, 0)</f>
        <v>61.653700000000001</v>
      </c>
      <c r="E770" s="4">
        <f>389.182749295733 * CHOOSE(CONTROL!$C$6, $C$6, 100%, $E$6) + CHOOSE(CONTROL!$C$25, 0, 0)</f>
        <v>389.182749295733</v>
      </c>
    </row>
    <row r="771" spans="1:5" ht="15">
      <c r="A771" s="13">
        <v>65561</v>
      </c>
      <c r="B771" s="4">
        <f>48.5203 * CHOOSE(CONTROL!$C$6, $C$6, 100%, $E$6) + CHOOSE(CONTROL!$C$25, 0.0258, 0)</f>
        <v>48.520299999999999</v>
      </c>
      <c r="C771" s="4">
        <f>48.2078 * CHOOSE(CONTROL!$C$6, $C$6, 100%, $E$6) + CHOOSE(CONTROL!$C$25, 0.0258, 0)</f>
        <v>48.207799999999999</v>
      </c>
      <c r="D771" s="4">
        <f>62.2103 * CHOOSE(CONTROL!$C$6, $C$6, 100%, $E$6) + CHOOSE(CONTROL!$C$25, 0, 0)</f>
        <v>62.210299999999997</v>
      </c>
      <c r="E771" s="4">
        <f>390.414176538313 * CHOOSE(CONTROL!$C$6, $C$6, 100%, $E$6) + CHOOSE(CONTROL!$C$25, 0, 0)</f>
        <v>390.41417653831297</v>
      </c>
    </row>
    <row r="772" spans="1:5" ht="15">
      <c r="A772" s="13">
        <v>65592</v>
      </c>
      <c r="B772" s="4">
        <f>48.5055 * CHOOSE(CONTROL!$C$6, $C$6, 100%, $E$6) + CHOOSE(CONTROL!$C$25, 0.0258, 0)</f>
        <v>48.505499999999998</v>
      </c>
      <c r="C772" s="4">
        <f>48.193 * CHOOSE(CONTROL!$C$6, $C$6, 100%, $E$6) + CHOOSE(CONTROL!$C$25, 0.0258, 0)</f>
        <v>48.192999999999998</v>
      </c>
      <c r="D772" s="4">
        <f>63.2145 * CHOOSE(CONTROL!$C$6, $C$6, 100%, $E$6) + CHOOSE(CONTROL!$C$25, 0, 0)</f>
        <v>63.214500000000001</v>
      </c>
      <c r="E772" s="4">
        <f>390.289999001247 * CHOOSE(CONTROL!$C$6, $C$6, 100%, $E$6) + CHOOSE(CONTROL!$C$25, 0, 0)</f>
        <v>390.289999001247</v>
      </c>
    </row>
    <row r="773" spans="1:5" ht="15">
      <c r="A773" s="13">
        <v>65623</v>
      </c>
      <c r="B773" s="4">
        <f>49.6219 * CHOOSE(CONTROL!$C$6, $C$6, 100%, $E$6) + CHOOSE(CONTROL!$C$25, 0.0258, 0)</f>
        <v>49.621899999999997</v>
      </c>
      <c r="C773" s="4">
        <f>49.3094 * CHOOSE(CONTROL!$C$6, $C$6, 100%, $E$6) + CHOOSE(CONTROL!$C$25, 0.0258, 0)</f>
        <v>49.309399999999997</v>
      </c>
      <c r="D773" s="4">
        <f>62.5513 * CHOOSE(CONTROL!$C$6, $C$6, 100%, $E$6) + CHOOSE(CONTROL!$C$25, 0, 0)</f>
        <v>62.551299999999998</v>
      </c>
      <c r="E773" s="4">
        <f>399.63435866553 * CHOOSE(CONTROL!$C$6, $C$6, 100%, $E$6) + CHOOSE(CONTROL!$C$25, 0, 0)</f>
        <v>399.63435866552999</v>
      </c>
    </row>
    <row r="774" spans="1:5" ht="15">
      <c r="A774" s="13">
        <v>65653</v>
      </c>
      <c r="B774" s="4">
        <f>47.7192 * CHOOSE(CONTROL!$C$6, $C$6, 100%, $E$6) + CHOOSE(CONTROL!$C$25, 0.0258, 0)</f>
        <v>47.719200000000001</v>
      </c>
      <c r="C774" s="4">
        <f>47.4067 * CHOOSE(CONTROL!$C$6, $C$6, 100%, $E$6) + CHOOSE(CONTROL!$C$25, 0.0258, 0)</f>
        <v>47.406700000000001</v>
      </c>
      <c r="D774" s="4">
        <f>62.238 * CHOOSE(CONTROL!$C$6, $C$6, 100%, $E$6) + CHOOSE(CONTROL!$C$25, 0, 0)</f>
        <v>62.238</v>
      </c>
      <c r="E774" s="4">
        <f>383.708589536701 * CHOOSE(CONTROL!$C$6, $C$6, 100%, $E$6) + CHOOSE(CONTROL!$C$25, 0, 0)</f>
        <v>383.70858953670103</v>
      </c>
    </row>
    <row r="775" spans="1:5" ht="15">
      <c r="A775" s="13">
        <v>65684</v>
      </c>
      <c r="B775" s="4">
        <f>46.196 * CHOOSE(CONTROL!$C$6, $C$6, 100%, $E$6) + CHOOSE(CONTROL!$C$25, 0.0003, 0)</f>
        <v>46.195999999999998</v>
      </c>
      <c r="C775" s="4">
        <f>45.8835 * CHOOSE(CONTROL!$C$6, $C$6, 100%, $E$6) + CHOOSE(CONTROL!$C$25, 0.0003, 0)</f>
        <v>45.883499999999998</v>
      </c>
      <c r="D775" s="4">
        <f>61.3989 * CHOOSE(CONTROL!$C$6, $C$6, 100%, $E$6) + CHOOSE(CONTROL!$C$25, 0, 0)</f>
        <v>61.398899999999998</v>
      </c>
      <c r="E775" s="4">
        <f>370.959695731167 * CHOOSE(CONTROL!$C$6, $C$6, 100%, $E$6) + CHOOSE(CONTROL!$C$25, 0, 0)</f>
        <v>370.95969573116702</v>
      </c>
    </row>
    <row r="776" spans="1:5" ht="15">
      <c r="A776" s="13">
        <v>65714</v>
      </c>
      <c r="B776" s="4">
        <f>45.2149 * CHOOSE(CONTROL!$C$6, $C$6, 100%, $E$6) + CHOOSE(CONTROL!$C$25, 0.0003, 0)</f>
        <v>45.2149</v>
      </c>
      <c r="C776" s="4">
        <f>44.9024 * CHOOSE(CONTROL!$C$6, $C$6, 100%, $E$6) + CHOOSE(CONTROL!$C$25, 0.0003, 0)</f>
        <v>44.9024</v>
      </c>
      <c r="D776" s="4">
        <f>61.1105 * CHOOSE(CONTROL!$C$6, $C$6, 100%, $E$6) + CHOOSE(CONTROL!$C$25, 0, 0)</f>
        <v>61.110500000000002</v>
      </c>
      <c r="E776" s="4">
        <f>362.748456092618 * CHOOSE(CONTROL!$C$6, $C$6, 100%, $E$6) + CHOOSE(CONTROL!$C$25, 0, 0)</f>
        <v>362.74845609261803</v>
      </c>
    </row>
    <row r="777" spans="1:5" ht="15">
      <c r="A777" s="13">
        <v>65745</v>
      </c>
      <c r="B777" s="4">
        <f>44.5362 * CHOOSE(CONTROL!$C$6, $C$6, 100%, $E$6) + CHOOSE(CONTROL!$C$25, 0.0003, 0)</f>
        <v>44.536200000000001</v>
      </c>
      <c r="C777" s="4">
        <f>44.2237 * CHOOSE(CONTROL!$C$6, $C$6, 100%, $E$6) + CHOOSE(CONTROL!$C$25, 0.0003, 0)</f>
        <v>44.223700000000001</v>
      </c>
      <c r="D777" s="4">
        <f>58.9869 * CHOOSE(CONTROL!$C$6, $C$6, 100%, $E$6) + CHOOSE(CONTROL!$C$25, 0, 0)</f>
        <v>58.986899999999999</v>
      </c>
      <c r="E777" s="4">
        <f>357.067333771808 * CHOOSE(CONTROL!$C$6, $C$6, 100%, $E$6) + CHOOSE(CONTROL!$C$25, 0, 0)</f>
        <v>357.06733377180802</v>
      </c>
    </row>
    <row r="778" spans="1:5" ht="15">
      <c r="A778" s="13">
        <v>65776</v>
      </c>
      <c r="B778" s="4">
        <f>42.9352 * CHOOSE(CONTROL!$C$6, $C$6, 100%, $E$6) + CHOOSE(CONTROL!$C$25, 0.0003, 0)</f>
        <v>42.935200000000002</v>
      </c>
      <c r="C778" s="4">
        <f>42.6227 * CHOOSE(CONTROL!$C$6, $C$6, 100%, $E$6) + CHOOSE(CONTROL!$C$25, 0.0003, 0)</f>
        <v>42.622700000000002</v>
      </c>
      <c r="D778" s="4">
        <f>56.9155 * CHOOSE(CONTROL!$C$6, $C$6, 100%, $E$6) + CHOOSE(CONTROL!$C$25, 0, 0)</f>
        <v>56.915500000000002</v>
      </c>
      <c r="E778" s="4">
        <f>345.95378827958 * CHOOSE(CONTROL!$C$6, $C$6, 100%, $E$6) + CHOOSE(CONTROL!$C$25, 0, 0)</f>
        <v>345.95378827958001</v>
      </c>
    </row>
    <row r="779" spans="1:5" ht="15">
      <c r="A779" s="13">
        <v>65805</v>
      </c>
      <c r="B779" s="4">
        <f>43.9101 * CHOOSE(CONTROL!$C$6, $C$6, 100%, $E$6) + CHOOSE(CONTROL!$C$25, 0.0003, 0)</f>
        <v>43.9101</v>
      </c>
      <c r="C779" s="4">
        <f>43.5976 * CHOOSE(CONTROL!$C$6, $C$6, 100%, $E$6) + CHOOSE(CONTROL!$C$25, 0.0003, 0)</f>
        <v>43.5976</v>
      </c>
      <c r="D779" s="4">
        <f>58.8768 * CHOOSE(CONTROL!$C$6, $C$6, 100%, $E$6) + CHOOSE(CONTROL!$C$25, 0, 0)</f>
        <v>58.876800000000003</v>
      </c>
      <c r="E779" s="4">
        <f>354.168094585888 * CHOOSE(CONTROL!$C$6, $C$6, 100%, $E$6) + CHOOSE(CONTROL!$C$25, 0, 0)</f>
        <v>354.16809458588801</v>
      </c>
    </row>
    <row r="780" spans="1:5" ht="15">
      <c r="A780" s="13">
        <v>65836</v>
      </c>
      <c r="B780" s="4">
        <f>46.4703 * CHOOSE(CONTROL!$C$6, $C$6, 100%, $E$6) + CHOOSE(CONTROL!$C$25, 0.0003, 0)</f>
        <v>46.470300000000002</v>
      </c>
      <c r="C780" s="4">
        <f>46.1578 * CHOOSE(CONTROL!$C$6, $C$6, 100%, $E$6) + CHOOSE(CONTROL!$C$25, 0.0003, 0)</f>
        <v>46.157800000000002</v>
      </c>
      <c r="D780" s="4">
        <f>61.947 * CHOOSE(CONTROL!$C$6, $C$6, 100%, $E$6) + CHOOSE(CONTROL!$C$25, 0, 0)</f>
        <v>61.947000000000003</v>
      </c>
      <c r="E780" s="4">
        <f>375.739299481 * CHOOSE(CONTROL!$C$6, $C$6, 100%, $E$6) + CHOOSE(CONTROL!$C$25, 0, 0)</f>
        <v>375.73929948099999</v>
      </c>
    </row>
    <row r="781" spans="1:5" ht="15">
      <c r="A781" s="13">
        <v>65866</v>
      </c>
      <c r="B781" s="4">
        <f>48.2894 * CHOOSE(CONTROL!$C$6, $C$6, 100%, $E$6) + CHOOSE(CONTROL!$C$25, 0.0003, 0)</f>
        <v>48.289400000000001</v>
      </c>
      <c r="C781" s="4">
        <f>47.9769 * CHOOSE(CONTROL!$C$6, $C$6, 100%, $E$6) + CHOOSE(CONTROL!$C$25, 0.0003, 0)</f>
        <v>47.976900000000001</v>
      </c>
      <c r="D781" s="4">
        <f>63.7155 * CHOOSE(CONTROL!$C$6, $C$6, 100%, $E$6) + CHOOSE(CONTROL!$C$25, 0, 0)</f>
        <v>63.715499999999999</v>
      </c>
      <c r="E781" s="4">
        <f>391.06592803308 * CHOOSE(CONTROL!$C$6, $C$6, 100%, $E$6) + CHOOSE(CONTROL!$C$25, 0, 0)</f>
        <v>391.06592803308001</v>
      </c>
    </row>
    <row r="782" spans="1:5" ht="15">
      <c r="A782" s="13">
        <v>65897</v>
      </c>
      <c r="B782" s="4">
        <f>49.4008 * CHOOSE(CONTROL!$C$6, $C$6, 100%, $E$6) + CHOOSE(CONTROL!$C$25, 0.0258, 0)</f>
        <v>49.400799999999997</v>
      </c>
      <c r="C782" s="4">
        <f>49.0883 * CHOOSE(CONTROL!$C$6, $C$6, 100%, $E$6) + CHOOSE(CONTROL!$C$25, 0.0258, 0)</f>
        <v>49.088299999999997</v>
      </c>
      <c r="D782" s="4">
        <f>63.0166 * CHOOSE(CONTROL!$C$6, $C$6, 100%, $E$6) + CHOOSE(CONTROL!$C$25, 0, 0)</f>
        <v>63.016599999999997</v>
      </c>
      <c r="E782" s="4">
        <f>400.43013075038 * CHOOSE(CONTROL!$C$6, $C$6, 100%, $E$6) + CHOOSE(CONTROL!$C$25, 0, 0)</f>
        <v>400.43013075037999</v>
      </c>
    </row>
    <row r="783" spans="1:5" ht="15">
      <c r="A783" s="13">
        <v>65927</v>
      </c>
      <c r="B783" s="4">
        <f>49.5512 * CHOOSE(CONTROL!$C$6, $C$6, 100%, $E$6) + CHOOSE(CONTROL!$C$25, 0.0258, 0)</f>
        <v>49.551200000000001</v>
      </c>
      <c r="C783" s="4">
        <f>49.2387 * CHOOSE(CONTROL!$C$6, $C$6, 100%, $E$6) + CHOOSE(CONTROL!$C$25, 0.0258, 0)</f>
        <v>49.238700000000001</v>
      </c>
      <c r="D783" s="4">
        <f>63.5858 * CHOOSE(CONTROL!$C$6, $C$6, 100%, $E$6) + CHOOSE(CONTROL!$C$25, 0, 0)</f>
        <v>63.585799999999999</v>
      </c>
      <c r="E783" s="4">
        <f>401.697146240271 * CHOOSE(CONTROL!$C$6, $C$6, 100%, $E$6) + CHOOSE(CONTROL!$C$25, 0, 0)</f>
        <v>401.69714624027102</v>
      </c>
    </row>
    <row r="784" spans="1:5" ht="15">
      <c r="A784" s="13">
        <v>65958</v>
      </c>
      <c r="B784" s="4">
        <f>49.536 * CHOOSE(CONTROL!$C$6, $C$6, 100%, $E$6) + CHOOSE(CONTROL!$C$25, 0.0258, 0)</f>
        <v>49.536000000000001</v>
      </c>
      <c r="C784" s="4">
        <f>49.2235 * CHOOSE(CONTROL!$C$6, $C$6, 100%, $E$6) + CHOOSE(CONTROL!$C$25, 0.0258, 0)</f>
        <v>49.223500000000001</v>
      </c>
      <c r="D784" s="4">
        <f>64.6127 * CHOOSE(CONTROL!$C$6, $C$6, 100%, $E$6) + CHOOSE(CONTROL!$C$25, 0, 0)</f>
        <v>64.612700000000004</v>
      </c>
      <c r="E784" s="4">
        <f>401.569379972383 * CHOOSE(CONTROL!$C$6, $C$6, 100%, $E$6) + CHOOSE(CONTROL!$C$25, 0, 0)</f>
        <v>401.56937997238299</v>
      </c>
    </row>
    <row r="785" spans="1:5" ht="15">
      <c r="A785" s="13">
        <v>65989</v>
      </c>
      <c r="B785" s="4">
        <f>50.6771 * CHOOSE(CONTROL!$C$6, $C$6, 100%, $E$6) + CHOOSE(CONTROL!$C$25, 0.0258, 0)</f>
        <v>50.677100000000003</v>
      </c>
      <c r="C785" s="4">
        <f>50.3646 * CHOOSE(CONTROL!$C$6, $C$6, 100%, $E$6) + CHOOSE(CONTROL!$C$25, 0.0258, 0)</f>
        <v>50.364600000000003</v>
      </c>
      <c r="D785" s="4">
        <f>63.9345 * CHOOSE(CONTROL!$C$6, $C$6, 100%, $E$6) + CHOOSE(CONTROL!$C$25, 0, 0)</f>
        <v>63.9345</v>
      </c>
      <c r="E785" s="4">
        <f>411.183791630964 * CHOOSE(CONTROL!$C$6, $C$6, 100%, $E$6) + CHOOSE(CONTROL!$C$25, 0, 0)</f>
        <v>411.18379163096398</v>
      </c>
    </row>
    <row r="786" spans="1:5" ht="15">
      <c r="A786" s="13">
        <v>66019</v>
      </c>
      <c r="B786" s="4">
        <f>48.7323 * CHOOSE(CONTROL!$C$6, $C$6, 100%, $E$6) + CHOOSE(CONTROL!$C$25, 0.0258, 0)</f>
        <v>48.732300000000002</v>
      </c>
      <c r="C786" s="4">
        <f>48.4198 * CHOOSE(CONTROL!$C$6, $C$6, 100%, $E$6) + CHOOSE(CONTROL!$C$25, 0.0258, 0)</f>
        <v>48.419800000000002</v>
      </c>
      <c r="D786" s="4">
        <f>63.6141 * CHOOSE(CONTROL!$C$6, $C$6, 100%, $E$6) + CHOOSE(CONTROL!$C$25, 0, 0)</f>
        <v>63.614100000000001</v>
      </c>
      <c r="E786" s="4">
        <f>394.797767774312 * CHOOSE(CONTROL!$C$6, $C$6, 100%, $E$6) + CHOOSE(CONTROL!$C$25, 0, 0)</f>
        <v>394.79776777431198</v>
      </c>
    </row>
    <row r="787" spans="1:5" ht="15">
      <c r="A787" s="13">
        <v>66050</v>
      </c>
      <c r="B787" s="4">
        <f>47.1755 * CHOOSE(CONTROL!$C$6, $C$6, 100%, $E$6) + CHOOSE(CONTROL!$C$25, 0.0003, 0)</f>
        <v>47.1755</v>
      </c>
      <c r="C787" s="4">
        <f>46.863 * CHOOSE(CONTROL!$C$6, $C$6, 100%, $E$6) + CHOOSE(CONTROL!$C$25, 0.0003, 0)</f>
        <v>46.863</v>
      </c>
      <c r="D787" s="4">
        <f>62.7561 * CHOOSE(CONTROL!$C$6, $C$6, 100%, $E$6) + CHOOSE(CONTROL!$C$25, 0, 0)</f>
        <v>62.756100000000004</v>
      </c>
      <c r="E787" s="4">
        <f>381.680430937797 * CHOOSE(CONTROL!$C$6, $C$6, 100%, $E$6) + CHOOSE(CONTROL!$C$25, 0, 0)</f>
        <v>381.68043093779698</v>
      </c>
    </row>
    <row r="788" spans="1:5" ht="15">
      <c r="A788" s="13">
        <v>66080</v>
      </c>
      <c r="B788" s="4">
        <f>46.1728 * CHOOSE(CONTROL!$C$6, $C$6, 100%, $E$6) + CHOOSE(CONTROL!$C$25, 0.0003, 0)</f>
        <v>46.172800000000002</v>
      </c>
      <c r="C788" s="4">
        <f>45.8603 * CHOOSE(CONTROL!$C$6, $C$6, 100%, $E$6) + CHOOSE(CONTROL!$C$25, 0.0003, 0)</f>
        <v>45.860300000000002</v>
      </c>
      <c r="D788" s="4">
        <f>62.4612 * CHOOSE(CONTROL!$C$6, $C$6, 100%, $E$6) + CHOOSE(CONTROL!$C$25, 0, 0)</f>
        <v>62.461199999999998</v>
      </c>
      <c r="E788" s="4">
        <f>373.231886473695 * CHOOSE(CONTROL!$C$6, $C$6, 100%, $E$6) + CHOOSE(CONTROL!$C$25, 0, 0)</f>
        <v>373.231886473695</v>
      </c>
    </row>
    <row r="789" spans="1:5" ht="15">
      <c r="A789" s="13">
        <v>66111</v>
      </c>
      <c r="B789" s="4">
        <f>45.479 * CHOOSE(CONTROL!$C$6, $C$6, 100%, $E$6) + CHOOSE(CONTROL!$C$25, 0.0003, 0)</f>
        <v>45.478999999999999</v>
      </c>
      <c r="C789" s="4">
        <f>45.1665 * CHOOSE(CONTROL!$C$6, $C$6, 100%, $E$6) + CHOOSE(CONTROL!$C$25, 0.0003, 0)</f>
        <v>45.166499999999999</v>
      </c>
      <c r="D789" s="4">
        <f>60.2895 * CHOOSE(CONTROL!$C$6, $C$6, 100%, $E$6) + CHOOSE(CONTROL!$C$25, 0, 0)</f>
        <v>60.289499999999997</v>
      </c>
      <c r="E789" s="4">
        <f>367.386579717813 * CHOOSE(CONTROL!$C$6, $C$6, 100%, $E$6) + CHOOSE(CONTROL!$C$25, 0, 0)</f>
        <v>367.38657971781299</v>
      </c>
    </row>
    <row r="790" spans="1:5" ht="15">
      <c r="A790" s="13">
        <v>66142</v>
      </c>
      <c r="B790" s="4">
        <f>43.8426 * CHOOSE(CONTROL!$C$6, $C$6, 100%, $E$6) + CHOOSE(CONTROL!$C$25, 0.0003, 0)</f>
        <v>43.842599999999997</v>
      </c>
      <c r="C790" s="4">
        <f>43.5301 * CHOOSE(CONTROL!$C$6, $C$6, 100%, $E$6) + CHOOSE(CONTROL!$C$25, 0.0003, 0)</f>
        <v>43.530099999999997</v>
      </c>
      <c r="D790" s="4">
        <f>58.1714 * CHOOSE(CONTROL!$C$6, $C$6, 100%, $E$6) + CHOOSE(CONTROL!$C$25, 0, 0)</f>
        <v>58.171399999999998</v>
      </c>
      <c r="E790" s="4">
        <f>355.95185276086 * CHOOSE(CONTROL!$C$6, $C$6, 100%, $E$6) + CHOOSE(CONTROL!$C$25, 0, 0)</f>
        <v>355.95185276085999</v>
      </c>
    </row>
    <row r="791" spans="1:5" ht="15">
      <c r="A791" s="13">
        <v>66170</v>
      </c>
      <c r="B791" s="4">
        <f>44.8391 * CHOOSE(CONTROL!$C$6, $C$6, 100%, $E$6) + CHOOSE(CONTROL!$C$25, 0.0003, 0)</f>
        <v>44.839100000000002</v>
      </c>
      <c r="C791" s="4">
        <f>44.5266 * CHOOSE(CONTROL!$C$6, $C$6, 100%, $E$6) + CHOOSE(CONTROL!$C$25, 0.0003, 0)</f>
        <v>44.526600000000002</v>
      </c>
      <c r="D791" s="4">
        <f>60.177 * CHOOSE(CONTROL!$C$6, $C$6, 100%, $E$6) + CHOOSE(CONTROL!$C$25, 0, 0)</f>
        <v>60.177</v>
      </c>
      <c r="E791" s="4">
        <f>364.40355251942 * CHOOSE(CONTROL!$C$6, $C$6, 100%, $E$6) + CHOOSE(CONTROL!$C$25, 0, 0)</f>
        <v>364.40355251941997</v>
      </c>
    </row>
    <row r="792" spans="1:5" ht="15">
      <c r="A792" s="13">
        <v>66201</v>
      </c>
      <c r="B792" s="4">
        <f>47.4559 * CHOOSE(CONTROL!$C$6, $C$6, 100%, $E$6) + CHOOSE(CONTROL!$C$25, 0.0003, 0)</f>
        <v>47.4559</v>
      </c>
      <c r="C792" s="4">
        <f>47.1434 * CHOOSE(CONTROL!$C$6, $C$6, 100%, $E$6) + CHOOSE(CONTROL!$C$25, 0.0003, 0)</f>
        <v>47.1434</v>
      </c>
      <c r="D792" s="4">
        <f>63.3165 * CHOOSE(CONTROL!$C$6, $C$6, 100%, $E$6) + CHOOSE(CONTROL!$C$25, 0, 0)</f>
        <v>63.316499999999998</v>
      </c>
      <c r="E792" s="4">
        <f>386.598165236 * CHOOSE(CONTROL!$C$6, $C$6, 100%, $E$6) + CHOOSE(CONTROL!$C$25, 0, 0)</f>
        <v>386.598165236</v>
      </c>
    </row>
    <row r="793" spans="1:5" ht="15">
      <c r="A793" s="13">
        <v>66231</v>
      </c>
      <c r="B793" s="4">
        <f>49.3152 * CHOOSE(CONTROL!$C$6, $C$6, 100%, $E$6) + CHOOSE(CONTROL!$C$25, 0.0003, 0)</f>
        <v>49.315199999999997</v>
      </c>
      <c r="C793" s="4">
        <f>49.0027 * CHOOSE(CONTROL!$C$6, $C$6, 100%, $E$6) + CHOOSE(CONTROL!$C$25, 0.0003, 0)</f>
        <v>49.002699999999997</v>
      </c>
      <c r="D793" s="4">
        <f>65.125 * CHOOSE(CONTROL!$C$6, $C$6, 100%, $E$6) + CHOOSE(CONTROL!$C$25, 0, 0)</f>
        <v>65.125</v>
      </c>
      <c r="E793" s="4">
        <f>402.367733353235 * CHOOSE(CONTROL!$C$6, $C$6, 100%, $E$6) + CHOOSE(CONTROL!$C$25, 0, 0)</f>
        <v>402.367733353235</v>
      </c>
    </row>
    <row r="794" spans="1:5" ht="15">
      <c r="A794" s="13">
        <v>66262</v>
      </c>
      <c r="B794" s="4">
        <f>50.4511 * CHOOSE(CONTROL!$C$6, $C$6, 100%, $E$6) + CHOOSE(CONTROL!$C$25, 0.0258, 0)</f>
        <v>50.451099999999997</v>
      </c>
      <c r="C794" s="4">
        <f>50.1386 * CHOOSE(CONTROL!$C$6, $C$6, 100%, $E$6) + CHOOSE(CONTROL!$C$25, 0.0258, 0)</f>
        <v>50.138599999999997</v>
      </c>
      <c r="D794" s="4">
        <f>64.4104 * CHOOSE(CONTROL!$C$6, $C$6, 100%, $E$6) + CHOOSE(CONTROL!$C$25, 0, 0)</f>
        <v>64.410399999999996</v>
      </c>
      <c r="E794" s="4">
        <f>412.002561529066 * CHOOSE(CONTROL!$C$6, $C$6, 100%, $E$6) + CHOOSE(CONTROL!$C$25, 0, 0)</f>
        <v>412.00256152906599</v>
      </c>
    </row>
    <row r="795" spans="1:5" ht="15">
      <c r="A795" s="13">
        <v>66292</v>
      </c>
      <c r="B795" s="4">
        <f>50.6049 * CHOOSE(CONTROL!$C$6, $C$6, 100%, $E$6) + CHOOSE(CONTROL!$C$25, 0.0258, 0)</f>
        <v>50.604900000000001</v>
      </c>
      <c r="C795" s="4">
        <f>50.2924 * CHOOSE(CONTROL!$C$6, $C$6, 100%, $E$6) + CHOOSE(CONTROL!$C$25, 0.0258, 0)</f>
        <v>50.292400000000001</v>
      </c>
      <c r="D795" s="4">
        <f>64.9924 * CHOOSE(CONTROL!$C$6, $C$6, 100%, $E$6) + CHOOSE(CONTROL!$C$25, 0, 0)</f>
        <v>64.992400000000004</v>
      </c>
      <c r="E795" s="4">
        <f>413.306193766614 * CHOOSE(CONTROL!$C$6, $C$6, 100%, $E$6) + CHOOSE(CONTROL!$C$25, 0, 0)</f>
        <v>413.306193766614</v>
      </c>
    </row>
    <row r="796" spans="1:5" ht="15">
      <c r="A796" s="13">
        <v>66323</v>
      </c>
      <c r="B796" s="4">
        <f>50.5894 * CHOOSE(CONTROL!$C$6, $C$6, 100%, $E$6) + CHOOSE(CONTROL!$C$25, 0.0258, 0)</f>
        <v>50.589399999999998</v>
      </c>
      <c r="C796" s="4">
        <f>50.2769 * CHOOSE(CONTROL!$C$6, $C$6, 100%, $E$6) + CHOOSE(CONTROL!$C$25, 0.0258, 0)</f>
        <v>50.276899999999998</v>
      </c>
      <c r="D796" s="4">
        <f>66.0426 * CHOOSE(CONTROL!$C$6, $C$6, 100%, $E$6) + CHOOSE(CONTROL!$C$25, 0, 0)</f>
        <v>66.042599999999993</v>
      </c>
      <c r="E796" s="4">
        <f>413.174735053584 * CHOOSE(CONTROL!$C$6, $C$6, 100%, $E$6) + CHOOSE(CONTROL!$C$25, 0, 0)</f>
        <v>413.17473505358402</v>
      </c>
    </row>
    <row r="797" spans="1:5" ht="15">
      <c r="A797" s="13">
        <v>66354</v>
      </c>
      <c r="B797" s="4">
        <f>51.7557 * CHOOSE(CONTROL!$C$6, $C$6, 100%, $E$6) + CHOOSE(CONTROL!$C$25, 0.0258, 0)</f>
        <v>51.755699999999997</v>
      </c>
      <c r="C797" s="4">
        <f>51.4432 * CHOOSE(CONTROL!$C$6, $C$6, 100%, $E$6) + CHOOSE(CONTROL!$C$25, 0.0258, 0)</f>
        <v>51.443199999999997</v>
      </c>
      <c r="D797" s="4">
        <f>65.349 * CHOOSE(CONTROL!$C$6, $C$6, 100%, $E$6) + CHOOSE(CONTROL!$C$25, 0, 0)</f>
        <v>65.349000000000004</v>
      </c>
      <c r="E797" s="4">
        <f>423.067003209099 * CHOOSE(CONTROL!$C$6, $C$6, 100%, $E$6) + CHOOSE(CONTROL!$C$25, 0, 0)</f>
        <v>423.06700320909903</v>
      </c>
    </row>
    <row r="798" spans="1:5" ht="15">
      <c r="A798" s="13">
        <v>66384</v>
      </c>
      <c r="B798" s="4">
        <f>49.7679 * CHOOSE(CONTROL!$C$6, $C$6, 100%, $E$6) + CHOOSE(CONTROL!$C$25, 0.0258, 0)</f>
        <v>49.767899999999997</v>
      </c>
      <c r="C798" s="4">
        <f>49.4554 * CHOOSE(CONTROL!$C$6, $C$6, 100%, $E$6) + CHOOSE(CONTROL!$C$25, 0.0258, 0)</f>
        <v>49.455399999999997</v>
      </c>
      <c r="D798" s="4">
        <f>65.0213 * CHOOSE(CONTROL!$C$6, $C$6, 100%, $E$6) + CHOOSE(CONTROL!$C$25, 0, 0)</f>
        <v>65.021299999999997</v>
      </c>
      <c r="E798" s="4">
        <f>406.207423262989 * CHOOSE(CONTROL!$C$6, $C$6, 100%, $E$6) + CHOOSE(CONTROL!$C$25, 0, 0)</f>
        <v>406.20742326298898</v>
      </c>
    </row>
    <row r="799" spans="1:5" ht="15">
      <c r="A799" s="13">
        <v>66415</v>
      </c>
      <c r="B799" s="4">
        <f>48.1766 * CHOOSE(CONTROL!$C$6, $C$6, 100%, $E$6) + CHOOSE(CONTROL!$C$25, 0.0003, 0)</f>
        <v>48.176600000000001</v>
      </c>
      <c r="C799" s="4">
        <f>47.8641 * CHOOSE(CONTROL!$C$6, $C$6, 100%, $E$6) + CHOOSE(CONTROL!$C$25, 0.0003, 0)</f>
        <v>47.864100000000001</v>
      </c>
      <c r="D799" s="4">
        <f>64.144 * CHOOSE(CONTROL!$C$6, $C$6, 100%, $E$6) + CHOOSE(CONTROL!$C$25, 0, 0)</f>
        <v>64.144000000000005</v>
      </c>
      <c r="E799" s="4">
        <f>392.7109953919 * CHOOSE(CONTROL!$C$6, $C$6, 100%, $E$6) + CHOOSE(CONTROL!$C$25, 0, 0)</f>
        <v>392.71099539189998</v>
      </c>
    </row>
    <row r="800" spans="1:5" ht="15">
      <c r="A800" s="13">
        <v>66445</v>
      </c>
      <c r="B800" s="4">
        <f>47.1517 * CHOOSE(CONTROL!$C$6, $C$6, 100%, $E$6) + CHOOSE(CONTROL!$C$25, 0.0003, 0)</f>
        <v>47.151699999999998</v>
      </c>
      <c r="C800" s="4">
        <f>46.8392 * CHOOSE(CONTROL!$C$6, $C$6, 100%, $E$6) + CHOOSE(CONTROL!$C$25, 0.0003, 0)</f>
        <v>46.839199999999998</v>
      </c>
      <c r="D800" s="4">
        <f>63.8423 * CHOOSE(CONTROL!$C$6, $C$6, 100%, $E$6) + CHOOSE(CONTROL!$C$25, 0, 0)</f>
        <v>63.842300000000002</v>
      </c>
      <c r="E800" s="4">
        <f>384.018287992785 * CHOOSE(CONTROL!$C$6, $C$6, 100%, $E$6) + CHOOSE(CONTROL!$C$25, 0, 0)</f>
        <v>384.01828799278502</v>
      </c>
    </row>
    <row r="801" spans="1:5" ht="15">
      <c r="A801" s="13">
        <v>66476</v>
      </c>
      <c r="B801" s="4">
        <f>46.4426 * CHOOSE(CONTROL!$C$6, $C$6, 100%, $E$6) + CHOOSE(CONTROL!$C$25, 0.0003, 0)</f>
        <v>46.442599999999999</v>
      </c>
      <c r="C801" s="4">
        <f>46.1301 * CHOOSE(CONTROL!$C$6, $C$6, 100%, $E$6) + CHOOSE(CONTROL!$C$25, 0.0003, 0)</f>
        <v>46.130099999999999</v>
      </c>
      <c r="D801" s="4">
        <f>61.6217 * CHOOSE(CONTROL!$C$6, $C$6, 100%, $E$6) + CHOOSE(CONTROL!$C$25, 0, 0)</f>
        <v>61.621699999999997</v>
      </c>
      <c r="E801" s="4">
        <f>378.004051871658 * CHOOSE(CONTROL!$C$6, $C$6, 100%, $E$6) + CHOOSE(CONTROL!$C$25, 0, 0)</f>
        <v>378.00405187165802</v>
      </c>
    </row>
    <row r="802" spans="1:5" ht="15">
      <c r="A802" s="13">
        <v>66507</v>
      </c>
      <c r="B802" s="4">
        <f>44.7701 * CHOOSE(CONTROL!$C$6, $C$6, 100%, $E$6) + CHOOSE(CONTROL!$C$25, 0.0003, 0)</f>
        <v>44.770099999999999</v>
      </c>
      <c r="C802" s="4">
        <f>44.4576 * CHOOSE(CONTROL!$C$6, $C$6, 100%, $E$6) + CHOOSE(CONTROL!$C$25, 0.0003, 0)</f>
        <v>44.457599999999999</v>
      </c>
      <c r="D802" s="4">
        <f>59.4556 * CHOOSE(CONTROL!$C$6, $C$6, 100%, $E$6) + CHOOSE(CONTROL!$C$25, 0, 0)</f>
        <v>59.455599999999997</v>
      </c>
      <c r="E802" s="4">
        <f>366.238861305649 * CHOOSE(CONTROL!$C$6, $C$6, 100%, $E$6) + CHOOSE(CONTROL!$C$25, 0, 0)</f>
        <v>366.23886130564898</v>
      </c>
    </row>
    <row r="803" spans="1:5" ht="15">
      <c r="A803" s="13">
        <v>66535</v>
      </c>
      <c r="B803" s="4">
        <f>45.7886 * CHOOSE(CONTROL!$C$6, $C$6, 100%, $E$6) + CHOOSE(CONTROL!$C$25, 0.0003, 0)</f>
        <v>45.788600000000002</v>
      </c>
      <c r="C803" s="4">
        <f>45.4761 * CHOOSE(CONTROL!$C$6, $C$6, 100%, $E$6) + CHOOSE(CONTROL!$C$25, 0.0003, 0)</f>
        <v>45.476100000000002</v>
      </c>
      <c r="D803" s="4">
        <f>61.5065 * CHOOSE(CONTROL!$C$6, $C$6, 100%, $E$6) + CHOOSE(CONTROL!$C$25, 0, 0)</f>
        <v>61.506500000000003</v>
      </c>
      <c r="E803" s="4">
        <f>374.934815187231 * CHOOSE(CONTROL!$C$6, $C$6, 100%, $E$6) + CHOOSE(CONTROL!$C$25, 0, 0)</f>
        <v>374.93481518723098</v>
      </c>
    </row>
    <row r="804" spans="1:5" ht="15">
      <c r="A804" s="13">
        <v>66566</v>
      </c>
      <c r="B804" s="4">
        <f>48.4632 * CHOOSE(CONTROL!$C$6, $C$6, 100%, $E$6) + CHOOSE(CONTROL!$C$25, 0.0003, 0)</f>
        <v>48.463200000000001</v>
      </c>
      <c r="C804" s="4">
        <f>48.1507 * CHOOSE(CONTROL!$C$6, $C$6, 100%, $E$6) + CHOOSE(CONTROL!$C$25, 0.0003, 0)</f>
        <v>48.150700000000001</v>
      </c>
      <c r="D804" s="4">
        <f>64.717 * CHOOSE(CONTROL!$C$6, $C$6, 100%, $E$6) + CHOOSE(CONTROL!$C$25, 0, 0)</f>
        <v>64.716999999999999</v>
      </c>
      <c r="E804" s="4">
        <f>397.770852211321 * CHOOSE(CONTROL!$C$6, $C$6, 100%, $E$6) + CHOOSE(CONTROL!$C$25, 0, 0)</f>
        <v>397.77085221132103</v>
      </c>
    </row>
    <row r="805" spans="1:5" ht="15">
      <c r="A805" s="13">
        <v>66596</v>
      </c>
      <c r="B805" s="4">
        <f>50.3636 * CHOOSE(CONTROL!$C$6, $C$6, 100%, $E$6) + CHOOSE(CONTROL!$C$25, 0.0003, 0)</f>
        <v>50.363599999999998</v>
      </c>
      <c r="C805" s="4">
        <f>50.0511 * CHOOSE(CONTROL!$C$6, $C$6, 100%, $E$6) + CHOOSE(CONTROL!$C$25, 0.0003, 0)</f>
        <v>50.051099999999998</v>
      </c>
      <c r="D805" s="4">
        <f>66.5664 * CHOOSE(CONTROL!$C$6, $C$6, 100%, $E$6) + CHOOSE(CONTROL!$C$25, 0, 0)</f>
        <v>66.566400000000002</v>
      </c>
      <c r="E805" s="4">
        <f>413.996160847144 * CHOOSE(CONTROL!$C$6, $C$6, 100%, $E$6) + CHOOSE(CONTROL!$C$25, 0, 0)</f>
        <v>413.99616084714398</v>
      </c>
    </row>
    <row r="806" spans="1:5" ht="15">
      <c r="A806" s="13">
        <v>66627</v>
      </c>
      <c r="B806" s="4">
        <f>51.5247 * CHOOSE(CONTROL!$C$6, $C$6, 100%, $E$6) + CHOOSE(CONTROL!$C$25, 0.0258, 0)</f>
        <v>51.524700000000003</v>
      </c>
      <c r="C806" s="4">
        <f>51.2122 * CHOOSE(CONTROL!$C$6, $C$6, 100%, $E$6) + CHOOSE(CONTROL!$C$25, 0.0258, 0)</f>
        <v>51.212200000000003</v>
      </c>
      <c r="D806" s="4">
        <f>65.8356 * CHOOSE(CONTROL!$C$6, $C$6, 100%, $E$6) + CHOOSE(CONTROL!$C$25, 0, 0)</f>
        <v>65.835599999999999</v>
      </c>
      <c r="E806" s="4">
        <f>423.909435557256 * CHOOSE(CONTROL!$C$6, $C$6, 100%, $E$6) + CHOOSE(CONTROL!$C$25, 0, 0)</f>
        <v>423.90943555725602</v>
      </c>
    </row>
    <row r="807" spans="1:5" ht="15">
      <c r="A807" s="13">
        <v>66657</v>
      </c>
      <c r="B807" s="4">
        <f>51.6818 * CHOOSE(CONTROL!$C$6, $C$6, 100%, $E$6) + CHOOSE(CONTROL!$C$25, 0.0258, 0)</f>
        <v>51.681800000000003</v>
      </c>
      <c r="C807" s="4">
        <f>51.3693 * CHOOSE(CONTROL!$C$6, $C$6, 100%, $E$6) + CHOOSE(CONTROL!$C$25, 0.0258, 0)</f>
        <v>51.369300000000003</v>
      </c>
      <c r="D807" s="4">
        <f>66.4308 * CHOOSE(CONTROL!$C$6, $C$6, 100%, $E$6) + CHOOSE(CONTROL!$C$25, 0, 0)</f>
        <v>66.430800000000005</v>
      </c>
      <c r="E807" s="4">
        <f>425.25074276647 * CHOOSE(CONTROL!$C$6, $C$6, 100%, $E$6) + CHOOSE(CONTROL!$C$25, 0, 0)</f>
        <v>425.25074276647001</v>
      </c>
    </row>
    <row r="808" spans="1:5" ht="15">
      <c r="A808" s="13">
        <v>66688</v>
      </c>
      <c r="B808" s="4">
        <f>51.6659 * CHOOSE(CONTROL!$C$6, $C$6, 100%, $E$6) + CHOOSE(CONTROL!$C$25, 0.0258, 0)</f>
        <v>51.665900000000001</v>
      </c>
      <c r="C808" s="4">
        <f>51.3534 * CHOOSE(CONTROL!$C$6, $C$6, 100%, $E$6) + CHOOSE(CONTROL!$C$25, 0.0258, 0)</f>
        <v>51.353400000000001</v>
      </c>
      <c r="D808" s="4">
        <f>67.5047 * CHOOSE(CONTROL!$C$6, $C$6, 100%, $E$6) + CHOOSE(CONTROL!$C$25, 0, 0)</f>
        <v>67.5047</v>
      </c>
      <c r="E808" s="4">
        <f>425.115484896633 * CHOOSE(CONTROL!$C$6, $C$6, 100%, $E$6) + CHOOSE(CONTROL!$C$25, 0, 0)</f>
        <v>425.11548489663301</v>
      </c>
    </row>
    <row r="809" spans="1:5" ht="15">
      <c r="A809" s="13">
        <v>66719</v>
      </c>
      <c r="B809" s="4">
        <f>52.858 * CHOOSE(CONTROL!$C$6, $C$6, 100%, $E$6) + CHOOSE(CONTROL!$C$25, 0.0258, 0)</f>
        <v>52.857999999999997</v>
      </c>
      <c r="C809" s="4">
        <f>52.5455 * CHOOSE(CONTROL!$C$6, $C$6, 100%, $E$6) + CHOOSE(CONTROL!$C$25, 0.0258, 0)</f>
        <v>52.545499999999997</v>
      </c>
      <c r="D809" s="4">
        <f>66.7955 * CHOOSE(CONTROL!$C$6, $C$6, 100%, $E$6) + CHOOSE(CONTROL!$C$25, 0, 0)</f>
        <v>66.795500000000004</v>
      </c>
      <c r="E809" s="4">
        <f>435.293639601842 * CHOOSE(CONTROL!$C$6, $C$6, 100%, $E$6) + CHOOSE(CONTROL!$C$25, 0, 0)</f>
        <v>435.29363960184202</v>
      </c>
    </row>
    <row r="810" spans="1:5" ht="15">
      <c r="A810" s="13">
        <v>66749</v>
      </c>
      <c r="B810" s="4">
        <f>50.8263 * CHOOSE(CONTROL!$C$6, $C$6, 100%, $E$6) + CHOOSE(CONTROL!$C$25, 0.0258, 0)</f>
        <v>50.826300000000003</v>
      </c>
      <c r="C810" s="4">
        <f>50.5138 * CHOOSE(CONTROL!$C$6, $C$6, 100%, $E$6) + CHOOSE(CONTROL!$C$25, 0.0258, 0)</f>
        <v>50.513800000000003</v>
      </c>
      <c r="D810" s="4">
        <f>66.4604 * CHOOSE(CONTROL!$C$6, $C$6, 100%, $E$6) + CHOOSE(CONTROL!$C$25, 0, 0)</f>
        <v>66.460400000000007</v>
      </c>
      <c r="E810" s="4">
        <f>417.94681779529 * CHOOSE(CONTROL!$C$6, $C$6, 100%, $E$6) + CHOOSE(CONTROL!$C$25, 0, 0)</f>
        <v>417.94681779528997</v>
      </c>
    </row>
    <row r="811" spans="1:5" ht="15">
      <c r="A811" s="13">
        <v>66780</v>
      </c>
      <c r="B811" s="4">
        <f>49.1999 * CHOOSE(CONTROL!$C$6, $C$6, 100%, $E$6) + CHOOSE(CONTROL!$C$25, 0.0003, 0)</f>
        <v>49.1999</v>
      </c>
      <c r="C811" s="4">
        <f>48.8874 * CHOOSE(CONTROL!$C$6, $C$6, 100%, $E$6) + CHOOSE(CONTROL!$C$25, 0.0003, 0)</f>
        <v>48.8874</v>
      </c>
      <c r="D811" s="4">
        <f>65.5632 * CHOOSE(CONTROL!$C$6, $C$6, 100%, $E$6) + CHOOSE(CONTROL!$C$25, 0, 0)</f>
        <v>65.563199999999995</v>
      </c>
      <c r="E811" s="4">
        <f>404.060343158726 * CHOOSE(CONTROL!$C$6, $C$6, 100%, $E$6) + CHOOSE(CONTROL!$C$25, 0, 0)</f>
        <v>404.06034315872603</v>
      </c>
    </row>
    <row r="812" spans="1:5" ht="15">
      <c r="A812" s="13">
        <v>66810</v>
      </c>
      <c r="B812" s="4">
        <f>48.1523 * CHOOSE(CONTROL!$C$6, $C$6, 100%, $E$6) + CHOOSE(CONTROL!$C$25, 0.0003, 0)</f>
        <v>48.152299999999997</v>
      </c>
      <c r="C812" s="4">
        <f>47.8398 * CHOOSE(CONTROL!$C$6, $C$6, 100%, $E$6) + CHOOSE(CONTROL!$C$25, 0.0003, 0)</f>
        <v>47.839799999999997</v>
      </c>
      <c r="D812" s="4">
        <f>65.2547 * CHOOSE(CONTROL!$C$6, $C$6, 100%, $E$6) + CHOOSE(CONTROL!$C$25, 0, 0)</f>
        <v>65.2547</v>
      </c>
      <c r="E812" s="4">
        <f>395.116416515776 * CHOOSE(CONTROL!$C$6, $C$6, 100%, $E$6) + CHOOSE(CONTROL!$C$25, 0, 0)</f>
        <v>395.116416515776</v>
      </c>
    </row>
    <row r="813" spans="1:5" ht="15">
      <c r="A813" s="13">
        <v>66841</v>
      </c>
      <c r="B813" s="4">
        <f>47.4276 * CHOOSE(CONTROL!$C$6, $C$6, 100%, $E$6) + CHOOSE(CONTROL!$C$25, 0.0003, 0)</f>
        <v>47.427599999999998</v>
      </c>
      <c r="C813" s="4">
        <f>47.1151 * CHOOSE(CONTROL!$C$6, $C$6, 100%, $E$6) + CHOOSE(CONTROL!$C$25, 0.0003, 0)</f>
        <v>47.115099999999998</v>
      </c>
      <c r="D813" s="4">
        <f>62.9839 * CHOOSE(CONTROL!$C$6, $C$6, 100%, $E$6) + CHOOSE(CONTROL!$C$25, 0, 0)</f>
        <v>62.983899999999998</v>
      </c>
      <c r="E813" s="4">
        <f>388.928368970749 * CHOOSE(CONTROL!$C$6, $C$6, 100%, $E$6) + CHOOSE(CONTROL!$C$25, 0, 0)</f>
        <v>388.92836897074898</v>
      </c>
    </row>
    <row r="814" spans="1:5" ht="15">
      <c r="A814" s="13">
        <v>66872</v>
      </c>
      <c r="B814" s="4">
        <f>45.7181 * CHOOSE(CONTROL!$C$6, $C$6, 100%, $E$6) + CHOOSE(CONTROL!$C$25, 0.0003, 0)</f>
        <v>45.7181</v>
      </c>
      <c r="C814" s="4">
        <f>45.4056 * CHOOSE(CONTROL!$C$6, $C$6, 100%, $E$6) + CHOOSE(CONTROL!$C$25, 0.0003, 0)</f>
        <v>45.4056</v>
      </c>
      <c r="D814" s="4">
        <f>60.7689 * CHOOSE(CONTROL!$C$6, $C$6, 100%, $E$6) + CHOOSE(CONTROL!$C$25, 0, 0)</f>
        <v>60.768900000000002</v>
      </c>
      <c r="E814" s="4">
        <f>376.823164397382 * CHOOSE(CONTROL!$C$6, $C$6, 100%, $E$6) + CHOOSE(CONTROL!$C$25, 0, 0)</f>
        <v>376.82316439738202</v>
      </c>
    </row>
    <row r="815" spans="1:5" ht="15">
      <c r="A815" s="13">
        <v>66900</v>
      </c>
      <c r="B815" s="4">
        <f>46.7591 * CHOOSE(CONTROL!$C$6, $C$6, 100%, $E$6) + CHOOSE(CONTROL!$C$25, 0.0003, 0)</f>
        <v>46.759099999999997</v>
      </c>
      <c r="C815" s="4">
        <f>46.4466 * CHOOSE(CONTROL!$C$6, $C$6, 100%, $E$6) + CHOOSE(CONTROL!$C$25, 0.0003, 0)</f>
        <v>46.446599999999997</v>
      </c>
      <c r="D815" s="4">
        <f>62.8661 * CHOOSE(CONTROL!$C$6, $C$6, 100%, $E$6) + CHOOSE(CONTROL!$C$25, 0, 0)</f>
        <v>62.866100000000003</v>
      </c>
      <c r="E815" s="4">
        <f>385.770431346142 * CHOOSE(CONTROL!$C$6, $C$6, 100%, $E$6) + CHOOSE(CONTROL!$C$25, 0, 0)</f>
        <v>385.770431346142</v>
      </c>
    </row>
    <row r="816" spans="1:5" ht="15">
      <c r="A816" s="13">
        <v>66931</v>
      </c>
      <c r="B816" s="4">
        <f>49.4928 * CHOOSE(CONTROL!$C$6, $C$6, 100%, $E$6) + CHOOSE(CONTROL!$C$25, 0.0003, 0)</f>
        <v>49.492800000000003</v>
      </c>
      <c r="C816" s="4">
        <f>49.1803 * CHOOSE(CONTROL!$C$6, $C$6, 100%, $E$6) + CHOOSE(CONTROL!$C$25, 0.0003, 0)</f>
        <v>49.180300000000003</v>
      </c>
      <c r="D816" s="4">
        <f>66.1492 * CHOOSE(CONTROL!$C$6, $C$6, 100%, $E$6) + CHOOSE(CONTROL!$C$25, 0, 0)</f>
        <v>66.149199999999993</v>
      </c>
      <c r="E816" s="4">
        <f>409.266429840228 * CHOOSE(CONTROL!$C$6, $C$6, 100%, $E$6) + CHOOSE(CONTROL!$C$25, 0, 0)</f>
        <v>409.266429840228</v>
      </c>
    </row>
    <row r="817" spans="1:5" ht="15">
      <c r="A817" s="13">
        <v>66961</v>
      </c>
      <c r="B817" s="4">
        <f>51.4352 * CHOOSE(CONTROL!$C$6, $C$6, 100%, $E$6) + CHOOSE(CONTROL!$C$25, 0.0003, 0)</f>
        <v>51.435200000000002</v>
      </c>
      <c r="C817" s="4">
        <f>51.1227 * CHOOSE(CONTROL!$C$6, $C$6, 100%, $E$6) + CHOOSE(CONTROL!$C$25, 0.0003, 0)</f>
        <v>51.122700000000002</v>
      </c>
      <c r="D817" s="4">
        <f>68.0404 * CHOOSE(CONTROL!$C$6, $C$6, 100%, $E$6) + CHOOSE(CONTROL!$C$25, 0, 0)</f>
        <v>68.040400000000005</v>
      </c>
      <c r="E817" s="4">
        <f>425.960649895626 * CHOOSE(CONTROL!$C$6, $C$6, 100%, $E$6) + CHOOSE(CONTROL!$C$25, 0, 0)</f>
        <v>425.96064989562598</v>
      </c>
    </row>
    <row r="818" spans="1:5" ht="15">
      <c r="A818" s="13">
        <v>66992</v>
      </c>
      <c r="B818" s="4">
        <f>52.6219 * CHOOSE(CONTROL!$C$6, $C$6, 100%, $E$6) + CHOOSE(CONTROL!$C$25, 0.0258, 0)</f>
        <v>52.621899999999997</v>
      </c>
      <c r="C818" s="4">
        <f>52.3094 * CHOOSE(CONTROL!$C$6, $C$6, 100%, $E$6) + CHOOSE(CONTROL!$C$25, 0.0258, 0)</f>
        <v>52.309399999999997</v>
      </c>
      <c r="D818" s="4">
        <f>67.2931 * CHOOSE(CONTROL!$C$6, $C$6, 100%, $E$6) + CHOOSE(CONTROL!$C$25, 0, 0)</f>
        <v>67.293099999999995</v>
      </c>
      <c r="E818" s="4">
        <f>436.160418244861 * CHOOSE(CONTROL!$C$6, $C$6, 100%, $E$6) + CHOOSE(CONTROL!$C$25, 0, 0)</f>
        <v>436.16041824486098</v>
      </c>
    </row>
    <row r="819" spans="1:5" ht="15">
      <c r="A819" s="13">
        <v>67022</v>
      </c>
      <c r="B819" s="4">
        <f>52.7825 * CHOOSE(CONTROL!$C$6, $C$6, 100%, $E$6) + CHOOSE(CONTROL!$C$25, 0.0258, 0)</f>
        <v>52.782499999999999</v>
      </c>
      <c r="C819" s="4">
        <f>52.47 * CHOOSE(CONTROL!$C$6, $C$6, 100%, $E$6) + CHOOSE(CONTROL!$C$25, 0.0258, 0)</f>
        <v>52.47</v>
      </c>
      <c r="D819" s="4">
        <f>67.9017 * CHOOSE(CONTROL!$C$6, $C$6, 100%, $E$6) + CHOOSE(CONTROL!$C$25, 0, 0)</f>
        <v>67.901700000000005</v>
      </c>
      <c r="E819" s="4">
        <f>437.540489232421 * CHOOSE(CONTROL!$C$6, $C$6, 100%, $E$6) + CHOOSE(CONTROL!$C$25, 0, 0)</f>
        <v>437.54048923242101</v>
      </c>
    </row>
    <row r="820" spans="1:5" ht="15">
      <c r="A820" s="13">
        <v>67053</v>
      </c>
      <c r="B820" s="4">
        <f>52.7663 * CHOOSE(CONTROL!$C$6, $C$6, 100%, $E$6) + CHOOSE(CONTROL!$C$25, 0.0258, 0)</f>
        <v>52.766300000000001</v>
      </c>
      <c r="C820" s="4">
        <f>52.4538 * CHOOSE(CONTROL!$C$6, $C$6, 100%, $E$6) + CHOOSE(CONTROL!$C$25, 0.0258, 0)</f>
        <v>52.453800000000001</v>
      </c>
      <c r="D820" s="4">
        <f>68.9999 * CHOOSE(CONTROL!$C$6, $C$6, 100%, $E$6) + CHOOSE(CONTROL!$C$25, 0, 0)</f>
        <v>68.999899999999997</v>
      </c>
      <c r="E820" s="4">
        <f>437.401322410146 * CHOOSE(CONTROL!$C$6, $C$6, 100%, $E$6) + CHOOSE(CONTROL!$C$25, 0, 0)</f>
        <v>437.40132241014601</v>
      </c>
    </row>
    <row r="821" spans="1:5" ht="15">
      <c r="A821" s="13">
        <v>67084</v>
      </c>
      <c r="B821" s="4">
        <f>53.9848 * CHOOSE(CONTROL!$C$6, $C$6, 100%, $E$6) + CHOOSE(CONTROL!$C$25, 0.0258, 0)</f>
        <v>53.9848</v>
      </c>
      <c r="C821" s="4">
        <f>53.6723 * CHOOSE(CONTROL!$C$6, $C$6, 100%, $E$6) + CHOOSE(CONTROL!$C$25, 0.0258, 0)</f>
        <v>53.6723</v>
      </c>
      <c r="D821" s="4">
        <f>68.2746 * CHOOSE(CONTROL!$C$6, $C$6, 100%, $E$6) + CHOOSE(CONTROL!$C$25, 0, 0)</f>
        <v>68.274600000000007</v>
      </c>
      <c r="E821" s="4">
        <f>447.873625786335 * CHOOSE(CONTROL!$C$6, $C$6, 100%, $E$6) + CHOOSE(CONTROL!$C$25, 0, 0)</f>
        <v>447.87362578633503</v>
      </c>
    </row>
    <row r="822" spans="1:5" ht="15">
      <c r="A822" s="13">
        <v>67114</v>
      </c>
      <c r="B822" s="4">
        <f>51.9081 * CHOOSE(CONTROL!$C$6, $C$6, 100%, $E$6) + CHOOSE(CONTROL!$C$25, 0.0258, 0)</f>
        <v>51.908099999999997</v>
      </c>
      <c r="C822" s="4">
        <f>51.5956 * CHOOSE(CONTROL!$C$6, $C$6, 100%, $E$6) + CHOOSE(CONTROL!$C$25, 0.0258, 0)</f>
        <v>51.595599999999997</v>
      </c>
      <c r="D822" s="4">
        <f>67.932 * CHOOSE(CONTROL!$C$6, $C$6, 100%, $E$6) + CHOOSE(CONTROL!$C$25, 0, 0)</f>
        <v>67.932000000000002</v>
      </c>
      <c r="E822" s="4">
        <f>430.025480829574 * CHOOSE(CONTROL!$C$6, $C$6, 100%, $E$6) + CHOOSE(CONTROL!$C$25, 0, 0)</f>
        <v>430.02548082957401</v>
      </c>
    </row>
    <row r="823" spans="1:5" ht="15">
      <c r="A823" s="13">
        <v>67145</v>
      </c>
      <c r="B823" s="4">
        <f>50.2458 * CHOOSE(CONTROL!$C$6, $C$6, 100%, $E$6) + CHOOSE(CONTROL!$C$25, 0.0003, 0)</f>
        <v>50.245800000000003</v>
      </c>
      <c r="C823" s="4">
        <f>49.9333 * CHOOSE(CONTROL!$C$6, $C$6, 100%, $E$6) + CHOOSE(CONTROL!$C$25, 0.0003, 0)</f>
        <v>49.933300000000003</v>
      </c>
      <c r="D823" s="4">
        <f>67.0145 * CHOOSE(CONTROL!$C$6, $C$6, 100%, $E$6) + CHOOSE(CONTROL!$C$25, 0, 0)</f>
        <v>67.014499999999998</v>
      </c>
      <c r="E823" s="4">
        <f>415.737687076013 * CHOOSE(CONTROL!$C$6, $C$6, 100%, $E$6) + CHOOSE(CONTROL!$C$25, 0, 0)</f>
        <v>415.737687076013</v>
      </c>
    </row>
    <row r="824" spans="1:5" ht="15">
      <c r="A824" s="13">
        <v>67175</v>
      </c>
      <c r="B824" s="4">
        <f>49.1751 * CHOOSE(CONTROL!$C$6, $C$6, 100%, $E$6) + CHOOSE(CONTROL!$C$25, 0.0003, 0)</f>
        <v>49.1751</v>
      </c>
      <c r="C824" s="4">
        <f>48.8626 * CHOOSE(CONTROL!$C$6, $C$6, 100%, $E$6) + CHOOSE(CONTROL!$C$25, 0.0003, 0)</f>
        <v>48.8626</v>
      </c>
      <c r="D824" s="4">
        <f>66.6991 * CHOOSE(CONTROL!$C$6, $C$6, 100%, $E$6) + CHOOSE(CONTROL!$C$25, 0, 0)</f>
        <v>66.699100000000001</v>
      </c>
      <c r="E824" s="4">
        <f>406.535280953082 * CHOOSE(CONTROL!$C$6, $C$6, 100%, $E$6) + CHOOSE(CONTROL!$C$25, 0, 0)</f>
        <v>406.53528095308201</v>
      </c>
    </row>
    <row r="825" spans="1:5" ht="15">
      <c r="A825" s="13">
        <v>67206</v>
      </c>
      <c r="B825" s="4">
        <f>48.4343 * CHOOSE(CONTROL!$C$6, $C$6, 100%, $E$6) + CHOOSE(CONTROL!$C$25, 0.0003, 0)</f>
        <v>48.4343</v>
      </c>
      <c r="C825" s="4">
        <f>48.1218 * CHOOSE(CONTROL!$C$6, $C$6, 100%, $E$6) + CHOOSE(CONTROL!$C$25, 0.0003, 0)</f>
        <v>48.1218</v>
      </c>
      <c r="D825" s="4">
        <f>64.3769 * CHOOSE(CONTROL!$C$6, $C$6, 100%, $E$6) + CHOOSE(CONTROL!$C$25, 0, 0)</f>
        <v>64.376900000000006</v>
      </c>
      <c r="E825" s="4">
        <f>400.168398834004 * CHOOSE(CONTROL!$C$6, $C$6, 100%, $E$6) + CHOOSE(CONTROL!$C$25, 0, 0)</f>
        <v>400.16839883400399</v>
      </c>
    </row>
    <row r="826" spans="1:5" ht="15">
      <c r="A826" s="13">
        <v>67237</v>
      </c>
      <c r="B826" s="4">
        <f>46.687 * CHOOSE(CONTROL!$C$6, $C$6, 100%, $E$6) + CHOOSE(CONTROL!$C$25, 0.0003, 0)</f>
        <v>46.686999999999998</v>
      </c>
      <c r="C826" s="4">
        <f>46.3745 * CHOOSE(CONTROL!$C$6, $C$6, 100%, $E$6) + CHOOSE(CONTROL!$C$25, 0.0003, 0)</f>
        <v>46.374499999999998</v>
      </c>
      <c r="D826" s="4">
        <f>62.1118 * CHOOSE(CONTROL!$C$6, $C$6, 100%, $E$6) + CHOOSE(CONTROL!$C$25, 0, 0)</f>
        <v>62.111800000000002</v>
      </c>
      <c r="E826" s="4">
        <f>387.713353848466 * CHOOSE(CONTROL!$C$6, $C$6, 100%, $E$6) + CHOOSE(CONTROL!$C$25, 0, 0)</f>
        <v>387.713353848466</v>
      </c>
    </row>
    <row r="827" spans="1:5" ht="15">
      <c r="A827" s="13">
        <v>67266</v>
      </c>
      <c r="B827" s="4">
        <f>47.751 * CHOOSE(CONTROL!$C$6, $C$6, 100%, $E$6) + CHOOSE(CONTROL!$C$25, 0.0003, 0)</f>
        <v>47.750999999999998</v>
      </c>
      <c r="C827" s="4">
        <f>47.4385 * CHOOSE(CONTROL!$C$6, $C$6, 100%, $E$6) + CHOOSE(CONTROL!$C$25, 0.0003, 0)</f>
        <v>47.438499999999998</v>
      </c>
      <c r="D827" s="4">
        <f>64.2565 * CHOOSE(CONTROL!$C$6, $C$6, 100%, $E$6) + CHOOSE(CONTROL!$C$25, 0, 0)</f>
        <v>64.256500000000003</v>
      </c>
      <c r="E827" s="4">
        <f>396.919196812045 * CHOOSE(CONTROL!$C$6, $C$6, 100%, $E$6) + CHOOSE(CONTROL!$C$25, 0, 0)</f>
        <v>396.91919681204502</v>
      </c>
    </row>
    <row r="828" spans="1:5" ht="15">
      <c r="A828" s="13">
        <v>67297</v>
      </c>
      <c r="B828" s="4">
        <f>50.5452 * CHOOSE(CONTROL!$C$6, $C$6, 100%, $E$6) + CHOOSE(CONTROL!$C$25, 0.0003, 0)</f>
        <v>50.545200000000001</v>
      </c>
      <c r="C828" s="4">
        <f>50.2327 * CHOOSE(CONTROL!$C$6, $C$6, 100%, $E$6) + CHOOSE(CONTROL!$C$25, 0.0003, 0)</f>
        <v>50.232700000000001</v>
      </c>
      <c r="D828" s="4">
        <f>67.6138 * CHOOSE(CONTROL!$C$6, $C$6, 100%, $E$6) + CHOOSE(CONTROL!$C$25, 0, 0)</f>
        <v>67.613799999999998</v>
      </c>
      <c r="E828" s="4">
        <f>421.094229662611 * CHOOSE(CONTROL!$C$6, $C$6, 100%, $E$6) + CHOOSE(CONTROL!$C$25, 0, 0)</f>
        <v>421.09422966261099</v>
      </c>
    </row>
    <row r="829" spans="1:5" ht="15">
      <c r="A829" s="13">
        <v>67327</v>
      </c>
      <c r="B829" s="4">
        <f>52.5305 * CHOOSE(CONTROL!$C$6, $C$6, 100%, $E$6) + CHOOSE(CONTROL!$C$25, 0.0003, 0)</f>
        <v>52.530500000000004</v>
      </c>
      <c r="C829" s="4">
        <f>52.218 * CHOOSE(CONTROL!$C$6, $C$6, 100%, $E$6) + CHOOSE(CONTROL!$C$25, 0.0003, 0)</f>
        <v>52.218000000000004</v>
      </c>
      <c r="D829" s="4">
        <f>69.5477 * CHOOSE(CONTROL!$C$6, $C$6, 100%, $E$6) + CHOOSE(CONTROL!$C$25, 0, 0)</f>
        <v>69.547700000000006</v>
      </c>
      <c r="E829" s="4">
        <f>438.27091267761 * CHOOSE(CONTROL!$C$6, $C$6, 100%, $E$6) + CHOOSE(CONTROL!$C$25, 0, 0)</f>
        <v>438.27091267761</v>
      </c>
    </row>
    <row r="830" spans="1:5" ht="15">
      <c r="A830" s="13">
        <v>67358</v>
      </c>
      <c r="B830" s="4">
        <f>53.7434 * CHOOSE(CONTROL!$C$6, $C$6, 100%, $E$6) + CHOOSE(CONTROL!$C$25, 0.0258, 0)</f>
        <v>53.743400000000001</v>
      </c>
      <c r="C830" s="4">
        <f>53.4309 * CHOOSE(CONTROL!$C$6, $C$6, 100%, $E$6) + CHOOSE(CONTROL!$C$25, 0.0258, 0)</f>
        <v>53.430900000000001</v>
      </c>
      <c r="D830" s="4">
        <f>68.7835 * CHOOSE(CONTROL!$C$6, $C$6, 100%, $E$6) + CHOOSE(CONTROL!$C$25, 0, 0)</f>
        <v>68.783500000000004</v>
      </c>
      <c r="E830" s="4">
        <f>448.765454332137 * CHOOSE(CONTROL!$C$6, $C$6, 100%, $E$6) + CHOOSE(CONTROL!$C$25, 0, 0)</f>
        <v>448.76545433213698</v>
      </c>
    </row>
    <row r="831" spans="1:5" ht="15">
      <c r="A831" s="13">
        <v>67388</v>
      </c>
      <c r="B831" s="4">
        <f>53.9076 * CHOOSE(CONTROL!$C$6, $C$6, 100%, $E$6) + CHOOSE(CONTROL!$C$25, 0.0258, 0)</f>
        <v>53.907600000000002</v>
      </c>
      <c r="C831" s="4">
        <f>53.5951 * CHOOSE(CONTROL!$C$6, $C$6, 100%, $E$6) + CHOOSE(CONTROL!$C$25, 0.0258, 0)</f>
        <v>53.595100000000002</v>
      </c>
      <c r="D831" s="4">
        <f>69.4058 * CHOOSE(CONTROL!$C$6, $C$6, 100%, $E$6) + CHOOSE(CONTROL!$C$25, 0, 0)</f>
        <v>69.405799999999999</v>
      </c>
      <c r="E831" s="4">
        <f>450.185409371237 * CHOOSE(CONTROL!$C$6, $C$6, 100%, $E$6) + CHOOSE(CONTROL!$C$25, 0, 0)</f>
        <v>450.18540937123697</v>
      </c>
    </row>
    <row r="832" spans="1:5" ht="15">
      <c r="A832" s="13">
        <v>67419</v>
      </c>
      <c r="B832" s="4">
        <f>53.891 * CHOOSE(CONTROL!$C$6, $C$6, 100%, $E$6) + CHOOSE(CONTROL!$C$25, 0.0258, 0)</f>
        <v>53.890999999999998</v>
      </c>
      <c r="C832" s="4">
        <f>53.5785 * CHOOSE(CONTROL!$C$6, $C$6, 100%, $E$6) + CHOOSE(CONTROL!$C$25, 0.0258, 0)</f>
        <v>53.578499999999998</v>
      </c>
      <c r="D832" s="4">
        <f>70.5288 * CHOOSE(CONTROL!$C$6, $C$6, 100%, $E$6) + CHOOSE(CONTROL!$C$25, 0, 0)</f>
        <v>70.528800000000004</v>
      </c>
      <c r="E832" s="4">
        <f>450.042220627799 * CHOOSE(CONTROL!$C$6, $C$6, 100%, $E$6) + CHOOSE(CONTROL!$C$25, 0, 0)</f>
        <v>450.042220627799</v>
      </c>
    </row>
    <row r="833" spans="1:5" ht="15">
      <c r="A833" s="13">
        <v>67450</v>
      </c>
      <c r="B833" s="4">
        <f>55.1364 * CHOOSE(CONTROL!$C$6, $C$6, 100%, $E$6) + CHOOSE(CONTROL!$C$25, 0.0258, 0)</f>
        <v>55.136400000000002</v>
      </c>
      <c r="C833" s="4">
        <f>54.8239 * CHOOSE(CONTROL!$C$6, $C$6, 100%, $E$6) + CHOOSE(CONTROL!$C$25, 0.0258, 0)</f>
        <v>54.823900000000002</v>
      </c>
      <c r="D833" s="4">
        <f>69.7872 * CHOOSE(CONTROL!$C$6, $C$6, 100%, $E$6) + CHOOSE(CONTROL!$C$25, 0, 0)</f>
        <v>69.787199999999999</v>
      </c>
      <c r="E833" s="4">
        <f>460.81717357156 * CHOOSE(CONTROL!$C$6, $C$6, 100%, $E$6) + CHOOSE(CONTROL!$C$25, 0, 0)</f>
        <v>460.81717357155998</v>
      </c>
    </row>
    <row r="834" spans="1:5" ht="15">
      <c r="A834" s="13">
        <v>67480</v>
      </c>
      <c r="B834" s="4">
        <f>53.0139 * CHOOSE(CONTROL!$C$6, $C$6, 100%, $E$6) + CHOOSE(CONTROL!$C$25, 0.0258, 0)</f>
        <v>53.0139</v>
      </c>
      <c r="C834" s="4">
        <f>52.7014 * CHOOSE(CONTROL!$C$6, $C$6, 100%, $E$6) + CHOOSE(CONTROL!$C$25, 0.0258, 0)</f>
        <v>52.7014</v>
      </c>
      <c r="D834" s="4">
        <f>69.4368 * CHOOSE(CONTROL!$C$6, $C$6, 100%, $E$6) + CHOOSE(CONTROL!$C$25, 0, 0)</f>
        <v>69.436800000000005</v>
      </c>
      <c r="E834" s="4">
        <f>442.453217225548 * CHOOSE(CONTROL!$C$6, $C$6, 100%, $E$6) + CHOOSE(CONTROL!$C$25, 0, 0)</f>
        <v>442.45321722554797</v>
      </c>
    </row>
    <row r="835" spans="1:5" ht="15">
      <c r="A835" s="13">
        <v>67511</v>
      </c>
      <c r="B835" s="4">
        <f>51.3148 * CHOOSE(CONTROL!$C$6, $C$6, 100%, $E$6) + CHOOSE(CONTROL!$C$25, 0.0003, 0)</f>
        <v>51.314799999999998</v>
      </c>
      <c r="C835" s="4">
        <f>51.0023 * CHOOSE(CONTROL!$C$6, $C$6, 100%, $E$6) + CHOOSE(CONTROL!$C$25, 0.0003, 0)</f>
        <v>51.002299999999998</v>
      </c>
      <c r="D835" s="4">
        <f>68.4986 * CHOOSE(CONTROL!$C$6, $C$6, 100%, $E$6) + CHOOSE(CONTROL!$C$25, 0, 0)</f>
        <v>68.498599999999996</v>
      </c>
      <c r="E835" s="4">
        <f>427.75250623251 * CHOOSE(CONTROL!$C$6, $C$6, 100%, $E$6) + CHOOSE(CONTROL!$C$25, 0, 0)</f>
        <v>427.75250623250997</v>
      </c>
    </row>
    <row r="836" spans="1:5" ht="15">
      <c r="A836" s="13">
        <v>67541</v>
      </c>
      <c r="B836" s="4">
        <f>50.2204 * CHOOSE(CONTROL!$C$6, $C$6, 100%, $E$6) + CHOOSE(CONTROL!$C$25, 0.0003, 0)</f>
        <v>50.220399999999998</v>
      </c>
      <c r="C836" s="4">
        <f>49.9079 * CHOOSE(CONTROL!$C$6, $C$6, 100%, $E$6) + CHOOSE(CONTROL!$C$25, 0.0003, 0)</f>
        <v>49.907899999999998</v>
      </c>
      <c r="D836" s="4">
        <f>68.176 * CHOOSE(CONTROL!$C$6, $C$6, 100%, $E$6) + CHOOSE(CONTROL!$C$25, 0, 0)</f>
        <v>68.176000000000002</v>
      </c>
      <c r="E836" s="4">
        <f>418.284150572626 * CHOOSE(CONTROL!$C$6, $C$6, 100%, $E$6) + CHOOSE(CONTROL!$C$25, 0, 0)</f>
        <v>418.284150572626</v>
      </c>
    </row>
    <row r="837" spans="1:5" ht="15">
      <c r="A837" s="13">
        <v>67572</v>
      </c>
      <c r="B837" s="4">
        <f>49.4633 * CHOOSE(CONTROL!$C$6, $C$6, 100%, $E$6) + CHOOSE(CONTROL!$C$25, 0.0003, 0)</f>
        <v>49.463299999999997</v>
      </c>
      <c r="C837" s="4">
        <f>49.1508 * CHOOSE(CONTROL!$C$6, $C$6, 100%, $E$6) + CHOOSE(CONTROL!$C$25, 0.0003, 0)</f>
        <v>49.150799999999997</v>
      </c>
      <c r="D837" s="4">
        <f>65.8014 * CHOOSE(CONTROL!$C$6, $C$6, 100%, $E$6) + CHOOSE(CONTROL!$C$25, 0, 0)</f>
        <v>65.801400000000001</v>
      </c>
      <c r="E837" s="4">
        <f>411.733265560306 * CHOOSE(CONTROL!$C$6, $C$6, 100%, $E$6) + CHOOSE(CONTROL!$C$25, 0, 0)</f>
        <v>411.73326556030599</v>
      </c>
    </row>
    <row r="838" spans="1:5" ht="15">
      <c r="A838" s="13">
        <v>67603</v>
      </c>
      <c r="B838" s="4">
        <f>47.6774 * CHOOSE(CONTROL!$C$6, $C$6, 100%, $E$6) + CHOOSE(CONTROL!$C$25, 0.0003, 0)</f>
        <v>47.677399999999999</v>
      </c>
      <c r="C838" s="4">
        <f>47.3649 * CHOOSE(CONTROL!$C$6, $C$6, 100%, $E$6) + CHOOSE(CONTROL!$C$25, 0.0003, 0)</f>
        <v>47.364899999999999</v>
      </c>
      <c r="D838" s="4">
        <f>63.4851 * CHOOSE(CONTROL!$C$6, $C$6, 100%, $E$6) + CHOOSE(CONTROL!$C$25, 0, 0)</f>
        <v>63.485100000000003</v>
      </c>
      <c r="E838" s="4">
        <f>398.918269774687 * CHOOSE(CONTROL!$C$6, $C$6, 100%, $E$6) + CHOOSE(CONTROL!$C$25, 0, 0)</f>
        <v>398.91826977468702</v>
      </c>
    </row>
    <row r="839" spans="1:5" ht="15">
      <c r="A839" s="13">
        <v>67631</v>
      </c>
      <c r="B839" s="4">
        <f>48.7649 * CHOOSE(CONTROL!$C$6, $C$6, 100%, $E$6) + CHOOSE(CONTROL!$C$25, 0.0003, 0)</f>
        <v>48.764899999999997</v>
      </c>
      <c r="C839" s="4">
        <f>48.4524 * CHOOSE(CONTROL!$C$6, $C$6, 100%, $E$6) + CHOOSE(CONTROL!$C$25, 0.0003, 0)</f>
        <v>48.452399999999997</v>
      </c>
      <c r="D839" s="4">
        <f>65.6782 * CHOOSE(CONTROL!$C$6, $C$6, 100%, $E$6) + CHOOSE(CONTROL!$C$25, 0, 0)</f>
        <v>65.678200000000004</v>
      </c>
      <c r="E839" s="4">
        <f>408.390161599913 * CHOOSE(CONTROL!$C$6, $C$6, 100%, $E$6) + CHOOSE(CONTROL!$C$25, 0, 0)</f>
        <v>408.39016159991297</v>
      </c>
    </row>
    <row r="840" spans="1:5" ht="15">
      <c r="A840" s="13">
        <v>67662</v>
      </c>
      <c r="B840" s="4">
        <f>51.6208 * CHOOSE(CONTROL!$C$6, $C$6, 100%, $E$6) + CHOOSE(CONTROL!$C$25, 0.0003, 0)</f>
        <v>51.620800000000003</v>
      </c>
      <c r="C840" s="4">
        <f>51.3083 * CHOOSE(CONTROL!$C$6, $C$6, 100%, $E$6) + CHOOSE(CONTROL!$C$25, 0.0003, 0)</f>
        <v>51.308300000000003</v>
      </c>
      <c r="D840" s="4">
        <f>69.1114 * CHOOSE(CONTROL!$C$6, $C$6, 100%, $E$6) + CHOOSE(CONTROL!$C$25, 0, 0)</f>
        <v>69.111400000000003</v>
      </c>
      <c r="E840" s="4">
        <f>433.26385289986 * CHOOSE(CONTROL!$C$6, $C$6, 100%, $E$6) + CHOOSE(CONTROL!$C$25, 0, 0)</f>
        <v>433.26385289986001</v>
      </c>
    </row>
    <row r="841" spans="1:5" ht="15">
      <c r="A841" s="13">
        <v>67692</v>
      </c>
      <c r="B841" s="4">
        <f>53.65 * CHOOSE(CONTROL!$C$6, $C$6, 100%, $E$6) + CHOOSE(CONTROL!$C$25, 0.0003, 0)</f>
        <v>53.65</v>
      </c>
      <c r="C841" s="4">
        <f>53.3375 * CHOOSE(CONTROL!$C$6, $C$6, 100%, $E$6) + CHOOSE(CONTROL!$C$25, 0.0003, 0)</f>
        <v>53.337499999999999</v>
      </c>
      <c r="D841" s="4">
        <f>71.089 * CHOOSE(CONTROL!$C$6, $C$6, 100%, $E$6) + CHOOSE(CONTROL!$C$25, 0, 0)</f>
        <v>71.088999999999999</v>
      </c>
      <c r="E841" s="4">
        <f>450.936942053993 * CHOOSE(CONTROL!$C$6, $C$6, 100%, $E$6) + CHOOSE(CONTROL!$C$25, 0, 0)</f>
        <v>450.93694205399299</v>
      </c>
    </row>
    <row r="842" spans="1:5" ht="15">
      <c r="A842" s="13">
        <v>67723</v>
      </c>
      <c r="B842" s="4">
        <f>54.8897 * CHOOSE(CONTROL!$C$6, $C$6, 100%, $E$6) + CHOOSE(CONTROL!$C$25, 0.0258, 0)</f>
        <v>54.889699999999998</v>
      </c>
      <c r="C842" s="4">
        <f>54.5772 * CHOOSE(CONTROL!$C$6, $C$6, 100%, $E$6) + CHOOSE(CONTROL!$C$25, 0.0258, 0)</f>
        <v>54.577199999999998</v>
      </c>
      <c r="D842" s="4">
        <f>70.3075 * CHOOSE(CONTROL!$C$6, $C$6, 100%, $E$6) + CHOOSE(CONTROL!$C$25, 0, 0)</f>
        <v>70.307500000000005</v>
      </c>
      <c r="E842" s="4">
        <f>461.734775962336 * CHOOSE(CONTROL!$C$6, $C$6, 100%, $E$6) + CHOOSE(CONTROL!$C$25, 0, 0)</f>
        <v>461.73477596233602</v>
      </c>
    </row>
    <row r="843" spans="1:5" ht="15">
      <c r="A843" s="13">
        <v>67753</v>
      </c>
      <c r="B843" s="4">
        <f>55.0575 * CHOOSE(CONTROL!$C$6, $C$6, 100%, $E$6) + CHOOSE(CONTROL!$C$25, 0.0258, 0)</f>
        <v>55.057499999999997</v>
      </c>
      <c r="C843" s="4">
        <f>54.745 * CHOOSE(CONTROL!$C$6, $C$6, 100%, $E$6) + CHOOSE(CONTROL!$C$25, 0.0258, 0)</f>
        <v>54.744999999999997</v>
      </c>
      <c r="D843" s="4">
        <f>70.944 * CHOOSE(CONTROL!$C$6, $C$6, 100%, $E$6) + CHOOSE(CONTROL!$C$25, 0, 0)</f>
        <v>70.944000000000003</v>
      </c>
      <c r="E843" s="4">
        <f>463.195767702066 * CHOOSE(CONTROL!$C$6, $C$6, 100%, $E$6) + CHOOSE(CONTROL!$C$25, 0, 0)</f>
        <v>463.19576770206601</v>
      </c>
    </row>
    <row r="844" spans="1:5" ht="15">
      <c r="A844" s="13">
        <v>67784</v>
      </c>
      <c r="B844" s="4">
        <f>55.0406 * CHOOSE(CONTROL!$C$6, $C$6, 100%, $E$6) + CHOOSE(CONTROL!$C$25, 0.0258, 0)</f>
        <v>55.040599999999998</v>
      </c>
      <c r="C844" s="4">
        <f>54.7281 * CHOOSE(CONTROL!$C$6, $C$6, 100%, $E$6) + CHOOSE(CONTROL!$C$25, 0.0258, 0)</f>
        <v>54.728099999999998</v>
      </c>
      <c r="D844" s="4">
        <f>72.0923 * CHOOSE(CONTROL!$C$6, $C$6, 100%, $E$6) + CHOOSE(CONTROL!$C$25, 0, 0)</f>
        <v>72.092299999999994</v>
      </c>
      <c r="E844" s="4">
        <f>463.048440803942 * CHOOSE(CONTROL!$C$6, $C$6, 100%, $E$6) + CHOOSE(CONTROL!$C$25, 0, 0)</f>
        <v>463.04844080394201</v>
      </c>
    </row>
    <row r="845" spans="1:5" ht="15">
      <c r="A845" s="13">
        <v>67815</v>
      </c>
      <c r="B845" s="4">
        <f>56.3135 * CHOOSE(CONTROL!$C$6, $C$6, 100%, $E$6) + CHOOSE(CONTROL!$C$25, 0.0258, 0)</f>
        <v>56.313499999999998</v>
      </c>
      <c r="C845" s="4">
        <f>56.001 * CHOOSE(CONTROL!$C$6, $C$6, 100%, $E$6) + CHOOSE(CONTROL!$C$25, 0.0258, 0)</f>
        <v>56.000999999999998</v>
      </c>
      <c r="D845" s="4">
        <f>71.3339 * CHOOSE(CONTROL!$C$6, $C$6, 100%, $E$6) + CHOOSE(CONTROL!$C$25, 0, 0)</f>
        <v>71.3339</v>
      </c>
      <c r="E845" s="4">
        <f>474.134789887778 * CHOOSE(CONTROL!$C$6, $C$6, 100%, $E$6) + CHOOSE(CONTROL!$C$25, 0, 0)</f>
        <v>474.13478988777803</v>
      </c>
    </row>
    <row r="846" spans="1:5" ht="15">
      <c r="A846" s="13">
        <v>67845</v>
      </c>
      <c r="B846" s="4">
        <f>54.144 * CHOOSE(CONTROL!$C$6, $C$6, 100%, $E$6) + CHOOSE(CONTROL!$C$25, 0.0258, 0)</f>
        <v>54.143999999999998</v>
      </c>
      <c r="C846" s="4">
        <f>53.8315 * CHOOSE(CONTROL!$C$6, $C$6, 100%, $E$6) + CHOOSE(CONTROL!$C$25, 0.0258, 0)</f>
        <v>53.831499999999998</v>
      </c>
      <c r="D846" s="4">
        <f>70.9756 * CHOOSE(CONTROL!$C$6, $C$6, 100%, $E$6) + CHOOSE(CONTROL!$C$25, 0, 0)</f>
        <v>70.9756</v>
      </c>
      <c r="E846" s="4">
        <f>455.240115203367 * CHOOSE(CONTROL!$C$6, $C$6, 100%, $E$6) + CHOOSE(CONTROL!$C$25, 0, 0)</f>
        <v>455.240115203367</v>
      </c>
    </row>
    <row r="847" spans="1:5" ht="15">
      <c r="A847" s="13">
        <v>67876</v>
      </c>
      <c r="B847" s="4">
        <f>52.4074 * CHOOSE(CONTROL!$C$6, $C$6, 100%, $E$6) + CHOOSE(CONTROL!$C$25, 0.0003, 0)</f>
        <v>52.407400000000003</v>
      </c>
      <c r="C847" s="4">
        <f>52.0949 * CHOOSE(CONTROL!$C$6, $C$6, 100%, $E$6) + CHOOSE(CONTROL!$C$25, 0.0003, 0)</f>
        <v>52.094900000000003</v>
      </c>
      <c r="D847" s="4">
        <f>70.0162 * CHOOSE(CONTROL!$C$6, $C$6, 100%, $E$6) + CHOOSE(CONTROL!$C$25, 0, 0)</f>
        <v>70.016199999999998</v>
      </c>
      <c r="E847" s="4">
        <f>440.114553662629 * CHOOSE(CONTROL!$C$6, $C$6, 100%, $E$6) + CHOOSE(CONTROL!$C$25, 0, 0)</f>
        <v>440.11455366262902</v>
      </c>
    </row>
    <row r="848" spans="1:5" ht="15">
      <c r="A848" s="13">
        <v>67906</v>
      </c>
      <c r="B848" s="4">
        <f>51.2888 * CHOOSE(CONTROL!$C$6, $C$6, 100%, $E$6) + CHOOSE(CONTROL!$C$25, 0.0003, 0)</f>
        <v>51.288800000000002</v>
      </c>
      <c r="C848" s="4">
        <f>50.9763 * CHOOSE(CONTROL!$C$6, $C$6, 100%, $E$6) + CHOOSE(CONTROL!$C$25, 0.0003, 0)</f>
        <v>50.976300000000002</v>
      </c>
      <c r="D848" s="4">
        <f>69.6864 * CHOOSE(CONTROL!$C$6, $C$6, 100%, $E$6) + CHOOSE(CONTROL!$C$25, 0, 0)</f>
        <v>69.686400000000006</v>
      </c>
      <c r="E848" s="4">
        <f>430.372562524175 * CHOOSE(CONTROL!$C$6, $C$6, 100%, $E$6) + CHOOSE(CONTROL!$C$25, 0, 0)</f>
        <v>430.37256252417501</v>
      </c>
    </row>
    <row r="849" spans="1:5" ht="15">
      <c r="A849" s="13">
        <v>67937</v>
      </c>
      <c r="B849" s="4">
        <f>50.515 * CHOOSE(CONTROL!$C$6, $C$6, 100%, $E$6) + CHOOSE(CONTROL!$C$25, 0.0003, 0)</f>
        <v>50.515000000000001</v>
      </c>
      <c r="C849" s="4">
        <f>50.2025 * CHOOSE(CONTROL!$C$6, $C$6, 100%, $E$6) + CHOOSE(CONTROL!$C$25, 0.0003, 0)</f>
        <v>50.202500000000001</v>
      </c>
      <c r="D849" s="4">
        <f>67.258 * CHOOSE(CONTROL!$C$6, $C$6, 100%, $E$6) + CHOOSE(CONTROL!$C$25, 0, 0)</f>
        <v>67.257999999999996</v>
      </c>
      <c r="E849" s="4">
        <f>423.632356934999 * CHOOSE(CONTROL!$C$6, $C$6, 100%, $E$6) + CHOOSE(CONTROL!$C$25, 0, 0)</f>
        <v>423.632356934999</v>
      </c>
    </row>
    <row r="850" spans="1:5" ht="15">
      <c r="A850" s="13">
        <v>67968</v>
      </c>
      <c r="B850" s="4">
        <f>48.6896 * CHOOSE(CONTROL!$C$6, $C$6, 100%, $E$6) + CHOOSE(CONTROL!$C$25, 0.0003, 0)</f>
        <v>48.689599999999999</v>
      </c>
      <c r="C850" s="4">
        <f>48.3771 * CHOOSE(CONTROL!$C$6, $C$6, 100%, $E$6) + CHOOSE(CONTROL!$C$25, 0.0003, 0)</f>
        <v>48.377099999999999</v>
      </c>
      <c r="D850" s="4">
        <f>64.8895 * CHOOSE(CONTROL!$C$6, $C$6, 100%, $E$6) + CHOOSE(CONTROL!$C$25, 0, 0)</f>
        <v>64.889499999999998</v>
      </c>
      <c r="E850" s="4">
        <f>410.447007771175 * CHOOSE(CONTROL!$C$6, $C$6, 100%, $E$6) + CHOOSE(CONTROL!$C$25, 0, 0)</f>
        <v>410.44700777117498</v>
      </c>
    </row>
    <row r="851" spans="1:5" ht="15">
      <c r="A851" s="13">
        <v>67996</v>
      </c>
      <c r="B851" s="4">
        <f>49.8012 * CHOOSE(CONTROL!$C$6, $C$6, 100%, $E$6) + CHOOSE(CONTROL!$C$25, 0.0003, 0)</f>
        <v>49.801200000000001</v>
      </c>
      <c r="C851" s="4">
        <f>49.4887 * CHOOSE(CONTROL!$C$6, $C$6, 100%, $E$6) + CHOOSE(CONTROL!$C$25, 0.0003, 0)</f>
        <v>49.488700000000001</v>
      </c>
      <c r="D851" s="4">
        <f>67.1321 * CHOOSE(CONTROL!$C$6, $C$6, 100%, $E$6) + CHOOSE(CONTROL!$C$25, 0, 0)</f>
        <v>67.132099999999994</v>
      </c>
      <c r="E851" s="4">
        <f>420.192637270151 * CHOOSE(CONTROL!$C$6, $C$6, 100%, $E$6) + CHOOSE(CONTROL!$C$25, 0, 0)</f>
        <v>420.19263727015101</v>
      </c>
    </row>
    <row r="852" spans="1:5" ht="15">
      <c r="A852" s="13">
        <v>68027</v>
      </c>
      <c r="B852" s="4">
        <f>52.7202 * CHOOSE(CONTROL!$C$6, $C$6, 100%, $E$6) + CHOOSE(CONTROL!$C$25, 0.0003, 0)</f>
        <v>52.720199999999998</v>
      </c>
      <c r="C852" s="4">
        <f>52.4077 * CHOOSE(CONTROL!$C$6, $C$6, 100%, $E$6) + CHOOSE(CONTROL!$C$25, 0.0003, 0)</f>
        <v>52.407699999999998</v>
      </c>
      <c r="D852" s="4">
        <f>70.6429 * CHOOSE(CONTROL!$C$6, $C$6, 100%, $E$6) + CHOOSE(CONTROL!$C$25, 0, 0)</f>
        <v>70.642899999999997</v>
      </c>
      <c r="E852" s="4">
        <f>445.785178248666 * CHOOSE(CONTROL!$C$6, $C$6, 100%, $E$6) + CHOOSE(CONTROL!$C$25, 0, 0)</f>
        <v>445.785178248666</v>
      </c>
    </row>
    <row r="853" spans="1:5" ht="15">
      <c r="A853" s="13">
        <v>68057</v>
      </c>
      <c r="B853" s="4">
        <f>54.7942 * CHOOSE(CONTROL!$C$6, $C$6, 100%, $E$6) + CHOOSE(CONTROL!$C$25, 0.0003, 0)</f>
        <v>54.794199999999996</v>
      </c>
      <c r="C853" s="4">
        <f>54.4817 * CHOOSE(CONTROL!$C$6, $C$6, 100%, $E$6) + CHOOSE(CONTROL!$C$25, 0.0003, 0)</f>
        <v>54.481699999999996</v>
      </c>
      <c r="D853" s="4">
        <f>72.6652 * CHOOSE(CONTROL!$C$6, $C$6, 100%, $E$6) + CHOOSE(CONTROL!$C$25, 0, 0)</f>
        <v>72.665199999999999</v>
      </c>
      <c r="E853" s="4">
        <f>463.969019679353 * CHOOSE(CONTROL!$C$6, $C$6, 100%, $E$6) + CHOOSE(CONTROL!$C$25, 0, 0)</f>
        <v>463.96901967935298</v>
      </c>
    </row>
    <row r="854" spans="1:5" ht="15">
      <c r="A854" s="13">
        <v>68088</v>
      </c>
      <c r="B854" s="4">
        <f>56.0614 * CHOOSE(CONTROL!$C$6, $C$6, 100%, $E$6) + CHOOSE(CONTROL!$C$25, 0.0258, 0)</f>
        <v>56.061399999999999</v>
      </c>
      <c r="C854" s="4">
        <f>55.7489 * CHOOSE(CONTROL!$C$6, $C$6, 100%, $E$6) + CHOOSE(CONTROL!$C$25, 0.0258, 0)</f>
        <v>55.748899999999999</v>
      </c>
      <c r="D854" s="4">
        <f>71.8661 * CHOOSE(CONTROL!$C$6, $C$6, 100%, $E$6) + CHOOSE(CONTROL!$C$25, 0, 0)</f>
        <v>71.866100000000003</v>
      </c>
      <c r="E854" s="4">
        <f>475.078910987647 * CHOOSE(CONTROL!$C$6, $C$6, 100%, $E$6) + CHOOSE(CONTROL!$C$25, 0, 0)</f>
        <v>475.07891098764702</v>
      </c>
    </row>
    <row r="855" spans="1:5" ht="15">
      <c r="A855" s="13">
        <v>68118</v>
      </c>
      <c r="B855" s="4">
        <f>56.2328 * CHOOSE(CONTROL!$C$6, $C$6, 100%, $E$6) + CHOOSE(CONTROL!$C$25, 0.0258, 0)</f>
        <v>56.232799999999997</v>
      </c>
      <c r="C855" s="4">
        <f>55.9203 * CHOOSE(CONTROL!$C$6, $C$6, 100%, $E$6) + CHOOSE(CONTROL!$C$25, 0.0258, 0)</f>
        <v>55.920299999999997</v>
      </c>
      <c r="D855" s="4">
        <f>72.5169 * CHOOSE(CONTROL!$C$6, $C$6, 100%, $E$6) + CHOOSE(CONTROL!$C$25, 0, 0)</f>
        <v>72.516900000000007</v>
      </c>
      <c r="E855" s="4">
        <f>476.582125388656 * CHOOSE(CONTROL!$C$6, $C$6, 100%, $E$6) + CHOOSE(CONTROL!$C$25, 0, 0)</f>
        <v>476.58212538865598</v>
      </c>
    </row>
    <row r="856" spans="1:5" ht="15">
      <c r="A856" s="13">
        <v>68149</v>
      </c>
      <c r="B856" s="4">
        <f>56.2155 * CHOOSE(CONTROL!$C$6, $C$6, 100%, $E$6) + CHOOSE(CONTROL!$C$25, 0.0258, 0)</f>
        <v>56.215499999999999</v>
      </c>
      <c r="C856" s="4">
        <f>55.903 * CHOOSE(CONTROL!$C$6, $C$6, 100%, $E$6) + CHOOSE(CONTROL!$C$25, 0.0258, 0)</f>
        <v>55.902999999999999</v>
      </c>
      <c r="D856" s="4">
        <f>73.6912 * CHOOSE(CONTROL!$C$6, $C$6, 100%, $E$6) + CHOOSE(CONTROL!$C$25, 0, 0)</f>
        <v>73.691199999999995</v>
      </c>
      <c r="E856" s="4">
        <f>476.430540743176 * CHOOSE(CONTROL!$C$6, $C$6, 100%, $E$6) + CHOOSE(CONTROL!$C$25, 0, 0)</f>
        <v>476.43054074317598</v>
      </c>
    </row>
    <row r="857" spans="1:5" ht="15">
      <c r="A857" s="13">
        <v>68180</v>
      </c>
      <c r="B857" s="4">
        <f>57.5166 * CHOOSE(CONTROL!$C$6, $C$6, 100%, $E$6) + CHOOSE(CONTROL!$C$25, 0.0258, 0)</f>
        <v>57.516599999999997</v>
      </c>
      <c r="C857" s="4">
        <f>57.2041 * CHOOSE(CONTROL!$C$6, $C$6, 100%, $E$6) + CHOOSE(CONTROL!$C$25, 0.0258, 0)</f>
        <v>57.204099999999997</v>
      </c>
      <c r="D857" s="4">
        <f>72.9157 * CHOOSE(CONTROL!$C$6, $C$6, 100%, $E$6) + CHOOSE(CONTROL!$C$25, 0, 0)</f>
        <v>72.915700000000001</v>
      </c>
      <c r="E857" s="4">
        <f>487.837285315535 * CHOOSE(CONTROL!$C$6, $C$6, 100%, $E$6) + CHOOSE(CONTROL!$C$25, 0, 0)</f>
        <v>487.83728531553498</v>
      </c>
    </row>
    <row r="858" spans="1:5" ht="15">
      <c r="A858" s="13">
        <v>68210</v>
      </c>
      <c r="B858" s="4">
        <f>55.2992 * CHOOSE(CONTROL!$C$6, $C$6, 100%, $E$6) + CHOOSE(CONTROL!$C$25, 0.0258, 0)</f>
        <v>55.299199999999999</v>
      </c>
      <c r="C858" s="4">
        <f>54.9867 * CHOOSE(CONTROL!$C$6, $C$6, 100%, $E$6) + CHOOSE(CONTROL!$C$25, 0.0258, 0)</f>
        <v>54.986699999999999</v>
      </c>
      <c r="D858" s="4">
        <f>72.5492 * CHOOSE(CONTROL!$C$6, $C$6, 100%, $E$6) + CHOOSE(CONTROL!$C$25, 0, 0)</f>
        <v>72.549199999999999</v>
      </c>
      <c r="E858" s="4">
        <f>468.396554532744 * CHOOSE(CONTROL!$C$6, $C$6, 100%, $E$6) + CHOOSE(CONTROL!$C$25, 0, 0)</f>
        <v>468.39655453274401</v>
      </c>
    </row>
    <row r="859" spans="1:5" ht="15">
      <c r="A859" s="13">
        <v>68241</v>
      </c>
      <c r="B859" s="4">
        <f>53.5241 * CHOOSE(CONTROL!$C$6, $C$6, 100%, $E$6) + CHOOSE(CONTROL!$C$25, 0.0003, 0)</f>
        <v>53.524099999999997</v>
      </c>
      <c r="C859" s="4">
        <f>53.2116 * CHOOSE(CONTROL!$C$6, $C$6, 100%, $E$6) + CHOOSE(CONTROL!$C$25, 0.0003, 0)</f>
        <v>53.211599999999997</v>
      </c>
      <c r="D859" s="4">
        <f>71.5682 * CHOOSE(CONTROL!$C$6, $C$6, 100%, $E$6) + CHOOSE(CONTROL!$C$25, 0, 0)</f>
        <v>71.568200000000004</v>
      </c>
      <c r="E859" s="4">
        <f>452.833864263479 * CHOOSE(CONTROL!$C$6, $C$6, 100%, $E$6) + CHOOSE(CONTROL!$C$25, 0, 0)</f>
        <v>452.83386426347897</v>
      </c>
    </row>
    <row r="860" spans="1:5" ht="15">
      <c r="A860" s="13">
        <v>68271</v>
      </c>
      <c r="B860" s="4">
        <f>52.3809 * CHOOSE(CONTROL!$C$6, $C$6, 100%, $E$6) + CHOOSE(CONTROL!$C$25, 0.0003, 0)</f>
        <v>52.380899999999997</v>
      </c>
      <c r="C860" s="4">
        <f>52.0684 * CHOOSE(CONTROL!$C$6, $C$6, 100%, $E$6) + CHOOSE(CONTROL!$C$25, 0.0003, 0)</f>
        <v>52.068399999999997</v>
      </c>
      <c r="D860" s="4">
        <f>71.2309 * CHOOSE(CONTROL!$C$6, $C$6, 100%, $E$6) + CHOOSE(CONTROL!$C$25, 0, 0)</f>
        <v>71.230900000000005</v>
      </c>
      <c r="E860" s="4">
        <f>442.810329581124 * CHOOSE(CONTROL!$C$6, $C$6, 100%, $E$6) + CHOOSE(CONTROL!$C$25, 0, 0)</f>
        <v>442.81032958112399</v>
      </c>
    </row>
    <row r="861" spans="1:5" ht="15">
      <c r="A861" s="13">
        <v>68302</v>
      </c>
      <c r="B861" s="4">
        <f>51.5899 * CHOOSE(CONTROL!$C$6, $C$6, 100%, $E$6) + CHOOSE(CONTROL!$C$25, 0.0003, 0)</f>
        <v>51.5899</v>
      </c>
      <c r="C861" s="4">
        <f>51.2774 * CHOOSE(CONTROL!$C$6, $C$6, 100%, $E$6) + CHOOSE(CONTROL!$C$25, 0.0003, 0)</f>
        <v>51.2774</v>
      </c>
      <c r="D861" s="4">
        <f>68.7476 * CHOOSE(CONTROL!$C$6, $C$6, 100%, $E$6) + CHOOSE(CONTROL!$C$25, 0, 0)</f>
        <v>68.747600000000006</v>
      </c>
      <c r="E861" s="4">
        <f>435.875332050421 * CHOOSE(CONTROL!$C$6, $C$6, 100%, $E$6) + CHOOSE(CONTROL!$C$25, 0, 0)</f>
        <v>435.87533205042098</v>
      </c>
    </row>
    <row r="862" spans="1:5" ht="15">
      <c r="A862" s="13">
        <v>68333</v>
      </c>
      <c r="B862" s="4">
        <f>49.7242 * CHOOSE(CONTROL!$C$6, $C$6, 100%, $E$6) + CHOOSE(CONTROL!$C$25, 0.0003, 0)</f>
        <v>49.724200000000003</v>
      </c>
      <c r="C862" s="4">
        <f>49.4117 * CHOOSE(CONTROL!$C$6, $C$6, 100%, $E$6) + CHOOSE(CONTROL!$C$25, 0.0003, 0)</f>
        <v>49.411700000000003</v>
      </c>
      <c r="D862" s="4">
        <f>66.3255 * CHOOSE(CONTROL!$C$6, $C$6, 100%, $E$6) + CHOOSE(CONTROL!$C$25, 0, 0)</f>
        <v>66.325500000000005</v>
      </c>
      <c r="E862" s="4">
        <f>422.308926295762 * CHOOSE(CONTROL!$C$6, $C$6, 100%, $E$6) + CHOOSE(CONTROL!$C$25, 0, 0)</f>
        <v>422.30892629576198</v>
      </c>
    </row>
    <row r="863" spans="1:5" ht="15">
      <c r="A863" s="13">
        <v>68361</v>
      </c>
      <c r="B863" s="4">
        <f>50.8603 * CHOOSE(CONTROL!$C$6, $C$6, 100%, $E$6) + CHOOSE(CONTROL!$C$25, 0.0003, 0)</f>
        <v>50.860300000000002</v>
      </c>
      <c r="C863" s="4">
        <f>50.5478 * CHOOSE(CONTROL!$C$6, $C$6, 100%, $E$6) + CHOOSE(CONTROL!$C$25, 0.0003, 0)</f>
        <v>50.547800000000002</v>
      </c>
      <c r="D863" s="4">
        <f>68.6189 * CHOOSE(CONTROL!$C$6, $C$6, 100%, $E$6) + CHOOSE(CONTROL!$C$25, 0, 0)</f>
        <v>68.618899999999996</v>
      </c>
      <c r="E863" s="4">
        <f>432.336204487258 * CHOOSE(CONTROL!$C$6, $C$6, 100%, $E$6) + CHOOSE(CONTROL!$C$25, 0, 0)</f>
        <v>432.33620448725799</v>
      </c>
    </row>
    <row r="864" spans="1:5" ht="15">
      <c r="A864" s="13">
        <v>68392</v>
      </c>
      <c r="B864" s="4">
        <f>53.8439 * CHOOSE(CONTROL!$C$6, $C$6, 100%, $E$6) + CHOOSE(CONTROL!$C$25, 0.0003, 0)</f>
        <v>53.843899999999998</v>
      </c>
      <c r="C864" s="4">
        <f>53.5314 * CHOOSE(CONTROL!$C$6, $C$6, 100%, $E$6) + CHOOSE(CONTROL!$C$25, 0.0003, 0)</f>
        <v>53.531399999999998</v>
      </c>
      <c r="D864" s="4">
        <f>72.209 * CHOOSE(CONTROL!$C$6, $C$6, 100%, $E$6) + CHOOSE(CONTROL!$C$25, 0, 0)</f>
        <v>72.209000000000003</v>
      </c>
      <c r="E864" s="4">
        <f>458.668369900052 * CHOOSE(CONTROL!$C$6, $C$6, 100%, $E$6) + CHOOSE(CONTROL!$C$25, 0, 0)</f>
        <v>458.66836990005203</v>
      </c>
    </row>
    <row r="865" spans="1:5" ht="15">
      <c r="A865" s="13">
        <v>68422</v>
      </c>
      <c r="B865" s="4">
        <f>55.9637 * CHOOSE(CONTROL!$C$6, $C$6, 100%, $E$6) + CHOOSE(CONTROL!$C$25, 0.0003, 0)</f>
        <v>55.963700000000003</v>
      </c>
      <c r="C865" s="4">
        <f>55.6512 * CHOOSE(CONTROL!$C$6, $C$6, 100%, $E$6) + CHOOSE(CONTROL!$C$25, 0.0003, 0)</f>
        <v>55.651200000000003</v>
      </c>
      <c r="D865" s="4">
        <f>74.277 * CHOOSE(CONTROL!$C$6, $C$6, 100%, $E$6) + CHOOSE(CONTROL!$C$25, 0, 0)</f>
        <v>74.277000000000001</v>
      </c>
      <c r="E865" s="4">
        <f>477.377724348086 * CHOOSE(CONTROL!$C$6, $C$6, 100%, $E$6) + CHOOSE(CONTROL!$C$25, 0, 0)</f>
        <v>477.37772434808602</v>
      </c>
    </row>
    <row r="866" spans="1:5" ht="15">
      <c r="A866" s="13">
        <v>68453</v>
      </c>
      <c r="B866" s="4">
        <f>57.2589 * CHOOSE(CONTROL!$C$6, $C$6, 100%, $E$6) + CHOOSE(CONTROL!$C$25, 0.0258, 0)</f>
        <v>57.258899999999997</v>
      </c>
      <c r="C866" s="4">
        <f>56.9464 * CHOOSE(CONTROL!$C$6, $C$6, 100%, $E$6) + CHOOSE(CONTROL!$C$25, 0.0258, 0)</f>
        <v>56.946399999999997</v>
      </c>
      <c r="D866" s="4">
        <f>73.4598 * CHOOSE(CONTROL!$C$6, $C$6, 100%, $E$6) + CHOOSE(CONTROL!$C$25, 0, 0)</f>
        <v>73.459800000000001</v>
      </c>
      <c r="E866" s="4">
        <f>488.80869151519 * CHOOSE(CONTROL!$C$6, $C$6, 100%, $E$6) + CHOOSE(CONTROL!$C$25, 0, 0)</f>
        <v>488.80869151518999</v>
      </c>
    </row>
    <row r="867" spans="1:5" ht="15">
      <c r="A867" s="13">
        <v>68483</v>
      </c>
      <c r="B867" s="4">
        <f>57.4341 * CHOOSE(CONTROL!$C$6, $C$6, 100%, $E$6) + CHOOSE(CONTROL!$C$25, 0.0258, 0)</f>
        <v>57.434100000000001</v>
      </c>
      <c r="C867" s="4">
        <f>57.1216 * CHOOSE(CONTROL!$C$6, $C$6, 100%, $E$6) + CHOOSE(CONTROL!$C$25, 0.0258, 0)</f>
        <v>57.121600000000001</v>
      </c>
      <c r="D867" s="4">
        <f>74.1253 * CHOOSE(CONTROL!$C$6, $C$6, 100%, $E$6) + CHOOSE(CONTROL!$C$25, 0, 0)</f>
        <v>74.125299999999996</v>
      </c>
      <c r="E867" s="4">
        <f>490.355348812388 * CHOOSE(CONTROL!$C$6, $C$6, 100%, $E$6) + CHOOSE(CONTROL!$C$25, 0, 0)</f>
        <v>490.355348812388</v>
      </c>
    </row>
    <row r="868" spans="1:5" ht="15">
      <c r="A868" s="13">
        <v>68514</v>
      </c>
      <c r="B868" s="4">
        <f>57.4165 * CHOOSE(CONTROL!$C$6, $C$6, 100%, $E$6) + CHOOSE(CONTROL!$C$25, 0.0258, 0)</f>
        <v>57.416499999999999</v>
      </c>
      <c r="C868" s="4">
        <f>57.104 * CHOOSE(CONTROL!$C$6, $C$6, 100%, $E$6) + CHOOSE(CONTROL!$C$25, 0.0258, 0)</f>
        <v>57.103999999999999</v>
      </c>
      <c r="D868" s="4">
        <f>75.3262 * CHOOSE(CONTROL!$C$6, $C$6, 100%, $E$6) + CHOOSE(CONTROL!$C$25, 0, 0)</f>
        <v>75.3262</v>
      </c>
      <c r="E868" s="4">
        <f>490.199383370654 * CHOOSE(CONTROL!$C$6, $C$6, 100%, $E$6) + CHOOSE(CONTROL!$C$25, 0, 0)</f>
        <v>490.199383370654</v>
      </c>
    </row>
    <row r="869" spans="1:5" ht="15">
      <c r="A869" s="13">
        <v>68545</v>
      </c>
      <c r="B869" s="4">
        <f>58.7462 * CHOOSE(CONTROL!$C$6, $C$6, 100%, $E$6) + CHOOSE(CONTROL!$C$25, 0.0258, 0)</f>
        <v>58.746200000000002</v>
      </c>
      <c r="C869" s="4">
        <f>58.4337 * CHOOSE(CONTROL!$C$6, $C$6, 100%, $E$6) + CHOOSE(CONTROL!$C$25, 0.0258, 0)</f>
        <v>58.433700000000002</v>
      </c>
      <c r="D869" s="4">
        <f>74.5331 * CHOOSE(CONTROL!$C$6, $C$6, 100%, $E$6) + CHOOSE(CONTROL!$C$25, 0, 0)</f>
        <v>74.533100000000005</v>
      </c>
      <c r="E869" s="4">
        <f>501.935782861154 * CHOOSE(CONTROL!$C$6, $C$6, 100%, $E$6) + CHOOSE(CONTROL!$C$25, 0, 0)</f>
        <v>501.935782861154</v>
      </c>
    </row>
    <row r="870" spans="1:5" ht="15">
      <c r="A870" s="13">
        <v>68575</v>
      </c>
      <c r="B870" s="4">
        <f>56.4799 * CHOOSE(CONTROL!$C$6, $C$6, 100%, $E$6) + CHOOSE(CONTROL!$C$25, 0.0258, 0)</f>
        <v>56.479900000000001</v>
      </c>
      <c r="C870" s="4">
        <f>56.1674 * CHOOSE(CONTROL!$C$6, $C$6, 100%, $E$6) + CHOOSE(CONTROL!$C$25, 0.0258, 0)</f>
        <v>56.167400000000001</v>
      </c>
      <c r="D870" s="4">
        <f>74.1584 * CHOOSE(CONTROL!$C$6, $C$6, 100%, $E$6) + CHOOSE(CONTROL!$C$25, 0, 0)</f>
        <v>74.1584</v>
      </c>
      <c r="E870" s="4">
        <f>481.93321495874 * CHOOSE(CONTROL!$C$6, $C$6, 100%, $E$6) + CHOOSE(CONTROL!$C$25, 0, 0)</f>
        <v>481.93321495874</v>
      </c>
    </row>
    <row r="871" spans="1:5" ht="15">
      <c r="A871" s="13">
        <v>68606</v>
      </c>
      <c r="B871" s="4">
        <f>54.6656 * CHOOSE(CONTROL!$C$6, $C$6, 100%, $E$6) + CHOOSE(CONTROL!$C$25, 0.0003, 0)</f>
        <v>54.665599999999998</v>
      </c>
      <c r="C871" s="4">
        <f>54.3531 * CHOOSE(CONTROL!$C$6, $C$6, 100%, $E$6) + CHOOSE(CONTROL!$C$25, 0.0003, 0)</f>
        <v>54.353099999999998</v>
      </c>
      <c r="D871" s="4">
        <f>73.1552 * CHOOSE(CONTROL!$C$6, $C$6, 100%, $E$6) + CHOOSE(CONTROL!$C$25, 0, 0)</f>
        <v>73.155199999999994</v>
      </c>
      <c r="E871" s="4">
        <f>465.920762940693 * CHOOSE(CONTROL!$C$6, $C$6, 100%, $E$6) + CHOOSE(CONTROL!$C$25, 0, 0)</f>
        <v>465.92076294069301</v>
      </c>
    </row>
    <row r="872" spans="1:5" ht="15">
      <c r="A872" s="13">
        <v>68636</v>
      </c>
      <c r="B872" s="4">
        <f>53.4971 * CHOOSE(CONTROL!$C$6, $C$6, 100%, $E$6) + CHOOSE(CONTROL!$C$25, 0.0003, 0)</f>
        <v>53.497100000000003</v>
      </c>
      <c r="C872" s="4">
        <f>53.1846 * CHOOSE(CONTROL!$C$6, $C$6, 100%, $E$6) + CHOOSE(CONTROL!$C$25, 0.0003, 0)</f>
        <v>53.184600000000003</v>
      </c>
      <c r="D872" s="4">
        <f>72.8102 * CHOOSE(CONTROL!$C$6, $C$6, 100%, $E$6) + CHOOSE(CONTROL!$C$25, 0, 0)</f>
        <v>72.810199999999995</v>
      </c>
      <c r="E872" s="4">
        <f>455.607548106018 * CHOOSE(CONTROL!$C$6, $C$6, 100%, $E$6) + CHOOSE(CONTROL!$C$25, 0, 0)</f>
        <v>455.60754810601799</v>
      </c>
    </row>
    <row r="873" spans="1:5" ht="15">
      <c r="A873" s="13">
        <v>68667</v>
      </c>
      <c r="B873" s="4">
        <f>52.6886 * CHOOSE(CONTROL!$C$6, $C$6, 100%, $E$6) + CHOOSE(CONTROL!$C$25, 0.0003, 0)</f>
        <v>52.688600000000001</v>
      </c>
      <c r="C873" s="4">
        <f>52.3761 * CHOOSE(CONTROL!$C$6, $C$6, 100%, $E$6) + CHOOSE(CONTROL!$C$25, 0.0003, 0)</f>
        <v>52.376100000000001</v>
      </c>
      <c r="D873" s="4">
        <f>70.2709 * CHOOSE(CONTROL!$C$6, $C$6, 100%, $E$6) + CHOOSE(CONTROL!$C$25, 0, 0)</f>
        <v>70.270899999999997</v>
      </c>
      <c r="E873" s="4">
        <f>448.472129146678 * CHOOSE(CONTROL!$C$6, $C$6, 100%, $E$6) + CHOOSE(CONTROL!$C$25, 0, 0)</f>
        <v>448.47212914667801</v>
      </c>
    </row>
    <row r="874" spans="1:5" ht="15">
      <c r="A874" s="13">
        <v>68698</v>
      </c>
      <c r="B874" s="4">
        <f>50.7817 * CHOOSE(CONTROL!$C$6, $C$6, 100%, $E$6) + CHOOSE(CONTROL!$C$25, 0.0003, 0)</f>
        <v>50.781700000000001</v>
      </c>
      <c r="C874" s="4">
        <f>50.4692 * CHOOSE(CONTROL!$C$6, $C$6, 100%, $E$6) + CHOOSE(CONTROL!$C$25, 0.0003, 0)</f>
        <v>50.469200000000001</v>
      </c>
      <c r="D874" s="4">
        <f>67.7941 * CHOOSE(CONTROL!$C$6, $C$6, 100%, $E$6) + CHOOSE(CONTROL!$C$25, 0, 0)</f>
        <v>67.7941</v>
      </c>
      <c r="E874" s="4">
        <f>434.51365426571 * CHOOSE(CONTROL!$C$6, $C$6, 100%, $E$6) + CHOOSE(CONTROL!$C$25, 0, 0)</f>
        <v>434.51365426570999</v>
      </c>
    </row>
    <row r="875" spans="1:5" ht="15">
      <c r="A875" s="13">
        <v>68727</v>
      </c>
      <c r="B875" s="4">
        <f>51.9429 * CHOOSE(CONTROL!$C$6, $C$6, 100%, $E$6) + CHOOSE(CONTROL!$C$25, 0.0003, 0)</f>
        <v>51.942900000000002</v>
      </c>
      <c r="C875" s="4">
        <f>51.6304 * CHOOSE(CONTROL!$C$6, $C$6, 100%, $E$6) + CHOOSE(CONTROL!$C$25, 0.0003, 0)</f>
        <v>51.630400000000002</v>
      </c>
      <c r="D875" s="4">
        <f>70.1392 * CHOOSE(CONTROL!$C$6, $C$6, 100%, $E$6) + CHOOSE(CONTROL!$C$25, 0, 0)</f>
        <v>70.139200000000002</v>
      </c>
      <c r="E875" s="4">
        <f>444.83072079694 * CHOOSE(CONTROL!$C$6, $C$6, 100%, $E$6) + CHOOSE(CONTROL!$C$25, 0, 0)</f>
        <v>444.83072079694</v>
      </c>
    </row>
    <row r="876" spans="1:5" ht="15">
      <c r="A876" s="13">
        <v>68758</v>
      </c>
      <c r="B876" s="4">
        <f>54.9924 * CHOOSE(CONTROL!$C$6, $C$6, 100%, $E$6) + CHOOSE(CONTROL!$C$25, 0.0003, 0)</f>
        <v>54.992400000000004</v>
      </c>
      <c r="C876" s="4">
        <f>54.6799 * CHOOSE(CONTROL!$C$6, $C$6, 100%, $E$6) + CHOOSE(CONTROL!$C$25, 0.0003, 0)</f>
        <v>54.679900000000004</v>
      </c>
      <c r="D876" s="4">
        <f>73.8105 * CHOOSE(CONTROL!$C$6, $C$6, 100%, $E$6) + CHOOSE(CONTROL!$C$25, 0, 0)</f>
        <v>73.810500000000005</v>
      </c>
      <c r="E876" s="4">
        <f>471.923885790164 * CHOOSE(CONTROL!$C$6, $C$6, 100%, $E$6) + CHOOSE(CONTROL!$C$25, 0, 0)</f>
        <v>471.92388579016398</v>
      </c>
    </row>
    <row r="877" spans="1:5" ht="15">
      <c r="A877" s="13">
        <v>68788</v>
      </c>
      <c r="B877" s="4">
        <f>57.1591 * CHOOSE(CONTROL!$C$6, $C$6, 100%, $E$6) + CHOOSE(CONTROL!$C$25, 0.0003, 0)</f>
        <v>57.159100000000002</v>
      </c>
      <c r="C877" s="4">
        <f>56.8466 * CHOOSE(CONTROL!$C$6, $C$6, 100%, $E$6) + CHOOSE(CONTROL!$C$25, 0.0003, 0)</f>
        <v>56.846600000000002</v>
      </c>
      <c r="D877" s="4">
        <f>75.9252 * CHOOSE(CONTROL!$C$6, $C$6, 100%, $E$6) + CHOOSE(CONTROL!$C$25, 0, 0)</f>
        <v>75.925200000000004</v>
      </c>
      <c r="E877" s="4">
        <f>491.173940581746 * CHOOSE(CONTROL!$C$6, $C$6, 100%, $E$6) + CHOOSE(CONTROL!$C$25, 0, 0)</f>
        <v>491.17394058174602</v>
      </c>
    </row>
    <row r="878" spans="1:5" ht="15">
      <c r="A878" s="13">
        <v>68819</v>
      </c>
      <c r="B878" s="4">
        <f>58.4829 * CHOOSE(CONTROL!$C$6, $C$6, 100%, $E$6) + CHOOSE(CONTROL!$C$25, 0.0258, 0)</f>
        <v>58.482900000000001</v>
      </c>
      <c r="C878" s="4">
        <f>58.1704 * CHOOSE(CONTROL!$C$6, $C$6, 100%, $E$6) + CHOOSE(CONTROL!$C$25, 0.0258, 0)</f>
        <v>58.170400000000001</v>
      </c>
      <c r="D878" s="4">
        <f>75.0896 * CHOOSE(CONTROL!$C$6, $C$6, 100%, $E$6) + CHOOSE(CONTROL!$C$25, 0, 0)</f>
        <v>75.089600000000004</v>
      </c>
      <c r="E878" s="4">
        <f>502.935262699979 * CHOOSE(CONTROL!$C$6, $C$6, 100%, $E$6) + CHOOSE(CONTROL!$C$25, 0, 0)</f>
        <v>502.93526269997898</v>
      </c>
    </row>
    <row r="879" spans="1:5" ht="15">
      <c r="A879" s="13">
        <v>68849</v>
      </c>
      <c r="B879" s="4">
        <f>58.662 * CHOOSE(CONTROL!$C$6, $C$6, 100%, $E$6) + CHOOSE(CONTROL!$C$25, 0.0258, 0)</f>
        <v>58.661999999999999</v>
      </c>
      <c r="C879" s="4">
        <f>58.3495 * CHOOSE(CONTROL!$C$6, $C$6, 100%, $E$6) + CHOOSE(CONTROL!$C$25, 0.0258, 0)</f>
        <v>58.349499999999999</v>
      </c>
      <c r="D879" s="4">
        <f>75.7701 * CHOOSE(CONTROL!$C$6, $C$6, 100%, $E$6) + CHOOSE(CONTROL!$C$25, 0, 0)</f>
        <v>75.770099999999999</v>
      </c>
      <c r="E879" s="4">
        <f>504.526618393066 * CHOOSE(CONTROL!$C$6, $C$6, 100%, $E$6) + CHOOSE(CONTROL!$C$25, 0, 0)</f>
        <v>504.52661839306597</v>
      </c>
    </row>
    <row r="880" spans="1:5" ht="15">
      <c r="A880" s="13">
        <v>68880</v>
      </c>
      <c r="B880" s="4">
        <f>58.6439 * CHOOSE(CONTROL!$C$6, $C$6, 100%, $E$6) + CHOOSE(CONTROL!$C$25, 0.0258, 0)</f>
        <v>58.643900000000002</v>
      </c>
      <c r="C880" s="4">
        <f>58.3314 * CHOOSE(CONTROL!$C$6, $C$6, 100%, $E$6) + CHOOSE(CONTROL!$C$25, 0.0258, 0)</f>
        <v>58.331400000000002</v>
      </c>
      <c r="D880" s="4">
        <f>76.9981 * CHOOSE(CONTROL!$C$6, $C$6, 100%, $E$6) + CHOOSE(CONTROL!$C$25, 0, 0)</f>
        <v>76.998099999999994</v>
      </c>
      <c r="E880" s="4">
        <f>504.366145550066 * CHOOSE(CONTROL!$C$6, $C$6, 100%, $E$6) + CHOOSE(CONTROL!$C$25, 0, 0)</f>
        <v>504.36614555006599</v>
      </c>
    </row>
    <row r="881" spans="1:5" ht="15">
      <c r="A881" s="13">
        <v>68911</v>
      </c>
      <c r="B881" s="4">
        <f>60.0031 * CHOOSE(CONTROL!$C$6, $C$6, 100%, $E$6) + CHOOSE(CONTROL!$C$25, 0.0258, 0)</f>
        <v>60.003100000000003</v>
      </c>
      <c r="C881" s="4">
        <f>59.6906 * CHOOSE(CONTROL!$C$6, $C$6, 100%, $E$6) + CHOOSE(CONTROL!$C$25, 0.0258, 0)</f>
        <v>59.690600000000003</v>
      </c>
      <c r="D881" s="4">
        <f>76.1871 * CHOOSE(CONTROL!$C$6, $C$6, 100%, $E$6) + CHOOSE(CONTROL!$C$25, 0, 0)</f>
        <v>76.187100000000001</v>
      </c>
      <c r="E881" s="4">
        <f>516.441726985841 * CHOOSE(CONTROL!$C$6, $C$6, 100%, $E$6) + CHOOSE(CONTROL!$C$25, 0, 0)</f>
        <v>516.441726985841</v>
      </c>
    </row>
    <row r="882" spans="1:5" ht="15">
      <c r="A882" s="13">
        <v>68941</v>
      </c>
      <c r="B882" s="4">
        <f>57.6866 * CHOOSE(CONTROL!$C$6, $C$6, 100%, $E$6) + CHOOSE(CONTROL!$C$25, 0.0258, 0)</f>
        <v>57.686599999999999</v>
      </c>
      <c r="C882" s="4">
        <f>57.3741 * CHOOSE(CONTROL!$C$6, $C$6, 100%, $E$6) + CHOOSE(CONTROL!$C$25, 0.0258, 0)</f>
        <v>57.374099999999999</v>
      </c>
      <c r="D882" s="4">
        <f>75.804 * CHOOSE(CONTROL!$C$6, $C$6, 100%, $E$6) + CHOOSE(CONTROL!$C$25, 0, 0)</f>
        <v>75.804000000000002</v>
      </c>
      <c r="E882" s="4">
        <f>495.861084871048 * CHOOSE(CONTROL!$C$6, $C$6, 100%, $E$6) + CHOOSE(CONTROL!$C$25, 0, 0)</f>
        <v>495.86108487104798</v>
      </c>
    </row>
    <row r="883" spans="1:5" ht="15">
      <c r="A883" s="13">
        <v>68972</v>
      </c>
      <c r="B883" s="4">
        <f>55.8323 * CHOOSE(CONTROL!$C$6, $C$6, 100%, $E$6) + CHOOSE(CONTROL!$C$25, 0.0003, 0)</f>
        <v>55.832299999999996</v>
      </c>
      <c r="C883" s="4">
        <f>55.5198 * CHOOSE(CONTROL!$C$6, $C$6, 100%, $E$6) + CHOOSE(CONTROL!$C$25, 0.0003, 0)</f>
        <v>55.519799999999996</v>
      </c>
      <c r="D883" s="4">
        <f>74.778 * CHOOSE(CONTROL!$C$6, $C$6, 100%, $E$6) + CHOOSE(CONTROL!$C$25, 0, 0)</f>
        <v>74.778000000000006</v>
      </c>
      <c r="E883" s="4">
        <f>479.385872989679 * CHOOSE(CONTROL!$C$6, $C$6, 100%, $E$6) + CHOOSE(CONTROL!$C$25, 0, 0)</f>
        <v>479.385872989679</v>
      </c>
    </row>
    <row r="884" spans="1:5" ht="15">
      <c r="A884" s="13">
        <v>69002</v>
      </c>
      <c r="B884" s="4">
        <f>54.6379 * CHOOSE(CONTROL!$C$6, $C$6, 100%, $E$6) + CHOOSE(CONTROL!$C$25, 0.0003, 0)</f>
        <v>54.637900000000002</v>
      </c>
      <c r="C884" s="4">
        <f>54.3254 * CHOOSE(CONTROL!$C$6, $C$6, 100%, $E$6) + CHOOSE(CONTROL!$C$25, 0.0003, 0)</f>
        <v>54.325400000000002</v>
      </c>
      <c r="D884" s="4">
        <f>74.4253 * CHOOSE(CONTROL!$C$6, $C$6, 100%, $E$6) + CHOOSE(CONTROL!$C$25, 0, 0)</f>
        <v>74.425299999999993</v>
      </c>
      <c r="E884" s="4">
        <f>468.774606246282 * CHOOSE(CONTROL!$C$6, $C$6, 100%, $E$6) + CHOOSE(CONTROL!$C$25, 0, 0)</f>
        <v>468.77460624628202</v>
      </c>
    </row>
    <row r="885" spans="1:5" ht="15">
      <c r="A885" s="13">
        <v>69033</v>
      </c>
      <c r="B885" s="4">
        <f>53.8116 * CHOOSE(CONTROL!$C$6, $C$6, 100%, $E$6) + CHOOSE(CONTROL!$C$25, 0.0003, 0)</f>
        <v>53.811599999999999</v>
      </c>
      <c r="C885" s="4">
        <f>53.4991 * CHOOSE(CONTROL!$C$6, $C$6, 100%, $E$6) + CHOOSE(CONTROL!$C$25, 0.0003, 0)</f>
        <v>53.499099999999999</v>
      </c>
      <c r="D885" s="4">
        <f>71.8286 * CHOOSE(CONTROL!$C$6, $C$6, 100%, $E$6) + CHOOSE(CONTROL!$C$25, 0, 0)</f>
        <v>71.828599999999994</v>
      </c>
      <c r="E885" s="4">
        <f>461.432973679017 * CHOOSE(CONTROL!$C$6, $C$6, 100%, $E$6) + CHOOSE(CONTROL!$C$25, 0, 0)</f>
        <v>461.43297367901698</v>
      </c>
    </row>
    <row r="886" spans="1:5" ht="15">
      <c r="A886" s="13">
        <v>69064</v>
      </c>
      <c r="B886" s="4">
        <f>51.8625 * CHOOSE(CONTROL!$C$6, $C$6, 100%, $E$6) + CHOOSE(CONTROL!$C$25, 0.0003, 0)</f>
        <v>51.862499999999997</v>
      </c>
      <c r="C886" s="4">
        <f>51.55 * CHOOSE(CONTROL!$C$6, $C$6, 100%, $E$6) + CHOOSE(CONTROL!$C$25, 0.0003, 0)</f>
        <v>51.55</v>
      </c>
      <c r="D886" s="4">
        <f>69.2958 * CHOOSE(CONTROL!$C$6, $C$6, 100%, $E$6) + CHOOSE(CONTROL!$C$25, 0, 0)</f>
        <v>69.2958</v>
      </c>
      <c r="E886" s="4">
        <f>447.071098873989 * CHOOSE(CONTROL!$C$6, $C$6, 100%, $E$6) + CHOOSE(CONTROL!$C$25, 0, 0)</f>
        <v>447.071098873989</v>
      </c>
    </row>
    <row r="887" spans="1:5" ht="15">
      <c r="A887" s="13">
        <v>69092</v>
      </c>
      <c r="B887" s="4">
        <f>53.0494 * CHOOSE(CONTROL!$C$6, $C$6, 100%, $E$6) + CHOOSE(CONTROL!$C$25, 0.0003, 0)</f>
        <v>53.049399999999999</v>
      </c>
      <c r="C887" s="4">
        <f>52.7369 * CHOOSE(CONTROL!$C$6, $C$6, 100%, $E$6) + CHOOSE(CONTROL!$C$25, 0.0003, 0)</f>
        <v>52.736899999999999</v>
      </c>
      <c r="D887" s="4">
        <f>71.694 * CHOOSE(CONTROL!$C$6, $C$6, 100%, $E$6) + CHOOSE(CONTROL!$C$25, 0, 0)</f>
        <v>71.694000000000003</v>
      </c>
      <c r="E887" s="4">
        <f>457.686328627971 * CHOOSE(CONTROL!$C$6, $C$6, 100%, $E$6) + CHOOSE(CONTROL!$C$25, 0, 0)</f>
        <v>457.68632862797102</v>
      </c>
    </row>
    <row r="888" spans="1:5" ht="15">
      <c r="A888" s="13">
        <v>69123</v>
      </c>
      <c r="B888" s="4">
        <f>56.1663 * CHOOSE(CONTROL!$C$6, $C$6, 100%, $E$6) + CHOOSE(CONTROL!$C$25, 0.0003, 0)</f>
        <v>56.1663</v>
      </c>
      <c r="C888" s="4">
        <f>55.8538 * CHOOSE(CONTROL!$C$6, $C$6, 100%, $E$6) + CHOOSE(CONTROL!$C$25, 0.0003, 0)</f>
        <v>55.8538</v>
      </c>
      <c r="D888" s="4">
        <f>75.4481 * CHOOSE(CONTROL!$C$6, $C$6, 100%, $E$6) + CHOOSE(CONTROL!$C$25, 0, 0)</f>
        <v>75.448099999999997</v>
      </c>
      <c r="E888" s="4">
        <f>485.562486089499 * CHOOSE(CONTROL!$C$6, $C$6, 100%, $E$6) + CHOOSE(CONTROL!$C$25, 0, 0)</f>
        <v>485.56248608949898</v>
      </c>
    </row>
    <row r="889" spans="1:5" ht="15">
      <c r="A889" s="13">
        <v>69153</v>
      </c>
      <c r="B889" s="4">
        <f>58.3809 * CHOOSE(CONTROL!$C$6, $C$6, 100%, $E$6) + CHOOSE(CONTROL!$C$25, 0.0003, 0)</f>
        <v>58.380899999999997</v>
      </c>
      <c r="C889" s="4">
        <f>58.0684 * CHOOSE(CONTROL!$C$6, $C$6, 100%, $E$6) + CHOOSE(CONTROL!$C$25, 0.0003, 0)</f>
        <v>58.068399999999997</v>
      </c>
      <c r="D889" s="4">
        <f>77.6107 * CHOOSE(CONTROL!$C$6, $C$6, 100%, $E$6) + CHOOSE(CONTROL!$C$25, 0, 0)</f>
        <v>77.610699999999994</v>
      </c>
      <c r="E889" s="4">
        <f>505.368867464559 * CHOOSE(CONTROL!$C$6, $C$6, 100%, $E$6) + CHOOSE(CONTROL!$C$25, 0, 0)</f>
        <v>505.368867464559</v>
      </c>
    </row>
    <row r="890" spans="1:5" ht="15">
      <c r="A890" s="13">
        <v>69184</v>
      </c>
      <c r="B890" s="4">
        <f>59.7339 * CHOOSE(CONTROL!$C$6, $C$6, 100%, $E$6) + CHOOSE(CONTROL!$C$25, 0.0258, 0)</f>
        <v>59.733899999999998</v>
      </c>
      <c r="C890" s="4">
        <f>59.4214 * CHOOSE(CONTROL!$C$6, $C$6, 100%, $E$6) + CHOOSE(CONTROL!$C$25, 0.0258, 0)</f>
        <v>59.421399999999998</v>
      </c>
      <c r="D890" s="4">
        <f>76.7561 * CHOOSE(CONTROL!$C$6, $C$6, 100%, $E$6) + CHOOSE(CONTROL!$C$25, 0, 0)</f>
        <v>76.756100000000004</v>
      </c>
      <c r="E890" s="4">
        <f>517.470091792009 * CHOOSE(CONTROL!$C$6, $C$6, 100%, $E$6) + CHOOSE(CONTROL!$C$25, 0, 0)</f>
        <v>517.47009179200904</v>
      </c>
    </row>
    <row r="891" spans="1:5" ht="15">
      <c r="A891" s="13">
        <v>69214</v>
      </c>
      <c r="B891" s="4">
        <f>59.917 * CHOOSE(CONTROL!$C$6, $C$6, 100%, $E$6) + CHOOSE(CONTROL!$C$25, 0.0258, 0)</f>
        <v>59.917000000000002</v>
      </c>
      <c r="C891" s="4">
        <f>59.6045 * CHOOSE(CONTROL!$C$6, $C$6, 100%, $E$6) + CHOOSE(CONTROL!$C$25, 0.0258, 0)</f>
        <v>59.604500000000002</v>
      </c>
      <c r="D891" s="4">
        <f>77.4521 * CHOOSE(CONTROL!$C$6, $C$6, 100%, $E$6) + CHOOSE(CONTROL!$C$25, 0, 0)</f>
        <v>77.452100000000002</v>
      </c>
      <c r="E891" s="4">
        <f>519.107437664625 * CHOOSE(CONTROL!$C$6, $C$6, 100%, $E$6) + CHOOSE(CONTROL!$C$25, 0, 0)</f>
        <v>519.10743766462497</v>
      </c>
    </row>
    <row r="892" spans="1:5" ht="15">
      <c r="A892" s="13">
        <v>69245</v>
      </c>
      <c r="B892" s="4">
        <f>59.8985 * CHOOSE(CONTROL!$C$6, $C$6, 100%, $E$6) + CHOOSE(CONTROL!$C$25, 0.0258, 0)</f>
        <v>59.898499999999999</v>
      </c>
      <c r="C892" s="4">
        <f>59.586 * CHOOSE(CONTROL!$C$6, $C$6, 100%, $E$6) + CHOOSE(CONTROL!$C$25, 0.0258, 0)</f>
        <v>59.585999999999999</v>
      </c>
      <c r="D892" s="4">
        <f>78.7078 * CHOOSE(CONTROL!$C$6, $C$6, 100%, $E$6) + CHOOSE(CONTROL!$C$25, 0, 0)</f>
        <v>78.707800000000006</v>
      </c>
      <c r="E892" s="4">
        <f>518.942327156463 * CHOOSE(CONTROL!$C$6, $C$6, 100%, $E$6) + CHOOSE(CONTROL!$C$25, 0, 0)</f>
        <v>518.94232715646297</v>
      </c>
    </row>
    <row r="893" spans="1:5" ht="15">
      <c r="A893" s="13">
        <v>69276</v>
      </c>
      <c r="B893" s="4">
        <f>61.2877 * CHOOSE(CONTROL!$C$6, $C$6, 100%, $E$6) + CHOOSE(CONTROL!$C$25, 0.0258, 0)</f>
        <v>61.287700000000001</v>
      </c>
      <c r="C893" s="4">
        <f>60.9752 * CHOOSE(CONTROL!$C$6, $C$6, 100%, $E$6) + CHOOSE(CONTROL!$C$25, 0.0258, 0)</f>
        <v>60.975200000000001</v>
      </c>
      <c r="D893" s="4">
        <f>77.8785 * CHOOSE(CONTROL!$C$6, $C$6, 100%, $E$6) + CHOOSE(CONTROL!$C$25, 0, 0)</f>
        <v>77.878500000000003</v>
      </c>
      <c r="E893" s="4">
        <f>531.366892895732 * CHOOSE(CONTROL!$C$6, $C$6, 100%, $E$6) + CHOOSE(CONTROL!$C$25, 0, 0)</f>
        <v>531.36689289573201</v>
      </c>
    </row>
    <row r="894" spans="1:5" ht="15">
      <c r="A894" s="13">
        <v>69306</v>
      </c>
      <c r="B894" s="4">
        <f>58.9201 * CHOOSE(CONTROL!$C$6, $C$6, 100%, $E$6) + CHOOSE(CONTROL!$C$25, 0.0258, 0)</f>
        <v>58.920099999999998</v>
      </c>
      <c r="C894" s="4">
        <f>58.6076 * CHOOSE(CONTROL!$C$6, $C$6, 100%, $E$6) + CHOOSE(CONTROL!$C$25, 0.0258, 0)</f>
        <v>58.607599999999998</v>
      </c>
      <c r="D894" s="4">
        <f>77.4867 * CHOOSE(CONTROL!$C$6, $C$6, 100%, $E$6) + CHOOSE(CONTROL!$C$25, 0, 0)</f>
        <v>77.486699999999999</v>
      </c>
      <c r="E894" s="4">
        <f>510.191470223821 * CHOOSE(CONTROL!$C$6, $C$6, 100%, $E$6) + CHOOSE(CONTROL!$C$25, 0, 0)</f>
        <v>510.191470223821</v>
      </c>
    </row>
    <row r="895" spans="1:5" ht="15">
      <c r="A895" s="13">
        <v>69337</v>
      </c>
      <c r="B895" s="4">
        <f>57.0247 * CHOOSE(CONTROL!$C$6, $C$6, 100%, $E$6) + CHOOSE(CONTROL!$C$25, 0.0003, 0)</f>
        <v>57.024700000000003</v>
      </c>
      <c r="C895" s="4">
        <f>56.7122 * CHOOSE(CONTROL!$C$6, $C$6, 100%, $E$6) + CHOOSE(CONTROL!$C$25, 0.0003, 0)</f>
        <v>56.712200000000003</v>
      </c>
      <c r="D895" s="4">
        <f>76.4376 * CHOOSE(CONTROL!$C$6, $C$6, 100%, $E$6) + CHOOSE(CONTROL!$C$25, 0, 0)</f>
        <v>76.437600000000003</v>
      </c>
      <c r="E895" s="4">
        <f>493.240124719081 * CHOOSE(CONTROL!$C$6, $C$6, 100%, $E$6) + CHOOSE(CONTROL!$C$25, 0, 0)</f>
        <v>493.240124719081</v>
      </c>
    </row>
    <row r="896" spans="1:5" ht="15">
      <c r="A896" s="13">
        <v>69367</v>
      </c>
      <c r="B896" s="4">
        <f>55.804 * CHOOSE(CONTROL!$C$6, $C$6, 100%, $E$6) + CHOOSE(CONTROL!$C$25, 0.0003, 0)</f>
        <v>55.804000000000002</v>
      </c>
      <c r="C896" s="4">
        <f>55.4915 * CHOOSE(CONTROL!$C$6, $C$6, 100%, $E$6) + CHOOSE(CONTROL!$C$25, 0.0003, 0)</f>
        <v>55.491500000000002</v>
      </c>
      <c r="D896" s="4">
        <f>76.0769 * CHOOSE(CONTROL!$C$6, $C$6, 100%, $E$6) + CHOOSE(CONTROL!$C$25, 0, 0)</f>
        <v>76.076899999999995</v>
      </c>
      <c r="E896" s="4">
        <f>482.3221923668 * CHOOSE(CONTROL!$C$6, $C$6, 100%, $E$6) + CHOOSE(CONTROL!$C$25, 0, 0)</f>
        <v>482.32219236679998</v>
      </c>
    </row>
    <row r="897" spans="1:5" ht="15">
      <c r="A897" s="13">
        <v>69398</v>
      </c>
      <c r="B897" s="4">
        <f>54.9594 * CHOOSE(CONTROL!$C$6, $C$6, 100%, $E$6) + CHOOSE(CONTROL!$C$25, 0.0003, 0)</f>
        <v>54.959400000000002</v>
      </c>
      <c r="C897" s="4">
        <f>54.6469 * CHOOSE(CONTROL!$C$6, $C$6, 100%, $E$6) + CHOOSE(CONTROL!$C$25, 0.0003, 0)</f>
        <v>54.646900000000002</v>
      </c>
      <c r="D897" s="4">
        <f>73.4215 * CHOOSE(CONTROL!$C$6, $C$6, 100%, $E$6) + CHOOSE(CONTROL!$C$25, 0, 0)</f>
        <v>73.421499999999995</v>
      </c>
      <c r="E897" s="4">
        <f>474.76838661834 * CHOOSE(CONTROL!$C$6, $C$6, 100%, $E$6) + CHOOSE(CONTROL!$C$25, 0, 0)</f>
        <v>474.76838661834</v>
      </c>
    </row>
    <row r="898" spans="1:5" ht="15">
      <c r="A898" s="13">
        <v>69429</v>
      </c>
      <c r="B898" s="4">
        <f>52.9672 * CHOOSE(CONTROL!$C$6, $C$6, 100%, $E$6) + CHOOSE(CONTROL!$C$25, 0.0003, 0)</f>
        <v>52.967199999999998</v>
      </c>
      <c r="C898" s="4">
        <f>52.6547 * CHOOSE(CONTROL!$C$6, $C$6, 100%, $E$6) + CHOOSE(CONTROL!$C$25, 0.0003, 0)</f>
        <v>52.654699999999998</v>
      </c>
      <c r="D898" s="4">
        <f>70.8314 * CHOOSE(CONTROL!$C$6, $C$6, 100%, $E$6) + CHOOSE(CONTROL!$C$25, 0, 0)</f>
        <v>70.831400000000002</v>
      </c>
      <c r="E898" s="4">
        <f>459.991453631447 * CHOOSE(CONTROL!$C$6, $C$6, 100%, $E$6) + CHOOSE(CONTROL!$C$25, 0, 0)</f>
        <v>459.99145363144697</v>
      </c>
    </row>
    <row r="899" spans="1:5" ht="15">
      <c r="A899" s="13">
        <v>69457</v>
      </c>
      <c r="B899" s="4">
        <f>54.1804 * CHOOSE(CONTROL!$C$6, $C$6, 100%, $E$6) + CHOOSE(CONTROL!$C$25, 0.0003, 0)</f>
        <v>54.180399999999999</v>
      </c>
      <c r="C899" s="4">
        <f>53.8679 * CHOOSE(CONTROL!$C$6, $C$6, 100%, $E$6) + CHOOSE(CONTROL!$C$25, 0.0003, 0)</f>
        <v>53.867899999999999</v>
      </c>
      <c r="D899" s="4">
        <f>73.2838 * CHOOSE(CONTROL!$C$6, $C$6, 100%, $E$6) + CHOOSE(CONTROL!$C$25, 0, 0)</f>
        <v>73.283799999999999</v>
      </c>
      <c r="E899" s="4">
        <f>470.91346352532 * CHOOSE(CONTROL!$C$6, $C$6, 100%, $E$6) + CHOOSE(CONTROL!$C$25, 0, 0)</f>
        <v>470.91346352532003</v>
      </c>
    </row>
    <row r="900" spans="1:5" ht="15">
      <c r="A900" s="13">
        <v>69488</v>
      </c>
      <c r="B900" s="4">
        <f>57.3661 * CHOOSE(CONTROL!$C$6, $C$6, 100%, $E$6) + CHOOSE(CONTROL!$C$25, 0.0003, 0)</f>
        <v>57.366100000000003</v>
      </c>
      <c r="C900" s="4">
        <f>57.0536 * CHOOSE(CONTROL!$C$6, $C$6, 100%, $E$6) + CHOOSE(CONTROL!$C$25, 0.0003, 0)</f>
        <v>57.053600000000003</v>
      </c>
      <c r="D900" s="4">
        <f>77.1228 * CHOOSE(CONTROL!$C$6, $C$6, 100%, $E$6) + CHOOSE(CONTROL!$C$25, 0, 0)</f>
        <v>77.122799999999998</v>
      </c>
      <c r="E900" s="4">
        <f>499.595241937486 * CHOOSE(CONTROL!$C$6, $C$6, 100%, $E$6) + CHOOSE(CONTROL!$C$25, 0, 0)</f>
        <v>499.59524193748598</v>
      </c>
    </row>
    <row r="901" spans="1:5" ht="15">
      <c r="A901" s="13">
        <v>69518</v>
      </c>
      <c r="B901" s="4">
        <f>59.6296 * CHOOSE(CONTROL!$C$6, $C$6, 100%, $E$6) + CHOOSE(CONTROL!$C$25, 0.0003, 0)</f>
        <v>59.629600000000003</v>
      </c>
      <c r="C901" s="4">
        <f>59.3171 * CHOOSE(CONTROL!$C$6, $C$6, 100%, $E$6) + CHOOSE(CONTROL!$C$25, 0.0003, 0)</f>
        <v>59.317100000000003</v>
      </c>
      <c r="D901" s="4">
        <f>79.3342 * CHOOSE(CONTROL!$C$6, $C$6, 100%, $E$6) + CHOOSE(CONTROL!$C$25, 0, 0)</f>
        <v>79.334199999999996</v>
      </c>
      <c r="E901" s="4">
        <f>519.974027734284 * CHOOSE(CONTROL!$C$6, $C$6, 100%, $E$6) + CHOOSE(CONTROL!$C$25, 0, 0)</f>
        <v>519.97402773428405</v>
      </c>
    </row>
    <row r="902" spans="1:5" ht="15">
      <c r="A902" s="13">
        <v>69549</v>
      </c>
      <c r="B902" s="4">
        <f>61.0126 * CHOOSE(CONTROL!$C$6, $C$6, 100%, $E$6) + CHOOSE(CONTROL!$C$25, 0.0258, 0)</f>
        <v>61.012599999999999</v>
      </c>
      <c r="C902" s="4">
        <f>60.7001 * CHOOSE(CONTROL!$C$6, $C$6, 100%, $E$6) + CHOOSE(CONTROL!$C$25, 0.0258, 0)</f>
        <v>60.700099999999999</v>
      </c>
      <c r="D902" s="4">
        <f>78.4604 * CHOOSE(CONTROL!$C$6, $C$6, 100%, $E$6) + CHOOSE(CONTROL!$C$25, 0, 0)</f>
        <v>78.460400000000007</v>
      </c>
      <c r="E902" s="4">
        <f>532.424977444798 * CHOOSE(CONTROL!$C$6, $C$6, 100%, $E$6) + CHOOSE(CONTROL!$C$25, 0, 0)</f>
        <v>532.42497744479795</v>
      </c>
    </row>
    <row r="903" spans="1:5" ht="15">
      <c r="A903" s="13">
        <v>69579</v>
      </c>
      <c r="B903" s="4">
        <f>61.1997 * CHOOSE(CONTROL!$C$6, $C$6, 100%, $E$6) + CHOOSE(CONTROL!$C$25, 0.0258, 0)</f>
        <v>61.1997</v>
      </c>
      <c r="C903" s="4">
        <f>60.8872 * CHOOSE(CONTROL!$C$6, $C$6, 100%, $E$6) + CHOOSE(CONTROL!$C$25, 0.0258, 0)</f>
        <v>60.8872</v>
      </c>
      <c r="D903" s="4">
        <f>79.1721 * CHOOSE(CONTROL!$C$6, $C$6, 100%, $E$6) + CHOOSE(CONTROL!$C$25, 0, 0)</f>
        <v>79.1721</v>
      </c>
      <c r="E903" s="4">
        <f>534.109642613133 * CHOOSE(CONTROL!$C$6, $C$6, 100%, $E$6) + CHOOSE(CONTROL!$C$25, 0, 0)</f>
        <v>534.10964261313302</v>
      </c>
    </row>
    <row r="904" spans="1:5" ht="15">
      <c r="A904" s="13">
        <v>69610</v>
      </c>
      <c r="B904" s="4">
        <f>61.1808 * CHOOSE(CONTROL!$C$6, $C$6, 100%, $E$6) + CHOOSE(CONTROL!$C$25, 0.0258, 0)</f>
        <v>61.180799999999998</v>
      </c>
      <c r="C904" s="4">
        <f>60.8683 * CHOOSE(CONTROL!$C$6, $C$6, 100%, $E$6) + CHOOSE(CONTROL!$C$25, 0.0258, 0)</f>
        <v>60.868299999999998</v>
      </c>
      <c r="D904" s="4">
        <f>80.4562 * CHOOSE(CONTROL!$C$6, $C$6, 100%, $E$6) + CHOOSE(CONTROL!$C$25, 0, 0)</f>
        <v>80.456199999999995</v>
      </c>
      <c r="E904" s="4">
        <f>533.939760411284 * CHOOSE(CONTROL!$C$6, $C$6, 100%, $E$6) + CHOOSE(CONTROL!$C$25, 0, 0)</f>
        <v>533.93976041128406</v>
      </c>
    </row>
    <row r="905" spans="1:5" ht="15">
      <c r="A905" s="13">
        <v>69641</v>
      </c>
      <c r="B905" s="4">
        <f>62.6007 * CHOOSE(CONTROL!$C$6, $C$6, 100%, $E$6) + CHOOSE(CONTROL!$C$25, 0.0258, 0)</f>
        <v>62.600700000000003</v>
      </c>
      <c r="C905" s="4">
        <f>62.2882 * CHOOSE(CONTROL!$C$6, $C$6, 100%, $E$6) + CHOOSE(CONTROL!$C$25, 0.0258, 0)</f>
        <v>62.288200000000003</v>
      </c>
      <c r="D905" s="4">
        <f>79.6082 * CHOOSE(CONTROL!$C$6, $C$6, 100%, $E$6) + CHOOSE(CONTROL!$C$25, 0, 0)</f>
        <v>79.608199999999997</v>
      </c>
      <c r="E905" s="4">
        <f>546.723396100418 * CHOOSE(CONTROL!$C$6, $C$6, 100%, $E$6) + CHOOSE(CONTROL!$C$25, 0, 0)</f>
        <v>546.72339610041797</v>
      </c>
    </row>
    <row r="906" spans="1:5" ht="15">
      <c r="A906" s="13">
        <v>69671</v>
      </c>
      <c r="B906" s="4">
        <f>60.1808 * CHOOSE(CONTROL!$C$6, $C$6, 100%, $E$6) + CHOOSE(CONTROL!$C$25, 0.0258, 0)</f>
        <v>60.180799999999998</v>
      </c>
      <c r="C906" s="4">
        <f>59.8683 * CHOOSE(CONTROL!$C$6, $C$6, 100%, $E$6) + CHOOSE(CONTROL!$C$25, 0.0258, 0)</f>
        <v>59.868299999999998</v>
      </c>
      <c r="D906" s="4">
        <f>79.2075 * CHOOSE(CONTROL!$C$6, $C$6, 100%, $E$6) + CHOOSE(CONTROL!$C$25, 0, 0)</f>
        <v>79.207499999999996</v>
      </c>
      <c r="E906" s="4">
        <f>524.936003713289 * CHOOSE(CONTROL!$C$6, $C$6, 100%, $E$6) + CHOOSE(CONTROL!$C$25, 0, 0)</f>
        <v>524.93600371328898</v>
      </c>
    </row>
    <row r="907" spans="1:5" ht="15">
      <c r="A907" s="13">
        <v>69702</v>
      </c>
      <c r="B907" s="4">
        <f>58.2435 * CHOOSE(CONTROL!$C$6, $C$6, 100%, $E$6) + CHOOSE(CONTROL!$C$25, 0.0003, 0)</f>
        <v>58.243499999999997</v>
      </c>
      <c r="C907" s="4">
        <f>57.931 * CHOOSE(CONTROL!$C$6, $C$6, 100%, $E$6) + CHOOSE(CONTROL!$C$25, 0.0003, 0)</f>
        <v>57.930999999999997</v>
      </c>
      <c r="D907" s="4">
        <f>78.1346 * CHOOSE(CONTROL!$C$6, $C$6, 100%, $E$6) + CHOOSE(CONTROL!$C$25, 0, 0)</f>
        <v>78.134600000000006</v>
      </c>
      <c r="E907" s="4">
        <f>507.494764323463 * CHOOSE(CONTROL!$C$6, $C$6, 100%, $E$6) + CHOOSE(CONTROL!$C$25, 0, 0)</f>
        <v>507.49476432346302</v>
      </c>
    </row>
    <row r="908" spans="1:5" ht="15">
      <c r="A908" s="13">
        <v>69732</v>
      </c>
      <c r="B908" s="4">
        <f>56.9958 * CHOOSE(CONTROL!$C$6, $C$6, 100%, $E$6) + CHOOSE(CONTROL!$C$25, 0.0003, 0)</f>
        <v>56.995800000000003</v>
      </c>
      <c r="C908" s="4">
        <f>56.6833 * CHOOSE(CONTROL!$C$6, $C$6, 100%, $E$6) + CHOOSE(CONTROL!$C$25, 0.0003, 0)</f>
        <v>56.683300000000003</v>
      </c>
      <c r="D908" s="4">
        <f>77.7658 * CHOOSE(CONTROL!$C$6, $C$6, 100%, $E$6) + CHOOSE(CONTROL!$C$25, 0, 0)</f>
        <v>77.765799999999999</v>
      </c>
      <c r="E908" s="4">
        <f>496.2613037262 * CHOOSE(CONTROL!$C$6, $C$6, 100%, $E$6) + CHOOSE(CONTROL!$C$25, 0, 0)</f>
        <v>496.26130372620003</v>
      </c>
    </row>
    <row r="909" spans="1:5" ht="15">
      <c r="A909" s="13">
        <v>69763</v>
      </c>
      <c r="B909" s="4">
        <f>56.1325 * CHOOSE(CONTROL!$C$6, $C$6, 100%, $E$6) + CHOOSE(CONTROL!$C$25, 0.0003, 0)</f>
        <v>56.1325</v>
      </c>
      <c r="C909" s="4">
        <f>55.82 * CHOOSE(CONTROL!$C$6, $C$6, 100%, $E$6) + CHOOSE(CONTROL!$C$25, 0.0003, 0)</f>
        <v>55.82</v>
      </c>
      <c r="D909" s="4">
        <f>75.0504 * CHOOSE(CONTROL!$C$6, $C$6, 100%, $E$6) + CHOOSE(CONTROL!$C$25, 0, 0)</f>
        <v>75.050399999999996</v>
      </c>
      <c r="E909" s="4">
        <f>488.48919299161 * CHOOSE(CONTROL!$C$6, $C$6, 100%, $E$6) + CHOOSE(CONTROL!$C$25, 0, 0)</f>
        <v>488.48919299161003</v>
      </c>
    </row>
    <row r="910" spans="1:5" ht="15">
      <c r="A910" s="13">
        <v>69794</v>
      </c>
      <c r="B910" s="4">
        <f>54.0964 * CHOOSE(CONTROL!$C$6, $C$6, 100%, $E$6) + CHOOSE(CONTROL!$C$25, 0.0003, 0)</f>
        <v>54.096400000000003</v>
      </c>
      <c r="C910" s="4">
        <f>53.7839 * CHOOSE(CONTROL!$C$6, $C$6, 100%, $E$6) + CHOOSE(CONTROL!$C$25, 0.0003, 0)</f>
        <v>53.783900000000003</v>
      </c>
      <c r="D910" s="4">
        <f>72.4018 * CHOOSE(CONTROL!$C$6, $C$6, 100%, $E$6) + CHOOSE(CONTROL!$C$25, 0, 0)</f>
        <v>72.401799999999994</v>
      </c>
      <c r="E910" s="4">
        <f>473.285206641396 * CHOOSE(CONTROL!$C$6, $C$6, 100%, $E$6) + CHOOSE(CONTROL!$C$25, 0, 0)</f>
        <v>473.28520664139597</v>
      </c>
    </row>
    <row r="911" spans="1:5" ht="15">
      <c r="A911" s="13">
        <v>69822</v>
      </c>
      <c r="B911" s="4">
        <f>55.3363 * CHOOSE(CONTROL!$C$6, $C$6, 100%, $E$6) + CHOOSE(CONTROL!$C$25, 0.0003, 0)</f>
        <v>55.336300000000001</v>
      </c>
      <c r="C911" s="4">
        <f>55.0238 * CHOOSE(CONTROL!$C$6, $C$6, 100%, $E$6) + CHOOSE(CONTROL!$C$25, 0.0003, 0)</f>
        <v>55.023800000000001</v>
      </c>
      <c r="D911" s="4">
        <f>74.9096 * CHOOSE(CONTROL!$C$6, $C$6, 100%, $E$6) + CHOOSE(CONTROL!$C$25, 0, 0)</f>
        <v>74.909599999999998</v>
      </c>
      <c r="E911" s="4">
        <f>484.522862621202 * CHOOSE(CONTROL!$C$6, $C$6, 100%, $E$6) + CHOOSE(CONTROL!$C$25, 0, 0)</f>
        <v>484.52286262120202</v>
      </c>
    </row>
    <row r="912" spans="1:5" ht="15">
      <c r="A912" s="13">
        <v>69853</v>
      </c>
      <c r="B912" s="4">
        <f>58.5925 * CHOOSE(CONTROL!$C$6, $C$6, 100%, $E$6) + CHOOSE(CONTROL!$C$25, 0.0003, 0)</f>
        <v>58.592500000000001</v>
      </c>
      <c r="C912" s="4">
        <f>58.28 * CHOOSE(CONTROL!$C$6, $C$6, 100%, $E$6) + CHOOSE(CONTROL!$C$25, 0.0003, 0)</f>
        <v>58.28</v>
      </c>
      <c r="D912" s="4">
        <f>78.8354 * CHOOSE(CONTROL!$C$6, $C$6, 100%, $E$6) + CHOOSE(CONTROL!$C$25, 0, 0)</f>
        <v>78.835400000000007</v>
      </c>
      <c r="E912" s="4">
        <f>514.033544429479 * CHOOSE(CONTROL!$C$6, $C$6, 100%, $E$6) + CHOOSE(CONTROL!$C$25, 0, 0)</f>
        <v>514.03354442947898</v>
      </c>
    </row>
    <row r="913" spans="1:5" ht="15">
      <c r="A913" s="13">
        <v>69883</v>
      </c>
      <c r="B913" s="4">
        <f>60.906 * CHOOSE(CONTROL!$C$6, $C$6, 100%, $E$6) + CHOOSE(CONTROL!$C$25, 0.0003, 0)</f>
        <v>60.905999999999999</v>
      </c>
      <c r="C913" s="4">
        <f>60.5935 * CHOOSE(CONTROL!$C$6, $C$6, 100%, $E$6) + CHOOSE(CONTROL!$C$25, 0.0003, 0)</f>
        <v>60.593499999999999</v>
      </c>
      <c r="D913" s="4">
        <f>81.0968 * CHOOSE(CONTROL!$C$6, $C$6, 100%, $E$6) + CHOOSE(CONTROL!$C$25, 0, 0)</f>
        <v>81.096800000000002</v>
      </c>
      <c r="E913" s="4">
        <f>535.001277135805 * CHOOSE(CONTROL!$C$6, $C$6, 100%, $E$6) + CHOOSE(CONTROL!$C$25, 0, 0)</f>
        <v>535.00127713580503</v>
      </c>
    </row>
    <row r="914" spans="1:5" ht="15">
      <c r="A914" s="13">
        <v>69914</v>
      </c>
      <c r="B914" s="4">
        <f>62.3195 * CHOOSE(CONTROL!$C$6, $C$6, 100%, $E$6) + CHOOSE(CONTROL!$C$25, 0.0258, 0)</f>
        <v>62.319499999999998</v>
      </c>
      <c r="C914" s="4">
        <f>62.007 * CHOOSE(CONTROL!$C$6, $C$6, 100%, $E$6) + CHOOSE(CONTROL!$C$25, 0.0258, 0)</f>
        <v>62.006999999999998</v>
      </c>
      <c r="D914" s="4">
        <f>80.2032 * CHOOSE(CONTROL!$C$6, $C$6, 100%, $E$6) + CHOOSE(CONTROL!$C$25, 0, 0)</f>
        <v>80.203199999999995</v>
      </c>
      <c r="E914" s="4">
        <f>547.812059292952 * CHOOSE(CONTROL!$C$6, $C$6, 100%, $E$6) + CHOOSE(CONTROL!$C$25, 0, 0)</f>
        <v>547.81205929295197</v>
      </c>
    </row>
    <row r="915" spans="1:5" ht="15">
      <c r="A915" s="13">
        <v>69944</v>
      </c>
      <c r="B915" s="4">
        <f>62.5108 * CHOOSE(CONTROL!$C$6, $C$6, 100%, $E$6) + CHOOSE(CONTROL!$C$25, 0.0258, 0)</f>
        <v>62.510800000000003</v>
      </c>
      <c r="C915" s="4">
        <f>62.1983 * CHOOSE(CONTROL!$C$6, $C$6, 100%, $E$6) + CHOOSE(CONTROL!$C$25, 0.0258, 0)</f>
        <v>62.198300000000003</v>
      </c>
      <c r="D915" s="4">
        <f>80.9309 * CHOOSE(CONTROL!$C$6, $C$6, 100%, $E$6) + CHOOSE(CONTROL!$C$25, 0, 0)</f>
        <v>80.930899999999994</v>
      </c>
      <c r="E915" s="4">
        <f>549.545411284653 * CHOOSE(CONTROL!$C$6, $C$6, 100%, $E$6) + CHOOSE(CONTROL!$C$25, 0, 0)</f>
        <v>549.54541128465303</v>
      </c>
    </row>
    <row r="916" spans="1:5" ht="15">
      <c r="A916" s="13">
        <v>69975</v>
      </c>
      <c r="B916" s="4">
        <f>62.4915 * CHOOSE(CONTROL!$C$6, $C$6, 100%, $E$6) + CHOOSE(CONTROL!$C$25, 0.0258, 0)</f>
        <v>62.491500000000002</v>
      </c>
      <c r="C916" s="4">
        <f>62.179 * CHOOSE(CONTROL!$C$6, $C$6, 100%, $E$6) + CHOOSE(CONTROL!$C$25, 0.0258, 0)</f>
        <v>62.179000000000002</v>
      </c>
      <c r="D916" s="4">
        <f>82.2441 * CHOOSE(CONTROL!$C$6, $C$6, 100%, $E$6) + CHOOSE(CONTROL!$C$25, 0, 0)</f>
        <v>82.244100000000003</v>
      </c>
      <c r="E916" s="4">
        <f>549.37061948717 * CHOOSE(CONTROL!$C$6, $C$6, 100%, $E$6) + CHOOSE(CONTROL!$C$25, 0, 0)</f>
        <v>549.37061948716996</v>
      </c>
    </row>
    <row r="917" spans="1:5" ht="15">
      <c r="A917" s="13">
        <v>70006</v>
      </c>
      <c r="B917" s="4">
        <f>63.9428 * CHOOSE(CONTROL!$C$6, $C$6, 100%, $E$6) + CHOOSE(CONTROL!$C$25, 0.0258, 0)</f>
        <v>63.942799999999998</v>
      </c>
      <c r="C917" s="4">
        <f>63.6303 * CHOOSE(CONTROL!$C$6, $C$6, 100%, $E$6) + CHOOSE(CONTROL!$C$25, 0.0258, 0)</f>
        <v>63.630299999999998</v>
      </c>
      <c r="D917" s="4">
        <f>81.3769 * CHOOSE(CONTROL!$C$6, $C$6, 100%, $E$6) + CHOOSE(CONTROL!$C$25, 0, 0)</f>
        <v>81.376900000000006</v>
      </c>
      <c r="E917" s="4">
        <f>562.523702247721 * CHOOSE(CONTROL!$C$6, $C$6, 100%, $E$6) + CHOOSE(CONTROL!$C$25, 0, 0)</f>
        <v>562.52370224772096</v>
      </c>
    </row>
    <row r="918" spans="1:5" ht="15">
      <c r="A918" s="13">
        <v>70036</v>
      </c>
      <c r="B918" s="4">
        <f>61.4693 * CHOOSE(CONTROL!$C$6, $C$6, 100%, $E$6) + CHOOSE(CONTROL!$C$25, 0.0258, 0)</f>
        <v>61.469299999999997</v>
      </c>
      <c r="C918" s="4">
        <f>61.1568 * CHOOSE(CONTROL!$C$6, $C$6, 100%, $E$6) + CHOOSE(CONTROL!$C$25, 0.0258, 0)</f>
        <v>61.156799999999997</v>
      </c>
      <c r="D918" s="4">
        <f>80.9671 * CHOOSE(CONTROL!$C$6, $C$6, 100%, $E$6) + CHOOSE(CONTROL!$C$25, 0, 0)</f>
        <v>80.967100000000002</v>
      </c>
      <c r="E918" s="4">
        <f>540.106654220603 * CHOOSE(CONTROL!$C$6, $C$6, 100%, $E$6) + CHOOSE(CONTROL!$C$25, 0, 0)</f>
        <v>540.10665422060299</v>
      </c>
    </row>
    <row r="919" spans="1:5" ht="15">
      <c r="A919" s="13">
        <v>70067</v>
      </c>
      <c r="B919" s="4">
        <f>59.4893 * CHOOSE(CONTROL!$C$6, $C$6, 100%, $E$6) + CHOOSE(CONTROL!$C$25, 0.0003, 0)</f>
        <v>59.4893</v>
      </c>
      <c r="C919" s="4">
        <f>59.1768 * CHOOSE(CONTROL!$C$6, $C$6, 100%, $E$6) + CHOOSE(CONTROL!$C$25, 0.0003, 0)</f>
        <v>59.1768</v>
      </c>
      <c r="D919" s="4">
        <f>79.87 * CHOOSE(CONTROL!$C$6, $C$6, 100%, $E$6) + CHOOSE(CONTROL!$C$25, 0, 0)</f>
        <v>79.87</v>
      </c>
      <c r="E919" s="4">
        <f>522.161363012411 * CHOOSE(CONTROL!$C$6, $C$6, 100%, $E$6) + CHOOSE(CONTROL!$C$25, 0, 0)</f>
        <v>522.16136301241102</v>
      </c>
    </row>
    <row r="920" spans="1:5" ht="15">
      <c r="A920" s="13">
        <v>70097</v>
      </c>
      <c r="B920" s="4">
        <f>58.214 * CHOOSE(CONTROL!$C$6, $C$6, 100%, $E$6) + CHOOSE(CONTROL!$C$25, 0.0003, 0)</f>
        <v>58.213999999999999</v>
      </c>
      <c r="C920" s="4">
        <f>57.9015 * CHOOSE(CONTROL!$C$6, $C$6, 100%, $E$6) + CHOOSE(CONTROL!$C$25, 0.0003, 0)</f>
        <v>57.901499999999999</v>
      </c>
      <c r="D920" s="4">
        <f>79.4929 * CHOOSE(CONTROL!$C$6, $C$6, 100%, $E$6) + CHOOSE(CONTROL!$C$25, 0, 0)</f>
        <v>79.492900000000006</v>
      </c>
      <c r="E920" s="4">
        <f>510.603255403887 * CHOOSE(CONTROL!$C$6, $C$6, 100%, $E$6) + CHOOSE(CONTROL!$C$25, 0, 0)</f>
        <v>510.60325540388698</v>
      </c>
    </row>
    <row r="921" spans="1:5" ht="15">
      <c r="A921" s="13">
        <v>70128</v>
      </c>
      <c r="B921" s="4">
        <f>57.3316 * CHOOSE(CONTROL!$C$6, $C$6, 100%, $E$6) + CHOOSE(CONTROL!$C$25, 0.0003, 0)</f>
        <v>57.331600000000002</v>
      </c>
      <c r="C921" s="4">
        <f>57.0191 * CHOOSE(CONTROL!$C$6, $C$6, 100%, $E$6) + CHOOSE(CONTROL!$C$25, 0.0003, 0)</f>
        <v>57.019100000000002</v>
      </c>
      <c r="D921" s="4">
        <f>76.7161 * CHOOSE(CONTROL!$C$6, $C$6, 100%, $E$6) + CHOOSE(CONTROL!$C$25, 0, 0)</f>
        <v>76.716099999999997</v>
      </c>
      <c r="E921" s="4">
        <f>502.606530669068 * CHOOSE(CONTROL!$C$6, $C$6, 100%, $E$6) + CHOOSE(CONTROL!$C$25, 0, 0)</f>
        <v>502.60653066906798</v>
      </c>
    </row>
    <row r="922" spans="1:5" ht="15">
      <c r="A922" s="13">
        <v>70159</v>
      </c>
      <c r="B922" s="4">
        <f>55.2505 * CHOOSE(CONTROL!$C$6, $C$6, 100%, $E$6) + CHOOSE(CONTROL!$C$25, 0.0003, 0)</f>
        <v>55.250500000000002</v>
      </c>
      <c r="C922" s="4">
        <f>54.938 * CHOOSE(CONTROL!$C$6, $C$6, 100%, $E$6) + CHOOSE(CONTROL!$C$25, 0.0003, 0)</f>
        <v>54.938000000000002</v>
      </c>
      <c r="D922" s="4">
        <f>74.0076 * CHOOSE(CONTROL!$C$6, $C$6, 100%, $E$6) + CHOOSE(CONTROL!$C$25, 0, 0)</f>
        <v>74.007599999999996</v>
      </c>
      <c r="E922" s="4">
        <f>486.963149113332 * CHOOSE(CONTROL!$C$6, $C$6, 100%, $E$6) + CHOOSE(CONTROL!$C$25, 0, 0)</f>
        <v>486.96314911333201</v>
      </c>
    </row>
    <row r="923" spans="1:5" ht="15">
      <c r="A923" s="13">
        <v>70188</v>
      </c>
      <c r="B923" s="4">
        <f>56.5178 * CHOOSE(CONTROL!$C$6, $C$6, 100%, $E$6) + CHOOSE(CONTROL!$C$25, 0.0003, 0)</f>
        <v>56.517800000000001</v>
      </c>
      <c r="C923" s="4">
        <f>56.2053 * CHOOSE(CONTROL!$C$6, $C$6, 100%, $E$6) + CHOOSE(CONTROL!$C$25, 0.0003, 0)</f>
        <v>56.205300000000001</v>
      </c>
      <c r="D923" s="4">
        <f>76.5721 * CHOOSE(CONTROL!$C$6, $C$6, 100%, $E$6) + CHOOSE(CONTROL!$C$25, 0, 0)</f>
        <v>76.572100000000006</v>
      </c>
      <c r="E923" s="4">
        <f>498.525573350954 * CHOOSE(CONTROL!$C$6, $C$6, 100%, $E$6) + CHOOSE(CONTROL!$C$25, 0, 0)</f>
        <v>498.52557335095401</v>
      </c>
    </row>
    <row r="924" spans="1:5" ht="15">
      <c r="A924" s="13">
        <v>70219</v>
      </c>
      <c r="B924" s="4">
        <f>59.8459 * CHOOSE(CONTROL!$C$6, $C$6, 100%, $E$6) + CHOOSE(CONTROL!$C$25, 0.0003, 0)</f>
        <v>59.8459</v>
      </c>
      <c r="C924" s="4">
        <f>59.5334 * CHOOSE(CONTROL!$C$6, $C$6, 100%, $E$6) + CHOOSE(CONTROL!$C$25, 0.0003, 0)</f>
        <v>59.5334</v>
      </c>
      <c r="D924" s="4">
        <f>80.5866 * CHOOSE(CONTROL!$C$6, $C$6, 100%, $E$6) + CHOOSE(CONTROL!$C$25, 0, 0)</f>
        <v>80.586600000000004</v>
      </c>
      <c r="E924" s="4">
        <f>528.889113863491 * CHOOSE(CONTROL!$C$6, $C$6, 100%, $E$6) + CHOOSE(CONTROL!$C$25, 0, 0)</f>
        <v>528.88911386349105</v>
      </c>
    </row>
    <row r="925" spans="1:5" ht="15">
      <c r="A925" s="13">
        <v>70249</v>
      </c>
      <c r="B925" s="4">
        <f>62.2106 * CHOOSE(CONTROL!$C$6, $C$6, 100%, $E$6) + CHOOSE(CONTROL!$C$25, 0.0003, 0)</f>
        <v>62.210599999999999</v>
      </c>
      <c r="C925" s="4">
        <f>61.8981 * CHOOSE(CONTROL!$C$6, $C$6, 100%, $E$6) + CHOOSE(CONTROL!$C$25, 0.0003, 0)</f>
        <v>61.898099999999999</v>
      </c>
      <c r="D925" s="4">
        <f>82.8991 * CHOOSE(CONTROL!$C$6, $C$6, 100%, $E$6) + CHOOSE(CONTROL!$C$25, 0, 0)</f>
        <v>82.899100000000004</v>
      </c>
      <c r="E925" s="4">
        <f>550.46281404503 * CHOOSE(CONTROL!$C$6, $C$6, 100%, $E$6) + CHOOSE(CONTROL!$C$25, 0, 0)</f>
        <v>550.46281404502997</v>
      </c>
    </row>
    <row r="926" spans="1:5" ht="15">
      <c r="A926" s="13">
        <v>70280</v>
      </c>
      <c r="B926" s="4">
        <f>63.6553 * CHOOSE(CONTROL!$C$6, $C$6, 100%, $E$6) + CHOOSE(CONTROL!$C$25, 0.0258, 0)</f>
        <v>63.655299999999997</v>
      </c>
      <c r="C926" s="4">
        <f>63.3428 * CHOOSE(CONTROL!$C$6, $C$6, 100%, $E$6) + CHOOSE(CONTROL!$C$25, 0.0258, 0)</f>
        <v>63.342799999999997</v>
      </c>
      <c r="D926" s="4">
        <f>81.9853 * CHOOSE(CONTROL!$C$6, $C$6, 100%, $E$6) + CHOOSE(CONTROL!$C$25, 0, 0)</f>
        <v>81.985299999999995</v>
      </c>
      <c r="E926" s="4">
        <f>563.643827806519 * CHOOSE(CONTROL!$C$6, $C$6, 100%, $E$6) + CHOOSE(CONTROL!$C$25, 0, 0)</f>
        <v>563.64382780651897</v>
      </c>
    </row>
    <row r="927" spans="1:5" ht="15">
      <c r="A927" s="13">
        <v>70310</v>
      </c>
      <c r="B927" s="4">
        <f>63.8508 * CHOOSE(CONTROL!$C$6, $C$6, 100%, $E$6) + CHOOSE(CONTROL!$C$25, 0.0258, 0)</f>
        <v>63.8508</v>
      </c>
      <c r="C927" s="4">
        <f>63.5383 * CHOOSE(CONTROL!$C$6, $C$6, 100%, $E$6) + CHOOSE(CONTROL!$C$25, 0.0258, 0)</f>
        <v>63.5383</v>
      </c>
      <c r="D927" s="4">
        <f>82.7295 * CHOOSE(CONTROL!$C$6, $C$6, 100%, $E$6) + CHOOSE(CONTROL!$C$25, 0, 0)</f>
        <v>82.729500000000002</v>
      </c>
      <c r="E927" s="4">
        <f>565.427273670779 * CHOOSE(CONTROL!$C$6, $C$6, 100%, $E$6) + CHOOSE(CONTROL!$C$25, 0, 0)</f>
        <v>565.42727367077896</v>
      </c>
    </row>
    <row r="928" spans="1:5" ht="15">
      <c r="A928" s="13">
        <v>70341</v>
      </c>
      <c r="B928" s="4">
        <f>63.8311 * CHOOSE(CONTROL!$C$6, $C$6, 100%, $E$6) + CHOOSE(CONTROL!$C$25, 0.0258, 0)</f>
        <v>63.831099999999999</v>
      </c>
      <c r="C928" s="4">
        <f>63.5186 * CHOOSE(CONTROL!$C$6, $C$6, 100%, $E$6) + CHOOSE(CONTROL!$C$25, 0.0258, 0)</f>
        <v>63.518599999999999</v>
      </c>
      <c r="D928" s="4">
        <f>84.0724 * CHOOSE(CONTROL!$C$6, $C$6, 100%, $E$6) + CHOOSE(CONTROL!$C$25, 0, 0)</f>
        <v>84.072400000000002</v>
      </c>
      <c r="E928" s="4">
        <f>565.247430390349 * CHOOSE(CONTROL!$C$6, $C$6, 100%, $E$6) + CHOOSE(CONTROL!$C$25, 0, 0)</f>
        <v>565.247430390349</v>
      </c>
    </row>
    <row r="929" spans="1:5" ht="15">
      <c r="A929" s="13">
        <v>70372</v>
      </c>
      <c r="B929" s="4">
        <f>65.3145 * CHOOSE(CONTROL!$C$6, $C$6, 100%, $E$6) + CHOOSE(CONTROL!$C$25, 0.0258, 0)</f>
        <v>65.314499999999995</v>
      </c>
      <c r="C929" s="4">
        <f>65.002 * CHOOSE(CONTROL!$C$6, $C$6, 100%, $E$6) + CHOOSE(CONTROL!$C$25, 0.0258, 0)</f>
        <v>65.001999999999995</v>
      </c>
      <c r="D929" s="4">
        <f>83.1855 * CHOOSE(CONTROL!$C$6, $C$6, 100%, $E$6) + CHOOSE(CONTROL!$C$25, 0, 0)</f>
        <v>83.185500000000005</v>
      </c>
      <c r="E929" s="4">
        <f>578.78063724268 * CHOOSE(CONTROL!$C$6, $C$6, 100%, $E$6) + CHOOSE(CONTROL!$C$25, 0, 0)</f>
        <v>578.78063724267997</v>
      </c>
    </row>
    <row r="930" spans="1:5" ht="15">
      <c r="A930" s="13">
        <v>70402</v>
      </c>
      <c r="B930" s="4">
        <f>62.7864 * CHOOSE(CONTROL!$C$6, $C$6, 100%, $E$6) + CHOOSE(CONTROL!$C$25, 0.0258, 0)</f>
        <v>62.7864</v>
      </c>
      <c r="C930" s="4">
        <f>62.4739 * CHOOSE(CONTROL!$C$6, $C$6, 100%, $E$6) + CHOOSE(CONTROL!$C$25, 0.0258, 0)</f>
        <v>62.4739</v>
      </c>
      <c r="D930" s="4">
        <f>82.7666 * CHOOSE(CONTROL!$C$6, $C$6, 100%, $E$6) + CHOOSE(CONTROL!$C$25, 0, 0)</f>
        <v>82.766599999999997</v>
      </c>
      <c r="E930" s="4">
        <f>555.715736527579 * CHOOSE(CONTROL!$C$6, $C$6, 100%, $E$6) + CHOOSE(CONTROL!$C$25, 0, 0)</f>
        <v>555.715736527579</v>
      </c>
    </row>
    <row r="931" spans="1:5" ht="15">
      <c r="A931" s="13">
        <v>70433</v>
      </c>
      <c r="B931" s="4">
        <f>60.7626 * CHOOSE(CONTROL!$C$6, $C$6, 100%, $E$6) + CHOOSE(CONTROL!$C$25, 0.0003, 0)</f>
        <v>60.762599999999999</v>
      </c>
      <c r="C931" s="4">
        <f>60.4501 * CHOOSE(CONTROL!$C$6, $C$6, 100%, $E$6) + CHOOSE(CONTROL!$C$25, 0.0003, 0)</f>
        <v>60.450099999999999</v>
      </c>
      <c r="D931" s="4">
        <f>81.6447 * CHOOSE(CONTROL!$C$6, $C$6, 100%, $E$6) + CHOOSE(CONTROL!$C$25, 0, 0)</f>
        <v>81.6447</v>
      </c>
      <c r="E931" s="4">
        <f>537.251826403469 * CHOOSE(CONTROL!$C$6, $C$6, 100%, $E$6) + CHOOSE(CONTROL!$C$25, 0, 0)</f>
        <v>537.25182640346895</v>
      </c>
    </row>
    <row r="932" spans="1:5" ht="15">
      <c r="A932" s="13">
        <v>70463</v>
      </c>
      <c r="B932" s="4">
        <f>59.4591 * CHOOSE(CONTROL!$C$6, $C$6, 100%, $E$6) + CHOOSE(CONTROL!$C$25, 0.0003, 0)</f>
        <v>59.459099999999999</v>
      </c>
      <c r="C932" s="4">
        <f>59.1466 * CHOOSE(CONTROL!$C$6, $C$6, 100%, $E$6) + CHOOSE(CONTROL!$C$25, 0.0003, 0)</f>
        <v>59.146599999999999</v>
      </c>
      <c r="D932" s="4">
        <f>81.259 * CHOOSE(CONTROL!$C$6, $C$6, 100%, $E$6) + CHOOSE(CONTROL!$C$25, 0, 0)</f>
        <v>81.259</v>
      </c>
      <c r="E932" s="4">
        <f>525.359689485059 * CHOOSE(CONTROL!$C$6, $C$6, 100%, $E$6) + CHOOSE(CONTROL!$C$25, 0, 0)</f>
        <v>525.35968948505899</v>
      </c>
    </row>
    <row r="933" spans="1:5" ht="15">
      <c r="A933" s="13">
        <v>70494</v>
      </c>
      <c r="B933" s="4">
        <f>58.5572 * CHOOSE(CONTROL!$C$6, $C$6, 100%, $E$6) + CHOOSE(CONTROL!$C$25, 0.0003, 0)</f>
        <v>58.557200000000002</v>
      </c>
      <c r="C933" s="4">
        <f>58.2447 * CHOOSE(CONTROL!$C$6, $C$6, 100%, $E$6) + CHOOSE(CONTROL!$C$25, 0.0003, 0)</f>
        <v>58.244700000000002</v>
      </c>
      <c r="D933" s="4">
        <f>78.4194 * CHOOSE(CONTROL!$C$6, $C$6, 100%, $E$6) + CHOOSE(CONTROL!$C$25, 0, 0)</f>
        <v>78.419399999999996</v>
      </c>
      <c r="E933" s="4">
        <f>517.131859405404 * CHOOSE(CONTROL!$C$6, $C$6, 100%, $E$6) + CHOOSE(CONTROL!$C$25, 0, 0)</f>
        <v>517.13185940540404</v>
      </c>
    </row>
    <row r="934" spans="1:5" ht="15">
      <c r="A934" s="13">
        <v>70525</v>
      </c>
      <c r="B934" s="4">
        <f>56.4301 * CHOOSE(CONTROL!$C$6, $C$6, 100%, $E$6) + CHOOSE(CONTROL!$C$25, 0.0003, 0)</f>
        <v>56.430100000000003</v>
      </c>
      <c r="C934" s="4">
        <f>56.1176 * CHOOSE(CONTROL!$C$6, $C$6, 100%, $E$6) + CHOOSE(CONTROL!$C$25, 0.0003, 0)</f>
        <v>56.117600000000003</v>
      </c>
      <c r="D934" s="4">
        <f>75.6498 * CHOOSE(CONTROL!$C$6, $C$6, 100%, $E$6) + CHOOSE(CONTROL!$C$25, 0, 0)</f>
        <v>75.649799999999999</v>
      </c>
      <c r="E934" s="4">
        <f>501.036384122707 * CHOOSE(CONTROL!$C$6, $C$6, 100%, $E$6) + CHOOSE(CONTROL!$C$25, 0, 0)</f>
        <v>501.03638412270698</v>
      </c>
    </row>
    <row r="935" spans="1:5" ht="15">
      <c r="A935" s="13">
        <v>70553</v>
      </c>
      <c r="B935" s="4">
        <f>57.7254 * CHOOSE(CONTROL!$C$6, $C$6, 100%, $E$6) + CHOOSE(CONTROL!$C$25, 0.0003, 0)</f>
        <v>57.7254</v>
      </c>
      <c r="C935" s="4">
        <f>57.4129 * CHOOSE(CONTROL!$C$6, $C$6, 100%, $E$6) + CHOOSE(CONTROL!$C$25, 0.0003, 0)</f>
        <v>57.4129</v>
      </c>
      <c r="D935" s="4">
        <f>78.2722 * CHOOSE(CONTROL!$C$6, $C$6, 100%, $E$6) + CHOOSE(CONTROL!$C$25, 0, 0)</f>
        <v>78.272199999999998</v>
      </c>
      <c r="E935" s="4">
        <f>512.932962420797 * CHOOSE(CONTROL!$C$6, $C$6, 100%, $E$6) + CHOOSE(CONTROL!$C$25, 0, 0)</f>
        <v>512.93296242079703</v>
      </c>
    </row>
    <row r="936" spans="1:5" ht="15">
      <c r="A936" s="13">
        <v>70584</v>
      </c>
      <c r="B936" s="4">
        <f>61.1271 * CHOOSE(CONTROL!$C$6, $C$6, 100%, $E$6) + CHOOSE(CONTROL!$C$25, 0.0003, 0)</f>
        <v>61.127099999999999</v>
      </c>
      <c r="C936" s="4">
        <f>60.8146 * CHOOSE(CONTROL!$C$6, $C$6, 100%, $E$6) + CHOOSE(CONTROL!$C$25, 0.0003, 0)</f>
        <v>60.814599999999999</v>
      </c>
      <c r="D936" s="4">
        <f>82.3774 * CHOOSE(CONTROL!$C$6, $C$6, 100%, $E$6) + CHOOSE(CONTROL!$C$25, 0, 0)</f>
        <v>82.377399999999994</v>
      </c>
      <c r="E936" s="4">
        <f>544.174009254146 * CHOOSE(CONTROL!$C$6, $C$6, 100%, $E$6) + CHOOSE(CONTROL!$C$25, 0, 0)</f>
        <v>544.17400925414597</v>
      </c>
    </row>
    <row r="937" spans="1:5" ht="15">
      <c r="A937" s="13">
        <v>70614</v>
      </c>
      <c r="B937" s="4">
        <f>63.544 * CHOOSE(CONTROL!$C$6, $C$6, 100%, $E$6) + CHOOSE(CONTROL!$C$25, 0.0003, 0)</f>
        <v>63.543999999999997</v>
      </c>
      <c r="C937" s="4">
        <f>63.2315 * CHOOSE(CONTROL!$C$6, $C$6, 100%, $E$6) + CHOOSE(CONTROL!$C$25, 0.0003, 0)</f>
        <v>63.231499999999997</v>
      </c>
      <c r="D937" s="4">
        <f>84.7422 * CHOOSE(CONTROL!$C$6, $C$6, 100%, $E$6) + CHOOSE(CONTROL!$C$25, 0, 0)</f>
        <v>84.742199999999997</v>
      </c>
      <c r="E937" s="4">
        <f>566.371189370931 * CHOOSE(CONTROL!$C$6, $C$6, 100%, $E$6) + CHOOSE(CONTROL!$C$25, 0, 0)</f>
        <v>566.37118937093101</v>
      </c>
    </row>
    <row r="938" spans="1:5" ht="15">
      <c r="A938" s="13">
        <v>70645</v>
      </c>
      <c r="B938" s="4">
        <f>65.0207 * CHOOSE(CONTROL!$C$6, $C$6, 100%, $E$6) + CHOOSE(CONTROL!$C$25, 0.0258, 0)</f>
        <v>65.020700000000005</v>
      </c>
      <c r="C938" s="4">
        <f>64.7082 * CHOOSE(CONTROL!$C$6, $C$6, 100%, $E$6) + CHOOSE(CONTROL!$C$25, 0.0258, 0)</f>
        <v>64.708200000000005</v>
      </c>
      <c r="D938" s="4">
        <f>83.8078 * CHOOSE(CONTROL!$C$6, $C$6, 100%, $E$6) + CHOOSE(CONTROL!$C$25, 0, 0)</f>
        <v>83.8078</v>
      </c>
      <c r="E938" s="4">
        <f>579.933134430127 * CHOOSE(CONTROL!$C$6, $C$6, 100%, $E$6) + CHOOSE(CONTROL!$C$25, 0, 0)</f>
        <v>579.93313443012698</v>
      </c>
    </row>
    <row r="939" spans="1:5" ht="15">
      <c r="A939" s="13">
        <v>70675</v>
      </c>
      <c r="B939" s="4">
        <f>65.2205 * CHOOSE(CONTROL!$C$6, $C$6, 100%, $E$6) + CHOOSE(CONTROL!$C$25, 0.0258, 0)</f>
        <v>65.220500000000001</v>
      </c>
      <c r="C939" s="4">
        <f>64.908 * CHOOSE(CONTROL!$C$6, $C$6, 100%, $E$6) + CHOOSE(CONTROL!$C$25, 0.0258, 0)</f>
        <v>64.908000000000001</v>
      </c>
      <c r="D939" s="4">
        <f>84.5688 * CHOOSE(CONTROL!$C$6, $C$6, 100%, $E$6) + CHOOSE(CONTROL!$C$25, 0, 0)</f>
        <v>84.568799999999996</v>
      </c>
      <c r="E939" s="4">
        <f>581.768121879864 * CHOOSE(CONTROL!$C$6, $C$6, 100%, $E$6) + CHOOSE(CONTROL!$C$25, 0, 0)</f>
        <v>581.768121879864</v>
      </c>
    </row>
    <row r="940" spans="1:5" ht="15">
      <c r="A940" s="13">
        <v>70706</v>
      </c>
      <c r="B940" s="4">
        <f>65.2003 * CHOOSE(CONTROL!$C$6, $C$6, 100%, $E$6) + CHOOSE(CONTROL!$C$25, 0.0258, 0)</f>
        <v>65.200299999999999</v>
      </c>
      <c r="C940" s="4">
        <f>64.8878 * CHOOSE(CONTROL!$C$6, $C$6, 100%, $E$6) + CHOOSE(CONTROL!$C$25, 0.0258, 0)</f>
        <v>64.887799999999999</v>
      </c>
      <c r="D940" s="4">
        <f>85.942 * CHOOSE(CONTROL!$C$6, $C$6, 100%, $E$6) + CHOOSE(CONTROL!$C$25, 0, 0)</f>
        <v>85.941999999999993</v>
      </c>
      <c r="E940" s="4">
        <f>581.583081128631 * CHOOSE(CONTROL!$C$6, $C$6, 100%, $E$6) + CHOOSE(CONTROL!$C$25, 0, 0)</f>
        <v>581.58308112863097</v>
      </c>
    </row>
    <row r="941" spans="1:5" ht="15">
      <c r="A941" s="13">
        <v>70737</v>
      </c>
      <c r="B941" s="4">
        <f>66.7165 * CHOOSE(CONTROL!$C$6, $C$6, 100%, $E$6) + CHOOSE(CONTROL!$C$25, 0.0258, 0)</f>
        <v>66.716499999999996</v>
      </c>
      <c r="C941" s="4">
        <f>66.404 * CHOOSE(CONTROL!$C$6, $C$6, 100%, $E$6) + CHOOSE(CONTROL!$C$25, 0.0258, 0)</f>
        <v>66.403999999999996</v>
      </c>
      <c r="D941" s="4">
        <f>85.0351 * CHOOSE(CONTROL!$C$6, $C$6, 100%, $E$6) + CHOOSE(CONTROL!$C$25, 0, 0)</f>
        <v>85.0351</v>
      </c>
      <c r="E941" s="4">
        <f>595.507397658993 * CHOOSE(CONTROL!$C$6, $C$6, 100%, $E$6) + CHOOSE(CONTROL!$C$25, 0, 0)</f>
        <v>595.507397658993</v>
      </c>
    </row>
    <row r="942" spans="1:5" ht="15">
      <c r="A942" s="13">
        <v>70767</v>
      </c>
      <c r="B942" s="4">
        <f>64.1325 * CHOOSE(CONTROL!$C$6, $C$6, 100%, $E$6) + CHOOSE(CONTROL!$C$25, 0.0258, 0)</f>
        <v>64.132499999999993</v>
      </c>
      <c r="C942" s="4">
        <f>63.82 * CHOOSE(CONTROL!$C$6, $C$6, 100%, $E$6) + CHOOSE(CONTROL!$C$25, 0.0258, 0)</f>
        <v>63.82</v>
      </c>
      <c r="D942" s="4">
        <f>84.6066 * CHOOSE(CONTROL!$C$6, $C$6, 100%, $E$6) + CHOOSE(CONTROL!$C$25, 0, 0)</f>
        <v>84.6066</v>
      </c>
      <c r="E942" s="4">
        <f>571.775921313226 * CHOOSE(CONTROL!$C$6, $C$6, 100%, $E$6) + CHOOSE(CONTROL!$C$25, 0, 0)</f>
        <v>571.77592131322604</v>
      </c>
    </row>
    <row r="943" spans="1:5" ht="15">
      <c r="A943" s="13">
        <v>70798</v>
      </c>
      <c r="B943" s="4">
        <f>62.064 * CHOOSE(CONTROL!$C$6, $C$6, 100%, $E$6) + CHOOSE(CONTROL!$C$25, 0.0003, 0)</f>
        <v>62.064</v>
      </c>
      <c r="C943" s="4">
        <f>61.7515 * CHOOSE(CONTROL!$C$6, $C$6, 100%, $E$6) + CHOOSE(CONTROL!$C$25, 0.0003, 0)</f>
        <v>61.7515</v>
      </c>
      <c r="D943" s="4">
        <f>83.4594 * CHOOSE(CONTROL!$C$6, $C$6, 100%, $E$6) + CHOOSE(CONTROL!$C$25, 0, 0)</f>
        <v>83.459400000000002</v>
      </c>
      <c r="E943" s="4">
        <f>552.778404186529 * CHOOSE(CONTROL!$C$6, $C$6, 100%, $E$6) + CHOOSE(CONTROL!$C$25, 0, 0)</f>
        <v>552.77840418652897</v>
      </c>
    </row>
    <row r="944" spans="1:5" ht="15">
      <c r="A944" s="13">
        <v>70828</v>
      </c>
      <c r="B944" s="4">
        <f>60.7317 * CHOOSE(CONTROL!$C$6, $C$6, 100%, $E$6) + CHOOSE(CONTROL!$C$25, 0.0003, 0)</f>
        <v>60.731699999999996</v>
      </c>
      <c r="C944" s="4">
        <f>60.4192 * CHOOSE(CONTROL!$C$6, $C$6, 100%, $E$6) + CHOOSE(CONTROL!$C$25, 0.0003, 0)</f>
        <v>60.419199999999996</v>
      </c>
      <c r="D944" s="4">
        <f>83.065 * CHOOSE(CONTROL!$C$6, $C$6, 100%, $E$6) + CHOOSE(CONTROL!$C$25, 0, 0)</f>
        <v>83.064999999999998</v>
      </c>
      <c r="E944" s="4">
        <f>540.542584511178 * CHOOSE(CONTROL!$C$6, $C$6, 100%, $E$6) + CHOOSE(CONTROL!$C$25, 0, 0)</f>
        <v>540.54258451117801</v>
      </c>
    </row>
    <row r="945" spans="1:5" ht="15">
      <c r="A945" s="13">
        <v>70859</v>
      </c>
      <c r="B945" s="4">
        <f>59.8099 * CHOOSE(CONTROL!$C$6, $C$6, 100%, $E$6) + CHOOSE(CONTROL!$C$25, 0.0003, 0)</f>
        <v>59.809899999999999</v>
      </c>
      <c r="C945" s="4">
        <f>59.4974 * CHOOSE(CONTROL!$C$6, $C$6, 100%, $E$6) + CHOOSE(CONTROL!$C$25, 0.0003, 0)</f>
        <v>59.497399999999999</v>
      </c>
      <c r="D945" s="4">
        <f>80.1613 * CHOOSE(CONTROL!$C$6, $C$6, 100%, $E$6) + CHOOSE(CONTROL!$C$25, 0, 0)</f>
        <v>80.161299999999997</v>
      </c>
      <c r="E945" s="4">
        <f>532.07697014222 * CHOOSE(CONTROL!$C$6, $C$6, 100%, $E$6) + CHOOSE(CONTROL!$C$25, 0, 0)</f>
        <v>532.07697014222003</v>
      </c>
    </row>
    <row r="946" spans="1:5" ht="15">
      <c r="A946" s="13">
        <v>70890</v>
      </c>
      <c r="B946" s="4">
        <f>57.6357 * CHOOSE(CONTROL!$C$6, $C$6, 100%, $E$6) + CHOOSE(CONTROL!$C$25, 0.0003, 0)</f>
        <v>57.6357</v>
      </c>
      <c r="C946" s="4">
        <f>57.3232 * CHOOSE(CONTROL!$C$6, $C$6, 100%, $E$6) + CHOOSE(CONTROL!$C$25, 0.0003, 0)</f>
        <v>57.3232</v>
      </c>
      <c r="D946" s="4">
        <f>77.329 * CHOOSE(CONTROL!$C$6, $C$6, 100%, $E$6) + CHOOSE(CONTROL!$C$25, 0, 0)</f>
        <v>77.328999999999994</v>
      </c>
      <c r="E946" s="4">
        <f>515.516335623853 * CHOOSE(CONTROL!$C$6, $C$6, 100%, $E$6) + CHOOSE(CONTROL!$C$25, 0, 0)</f>
        <v>515.51633562385302</v>
      </c>
    </row>
    <row r="947" spans="1:5" ht="15">
      <c r="A947" s="13">
        <v>70918</v>
      </c>
      <c r="B947" s="4">
        <f>58.9597 * CHOOSE(CONTROL!$C$6, $C$6, 100%, $E$6) + CHOOSE(CONTROL!$C$25, 0.0003, 0)</f>
        <v>58.959699999999998</v>
      </c>
      <c r="C947" s="4">
        <f>58.6472 * CHOOSE(CONTROL!$C$6, $C$6, 100%, $E$6) + CHOOSE(CONTROL!$C$25, 0.0003, 0)</f>
        <v>58.647199999999998</v>
      </c>
      <c r="D947" s="4">
        <f>80.0107 * CHOOSE(CONTROL!$C$6, $C$6, 100%, $E$6) + CHOOSE(CONTROL!$C$25, 0, 0)</f>
        <v>80.0107</v>
      </c>
      <c r="E947" s="4">
        <f>527.756725034758 * CHOOSE(CONTROL!$C$6, $C$6, 100%, $E$6) + CHOOSE(CONTROL!$C$25, 0, 0)</f>
        <v>527.75672503475801</v>
      </c>
    </row>
    <row r="948" spans="1:5" ht="15">
      <c r="A948" s="13">
        <v>70949</v>
      </c>
      <c r="B948" s="4">
        <f>62.4366 * CHOOSE(CONTROL!$C$6, $C$6, 100%, $E$6) + CHOOSE(CONTROL!$C$25, 0.0003, 0)</f>
        <v>62.436599999999999</v>
      </c>
      <c r="C948" s="4">
        <f>62.1241 * CHOOSE(CONTROL!$C$6, $C$6, 100%, $E$6) + CHOOSE(CONTROL!$C$25, 0.0003, 0)</f>
        <v>62.124099999999999</v>
      </c>
      <c r="D948" s="4">
        <f>84.2087 * CHOOSE(CONTROL!$C$6, $C$6, 100%, $E$6) + CHOOSE(CONTROL!$C$25, 0, 0)</f>
        <v>84.208699999999993</v>
      </c>
      <c r="E948" s="4">
        <f>559.900638121591 * CHOOSE(CONTROL!$C$6, $C$6, 100%, $E$6) + CHOOSE(CONTROL!$C$25, 0, 0)</f>
        <v>559.90063812159099</v>
      </c>
    </row>
    <row r="949" spans="1:5" ht="15">
      <c r="A949" s="13">
        <v>70979</v>
      </c>
      <c r="B949" s="4">
        <f>64.9069 * CHOOSE(CONTROL!$C$6, $C$6, 100%, $E$6) + CHOOSE(CONTROL!$C$25, 0.0003, 0)</f>
        <v>64.906899999999993</v>
      </c>
      <c r="C949" s="4">
        <f>64.5944 * CHOOSE(CONTROL!$C$6, $C$6, 100%, $E$6) + CHOOSE(CONTROL!$C$25, 0.0003, 0)</f>
        <v>64.594399999999993</v>
      </c>
      <c r="D949" s="4">
        <f>86.6269 * CHOOSE(CONTROL!$C$6, $C$6, 100%, $E$6) + CHOOSE(CONTROL!$C$25, 0, 0)</f>
        <v>86.626900000000006</v>
      </c>
      <c r="E949" s="4">
        <f>582.739316743751 * CHOOSE(CONTROL!$C$6, $C$6, 100%, $E$6) + CHOOSE(CONTROL!$C$25, 0, 0)</f>
        <v>582.73931674375103</v>
      </c>
    </row>
    <row r="950" spans="1:5" ht="15">
      <c r="A950" s="13">
        <v>71010</v>
      </c>
      <c r="B950" s="4">
        <f>66.4162 * CHOOSE(CONTROL!$C$6, $C$6, 100%, $E$6) + CHOOSE(CONTROL!$C$25, 0.0258, 0)</f>
        <v>66.416200000000003</v>
      </c>
      <c r="C950" s="4">
        <f>66.1037 * CHOOSE(CONTROL!$C$6, $C$6, 100%, $E$6) + CHOOSE(CONTROL!$C$25, 0.0258, 0)</f>
        <v>66.103700000000003</v>
      </c>
      <c r="D950" s="4">
        <f>85.6714 * CHOOSE(CONTROL!$C$6, $C$6, 100%, $E$6) + CHOOSE(CONTROL!$C$25, 0, 0)</f>
        <v>85.671400000000006</v>
      </c>
      <c r="E950" s="4">
        <f>596.693202015157 * CHOOSE(CONTROL!$C$6, $C$6, 100%, $E$6) + CHOOSE(CONTROL!$C$25, 0, 0)</f>
        <v>596.693202015157</v>
      </c>
    </row>
    <row r="951" spans="1:5" ht="15">
      <c r="A951" s="13">
        <v>71040</v>
      </c>
      <c r="B951" s="4">
        <f>66.6204 * CHOOSE(CONTROL!$C$6, $C$6, 100%, $E$6) + CHOOSE(CONTROL!$C$25, 0.0258, 0)</f>
        <v>66.620400000000004</v>
      </c>
      <c r="C951" s="4">
        <f>66.3079 * CHOOSE(CONTROL!$C$6, $C$6, 100%, $E$6) + CHOOSE(CONTROL!$C$25, 0.0258, 0)</f>
        <v>66.307900000000004</v>
      </c>
      <c r="D951" s="4">
        <f>86.4496 * CHOOSE(CONTROL!$C$6, $C$6, 100%, $E$6) + CHOOSE(CONTROL!$C$25, 0, 0)</f>
        <v>86.449600000000004</v>
      </c>
      <c r="E951" s="4">
        <f>598.581220602193 * CHOOSE(CONTROL!$C$6, $C$6, 100%, $E$6) + CHOOSE(CONTROL!$C$25, 0, 0)</f>
        <v>598.58122060219296</v>
      </c>
    </row>
    <row r="952" spans="1:5" ht="15">
      <c r="A952" s="13">
        <v>71071</v>
      </c>
      <c r="B952" s="4">
        <f>66.5998 * CHOOSE(CONTROL!$C$6, $C$6, 100%, $E$6) + CHOOSE(CONTROL!$C$25, 0.0258, 0)</f>
        <v>66.599800000000002</v>
      </c>
      <c r="C952" s="4">
        <f>66.2873 * CHOOSE(CONTROL!$C$6, $C$6, 100%, $E$6) + CHOOSE(CONTROL!$C$25, 0.0258, 0)</f>
        <v>66.287300000000002</v>
      </c>
      <c r="D952" s="4">
        <f>87.8538 * CHOOSE(CONTROL!$C$6, $C$6, 100%, $E$6) + CHOOSE(CONTROL!$C$25, 0, 0)</f>
        <v>87.853800000000007</v>
      </c>
      <c r="E952" s="4">
        <f>598.390832173248 * CHOOSE(CONTROL!$C$6, $C$6, 100%, $E$6) + CHOOSE(CONTROL!$C$25, 0, 0)</f>
        <v>598.39083217324799</v>
      </c>
    </row>
    <row r="953" spans="1:5" ht="15">
      <c r="A953" s="13">
        <v>71102</v>
      </c>
      <c r="B953" s="4">
        <f>68.1495 * CHOOSE(CONTROL!$C$6, $C$6, 100%, $E$6) + CHOOSE(CONTROL!$C$25, 0.0258, 0)</f>
        <v>68.149500000000003</v>
      </c>
      <c r="C953" s="4">
        <f>67.837 * CHOOSE(CONTROL!$C$6, $C$6, 100%, $E$6) + CHOOSE(CONTROL!$C$25, 0.0258, 0)</f>
        <v>67.837000000000003</v>
      </c>
      <c r="D953" s="4">
        <f>86.9265 * CHOOSE(CONTROL!$C$6, $C$6, 100%, $E$6) + CHOOSE(CONTROL!$C$25, 0, 0)</f>
        <v>86.926500000000004</v>
      </c>
      <c r="E953" s="4">
        <f>612.717561451338 * CHOOSE(CONTROL!$C$6, $C$6, 100%, $E$6) + CHOOSE(CONTROL!$C$25, 0, 0)</f>
        <v>612.71756145133804</v>
      </c>
    </row>
    <row r="954" spans="1:5" ht="15">
      <c r="A954" s="13">
        <v>71132</v>
      </c>
      <c r="B954" s="4">
        <f>65.5084 * CHOOSE(CONTROL!$C$6, $C$6, 100%, $E$6) + CHOOSE(CONTROL!$C$25, 0.0258, 0)</f>
        <v>65.508399999999995</v>
      </c>
      <c r="C954" s="4">
        <f>65.1959 * CHOOSE(CONTROL!$C$6, $C$6, 100%, $E$6) + CHOOSE(CONTROL!$C$25, 0.0258, 0)</f>
        <v>65.195899999999995</v>
      </c>
      <c r="D954" s="4">
        <f>86.4883 * CHOOSE(CONTROL!$C$6, $C$6, 100%, $E$6) + CHOOSE(CONTROL!$C$25, 0, 0)</f>
        <v>86.488299999999995</v>
      </c>
      <c r="E954" s="4">
        <f>588.300245439178 * CHOOSE(CONTROL!$C$6, $C$6, 100%, $E$6) + CHOOSE(CONTROL!$C$25, 0, 0)</f>
        <v>588.30024543917796</v>
      </c>
    </row>
    <row r="955" spans="1:5" ht="15">
      <c r="A955" s="13">
        <v>71163</v>
      </c>
      <c r="B955" s="4">
        <f>63.3941 * CHOOSE(CONTROL!$C$6, $C$6, 100%, $E$6) + CHOOSE(CONTROL!$C$25, 0.0003, 0)</f>
        <v>63.394100000000002</v>
      </c>
      <c r="C955" s="4">
        <f>63.0816 * CHOOSE(CONTROL!$C$6, $C$6, 100%, $E$6) + CHOOSE(CONTROL!$C$25, 0.0003, 0)</f>
        <v>63.081600000000002</v>
      </c>
      <c r="D955" s="4">
        <f>85.3152 * CHOOSE(CONTROL!$C$6, $C$6, 100%, $E$6) + CHOOSE(CONTROL!$C$25, 0, 0)</f>
        <v>85.315200000000004</v>
      </c>
      <c r="E955" s="4">
        <f>568.75370006752 * CHOOSE(CONTROL!$C$6, $C$6, 100%, $E$6) + CHOOSE(CONTROL!$C$25, 0, 0)</f>
        <v>568.75370006751996</v>
      </c>
    </row>
    <row r="956" spans="1:5" ht="15">
      <c r="A956" s="13">
        <v>71193</v>
      </c>
      <c r="B956" s="4">
        <f>62.0324 * CHOOSE(CONTROL!$C$6, $C$6, 100%, $E$6) + CHOOSE(CONTROL!$C$25, 0.0003, 0)</f>
        <v>62.032400000000003</v>
      </c>
      <c r="C956" s="4">
        <f>61.7199 * CHOOSE(CONTROL!$C$6, $C$6, 100%, $E$6) + CHOOSE(CONTROL!$C$25, 0.0003, 0)</f>
        <v>61.719900000000003</v>
      </c>
      <c r="D956" s="4">
        <f>84.9118 * CHOOSE(CONTROL!$C$6, $C$6, 100%, $E$6) + CHOOSE(CONTROL!$C$25, 0, 0)</f>
        <v>84.911799999999999</v>
      </c>
      <c r="E956" s="4">
        <f>556.164265203551 * CHOOSE(CONTROL!$C$6, $C$6, 100%, $E$6) + CHOOSE(CONTROL!$C$25, 0, 0)</f>
        <v>556.16426520355105</v>
      </c>
    </row>
    <row r="957" spans="1:5" ht="15">
      <c r="A957" s="13">
        <v>71224</v>
      </c>
      <c r="B957" s="4">
        <f>61.0903 * CHOOSE(CONTROL!$C$6, $C$6, 100%, $E$6) + CHOOSE(CONTROL!$C$25, 0.0003, 0)</f>
        <v>61.090299999999999</v>
      </c>
      <c r="C957" s="4">
        <f>60.7778 * CHOOSE(CONTROL!$C$6, $C$6, 100%, $E$6) + CHOOSE(CONTROL!$C$25, 0.0003, 0)</f>
        <v>60.777799999999999</v>
      </c>
      <c r="D957" s="4">
        <f>81.9425 * CHOOSE(CONTROL!$C$6, $C$6, 100%, $E$6) + CHOOSE(CONTROL!$C$25, 0, 0)</f>
        <v>81.942499999999995</v>
      </c>
      <c r="E957" s="4">
        <f>547.45399457933 * CHOOSE(CONTROL!$C$6, $C$6, 100%, $E$6) + CHOOSE(CONTROL!$C$25, 0, 0)</f>
        <v>547.45399457933001</v>
      </c>
    </row>
    <row r="958" spans="1:5" ht="15">
      <c r="A958" s="13">
        <v>71255</v>
      </c>
      <c r="B958" s="4">
        <f>58.868 * CHOOSE(CONTROL!$C$6, $C$6, 100%, $E$6) + CHOOSE(CONTROL!$C$25, 0.0003, 0)</f>
        <v>58.868000000000002</v>
      </c>
      <c r="C958" s="4">
        <f>58.5555 * CHOOSE(CONTROL!$C$6, $C$6, 100%, $E$6) + CHOOSE(CONTROL!$C$25, 0.0003, 0)</f>
        <v>58.555500000000002</v>
      </c>
      <c r="D958" s="4">
        <f>79.0462 * CHOOSE(CONTROL!$C$6, $C$6, 100%, $E$6) + CHOOSE(CONTROL!$C$25, 0, 0)</f>
        <v>79.046199999999999</v>
      </c>
      <c r="E958" s="4">
        <f>530.414757723383 * CHOOSE(CONTROL!$C$6, $C$6, 100%, $E$6) + CHOOSE(CONTROL!$C$25, 0, 0)</f>
        <v>530.41475772338299</v>
      </c>
    </row>
    <row r="959" spans="1:5" ht="15">
      <c r="A959" s="13">
        <v>71283</v>
      </c>
      <c r="B959" s="4">
        <f>60.2213 * CHOOSE(CONTROL!$C$6, $C$6, 100%, $E$6) + CHOOSE(CONTROL!$C$25, 0.0003, 0)</f>
        <v>60.221299999999999</v>
      </c>
      <c r="C959" s="4">
        <f>59.9088 * CHOOSE(CONTROL!$C$6, $C$6, 100%, $E$6) + CHOOSE(CONTROL!$C$25, 0.0003, 0)</f>
        <v>59.908799999999999</v>
      </c>
      <c r="D959" s="4">
        <f>81.7885 * CHOOSE(CONTROL!$C$6, $C$6, 100%, $E$6) + CHOOSE(CONTROL!$C$25, 0, 0)</f>
        <v>81.788499999999999</v>
      </c>
      <c r="E959" s="4">
        <f>543.008894388262 * CHOOSE(CONTROL!$C$6, $C$6, 100%, $E$6) + CHOOSE(CONTROL!$C$25, 0, 0)</f>
        <v>543.00889438826198</v>
      </c>
    </row>
    <row r="960" spans="1:5" ht="15">
      <c r="A960" s="13">
        <v>71314</v>
      </c>
      <c r="B960" s="4">
        <f>63.775 * CHOOSE(CONTROL!$C$6, $C$6, 100%, $E$6) + CHOOSE(CONTROL!$C$25, 0.0003, 0)</f>
        <v>63.774999999999999</v>
      </c>
      <c r="C960" s="4">
        <f>63.4625 * CHOOSE(CONTROL!$C$6, $C$6, 100%, $E$6) + CHOOSE(CONTROL!$C$25, 0.0003, 0)</f>
        <v>63.462499999999999</v>
      </c>
      <c r="D960" s="4">
        <f>86.0814 * CHOOSE(CONTROL!$C$6, $C$6, 100%, $E$6) + CHOOSE(CONTROL!$C$25, 0, 0)</f>
        <v>86.081400000000002</v>
      </c>
      <c r="E960" s="4">
        <f>576.081766563305 * CHOOSE(CONTROL!$C$6, $C$6, 100%, $E$6) + CHOOSE(CONTROL!$C$25, 0, 0)</f>
        <v>576.081766563305</v>
      </c>
    </row>
    <row r="961" spans="1:5" ht="15">
      <c r="A961" s="13">
        <v>71344</v>
      </c>
      <c r="B961" s="4">
        <f>66.2999 * CHOOSE(CONTROL!$C$6, $C$6, 100%, $E$6) + CHOOSE(CONTROL!$C$25, 0.0003, 0)</f>
        <v>66.299899999999994</v>
      </c>
      <c r="C961" s="4">
        <f>65.9874 * CHOOSE(CONTROL!$C$6, $C$6, 100%, $E$6) + CHOOSE(CONTROL!$C$25, 0.0003, 0)</f>
        <v>65.987399999999994</v>
      </c>
      <c r="D961" s="4">
        <f>88.5543 * CHOOSE(CONTROL!$C$6, $C$6, 100%, $E$6) + CHOOSE(CONTROL!$C$25, 0, 0)</f>
        <v>88.554299999999998</v>
      </c>
      <c r="E961" s="4">
        <f>599.580482997645 * CHOOSE(CONTROL!$C$6, $C$6, 100%, $E$6) + CHOOSE(CONTROL!$C$25, 0, 0)</f>
        <v>599.58048299764505</v>
      </c>
    </row>
    <row r="962" spans="1:5" ht="15">
      <c r="A962" s="13">
        <v>71375</v>
      </c>
      <c r="B962" s="4">
        <f>67.8426 * CHOOSE(CONTROL!$C$6, $C$6, 100%, $E$6) + CHOOSE(CONTROL!$C$25, 0.0258, 0)</f>
        <v>67.842600000000004</v>
      </c>
      <c r="C962" s="4">
        <f>67.5301 * CHOOSE(CONTROL!$C$6, $C$6, 100%, $E$6) + CHOOSE(CONTROL!$C$25, 0.0258, 0)</f>
        <v>67.530100000000004</v>
      </c>
      <c r="D962" s="4">
        <f>87.5771 * CHOOSE(CONTROL!$C$6, $C$6, 100%, $E$6) + CHOOSE(CONTROL!$C$25, 0, 0)</f>
        <v>87.577100000000002</v>
      </c>
      <c r="E962" s="4">
        <f>613.937635553396 * CHOOSE(CONTROL!$C$6, $C$6, 100%, $E$6) + CHOOSE(CONTROL!$C$25, 0, 0)</f>
        <v>613.93763555339603</v>
      </c>
    </row>
    <row r="963" spans="1:5" ht="15">
      <c r="A963" s="13">
        <v>71405</v>
      </c>
      <c r="B963" s="4">
        <f>68.0513 * CHOOSE(CONTROL!$C$6, $C$6, 100%, $E$6) + CHOOSE(CONTROL!$C$25, 0.0258, 0)</f>
        <v>68.051299999999998</v>
      </c>
      <c r="C963" s="4">
        <f>67.7388 * CHOOSE(CONTROL!$C$6, $C$6, 100%, $E$6) + CHOOSE(CONTROL!$C$25, 0.0258, 0)</f>
        <v>67.738799999999998</v>
      </c>
      <c r="D963" s="4">
        <f>88.3729 * CHOOSE(CONTROL!$C$6, $C$6, 100%, $E$6) + CHOOSE(CONTROL!$C$25, 0, 0)</f>
        <v>88.372900000000001</v>
      </c>
      <c r="E963" s="4">
        <f>615.880217877596 * CHOOSE(CONTROL!$C$6, $C$6, 100%, $E$6) + CHOOSE(CONTROL!$C$25, 0, 0)</f>
        <v>615.88021787759601</v>
      </c>
    </row>
    <row r="964" spans="1:5" ht="15">
      <c r="A964" s="13">
        <v>71436</v>
      </c>
      <c r="B964" s="4">
        <f>68.0303 * CHOOSE(CONTROL!$C$6, $C$6, 100%, $E$6) + CHOOSE(CONTROL!$C$25, 0.0258, 0)</f>
        <v>68.030299999999997</v>
      </c>
      <c r="C964" s="4">
        <f>67.7178 * CHOOSE(CONTROL!$C$6, $C$6, 100%, $E$6) + CHOOSE(CONTROL!$C$25, 0.0258, 0)</f>
        <v>67.717799999999997</v>
      </c>
      <c r="D964" s="4">
        <f>89.8089 * CHOOSE(CONTROL!$C$6, $C$6, 100%, $E$6) + CHOOSE(CONTROL!$C$25, 0, 0)</f>
        <v>89.808899999999994</v>
      </c>
      <c r="E964" s="4">
        <f>615.684327223055 * CHOOSE(CONTROL!$C$6, $C$6, 100%, $E$6) + CHOOSE(CONTROL!$C$25, 0, 0)</f>
        <v>615.68432722305499</v>
      </c>
    </row>
    <row r="965" spans="1:5" ht="15">
      <c r="A965" s="13">
        <v>71467</v>
      </c>
      <c r="B965" s="4">
        <f>69.6142 * CHOOSE(CONTROL!$C$6, $C$6, 100%, $E$6) + CHOOSE(CONTROL!$C$25, 0.0258, 0)</f>
        <v>69.614199999999997</v>
      </c>
      <c r="C965" s="4">
        <f>69.3017 * CHOOSE(CONTROL!$C$6, $C$6, 100%, $E$6) + CHOOSE(CONTROL!$C$25, 0.0258, 0)</f>
        <v>69.301699999999997</v>
      </c>
      <c r="D965" s="4">
        <f>88.8606 * CHOOSE(CONTROL!$C$6, $C$6, 100%, $E$6) + CHOOSE(CONTROL!$C$25, 0, 0)</f>
        <v>88.860600000000005</v>
      </c>
      <c r="E965" s="4">
        <f>630.425098977282 * CHOOSE(CONTROL!$C$6, $C$6, 100%, $E$6) + CHOOSE(CONTROL!$C$25, 0, 0)</f>
        <v>630.425098977282</v>
      </c>
    </row>
    <row r="966" spans="1:5" ht="15">
      <c r="A966" s="13">
        <v>71497</v>
      </c>
      <c r="B966" s="4">
        <f>66.9147 * CHOOSE(CONTROL!$C$6, $C$6, 100%, $E$6) + CHOOSE(CONTROL!$C$25, 0.0258, 0)</f>
        <v>66.914699999999996</v>
      </c>
      <c r="C966" s="4">
        <f>66.6022 * CHOOSE(CONTROL!$C$6, $C$6, 100%, $E$6) + CHOOSE(CONTROL!$C$25, 0.0258, 0)</f>
        <v>66.602199999999996</v>
      </c>
      <c r="D966" s="4">
        <f>88.4125 * CHOOSE(CONTROL!$C$6, $C$6, 100%, $E$6) + CHOOSE(CONTROL!$C$25, 0, 0)</f>
        <v>88.412499999999994</v>
      </c>
      <c r="E966" s="4">
        <f>605.30212253237 * CHOOSE(CONTROL!$C$6, $C$6, 100%, $E$6) + CHOOSE(CONTROL!$C$25, 0, 0)</f>
        <v>605.30212253237005</v>
      </c>
    </row>
    <row r="967" spans="1:5" ht="15">
      <c r="A967" s="13">
        <v>71528</v>
      </c>
      <c r="B967" s="4">
        <f>64.7537 * CHOOSE(CONTROL!$C$6, $C$6, 100%, $E$6) + CHOOSE(CONTROL!$C$25, 0.0003, 0)</f>
        <v>64.753699999999995</v>
      </c>
      <c r="C967" s="4">
        <f>64.4412 * CHOOSE(CONTROL!$C$6, $C$6, 100%, $E$6) + CHOOSE(CONTROL!$C$25, 0.0003, 0)</f>
        <v>64.441199999999995</v>
      </c>
      <c r="D967" s="4">
        <f>87.2129 * CHOOSE(CONTROL!$C$6, $C$6, 100%, $E$6) + CHOOSE(CONTROL!$C$25, 0, 0)</f>
        <v>87.212900000000005</v>
      </c>
      <c r="E967" s="4">
        <f>585.190681999472 * CHOOSE(CONTROL!$C$6, $C$6, 100%, $E$6) + CHOOSE(CONTROL!$C$25, 0, 0)</f>
        <v>585.19068199947196</v>
      </c>
    </row>
    <row r="968" spans="1:5" ht="15">
      <c r="A968" s="13">
        <v>71558</v>
      </c>
      <c r="B968" s="4">
        <f>63.3619 * CHOOSE(CONTROL!$C$6, $C$6, 100%, $E$6) + CHOOSE(CONTROL!$C$25, 0.0003, 0)</f>
        <v>63.361899999999999</v>
      </c>
      <c r="C968" s="4">
        <f>63.0494 * CHOOSE(CONTROL!$C$6, $C$6, 100%, $E$6) + CHOOSE(CONTROL!$C$25, 0.0003, 0)</f>
        <v>63.049399999999999</v>
      </c>
      <c r="D968" s="4">
        <f>86.8004 * CHOOSE(CONTROL!$C$6, $C$6, 100%, $E$6) + CHOOSE(CONTROL!$C$25, 0, 0)</f>
        <v>86.800399999999996</v>
      </c>
      <c r="E968" s="4">
        <f>572.237412467933 * CHOOSE(CONTROL!$C$6, $C$6, 100%, $E$6) + CHOOSE(CONTROL!$C$25, 0, 0)</f>
        <v>572.23741246793304</v>
      </c>
    </row>
    <row r="969" spans="1:5" ht="15">
      <c r="A969" s="13">
        <v>71589</v>
      </c>
      <c r="B969" s="4">
        <f>62.3989 * CHOOSE(CONTROL!$C$6, $C$6, 100%, $E$6) + CHOOSE(CONTROL!$C$25, 0.0003, 0)</f>
        <v>62.398899999999998</v>
      </c>
      <c r="C969" s="4">
        <f>62.0864 * CHOOSE(CONTROL!$C$6, $C$6, 100%, $E$6) + CHOOSE(CONTROL!$C$25, 0.0003, 0)</f>
        <v>62.086399999999998</v>
      </c>
      <c r="D969" s="4">
        <f>83.7639 * CHOOSE(CONTROL!$C$6, $C$6, 100%, $E$6) + CHOOSE(CONTROL!$C$25, 0, 0)</f>
        <v>83.763900000000007</v>
      </c>
      <c r="E969" s="4">
        <f>563.275415022673 * CHOOSE(CONTROL!$C$6, $C$6, 100%, $E$6) + CHOOSE(CONTROL!$C$25, 0, 0)</f>
        <v>563.27541502267297</v>
      </c>
    </row>
    <row r="970" spans="1:5" ht="15">
      <c r="A970" s="13">
        <v>71620</v>
      </c>
      <c r="B970" s="4">
        <f>60.1276 * CHOOSE(CONTROL!$C$6, $C$6, 100%, $E$6) + CHOOSE(CONTROL!$C$25, 0.0003, 0)</f>
        <v>60.127600000000001</v>
      </c>
      <c r="C970" s="4">
        <f>59.8151 * CHOOSE(CONTROL!$C$6, $C$6, 100%, $E$6) + CHOOSE(CONTROL!$C$25, 0.0003, 0)</f>
        <v>59.815100000000001</v>
      </c>
      <c r="D970" s="4">
        <f>80.8022 * CHOOSE(CONTROL!$C$6, $C$6, 100%, $E$6) + CHOOSE(CONTROL!$C$25, 0, 0)</f>
        <v>80.802199999999999</v>
      </c>
      <c r="E970" s="4">
        <f>545.743744221588 * CHOOSE(CONTROL!$C$6, $C$6, 100%, $E$6) + CHOOSE(CONTROL!$C$25, 0, 0)</f>
        <v>545.74374422158803</v>
      </c>
    </row>
    <row r="971" spans="1:5" ht="15">
      <c r="A971" s="13">
        <v>71649</v>
      </c>
      <c r="B971" s="4">
        <f>61.5107 * CHOOSE(CONTROL!$C$6, $C$6, 100%, $E$6) + CHOOSE(CONTROL!$C$25, 0.0003, 0)</f>
        <v>61.5107</v>
      </c>
      <c r="C971" s="4">
        <f>61.1982 * CHOOSE(CONTROL!$C$6, $C$6, 100%, $E$6) + CHOOSE(CONTROL!$C$25, 0.0003, 0)</f>
        <v>61.1982</v>
      </c>
      <c r="D971" s="4">
        <f>83.6065 * CHOOSE(CONTROL!$C$6, $C$6, 100%, $E$6) + CHOOSE(CONTROL!$C$25, 0, 0)</f>
        <v>83.606499999999997</v>
      </c>
      <c r="E971" s="4">
        <f>558.701851436083 * CHOOSE(CONTROL!$C$6, $C$6, 100%, $E$6) + CHOOSE(CONTROL!$C$25, 0, 0)</f>
        <v>558.70185143608296</v>
      </c>
    </row>
    <row r="972" spans="1:5" ht="15">
      <c r="A972" s="13">
        <v>71680</v>
      </c>
      <c r="B972" s="4">
        <f>65.143 * CHOOSE(CONTROL!$C$6, $C$6, 100%, $E$6) + CHOOSE(CONTROL!$C$25, 0.0003, 0)</f>
        <v>65.143000000000001</v>
      </c>
      <c r="C972" s="4">
        <f>64.8305 * CHOOSE(CONTROL!$C$6, $C$6, 100%, $E$6) + CHOOSE(CONTROL!$C$25, 0.0003, 0)</f>
        <v>64.830500000000001</v>
      </c>
      <c r="D972" s="4">
        <f>87.9964 * CHOOSE(CONTROL!$C$6, $C$6, 100%, $E$6) + CHOOSE(CONTROL!$C$25, 0, 0)</f>
        <v>87.996399999999994</v>
      </c>
      <c r="E972" s="4">
        <f>592.730529616984 * CHOOSE(CONTROL!$C$6, $C$6, 100%, $E$6) + CHOOSE(CONTROL!$C$25, 0, 0)</f>
        <v>592.73052961698397</v>
      </c>
    </row>
    <row r="973" spans="1:5" ht="15">
      <c r="A973" s="13">
        <v>71710</v>
      </c>
      <c r="B973" s="4">
        <f>67.7237 * CHOOSE(CONTROL!$C$6, $C$6, 100%, $E$6) + CHOOSE(CONTROL!$C$25, 0.0003, 0)</f>
        <v>67.723699999999994</v>
      </c>
      <c r="C973" s="4">
        <f>67.4112 * CHOOSE(CONTROL!$C$6, $C$6, 100%, $E$6) + CHOOSE(CONTROL!$C$25, 0.0003, 0)</f>
        <v>67.411199999999994</v>
      </c>
      <c r="D973" s="4">
        <f>90.5252 * CHOOSE(CONTROL!$C$6, $C$6, 100%, $E$6) + CHOOSE(CONTROL!$C$25, 0, 0)</f>
        <v>90.525199999999998</v>
      </c>
      <c r="E973" s="4">
        <f>616.908358956277 * CHOOSE(CONTROL!$C$6, $C$6, 100%, $E$6) + CHOOSE(CONTROL!$C$25, 0, 0)</f>
        <v>616.90835895627697</v>
      </c>
    </row>
    <row r="974" spans="1:5" ht="15">
      <c r="A974" s="13">
        <v>71741</v>
      </c>
      <c r="B974" s="4">
        <f>69.3005 * CHOOSE(CONTROL!$C$6, $C$6, 100%, $E$6) + CHOOSE(CONTROL!$C$25, 0.0258, 0)</f>
        <v>69.3005</v>
      </c>
      <c r="C974" s="4">
        <f>68.988 * CHOOSE(CONTROL!$C$6, $C$6, 100%, $E$6) + CHOOSE(CONTROL!$C$25, 0.0258, 0)</f>
        <v>68.988</v>
      </c>
      <c r="D974" s="4">
        <f>89.5259 * CHOOSE(CONTROL!$C$6, $C$6, 100%, $E$6) + CHOOSE(CONTROL!$C$25, 0, 0)</f>
        <v>89.525899999999993</v>
      </c>
      <c r="E974" s="4">
        <f>631.680433220889 * CHOOSE(CONTROL!$C$6, $C$6, 100%, $E$6) + CHOOSE(CONTROL!$C$25, 0, 0)</f>
        <v>631.68043322088897</v>
      </c>
    </row>
    <row r="975" spans="1:5" ht="15">
      <c r="A975" s="13">
        <v>71771</v>
      </c>
      <c r="B975" s="4">
        <f>69.5138 * CHOOSE(CONTROL!$C$6, $C$6, 100%, $E$6) + CHOOSE(CONTROL!$C$25, 0.0258, 0)</f>
        <v>69.513800000000003</v>
      </c>
      <c r="C975" s="4">
        <f>69.2013 * CHOOSE(CONTROL!$C$6, $C$6, 100%, $E$6) + CHOOSE(CONTROL!$C$25, 0.0258, 0)</f>
        <v>69.201300000000003</v>
      </c>
      <c r="D975" s="4">
        <f>90.3397 * CHOOSE(CONTROL!$C$6, $C$6, 100%, $E$6) + CHOOSE(CONTROL!$C$25, 0, 0)</f>
        <v>90.339699999999993</v>
      </c>
      <c r="E975" s="4">
        <f>633.679156174258 * CHOOSE(CONTROL!$C$6, $C$6, 100%, $E$6) + CHOOSE(CONTROL!$C$25, 0, 0)</f>
        <v>633.67915617425797</v>
      </c>
    </row>
    <row r="976" spans="1:5" ht="15">
      <c r="A976" s="13">
        <v>71802</v>
      </c>
      <c r="B976" s="4">
        <f>69.4923 * CHOOSE(CONTROL!$C$6, $C$6, 100%, $E$6) + CHOOSE(CONTROL!$C$25, 0.0258, 0)</f>
        <v>69.4923</v>
      </c>
      <c r="C976" s="4">
        <f>69.1798 * CHOOSE(CONTROL!$C$6, $C$6, 100%, $E$6) + CHOOSE(CONTROL!$C$25, 0.0258, 0)</f>
        <v>69.1798</v>
      </c>
      <c r="D976" s="4">
        <f>91.8081 * CHOOSE(CONTROL!$C$6, $C$6, 100%, $E$6) + CHOOSE(CONTROL!$C$25, 0, 0)</f>
        <v>91.808099999999996</v>
      </c>
      <c r="E976" s="4">
        <f>633.477604279801 * CHOOSE(CONTROL!$C$6, $C$6, 100%, $E$6) + CHOOSE(CONTROL!$C$25, 0, 0)</f>
        <v>633.47760427980097</v>
      </c>
    </row>
    <row r="977" spans="1:5" ht="15">
      <c r="A977" s="13">
        <v>71833</v>
      </c>
      <c r="B977" s="4">
        <f>71.1112 * CHOOSE(CONTROL!$C$6, $C$6, 100%, $E$6) + CHOOSE(CONTROL!$C$25, 0.0258, 0)</f>
        <v>71.111199999999997</v>
      </c>
      <c r="C977" s="4">
        <f>70.7987 * CHOOSE(CONTROL!$C$6, $C$6, 100%, $E$6) + CHOOSE(CONTROL!$C$25, 0.0258, 0)</f>
        <v>70.798699999999997</v>
      </c>
      <c r="D977" s="4">
        <f>90.8384 * CHOOSE(CONTROL!$C$6, $C$6, 100%, $E$6) + CHOOSE(CONTROL!$C$25, 0, 0)</f>
        <v>90.838399999999993</v>
      </c>
      <c r="E977" s="4">
        <f>648.644384337725 * CHOOSE(CONTROL!$C$6, $C$6, 100%, $E$6) + CHOOSE(CONTROL!$C$25, 0, 0)</f>
        <v>648.644384337725</v>
      </c>
    </row>
    <row r="978" spans="1:5" ht="15">
      <c r="A978" s="13">
        <v>71863</v>
      </c>
      <c r="B978" s="4">
        <f>68.3521 * CHOOSE(CONTROL!$C$6, $C$6, 100%, $E$6) + CHOOSE(CONTROL!$C$25, 0.0258, 0)</f>
        <v>68.352099999999993</v>
      </c>
      <c r="C978" s="4">
        <f>68.0396 * CHOOSE(CONTROL!$C$6, $C$6, 100%, $E$6) + CHOOSE(CONTROL!$C$25, 0.0258, 0)</f>
        <v>68.039599999999993</v>
      </c>
      <c r="D978" s="4">
        <f>90.3802 * CHOOSE(CONTROL!$C$6, $C$6, 100%, $E$6) + CHOOSE(CONTROL!$C$25, 0, 0)</f>
        <v>90.380200000000002</v>
      </c>
      <c r="E978" s="4">
        <f>622.795353873556 * CHOOSE(CONTROL!$C$6, $C$6, 100%, $E$6) + CHOOSE(CONTROL!$C$25, 0, 0)</f>
        <v>622.795353873556</v>
      </c>
    </row>
    <row r="979" spans="1:5" ht="15">
      <c r="A979" s="13">
        <v>71894</v>
      </c>
      <c r="B979" s="4">
        <f>66.1433 * CHOOSE(CONTROL!$C$6, $C$6, 100%, $E$6) + CHOOSE(CONTROL!$C$25, 0.0003, 0)</f>
        <v>66.143299999999996</v>
      </c>
      <c r="C979" s="4">
        <f>65.8308 * CHOOSE(CONTROL!$C$6, $C$6, 100%, $E$6) + CHOOSE(CONTROL!$C$25, 0.0003, 0)</f>
        <v>65.830799999999996</v>
      </c>
      <c r="D979" s="4">
        <f>89.1534 * CHOOSE(CONTROL!$C$6, $C$6, 100%, $E$6) + CHOOSE(CONTROL!$C$25, 0, 0)</f>
        <v>89.153400000000005</v>
      </c>
      <c r="E979" s="4">
        <f>602.102692709256 * CHOOSE(CONTROL!$C$6, $C$6, 100%, $E$6) + CHOOSE(CONTROL!$C$25, 0, 0)</f>
        <v>602.10269270925596</v>
      </c>
    </row>
    <row r="980" spans="1:5" ht="15">
      <c r="A980" s="13">
        <v>71924</v>
      </c>
      <c r="B980" s="4">
        <f>64.7207 * CHOOSE(CONTROL!$C$6, $C$6, 100%, $E$6) + CHOOSE(CONTROL!$C$25, 0.0003, 0)</f>
        <v>64.720699999999994</v>
      </c>
      <c r="C980" s="4">
        <f>64.4082 * CHOOSE(CONTROL!$C$6, $C$6, 100%, $E$6) + CHOOSE(CONTROL!$C$25, 0.0003, 0)</f>
        <v>64.408199999999994</v>
      </c>
      <c r="D980" s="4">
        <f>88.7317 * CHOOSE(CONTROL!$C$6, $C$6, 100%, $E$6) + CHOOSE(CONTROL!$C$25, 0, 0)</f>
        <v>88.731700000000004</v>
      </c>
      <c r="E980" s="4">
        <f>588.775073688257 * CHOOSE(CONTROL!$C$6, $C$6, 100%, $E$6) + CHOOSE(CONTROL!$C$25, 0, 0)</f>
        <v>588.77507368825695</v>
      </c>
    </row>
    <row r="981" spans="1:5" ht="15">
      <c r="A981" s="13">
        <v>71955</v>
      </c>
      <c r="B981" s="4">
        <f>63.7365 * CHOOSE(CONTROL!$C$6, $C$6, 100%, $E$6) + CHOOSE(CONTROL!$C$25, 0.0003, 0)</f>
        <v>63.736499999999999</v>
      </c>
      <c r="C981" s="4">
        <f>63.424 * CHOOSE(CONTROL!$C$6, $C$6, 100%, $E$6) + CHOOSE(CONTROL!$C$25, 0.0003, 0)</f>
        <v>63.423999999999999</v>
      </c>
      <c r="D981" s="4">
        <f>85.6266 * CHOOSE(CONTROL!$C$6, $C$6, 100%, $E$6) + CHOOSE(CONTROL!$C$25, 0, 0)</f>
        <v>85.626599999999996</v>
      </c>
      <c r="E981" s="4">
        <f>579.554074516828 * CHOOSE(CONTROL!$C$6, $C$6, 100%, $E$6) + CHOOSE(CONTROL!$C$25, 0, 0)</f>
        <v>579.554074516828</v>
      </c>
    </row>
    <row r="982" spans="1:5" ht="15">
      <c r="A982" s="13">
        <v>71986</v>
      </c>
      <c r="B982" s="4">
        <f>61.415 * CHOOSE(CONTROL!$C$6, $C$6, 100%, $E$6) + CHOOSE(CONTROL!$C$25, 0.0003, 0)</f>
        <v>61.414999999999999</v>
      </c>
      <c r="C982" s="4">
        <f>61.1025 * CHOOSE(CONTROL!$C$6, $C$6, 100%, $E$6) + CHOOSE(CONTROL!$C$25, 0.0003, 0)</f>
        <v>61.102499999999999</v>
      </c>
      <c r="D982" s="4">
        <f>82.5979 * CHOOSE(CONTROL!$C$6, $C$6, 100%, $E$6) + CHOOSE(CONTROL!$C$25, 0, 0)</f>
        <v>82.597899999999996</v>
      </c>
      <c r="E982" s="4">
        <f>561.515738429592 * CHOOSE(CONTROL!$C$6, $C$6, 100%, $E$6) + CHOOSE(CONTROL!$C$25, 0, 0)</f>
        <v>561.51573842959203</v>
      </c>
    </row>
    <row r="983" spans="1:5" ht="15">
      <c r="A983" s="13">
        <v>72014</v>
      </c>
      <c r="B983" s="4">
        <f>62.8287 * CHOOSE(CONTROL!$C$6, $C$6, 100%, $E$6) + CHOOSE(CONTROL!$C$25, 0.0003, 0)</f>
        <v>62.828699999999998</v>
      </c>
      <c r="C983" s="4">
        <f>62.5162 * CHOOSE(CONTROL!$C$6, $C$6, 100%, $E$6) + CHOOSE(CONTROL!$C$25, 0.0003, 0)</f>
        <v>62.516199999999998</v>
      </c>
      <c r="D983" s="4">
        <f>85.4656 * CHOOSE(CONTROL!$C$6, $C$6, 100%, $E$6) + CHOOSE(CONTROL!$C$25, 0, 0)</f>
        <v>85.465599999999995</v>
      </c>
      <c r="E983" s="4">
        <f>574.848334942586 * CHOOSE(CONTROL!$C$6, $C$6, 100%, $E$6) + CHOOSE(CONTROL!$C$25, 0, 0)</f>
        <v>574.84833494258601</v>
      </c>
    </row>
    <row r="984" spans="1:5" ht="15">
      <c r="A984" s="13">
        <v>72045</v>
      </c>
      <c r="B984" s="4">
        <f>66.5412 * CHOOSE(CONTROL!$C$6, $C$6, 100%, $E$6) + CHOOSE(CONTROL!$C$25, 0.0003, 0)</f>
        <v>66.541200000000003</v>
      </c>
      <c r="C984" s="4">
        <f>66.2287 * CHOOSE(CONTROL!$C$6, $C$6, 100%, $E$6) + CHOOSE(CONTROL!$C$25, 0.0003, 0)</f>
        <v>66.228700000000003</v>
      </c>
      <c r="D984" s="4">
        <f>89.9547 * CHOOSE(CONTROL!$C$6, $C$6, 100%, $E$6) + CHOOSE(CONTROL!$C$25, 0, 0)</f>
        <v>89.954700000000003</v>
      </c>
      <c r="E984" s="4">
        <f>609.860441922915 * CHOOSE(CONTROL!$C$6, $C$6, 100%, $E$6) + CHOOSE(CONTROL!$C$25, 0, 0)</f>
        <v>609.86044192291502</v>
      </c>
    </row>
    <row r="985" spans="1:5" ht="15">
      <c r="A985" s="13">
        <v>72075</v>
      </c>
      <c r="B985" s="4">
        <f>69.1789 * CHOOSE(CONTROL!$C$6, $C$6, 100%, $E$6) + CHOOSE(CONTROL!$C$25, 0.0003, 0)</f>
        <v>69.178899999999999</v>
      </c>
      <c r="C985" s="4">
        <f>68.8664 * CHOOSE(CONTROL!$C$6, $C$6, 100%, $E$6) + CHOOSE(CONTROL!$C$25, 0.0003, 0)</f>
        <v>68.866399999999999</v>
      </c>
      <c r="D985" s="4">
        <f>92.5406 * CHOOSE(CONTROL!$C$6, $C$6, 100%, $E$6) + CHOOSE(CONTROL!$C$25, 0, 0)</f>
        <v>92.540599999999998</v>
      </c>
      <c r="E985" s="4">
        <f>634.737010530114 * CHOOSE(CONTROL!$C$6, $C$6, 100%, $E$6) + CHOOSE(CONTROL!$C$25, 0, 0)</f>
        <v>634.73701053011405</v>
      </c>
    </row>
    <row r="986" spans="1:5" ht="15">
      <c r="A986" s="13">
        <v>72106</v>
      </c>
      <c r="B986" s="4">
        <f>70.7906 * CHOOSE(CONTROL!$C$6, $C$6, 100%, $E$6) + CHOOSE(CONTROL!$C$25, 0.0258, 0)</f>
        <v>70.790599999999998</v>
      </c>
      <c r="C986" s="4">
        <f>70.4781 * CHOOSE(CONTROL!$C$6, $C$6, 100%, $E$6) + CHOOSE(CONTROL!$C$25, 0.0258, 0)</f>
        <v>70.478099999999998</v>
      </c>
      <c r="D986" s="4">
        <f>91.5188 * CHOOSE(CONTROL!$C$6, $C$6, 100%, $E$6) + CHOOSE(CONTROL!$C$25, 0, 0)</f>
        <v>91.518799999999999</v>
      </c>
      <c r="E986" s="4">
        <f>649.935997740972 * CHOOSE(CONTROL!$C$6, $C$6, 100%, $E$6) + CHOOSE(CONTROL!$C$25, 0, 0)</f>
        <v>649.93599774097197</v>
      </c>
    </row>
    <row r="987" spans="1:5" ht="15">
      <c r="A987" s="13">
        <v>72136</v>
      </c>
      <c r="B987" s="4">
        <f>71.0086 * CHOOSE(CONTROL!$C$6, $C$6, 100%, $E$6) + CHOOSE(CONTROL!$C$25, 0.0258, 0)</f>
        <v>71.008600000000001</v>
      </c>
      <c r="C987" s="4">
        <f>70.6961 * CHOOSE(CONTROL!$C$6, $C$6, 100%, $E$6) + CHOOSE(CONTROL!$C$25, 0.0258, 0)</f>
        <v>70.696100000000001</v>
      </c>
      <c r="D987" s="4">
        <f>92.351 * CHOOSE(CONTROL!$C$6, $C$6, 100%, $E$6) + CHOOSE(CONTROL!$C$25, 0, 0)</f>
        <v>92.350999999999999</v>
      </c>
      <c r="E987" s="4">
        <f>651.992483787694 * CHOOSE(CONTROL!$C$6, $C$6, 100%, $E$6) + CHOOSE(CONTROL!$C$25, 0, 0)</f>
        <v>651.99248378769403</v>
      </c>
    </row>
    <row r="988" spans="1:5" ht="15">
      <c r="A988" s="13">
        <v>72167</v>
      </c>
      <c r="B988" s="4">
        <f>70.9866 * CHOOSE(CONTROL!$C$6, $C$6, 100%, $E$6) + CHOOSE(CONTROL!$C$25, 0.0258, 0)</f>
        <v>70.986599999999996</v>
      </c>
      <c r="C988" s="4">
        <f>70.6741 * CHOOSE(CONTROL!$C$6, $C$6, 100%, $E$6) + CHOOSE(CONTROL!$C$25, 0.0258, 0)</f>
        <v>70.674099999999996</v>
      </c>
      <c r="D988" s="4">
        <f>93.8525 * CHOOSE(CONTROL!$C$6, $C$6, 100%, $E$6) + CHOOSE(CONTROL!$C$25, 0, 0)</f>
        <v>93.852500000000006</v>
      </c>
      <c r="E988" s="4">
        <f>651.785107043487 * CHOOSE(CONTROL!$C$6, $C$6, 100%, $E$6) + CHOOSE(CONTROL!$C$25, 0, 0)</f>
        <v>651.78510704348696</v>
      </c>
    </row>
    <row r="989" spans="1:5" ht="15">
      <c r="A989" s="13">
        <v>72198</v>
      </c>
      <c r="B989" s="4">
        <f>72.6413 * CHOOSE(CONTROL!$C$6, $C$6, 100%, $E$6) + CHOOSE(CONTROL!$C$25, 0.0258, 0)</f>
        <v>72.641300000000001</v>
      </c>
      <c r="C989" s="4">
        <f>72.3288 * CHOOSE(CONTROL!$C$6, $C$6, 100%, $E$6) + CHOOSE(CONTROL!$C$25, 0.0258, 0)</f>
        <v>72.328800000000001</v>
      </c>
      <c r="D989" s="4">
        <f>92.8609 * CHOOSE(CONTROL!$C$6, $C$6, 100%, $E$6) + CHOOSE(CONTROL!$C$25, 0, 0)</f>
        <v>92.860900000000001</v>
      </c>
      <c r="E989" s="4">
        <f>667.390207045085 * CHOOSE(CONTROL!$C$6, $C$6, 100%, $E$6) + CHOOSE(CONTROL!$C$25, 0, 0)</f>
        <v>667.39020704508505</v>
      </c>
    </row>
    <row r="990" spans="1:5" ht="15">
      <c r="A990" s="13">
        <v>72228</v>
      </c>
      <c r="B990" s="4">
        <f>69.8212 * CHOOSE(CONTROL!$C$6, $C$6, 100%, $E$6) + CHOOSE(CONTROL!$C$25, 0.0258, 0)</f>
        <v>69.821200000000005</v>
      </c>
      <c r="C990" s="4">
        <f>69.5087 * CHOOSE(CONTROL!$C$6, $C$6, 100%, $E$6) + CHOOSE(CONTROL!$C$25, 0.0258, 0)</f>
        <v>69.508700000000005</v>
      </c>
      <c r="D990" s="4">
        <f>92.3924 * CHOOSE(CONTROL!$C$6, $C$6, 100%, $E$6) + CHOOSE(CONTROL!$C$25, 0, 0)</f>
        <v>92.392399999999995</v>
      </c>
      <c r="E990" s="4">
        <f>640.794139600501 * CHOOSE(CONTROL!$C$6, $C$6, 100%, $E$6) + CHOOSE(CONTROL!$C$25, 0, 0)</f>
        <v>640.79413960050101</v>
      </c>
    </row>
    <row r="991" spans="1:5" ht="15">
      <c r="A991" s="13">
        <v>72259</v>
      </c>
      <c r="B991" s="4">
        <f>67.5637 * CHOOSE(CONTROL!$C$6, $C$6, 100%, $E$6) + CHOOSE(CONTROL!$C$25, 0.0003, 0)</f>
        <v>67.563699999999997</v>
      </c>
      <c r="C991" s="4">
        <f>67.2512 * CHOOSE(CONTROL!$C$6, $C$6, 100%, $E$6) + CHOOSE(CONTROL!$C$25, 0.0003, 0)</f>
        <v>67.251199999999997</v>
      </c>
      <c r="D991" s="4">
        <f>91.1379 * CHOOSE(CONTROL!$C$6, $C$6, 100%, $E$6) + CHOOSE(CONTROL!$C$25, 0, 0)</f>
        <v>91.137900000000002</v>
      </c>
      <c r="E991" s="4">
        <f>619.503460528554 * CHOOSE(CONTROL!$C$6, $C$6, 100%, $E$6) + CHOOSE(CONTROL!$C$25, 0, 0)</f>
        <v>619.503460528554</v>
      </c>
    </row>
    <row r="992" spans="1:5" ht="15">
      <c r="A992" s="13">
        <v>72289</v>
      </c>
      <c r="B992" s="4">
        <f>66.1096 * CHOOSE(CONTROL!$C$6, $C$6, 100%, $E$6) + CHOOSE(CONTROL!$C$25, 0.0003, 0)</f>
        <v>66.1096</v>
      </c>
      <c r="C992" s="4">
        <f>65.7971 * CHOOSE(CONTROL!$C$6, $C$6, 100%, $E$6) + CHOOSE(CONTROL!$C$25, 0.0003, 0)</f>
        <v>65.7971</v>
      </c>
      <c r="D992" s="4">
        <f>90.7066 * CHOOSE(CONTROL!$C$6, $C$6, 100%, $E$6) + CHOOSE(CONTROL!$C$25, 0, 0)</f>
        <v>90.706599999999995</v>
      </c>
      <c r="E992" s="4">
        <f>605.790673317847 * CHOOSE(CONTROL!$C$6, $C$6, 100%, $E$6) + CHOOSE(CONTROL!$C$25, 0, 0)</f>
        <v>605.79067331784699</v>
      </c>
    </row>
    <row r="993" spans="1:5" ht="15">
      <c r="A993" s="13">
        <v>72320</v>
      </c>
      <c r="B993" s="4">
        <f>65.1036 * CHOOSE(CONTROL!$C$6, $C$6, 100%, $E$6) + CHOOSE(CONTROL!$C$25, 0.0003, 0)</f>
        <v>65.1036</v>
      </c>
      <c r="C993" s="4">
        <f>64.7911 * CHOOSE(CONTROL!$C$6, $C$6, 100%, $E$6) + CHOOSE(CONTROL!$C$25, 0.0003, 0)</f>
        <v>64.7911</v>
      </c>
      <c r="D993" s="4">
        <f>87.5313 * CHOOSE(CONTROL!$C$6, $C$6, 100%, $E$6) + CHOOSE(CONTROL!$C$25, 0, 0)</f>
        <v>87.531300000000002</v>
      </c>
      <c r="E993" s="4">
        <f>596.303187270364 * CHOOSE(CONTROL!$C$6, $C$6, 100%, $E$6) + CHOOSE(CONTROL!$C$25, 0, 0)</f>
        <v>596.30318727036399</v>
      </c>
    </row>
    <row r="994" spans="1:5" ht="15">
      <c r="A994" s="13">
        <v>72351</v>
      </c>
      <c r="B994" s="4">
        <f>62.7308 * CHOOSE(CONTROL!$C$6, $C$6, 100%, $E$6) + CHOOSE(CONTROL!$C$25, 0.0003, 0)</f>
        <v>62.730800000000002</v>
      </c>
      <c r="C994" s="4">
        <f>62.4183 * CHOOSE(CONTROL!$C$6, $C$6, 100%, $E$6) + CHOOSE(CONTROL!$C$25, 0.0003, 0)</f>
        <v>62.418300000000002</v>
      </c>
      <c r="D994" s="4">
        <f>84.4342 * CHOOSE(CONTROL!$C$6, $C$6, 100%, $E$6) + CHOOSE(CONTROL!$C$25, 0, 0)</f>
        <v>84.434200000000004</v>
      </c>
      <c r="E994" s="4">
        <f>577.743543270208 * CHOOSE(CONTROL!$C$6, $C$6, 100%, $E$6) + CHOOSE(CONTROL!$C$25, 0, 0)</f>
        <v>577.74354327020797</v>
      </c>
    </row>
    <row r="995" spans="1:5" ht="15">
      <c r="A995" s="13">
        <v>72379</v>
      </c>
      <c r="B995" s="4">
        <f>64.1758 * CHOOSE(CONTROL!$C$6, $C$6, 100%, $E$6) + CHOOSE(CONTROL!$C$25, 0.0003, 0)</f>
        <v>64.175799999999995</v>
      </c>
      <c r="C995" s="4">
        <f>63.8633 * CHOOSE(CONTROL!$C$6, $C$6, 100%, $E$6) + CHOOSE(CONTROL!$C$25, 0.0003, 0)</f>
        <v>63.863300000000002</v>
      </c>
      <c r="D995" s="4">
        <f>87.3667 * CHOOSE(CONTROL!$C$6, $C$6, 100%, $E$6) + CHOOSE(CONTROL!$C$25, 0, 0)</f>
        <v>87.366699999999994</v>
      </c>
      <c r="E995" s="4">
        <f>591.461451822426 * CHOOSE(CONTROL!$C$6, $C$6, 100%, $E$6) + CHOOSE(CONTROL!$C$25, 0, 0)</f>
        <v>591.46145182242606</v>
      </c>
    </row>
    <row r="996" spans="1:5" ht="15">
      <c r="A996" s="13">
        <v>72410</v>
      </c>
      <c r="B996" s="4">
        <f>67.9703 * CHOOSE(CONTROL!$C$6, $C$6, 100%, $E$6) + CHOOSE(CONTROL!$C$25, 0.0003, 0)</f>
        <v>67.970299999999995</v>
      </c>
      <c r="C996" s="4">
        <f>67.6578 * CHOOSE(CONTROL!$C$6, $C$6, 100%, $E$6) + CHOOSE(CONTROL!$C$25, 0.0003, 0)</f>
        <v>67.657799999999995</v>
      </c>
      <c r="D996" s="4">
        <f>91.9573 * CHOOSE(CONTROL!$C$6, $C$6, 100%, $E$6) + CHOOSE(CONTROL!$C$25, 0, 0)</f>
        <v>91.957300000000004</v>
      </c>
      <c r="E996" s="4">
        <f>627.485408694487 * CHOOSE(CONTROL!$C$6, $C$6, 100%, $E$6) + CHOOSE(CONTROL!$C$25, 0, 0)</f>
        <v>627.48540869448698</v>
      </c>
    </row>
    <row r="997" spans="1:5" ht="15">
      <c r="A997" s="13">
        <v>72440</v>
      </c>
      <c r="B997" s="4">
        <f>70.6664 * CHOOSE(CONTROL!$C$6, $C$6, 100%, $E$6) + CHOOSE(CONTROL!$C$25, 0.0003, 0)</f>
        <v>70.666399999999996</v>
      </c>
      <c r="C997" s="4">
        <f>70.3539 * CHOOSE(CONTROL!$C$6, $C$6, 100%, $E$6) + CHOOSE(CONTROL!$C$25, 0.0003, 0)</f>
        <v>70.353899999999996</v>
      </c>
      <c r="D997" s="4">
        <f>94.6016 * CHOOSE(CONTROL!$C$6, $C$6, 100%, $E$6) + CHOOSE(CONTROL!$C$25, 0, 0)</f>
        <v>94.601600000000005</v>
      </c>
      <c r="E997" s="4">
        <f>653.080910134434 * CHOOSE(CONTROL!$C$6, $C$6, 100%, $E$6) + CHOOSE(CONTROL!$C$25, 0, 0)</f>
        <v>653.08091013443402</v>
      </c>
    </row>
    <row r="998" spans="1:5" ht="15">
      <c r="A998" s="13">
        <v>72471</v>
      </c>
      <c r="B998" s="4">
        <f>72.3136 * CHOOSE(CONTROL!$C$6, $C$6, 100%, $E$6) + CHOOSE(CONTROL!$C$25, 0.0258, 0)</f>
        <v>72.313599999999994</v>
      </c>
      <c r="C998" s="4">
        <f>72.0011 * CHOOSE(CONTROL!$C$6, $C$6, 100%, $E$6) + CHOOSE(CONTROL!$C$25, 0.0258, 0)</f>
        <v>72.001099999999994</v>
      </c>
      <c r="D998" s="4">
        <f>93.5567 * CHOOSE(CONTROL!$C$6, $C$6, 100%, $E$6) + CHOOSE(CONTROL!$C$25, 0, 0)</f>
        <v>93.556700000000006</v>
      </c>
      <c r="E998" s="4">
        <f>668.719148075686 * CHOOSE(CONTROL!$C$6, $C$6, 100%, $E$6) + CHOOSE(CONTROL!$C$25, 0, 0)</f>
        <v>668.71914807568601</v>
      </c>
    </row>
    <row r="999" spans="1:5" ht="15">
      <c r="A999" s="13">
        <v>72501</v>
      </c>
      <c r="B999" s="4">
        <f>72.5365 * CHOOSE(CONTROL!$C$6, $C$6, 100%, $E$6) + CHOOSE(CONTROL!$C$25, 0.0258, 0)</f>
        <v>72.536500000000004</v>
      </c>
      <c r="C999" s="4">
        <f>72.224 * CHOOSE(CONTROL!$C$6, $C$6, 100%, $E$6) + CHOOSE(CONTROL!$C$25, 0.0258, 0)</f>
        <v>72.224000000000004</v>
      </c>
      <c r="D999" s="4">
        <f>94.4077 * CHOOSE(CONTROL!$C$6, $C$6, 100%, $E$6) + CHOOSE(CONTROL!$C$25, 0, 0)</f>
        <v>94.407700000000006</v>
      </c>
      <c r="E999" s="4">
        <f>670.835066569159 * CHOOSE(CONTROL!$C$6, $C$6, 100%, $E$6) + CHOOSE(CONTROL!$C$25, 0, 0)</f>
        <v>670.83506656915904</v>
      </c>
    </row>
    <row r="1000" spans="1:5" ht="15">
      <c r="A1000" s="13">
        <v>72532</v>
      </c>
      <c r="B1000" s="4">
        <f>72.514 * CHOOSE(CONTROL!$C$6, $C$6, 100%, $E$6) + CHOOSE(CONTROL!$C$25, 0.0258, 0)</f>
        <v>72.513999999999996</v>
      </c>
      <c r="C1000" s="4">
        <f>72.2015 * CHOOSE(CONTROL!$C$6, $C$6, 100%, $E$6) + CHOOSE(CONTROL!$C$25, 0.0258, 0)</f>
        <v>72.201499999999996</v>
      </c>
      <c r="D1000" s="4">
        <f>95.9432 * CHOOSE(CONTROL!$C$6, $C$6, 100%, $E$6) + CHOOSE(CONTROL!$C$25, 0, 0)</f>
        <v>95.943200000000004</v>
      </c>
      <c r="E1000" s="4">
        <f>670.621696637044 * CHOOSE(CONTROL!$C$6, $C$6, 100%, $E$6) + CHOOSE(CONTROL!$C$25, 0, 0)</f>
        <v>670.62169663704401</v>
      </c>
    </row>
    <row r="1001" spans="1:5" ht="15">
      <c r="A1001" s="13">
        <v>72563</v>
      </c>
      <c r="B1001" s="4">
        <f>74.2052 * CHOOSE(CONTROL!$C$6, $C$6, 100%, $E$6) + CHOOSE(CONTROL!$C$25, 0.0258, 0)</f>
        <v>74.205200000000005</v>
      </c>
      <c r="C1001" s="4">
        <f>73.8927 * CHOOSE(CONTROL!$C$6, $C$6, 100%, $E$6) + CHOOSE(CONTROL!$C$25, 0.0258, 0)</f>
        <v>73.892700000000005</v>
      </c>
      <c r="D1001" s="4">
        <f>94.9291 * CHOOSE(CONTROL!$C$6, $C$6, 100%, $E$6) + CHOOSE(CONTROL!$C$25, 0, 0)</f>
        <v>94.929100000000005</v>
      </c>
      <c r="E1001" s="4">
        <f>686.677784028688 * CHOOSE(CONTROL!$C$6, $C$6, 100%, $E$6) + CHOOSE(CONTROL!$C$25, 0, 0)</f>
        <v>686.67778402868805</v>
      </c>
    </row>
    <row r="1002" spans="1:5" ht="15">
      <c r="A1002" s="13">
        <v>72593</v>
      </c>
      <c r="B1002" s="4">
        <f>71.3228 * CHOOSE(CONTROL!$C$6, $C$6, 100%, $E$6) + CHOOSE(CONTROL!$C$25, 0.0258, 0)</f>
        <v>71.322800000000001</v>
      </c>
      <c r="C1002" s="4">
        <f>71.0103 * CHOOSE(CONTROL!$C$6, $C$6, 100%, $E$6) + CHOOSE(CONTROL!$C$25, 0.0258, 0)</f>
        <v>71.010300000000001</v>
      </c>
      <c r="D1002" s="4">
        <f>94.45 * CHOOSE(CONTROL!$C$6, $C$6, 100%, $E$6) + CHOOSE(CONTROL!$C$25, 0, 0)</f>
        <v>94.45</v>
      </c>
      <c r="E1002" s="4">
        <f>659.313090234956 * CHOOSE(CONTROL!$C$6, $C$6, 100%, $E$6) + CHOOSE(CONTROL!$C$25, 0, 0)</f>
        <v>659.31309023495601</v>
      </c>
    </row>
    <row r="1003" spans="1:5" ht="15">
      <c r="A1003" s="13">
        <v>72624</v>
      </c>
      <c r="B1003" s="4">
        <f>69.0154 * CHOOSE(CONTROL!$C$6, $C$6, 100%, $E$6) + CHOOSE(CONTROL!$C$25, 0.0003, 0)</f>
        <v>69.0154</v>
      </c>
      <c r="C1003" s="4">
        <f>68.7029 * CHOOSE(CONTROL!$C$6, $C$6, 100%, $E$6) + CHOOSE(CONTROL!$C$25, 0.0003, 0)</f>
        <v>68.7029</v>
      </c>
      <c r="D1003" s="4">
        <f>93.1671 * CHOOSE(CONTROL!$C$6, $C$6, 100%, $E$6) + CHOOSE(CONTROL!$C$25, 0, 0)</f>
        <v>93.167100000000005</v>
      </c>
      <c r="E1003" s="4">
        <f>637.407110537829 * CHOOSE(CONTROL!$C$6, $C$6, 100%, $E$6) + CHOOSE(CONTROL!$C$25, 0, 0)</f>
        <v>637.407110537829</v>
      </c>
    </row>
    <row r="1004" spans="1:5" ht="15">
      <c r="A1004" s="13">
        <v>72654</v>
      </c>
      <c r="B1004" s="4">
        <f>67.5292 * CHOOSE(CONTROL!$C$6, $C$6, 100%, $E$6) + CHOOSE(CONTROL!$C$25, 0.0003, 0)</f>
        <v>67.529200000000003</v>
      </c>
      <c r="C1004" s="4">
        <f>67.2167 * CHOOSE(CONTROL!$C$6, $C$6, 100%, $E$6) + CHOOSE(CONTROL!$C$25, 0.0003, 0)</f>
        <v>67.216700000000003</v>
      </c>
      <c r="D1004" s="4">
        <f>92.7261 * CHOOSE(CONTROL!$C$6, $C$6, 100%, $E$6) + CHOOSE(CONTROL!$C$25, 0, 0)</f>
        <v>92.726100000000002</v>
      </c>
      <c r="E1004" s="4">
        <f>623.298023776733 * CHOOSE(CONTROL!$C$6, $C$6, 100%, $E$6) + CHOOSE(CONTROL!$C$25, 0, 0)</f>
        <v>623.29802377673298</v>
      </c>
    </row>
    <row r="1005" spans="1:5" ht="15">
      <c r="A1005" s="13">
        <v>72685</v>
      </c>
      <c r="B1005" s="4">
        <f>66.501 * CHOOSE(CONTROL!$C$6, $C$6, 100%, $E$6) + CHOOSE(CONTROL!$C$25, 0.0003, 0)</f>
        <v>66.501000000000005</v>
      </c>
      <c r="C1005" s="4">
        <f>66.1885 * CHOOSE(CONTROL!$C$6, $C$6, 100%, $E$6) + CHOOSE(CONTROL!$C$25, 0.0003, 0)</f>
        <v>66.188500000000005</v>
      </c>
      <c r="D1005" s="4">
        <f>89.4791 * CHOOSE(CONTROL!$C$6, $C$6, 100%, $E$6) + CHOOSE(CONTROL!$C$25, 0, 0)</f>
        <v>89.479100000000003</v>
      </c>
      <c r="E1005" s="4">
        <f>613.536349382478 * CHOOSE(CONTROL!$C$6, $C$6, 100%, $E$6) + CHOOSE(CONTROL!$C$25, 0, 0)</f>
        <v>613.53634938247797</v>
      </c>
    </row>
    <row r="1006" spans="1:5" ht="15">
      <c r="A1006" s="13">
        <v>72716</v>
      </c>
      <c r="B1006" s="4">
        <f>64.0757 * CHOOSE(CONTROL!$C$6, $C$6, 100%, $E$6) + CHOOSE(CONTROL!$C$25, 0.0003, 0)</f>
        <v>64.075699999999998</v>
      </c>
      <c r="C1006" s="4">
        <f>63.7632 * CHOOSE(CONTROL!$C$6, $C$6, 100%, $E$6) + CHOOSE(CONTROL!$C$25, 0.0003, 0)</f>
        <v>63.763199999999998</v>
      </c>
      <c r="D1006" s="4">
        <f>86.312 * CHOOSE(CONTROL!$C$6, $C$6, 100%, $E$6) + CHOOSE(CONTROL!$C$25, 0, 0)</f>
        <v>86.311999999999998</v>
      </c>
      <c r="E1006" s="4">
        <f>594.440331670716 * CHOOSE(CONTROL!$C$6, $C$6, 100%, $E$6) + CHOOSE(CONTROL!$C$25, 0, 0)</f>
        <v>594.44033167071598</v>
      </c>
    </row>
    <row r="1007" spans="1:5" ht="15">
      <c r="A1007" s="13">
        <v>72744</v>
      </c>
      <c r="B1007" s="4">
        <f>65.5526 * CHOOSE(CONTROL!$C$6, $C$6, 100%, $E$6) + CHOOSE(CONTROL!$C$25, 0.0003, 0)</f>
        <v>65.552599999999998</v>
      </c>
      <c r="C1007" s="4">
        <f>65.2401 * CHOOSE(CONTROL!$C$6, $C$6, 100%, $E$6) + CHOOSE(CONTROL!$C$25, 0.0003, 0)</f>
        <v>65.240099999999998</v>
      </c>
      <c r="D1007" s="4">
        <f>89.3107 * CHOOSE(CONTROL!$C$6, $C$6, 100%, $E$6) + CHOOSE(CONTROL!$C$25, 0, 0)</f>
        <v>89.310699999999997</v>
      </c>
      <c r="E1007" s="4">
        <f>608.554687780094 * CHOOSE(CONTROL!$C$6, $C$6, 100%, $E$6) + CHOOSE(CONTROL!$C$25, 0, 0)</f>
        <v>608.55468778009401</v>
      </c>
    </row>
    <row r="1008" spans="1:5" ht="15">
      <c r="A1008" s="13">
        <v>72775</v>
      </c>
      <c r="B1008" s="4">
        <f>69.431 * CHOOSE(CONTROL!$C$6, $C$6, 100%, $E$6) + CHOOSE(CONTROL!$C$25, 0.0003, 0)</f>
        <v>69.430999999999997</v>
      </c>
      <c r="C1008" s="4">
        <f>69.1185 * CHOOSE(CONTROL!$C$6, $C$6, 100%, $E$6) + CHOOSE(CONTROL!$C$25, 0.0003, 0)</f>
        <v>69.118499999999997</v>
      </c>
      <c r="D1008" s="4">
        <f>94.0051 * CHOOSE(CONTROL!$C$6, $C$6, 100%, $E$6) + CHOOSE(CONTROL!$C$25, 0, 0)</f>
        <v>94.005099999999999</v>
      </c>
      <c r="E1008" s="4">
        <f>645.619737005758 * CHOOSE(CONTROL!$C$6, $C$6, 100%, $E$6) + CHOOSE(CONTROL!$C$25, 0, 0)</f>
        <v>645.619737005758</v>
      </c>
    </row>
    <row r="1009" spans="1:5" ht="15">
      <c r="A1009" s="13">
        <v>72805</v>
      </c>
      <c r="B1009" s="4">
        <f>72.1867 * CHOOSE(CONTROL!$C$6, $C$6, 100%, $E$6) + CHOOSE(CONTROL!$C$25, 0.0003, 0)</f>
        <v>72.186700000000002</v>
      </c>
      <c r="C1009" s="4">
        <f>71.8742 * CHOOSE(CONTROL!$C$6, $C$6, 100%, $E$6) + CHOOSE(CONTROL!$C$25, 0.0003, 0)</f>
        <v>71.874200000000002</v>
      </c>
      <c r="D1009" s="4">
        <f>96.7091 * CHOOSE(CONTROL!$C$6, $C$6, 100%, $E$6) + CHOOSE(CONTROL!$C$25, 0, 0)</f>
        <v>96.709100000000007</v>
      </c>
      <c r="E1009" s="4">
        <f>671.954948437319 * CHOOSE(CONTROL!$C$6, $C$6, 100%, $E$6) + CHOOSE(CONTROL!$C$25, 0, 0)</f>
        <v>671.95494843731899</v>
      </c>
    </row>
    <row r="1010" spans="1:5" ht="15">
      <c r="A1010" s="13">
        <v>72836</v>
      </c>
      <c r="B1010" s="4">
        <f>73.8703 * CHOOSE(CONTROL!$C$6, $C$6, 100%, $E$6) + CHOOSE(CONTROL!$C$25, 0.0258, 0)</f>
        <v>73.8703</v>
      </c>
      <c r="C1010" s="4">
        <f>73.5578 * CHOOSE(CONTROL!$C$6, $C$6, 100%, $E$6) + CHOOSE(CONTROL!$C$25, 0.0258, 0)</f>
        <v>73.5578</v>
      </c>
      <c r="D1010" s="4">
        <f>95.6406 * CHOOSE(CONTROL!$C$6, $C$6, 100%, $E$6) + CHOOSE(CONTROL!$C$25, 0, 0)</f>
        <v>95.640600000000006</v>
      </c>
      <c r="E1010" s="4">
        <f>688.045131455074 * CHOOSE(CONTROL!$C$6, $C$6, 100%, $E$6) + CHOOSE(CONTROL!$C$25, 0, 0)</f>
        <v>688.04513145507406</v>
      </c>
    </row>
    <row r="1011" spans="1:5" ht="15">
      <c r="A1011" s="13">
        <v>72866</v>
      </c>
      <c r="B1011" s="4">
        <f>74.0981 * CHOOSE(CONTROL!$C$6, $C$6, 100%, $E$6) + CHOOSE(CONTROL!$C$25, 0.0258, 0)</f>
        <v>74.098100000000002</v>
      </c>
      <c r="C1011" s="4">
        <f>73.7856 * CHOOSE(CONTROL!$C$6, $C$6, 100%, $E$6) + CHOOSE(CONTROL!$C$25, 0.0258, 0)</f>
        <v>73.785600000000002</v>
      </c>
      <c r="D1011" s="4">
        <f>96.5109 * CHOOSE(CONTROL!$C$6, $C$6, 100%, $E$6) + CHOOSE(CONTROL!$C$25, 0, 0)</f>
        <v>96.510900000000007</v>
      </c>
      <c r="E1011" s="4">
        <f>690.222199993007 * CHOOSE(CONTROL!$C$6, $C$6, 100%, $E$6) + CHOOSE(CONTROL!$C$25, 0, 0)</f>
        <v>690.22219999300705</v>
      </c>
    </row>
    <row r="1012" spans="1:5" ht="15">
      <c r="A1012" s="13">
        <v>72897</v>
      </c>
      <c r="B1012" s="4">
        <f>74.0751 * CHOOSE(CONTROL!$C$6, $C$6, 100%, $E$6) + CHOOSE(CONTROL!$C$25, 0.0258, 0)</f>
        <v>74.075100000000006</v>
      </c>
      <c r="C1012" s="4">
        <f>73.7626 * CHOOSE(CONTROL!$C$6, $C$6, 100%, $E$6) + CHOOSE(CONTROL!$C$25, 0.0258, 0)</f>
        <v>73.762600000000006</v>
      </c>
      <c r="D1012" s="4">
        <f>98.0811 * CHOOSE(CONTROL!$C$6, $C$6, 100%, $E$6) + CHOOSE(CONTROL!$C$25, 0, 0)</f>
        <v>98.081100000000006</v>
      </c>
      <c r="E1012" s="4">
        <f>690.002663669854 * CHOOSE(CONTROL!$C$6, $C$6, 100%, $E$6) + CHOOSE(CONTROL!$C$25, 0, 0)</f>
        <v>690.00266366985397</v>
      </c>
    </row>
    <row r="1013" spans="1:5" ht="15">
      <c r="A1013" s="13">
        <v>72928</v>
      </c>
      <c r="B1013" s="4">
        <f>75.8037 * CHOOSE(CONTROL!$C$6, $C$6, 100%, $E$6) + CHOOSE(CONTROL!$C$25, 0.0258, 0)</f>
        <v>75.803700000000006</v>
      </c>
      <c r="C1013" s="4">
        <f>75.4912 * CHOOSE(CONTROL!$C$6, $C$6, 100%, $E$6) + CHOOSE(CONTROL!$C$25, 0.0258, 0)</f>
        <v>75.491200000000006</v>
      </c>
      <c r="D1013" s="4">
        <f>97.0441 * CHOOSE(CONTROL!$C$6, $C$6, 100%, $E$6) + CHOOSE(CONTROL!$C$25, 0, 0)</f>
        <v>97.0441</v>
      </c>
      <c r="E1013" s="4">
        <f>706.522771987117 * CHOOSE(CONTROL!$C$6, $C$6, 100%, $E$6) + CHOOSE(CONTROL!$C$25, 0, 0)</f>
        <v>706.52277198711704</v>
      </c>
    </row>
    <row r="1014" spans="1:5" ht="15">
      <c r="A1014" s="13">
        <v>72958</v>
      </c>
      <c r="B1014" s="4">
        <f>72.8576 * CHOOSE(CONTROL!$C$6, $C$6, 100%, $E$6) + CHOOSE(CONTROL!$C$25, 0.0258, 0)</f>
        <v>72.857600000000005</v>
      </c>
      <c r="C1014" s="4">
        <f>72.5451 * CHOOSE(CONTROL!$C$6, $C$6, 100%, $E$6) + CHOOSE(CONTROL!$C$25, 0.0258, 0)</f>
        <v>72.545100000000005</v>
      </c>
      <c r="D1014" s="4">
        <f>96.5541 * CHOOSE(CONTROL!$C$6, $C$6, 100%, $E$6) + CHOOSE(CONTROL!$C$25, 0, 0)</f>
        <v>96.554100000000005</v>
      </c>
      <c r="E1014" s="4">
        <f>678.367238542746 * CHOOSE(CONTROL!$C$6, $C$6, 100%, $E$6) + CHOOSE(CONTROL!$C$25, 0, 0)</f>
        <v>678.36723854274601</v>
      </c>
    </row>
    <row r="1015" spans="1:5" ht="15">
      <c r="A1015" s="13">
        <v>72989</v>
      </c>
      <c r="B1015" s="4">
        <f>70.4992 * CHOOSE(CONTROL!$C$6, $C$6, 100%, $E$6) + CHOOSE(CONTROL!$C$25, 0.0003, 0)</f>
        <v>70.499200000000002</v>
      </c>
      <c r="C1015" s="4">
        <f>70.1867 * CHOOSE(CONTROL!$C$6, $C$6, 100%, $E$6) + CHOOSE(CONTROL!$C$25, 0.0003, 0)</f>
        <v>70.186700000000002</v>
      </c>
      <c r="D1015" s="4">
        <f>95.2423 * CHOOSE(CONTROL!$C$6, $C$6, 100%, $E$6) + CHOOSE(CONTROL!$C$25, 0, 0)</f>
        <v>95.2423</v>
      </c>
      <c r="E1015" s="4">
        <f>655.828176032372 * CHOOSE(CONTROL!$C$6, $C$6, 100%, $E$6) + CHOOSE(CONTROL!$C$25, 0, 0)</f>
        <v>655.82817603237197</v>
      </c>
    </row>
    <row r="1016" spans="1:5" ht="15">
      <c r="A1016" s="13">
        <v>73019</v>
      </c>
      <c r="B1016" s="4">
        <f>68.9802 * CHOOSE(CONTROL!$C$6, $C$6, 100%, $E$6) + CHOOSE(CONTROL!$C$25, 0.0003, 0)</f>
        <v>68.980199999999996</v>
      </c>
      <c r="C1016" s="4">
        <f>68.6677 * CHOOSE(CONTROL!$C$6, $C$6, 100%, $E$6) + CHOOSE(CONTROL!$C$25, 0.0003, 0)</f>
        <v>68.667699999999996</v>
      </c>
      <c r="D1016" s="4">
        <f>94.7913 * CHOOSE(CONTROL!$C$6, $C$6, 100%, $E$6) + CHOOSE(CONTROL!$C$25, 0, 0)</f>
        <v>94.791300000000007</v>
      </c>
      <c r="E1016" s="4">
        <f>641.31133666388 * CHOOSE(CONTROL!$C$6, $C$6, 100%, $E$6) + CHOOSE(CONTROL!$C$25, 0, 0)</f>
        <v>641.31133666387996</v>
      </c>
    </row>
    <row r="1017" spans="1:5" ht="15">
      <c r="A1017" s="13">
        <v>73050</v>
      </c>
      <c r="B1017" s="4">
        <f>67.9292 * CHOOSE(CONTROL!$C$6, $C$6, 100%, $E$6) + CHOOSE(CONTROL!$C$25, 0.0003, 0)</f>
        <v>67.929199999999994</v>
      </c>
      <c r="C1017" s="4">
        <f>67.6167 * CHOOSE(CONTROL!$C$6, $C$6, 100%, $E$6) + CHOOSE(CONTROL!$C$25, 0.0003, 0)</f>
        <v>67.616699999999994</v>
      </c>
      <c r="D1017" s="4">
        <f>91.4709 * CHOOSE(CONTROL!$C$6, $C$6, 100%, $E$6) + CHOOSE(CONTROL!$C$25, 0, 0)</f>
        <v>91.4709</v>
      </c>
      <c r="E1017" s="4">
        <f>631.267549879631 * CHOOSE(CONTROL!$C$6, $C$6, 100%, $E$6) + CHOOSE(CONTROL!$C$25, 0, 0)</f>
        <v>631.26754987963102</v>
      </c>
    </row>
    <row r="1018" spans="1:5" ht="15">
      <c r="A1018" s="13">
        <v>73081</v>
      </c>
      <c r="B1018" s="4">
        <f>65.4504 * CHOOSE(CONTROL!$C$6, $C$6, 100%, $E$6) + CHOOSE(CONTROL!$C$25, 0.0003, 0)</f>
        <v>65.450400000000002</v>
      </c>
      <c r="C1018" s="4">
        <f>65.1379 * CHOOSE(CONTROL!$C$6, $C$6, 100%, $E$6) + CHOOSE(CONTROL!$C$25, 0.0003, 0)</f>
        <v>65.137900000000002</v>
      </c>
      <c r="D1018" s="4">
        <f>88.2322 * CHOOSE(CONTROL!$C$6, $C$6, 100%, $E$6) + CHOOSE(CONTROL!$C$25, 0, 0)</f>
        <v>88.232200000000006</v>
      </c>
      <c r="E1018" s="4">
        <f>611.619657256 * CHOOSE(CONTROL!$C$6, $C$6, 100%, $E$6) + CHOOSE(CONTROL!$C$25, 0, 0)</f>
        <v>611.61965725599998</v>
      </c>
    </row>
    <row r="1019" spans="1:5" ht="15">
      <c r="A1019" s="13">
        <v>73109</v>
      </c>
      <c r="B1019" s="4">
        <f>66.9599 * CHOOSE(CONTROL!$C$6, $C$6, 100%, $E$6) + CHOOSE(CONTROL!$C$25, 0.0003, 0)</f>
        <v>66.959900000000005</v>
      </c>
      <c r="C1019" s="4">
        <f>66.6474 * CHOOSE(CONTROL!$C$6, $C$6, 100%, $E$6) + CHOOSE(CONTROL!$C$25, 0.0003, 0)</f>
        <v>66.647400000000005</v>
      </c>
      <c r="D1019" s="4">
        <f>91.2987 * CHOOSE(CONTROL!$C$6, $C$6, 100%, $E$6) + CHOOSE(CONTROL!$C$25, 0, 0)</f>
        <v>91.298699999999997</v>
      </c>
      <c r="E1019" s="4">
        <f>626.141918256939 * CHOOSE(CONTROL!$C$6, $C$6, 100%, $E$6) + CHOOSE(CONTROL!$C$25, 0, 0)</f>
        <v>626.14191825693899</v>
      </c>
    </row>
    <row r="1020" spans="1:5" ht="15">
      <c r="A1020" s="13">
        <v>73140</v>
      </c>
      <c r="B1020" s="4">
        <f>70.924 * CHOOSE(CONTROL!$C$6, $C$6, 100%, $E$6) + CHOOSE(CONTROL!$C$25, 0.0003, 0)</f>
        <v>70.924000000000007</v>
      </c>
      <c r="C1020" s="4">
        <f>70.6115 * CHOOSE(CONTROL!$C$6, $C$6, 100%, $E$6) + CHOOSE(CONTROL!$C$25, 0.0003, 0)</f>
        <v>70.611500000000007</v>
      </c>
      <c r="D1020" s="4">
        <f>96.0991 * CHOOSE(CONTROL!$C$6, $C$6, 100%, $E$6) + CHOOSE(CONTROL!$C$25, 0, 0)</f>
        <v>96.099100000000007</v>
      </c>
      <c r="E1020" s="4">
        <f>664.278147405224 * CHOOSE(CONTROL!$C$6, $C$6, 100%, $E$6) + CHOOSE(CONTROL!$C$25, 0, 0)</f>
        <v>664.27814740522399</v>
      </c>
    </row>
    <row r="1021" spans="1:5" ht="15">
      <c r="A1021" s="13">
        <v>73170</v>
      </c>
      <c r="B1021" s="4">
        <f>73.7405 * CHOOSE(CONTROL!$C$6, $C$6, 100%, $E$6) + CHOOSE(CONTROL!$C$25, 0.0003, 0)</f>
        <v>73.740499999999997</v>
      </c>
      <c r="C1021" s="4">
        <f>73.428 * CHOOSE(CONTROL!$C$6, $C$6, 100%, $E$6) + CHOOSE(CONTROL!$C$25, 0.0003, 0)</f>
        <v>73.427999999999997</v>
      </c>
      <c r="D1021" s="4">
        <f>98.8643 * CHOOSE(CONTROL!$C$6, $C$6, 100%, $E$6) + CHOOSE(CONTROL!$C$25, 0, 0)</f>
        <v>98.8643</v>
      </c>
      <c r="E1021" s="4">
        <f>691.374446447157 * CHOOSE(CONTROL!$C$6, $C$6, 100%, $E$6) + CHOOSE(CONTROL!$C$25, 0, 0)</f>
        <v>691.37444644715697</v>
      </c>
    </row>
    <row r="1022" spans="1:5" ht="15">
      <c r="A1022" s="13">
        <v>73201</v>
      </c>
      <c r="B1022" s="4">
        <f>75.4614 * CHOOSE(CONTROL!$C$6, $C$6, 100%, $E$6) + CHOOSE(CONTROL!$C$25, 0.0258, 0)</f>
        <v>75.461399999999998</v>
      </c>
      <c r="C1022" s="4">
        <f>75.1489 * CHOOSE(CONTROL!$C$6, $C$6, 100%, $E$6) + CHOOSE(CONTROL!$C$25, 0.0258, 0)</f>
        <v>75.148899999999998</v>
      </c>
      <c r="D1022" s="4">
        <f>97.7717 * CHOOSE(CONTROL!$C$6, $C$6, 100%, $E$6) + CHOOSE(CONTROL!$C$25, 0, 0)</f>
        <v>97.771699999999996</v>
      </c>
      <c r="E1022" s="4">
        <f>707.929635754125 * CHOOSE(CONTROL!$C$6, $C$6, 100%, $E$6) + CHOOSE(CONTROL!$C$25, 0, 0)</f>
        <v>707.929635754125</v>
      </c>
    </row>
    <row r="1023" spans="1:5" ht="15">
      <c r="A1023" s="13">
        <v>73231</v>
      </c>
      <c r="B1023" s="4">
        <f>75.6942 * CHOOSE(CONTROL!$C$6, $C$6, 100%, $E$6) + CHOOSE(CONTROL!$C$25, 0.0258, 0)</f>
        <v>75.694199999999995</v>
      </c>
      <c r="C1023" s="4">
        <f>75.3817 * CHOOSE(CONTROL!$C$6, $C$6, 100%, $E$6) + CHOOSE(CONTROL!$C$25, 0.0258, 0)</f>
        <v>75.381699999999995</v>
      </c>
      <c r="D1023" s="4">
        <f>98.6616 * CHOOSE(CONTROL!$C$6, $C$6, 100%, $E$6) + CHOOSE(CONTROL!$C$25, 0, 0)</f>
        <v>98.661600000000007</v>
      </c>
      <c r="E1023" s="4">
        <f>710.169621572805 * CHOOSE(CONTROL!$C$6, $C$6, 100%, $E$6) + CHOOSE(CONTROL!$C$25, 0, 0)</f>
        <v>710.169621572805</v>
      </c>
    </row>
    <row r="1024" spans="1:5" ht="15">
      <c r="A1024" s="13">
        <v>73262</v>
      </c>
      <c r="B1024" s="4">
        <f>75.6707 * CHOOSE(CONTROL!$C$6, $C$6, 100%, $E$6) + CHOOSE(CONTROL!$C$25, 0.0258, 0)</f>
        <v>75.670699999999997</v>
      </c>
      <c r="C1024" s="4">
        <f>75.3582 * CHOOSE(CONTROL!$C$6, $C$6, 100%, $E$6) + CHOOSE(CONTROL!$C$25, 0.0258, 0)</f>
        <v>75.358199999999997</v>
      </c>
      <c r="D1024" s="4">
        <f>100.2673 * CHOOSE(CONTROL!$C$6, $C$6, 100%, $E$6) + CHOOSE(CONTROL!$C$25, 0, 0)</f>
        <v>100.26730000000001</v>
      </c>
      <c r="E1024" s="4">
        <f>709.943740649913 * CHOOSE(CONTROL!$C$6, $C$6, 100%, $E$6) + CHOOSE(CONTROL!$C$25, 0, 0)</f>
        <v>709.94374064991302</v>
      </c>
    </row>
    <row r="1025" spans="1:5" ht="15">
      <c r="A1025" s="13">
        <v>73293</v>
      </c>
      <c r="B1025" s="4">
        <f>77.4376 * CHOOSE(CONTROL!$C$6, $C$6, 100%, $E$6) + CHOOSE(CONTROL!$C$25, 0.0258, 0)</f>
        <v>77.437600000000003</v>
      </c>
      <c r="C1025" s="4">
        <f>77.1251 * CHOOSE(CONTROL!$C$6, $C$6, 100%, $E$6) + CHOOSE(CONTROL!$C$25, 0.0258, 0)</f>
        <v>77.125100000000003</v>
      </c>
      <c r="D1025" s="4">
        <f>99.2068 * CHOOSE(CONTROL!$C$6, $C$6, 100%, $E$6) + CHOOSE(CONTROL!$C$25, 0, 0)</f>
        <v>99.206800000000001</v>
      </c>
      <c r="E1025" s="4">
        <f>726.941280097545 * CHOOSE(CONTROL!$C$6, $C$6, 100%, $E$6) + CHOOSE(CONTROL!$C$25, 0, 0)</f>
        <v>726.94128009754502</v>
      </c>
    </row>
    <row r="1026" spans="1:5" ht="15">
      <c r="A1026" s="13">
        <v>73323</v>
      </c>
      <c r="B1026" s="4">
        <f>74.4263 * CHOOSE(CONTROL!$C$6, $C$6, 100%, $E$6) + CHOOSE(CONTROL!$C$25, 0.0258, 0)</f>
        <v>74.426299999999998</v>
      </c>
      <c r="C1026" s="4">
        <f>74.1138 * CHOOSE(CONTROL!$C$6, $C$6, 100%, $E$6) + CHOOSE(CONTROL!$C$25, 0.0258, 0)</f>
        <v>74.113799999999998</v>
      </c>
      <c r="D1026" s="4">
        <f>98.7058 * CHOOSE(CONTROL!$C$6, $C$6, 100%, $E$6) + CHOOSE(CONTROL!$C$25, 0, 0)</f>
        <v>98.705799999999996</v>
      </c>
      <c r="E1026" s="4">
        <f>697.972051736631 * CHOOSE(CONTROL!$C$6, $C$6, 100%, $E$6) + CHOOSE(CONTROL!$C$25, 0, 0)</f>
        <v>697.97205173663099</v>
      </c>
    </row>
    <row r="1027" spans="1:5" ht="15">
      <c r="A1027" s="13">
        <v>73354</v>
      </c>
      <c r="B1027" s="4">
        <f>72.0158 * CHOOSE(CONTROL!$C$6, $C$6, 100%, $E$6) + CHOOSE(CONTROL!$C$25, 0.0003, 0)</f>
        <v>72.015799999999999</v>
      </c>
      <c r="C1027" s="4">
        <f>71.7033 * CHOOSE(CONTROL!$C$6, $C$6, 100%, $E$6) + CHOOSE(CONTROL!$C$25, 0.0003, 0)</f>
        <v>71.703299999999999</v>
      </c>
      <c r="D1027" s="4">
        <f>97.3643 * CHOOSE(CONTROL!$C$6, $C$6, 100%, $E$6) + CHOOSE(CONTROL!$C$25, 0, 0)</f>
        <v>97.3643</v>
      </c>
      <c r="E1027" s="4">
        <f>674.781610319707 * CHOOSE(CONTROL!$C$6, $C$6, 100%, $E$6) + CHOOSE(CONTROL!$C$25, 0, 0)</f>
        <v>674.78161031970706</v>
      </c>
    </row>
    <row r="1028" spans="1:5" ht="15">
      <c r="A1028" s="13">
        <v>73384</v>
      </c>
      <c r="B1028" s="4">
        <f>70.4632 * CHOOSE(CONTROL!$C$6, $C$6, 100%, $E$6) + CHOOSE(CONTROL!$C$25, 0.0003, 0)</f>
        <v>70.463200000000001</v>
      </c>
      <c r="C1028" s="4">
        <f>70.1507 * CHOOSE(CONTROL!$C$6, $C$6, 100%, $E$6) + CHOOSE(CONTROL!$C$25, 0.0003, 0)</f>
        <v>70.150700000000001</v>
      </c>
      <c r="D1028" s="4">
        <f>96.9031 * CHOOSE(CONTROL!$C$6, $C$6, 100%, $E$6) + CHOOSE(CONTROL!$C$25, 0, 0)</f>
        <v>96.903099999999995</v>
      </c>
      <c r="E1028" s="4">
        <f>659.845234293466 * CHOOSE(CONTROL!$C$6, $C$6, 100%, $E$6) + CHOOSE(CONTROL!$C$25, 0, 0)</f>
        <v>659.84523429346598</v>
      </c>
    </row>
    <row r="1029" spans="1:5" ht="15">
      <c r="A1029" s="13">
        <v>73415</v>
      </c>
      <c r="B1029" s="4">
        <f>69.389 * CHOOSE(CONTROL!$C$6, $C$6, 100%, $E$6) + CHOOSE(CONTROL!$C$25, 0.0003, 0)</f>
        <v>69.388999999999996</v>
      </c>
      <c r="C1029" s="4">
        <f>69.0765 * CHOOSE(CONTROL!$C$6, $C$6, 100%, $E$6) + CHOOSE(CONTROL!$C$25, 0.0003, 0)</f>
        <v>69.076499999999996</v>
      </c>
      <c r="D1029" s="4">
        <f>93.5077 * CHOOSE(CONTROL!$C$6, $C$6, 100%, $E$6) + CHOOSE(CONTROL!$C$25, 0, 0)</f>
        <v>93.5077</v>
      </c>
      <c r="E1029" s="4">
        <f>649.511182071152 * CHOOSE(CONTROL!$C$6, $C$6, 100%, $E$6) + CHOOSE(CONTROL!$C$25, 0, 0)</f>
        <v>649.51118207115201</v>
      </c>
    </row>
    <row r="1030" spans="1:5" ht="15">
      <c r="A1030" s="10"/>
      <c r="B1030" s="4"/>
      <c r="C1030" s="4"/>
      <c r="D1030" s="4"/>
      <c r="E1030" s="4"/>
    </row>
    <row r="1031" spans="1:5" ht="15">
      <c r="A1031" s="3">
        <v>2016</v>
      </c>
      <c r="B1031" s="4">
        <f>AVERAGE(B10:B21)</f>
        <v>7.3916750000000002</v>
      </c>
      <c r="C1031" s="4">
        <f>AVERAGE(C10:C21)</f>
        <v>7.0791750000000002</v>
      </c>
      <c r="D1031" s="4">
        <f>AVERAGE(D10:D21)</f>
        <v>10.908250000000001</v>
      </c>
      <c r="E1031" s="4">
        <f>AVERAGE(E10:E21)</f>
        <v>41.888333333333335</v>
      </c>
    </row>
    <row r="1032" spans="1:5" ht="15">
      <c r="A1032" s="3">
        <v>2017</v>
      </c>
      <c r="B1032" s="4">
        <f>AVERAGE(B22:B33)</f>
        <v>8.5807333333333347</v>
      </c>
      <c r="C1032" s="4">
        <f>AVERAGE(C22:C33)</f>
        <v>8.2682416666666665</v>
      </c>
      <c r="D1032" s="4">
        <f>AVERAGE(D22:D33)</f>
        <v>12.256975000000002</v>
      </c>
      <c r="E1032" s="4">
        <f>AVERAGE(E22:E33)</f>
        <v>48.115833333333335</v>
      </c>
    </row>
    <row r="1033" spans="1:5" ht="15">
      <c r="A1033" s="3">
        <v>2018</v>
      </c>
      <c r="B1033" s="4">
        <f>AVERAGE(B34:B45)</f>
        <v>8.7929666666666648</v>
      </c>
      <c r="C1033" s="4">
        <f>AVERAGE(C34:C45)</f>
        <v>8.4804749999999984</v>
      </c>
      <c r="D1033" s="4">
        <f>AVERAGE(D34:D45)</f>
        <v>12.954383333333331</v>
      </c>
      <c r="E1033" s="4">
        <f>AVERAGE(E34:E45)</f>
        <v>50.792499999999997</v>
      </c>
    </row>
    <row r="1034" spans="1:5" ht="15">
      <c r="A1034" s="3">
        <v>2019</v>
      </c>
      <c r="B1034" s="4">
        <f>AVERAGE(B46:B57)</f>
        <v>10.625066666666667</v>
      </c>
      <c r="C1034" s="4">
        <f>AVERAGE(C46:C57)</f>
        <v>10.312566666666667</v>
      </c>
      <c r="D1034" s="4">
        <f>AVERAGE(D46:D57)</f>
        <v>15.314150000000003</v>
      </c>
      <c r="E1034" s="4">
        <f>AVERAGE(E46:E57)</f>
        <v>61.841529388427716</v>
      </c>
    </row>
    <row r="1035" spans="1:5" ht="15">
      <c r="A1035" s="3">
        <v>2020</v>
      </c>
      <c r="B1035" s="4">
        <f>AVERAGE(B58:B69)</f>
        <v>11.139191666666667</v>
      </c>
      <c r="C1035" s="4">
        <f>AVERAGE(C58:C69)</f>
        <v>10.826691666666667</v>
      </c>
      <c r="D1035" s="4">
        <f>AVERAGE(D58:D69)</f>
        <v>15.954808333333334</v>
      </c>
      <c r="E1035" s="4">
        <f>AVERAGE(E58:E69)</f>
        <v>64.68576792399088</v>
      </c>
    </row>
    <row r="1036" spans="1:5" ht="15">
      <c r="A1036" s="3">
        <v>2021</v>
      </c>
      <c r="B1036" s="4">
        <f>AVERAGE(B70:B81)</f>
        <v>13.775858333333334</v>
      </c>
      <c r="C1036" s="4">
        <f>AVERAGE(C70:C81)</f>
        <v>13.463358333333334</v>
      </c>
      <c r="D1036" s="4">
        <f>AVERAGE(D70:D81)</f>
        <v>18.616866666666667</v>
      </c>
      <c r="E1036" s="4">
        <f>AVERAGE(E70:E81)</f>
        <v>78.851425170898437</v>
      </c>
    </row>
    <row r="1037" spans="1:5" ht="15">
      <c r="A1037" s="3">
        <v>2022</v>
      </c>
      <c r="B1037" s="4">
        <f>AVERAGE(B82:B93)</f>
        <v>14.190941666666667</v>
      </c>
      <c r="C1037" s="4">
        <f>AVERAGE(C82:C93)</f>
        <v>13.878441666666667</v>
      </c>
      <c r="D1037" s="4">
        <f>AVERAGE(D82:D93)</f>
        <v>19.225400000000004</v>
      </c>
      <c r="E1037" s="4">
        <f>AVERAGE(E82:E93)</f>
        <v>81.4556884765625</v>
      </c>
    </row>
    <row r="1038" spans="1:5" ht="15">
      <c r="A1038" s="3">
        <v>2023</v>
      </c>
      <c r="B1038" s="4">
        <f>AVERAGE(B94:B105)</f>
        <v>14.498158333333331</v>
      </c>
      <c r="C1038" s="4">
        <f>AVERAGE(C94:C105)</f>
        <v>14.185658333333331</v>
      </c>
      <c r="D1038" s="4">
        <f>AVERAGE(D94:D105)</f>
        <v>19.712800000000001</v>
      </c>
      <c r="E1038" s="4">
        <f>AVERAGE(E94:E105)</f>
        <v>83.02658843994142</v>
      </c>
    </row>
    <row r="1039" spans="1:5" ht="15">
      <c r="A1039" s="3">
        <v>2024</v>
      </c>
      <c r="B1039" s="4">
        <f>AVERAGE(B106:B117)</f>
        <v>14.773949999999999</v>
      </c>
      <c r="C1039" s="4">
        <f>AVERAGE(C106:C117)</f>
        <v>14.461449999999999</v>
      </c>
      <c r="D1039" s="4">
        <f>AVERAGE(D106:D117)</f>
        <v>20.554683333333333</v>
      </c>
      <c r="E1039" s="4">
        <f>AVERAGE(E106:E117)</f>
        <v>84.806167602539048</v>
      </c>
    </row>
    <row r="1040" spans="1:5" ht="15">
      <c r="A1040" s="3">
        <v>2025</v>
      </c>
      <c r="B1040" s="4">
        <f>AVERAGE(B118:B129)</f>
        <v>15.129725000000002</v>
      </c>
      <c r="C1040" s="4">
        <f>AVERAGE(C118:C129)</f>
        <v>14.817225000000002</v>
      </c>
      <c r="D1040" s="4">
        <f>AVERAGE(D118:D129)</f>
        <v>21.653533333333332</v>
      </c>
      <c r="E1040" s="4">
        <f>AVERAGE(E118:E129)</f>
        <v>87.841041564941406</v>
      </c>
    </row>
    <row r="1041" spans="1:5" ht="15">
      <c r="A1041" s="3">
        <v>2026</v>
      </c>
      <c r="B1041" s="4">
        <f>AVERAGE(B130:B141)</f>
        <v>15.402516666666665</v>
      </c>
      <c r="C1041" s="4">
        <f>AVERAGE(C130:C141)</f>
        <v>15.090016666666665</v>
      </c>
      <c r="D1041" s="4">
        <f>AVERAGE(D130:D141)</f>
        <v>21.930374999999998</v>
      </c>
      <c r="E1041" s="4">
        <f>AVERAGE(E130:E141)</f>
        <v>89.535850524902344</v>
      </c>
    </row>
    <row r="1042" spans="1:5" ht="15">
      <c r="A1042" s="3">
        <v>2027</v>
      </c>
      <c r="B1042" s="4">
        <f>AVERAGE(B142:B153)</f>
        <v>15.795933333333336</v>
      </c>
      <c r="C1042" s="4">
        <f>AVERAGE(C142:C153)</f>
        <v>15.483433333333336</v>
      </c>
      <c r="D1042" s="4">
        <f>AVERAGE(D142:D153)</f>
        <v>22.115891666666666</v>
      </c>
      <c r="E1042" s="4">
        <f>AVERAGE(E142:E153)</f>
        <v>91.263099670410156</v>
      </c>
    </row>
    <row r="1043" spans="1:5" ht="15">
      <c r="A1043" s="3">
        <v>2028</v>
      </c>
      <c r="B1043" s="4">
        <f>AVERAGE(B154:B165)</f>
        <v>16.186600000000002</v>
      </c>
      <c r="C1043" s="4">
        <f>AVERAGE(C154:C165)</f>
        <v>15.8741</v>
      </c>
      <c r="D1043" s="4">
        <f>AVERAGE(D154:D165)</f>
        <v>22.247949999999999</v>
      </c>
      <c r="E1043" s="4">
        <f>AVERAGE(E154:E165)</f>
        <v>93.023727416992202</v>
      </c>
    </row>
    <row r="1044" spans="1:5" ht="15">
      <c r="A1044" s="3">
        <v>2029</v>
      </c>
      <c r="B1044" s="4">
        <f>AVERAGE(B166:B177)</f>
        <v>16.588341666666668</v>
      </c>
      <c r="C1044" s="4">
        <f>AVERAGE(C166:C177)</f>
        <v>16.275841666666668</v>
      </c>
      <c r="D1044" s="4">
        <f>AVERAGE(D166:D177)</f>
        <v>22.240816666666671</v>
      </c>
      <c r="E1044" s="4">
        <f>AVERAGE(E166:E177)</f>
        <v>94.818473815917969</v>
      </c>
    </row>
    <row r="1045" spans="1:5" ht="15">
      <c r="A1045" s="3">
        <v>2030</v>
      </c>
      <c r="B1045" s="4">
        <f>AVERAGE(B178:B189)</f>
        <v>17.014758333333333</v>
      </c>
      <c r="C1045" s="4">
        <f>AVERAGE(C178:C189)</f>
        <v>16.702258333333333</v>
      </c>
      <c r="D1045" s="4">
        <f>AVERAGE(D178:D189)</f>
        <v>22.435891666666667</v>
      </c>
      <c r="E1045" s="4">
        <f>AVERAGE(E178:E189)</f>
        <v>96.647636413574261</v>
      </c>
    </row>
    <row r="1046" spans="1:5" ht="15">
      <c r="A1046" s="3">
        <v>2031</v>
      </c>
      <c r="B1046" s="4">
        <f>AVERAGE(B190:B201)</f>
        <v>17.366191666666669</v>
      </c>
      <c r="C1046" s="4">
        <f>AVERAGE(C190:C201)</f>
        <v>17.053691666666669</v>
      </c>
      <c r="D1046" s="4">
        <f>AVERAGE(D190:D201)</f>
        <v>22.649608333333333</v>
      </c>
      <c r="E1046" s="4">
        <f>AVERAGE(E190:E201)</f>
        <v>98.512100219726676</v>
      </c>
    </row>
    <row r="1047" spans="1:5" ht="15">
      <c r="A1047" s="3">
        <v>2032</v>
      </c>
      <c r="B1047" s="4">
        <f>AVERAGE(B202:B213)</f>
        <v>17.738708333333332</v>
      </c>
      <c r="C1047" s="4">
        <f>AVERAGE(C202:C213)</f>
        <v>17.426208333333332</v>
      </c>
      <c r="D1047" s="4">
        <f>AVERAGE(D202:D213)</f>
        <v>22.869291666666665</v>
      </c>
      <c r="E1047" s="4">
        <f>AVERAGE(E202:E213)</f>
        <v>100.41243743896473</v>
      </c>
    </row>
    <row r="1048" spans="1:5" ht="15">
      <c r="A1048" s="3">
        <v>2033</v>
      </c>
      <c r="B1048" s="4">
        <f>AVERAGE(B214:B225)</f>
        <v>18.115533333333332</v>
      </c>
      <c r="C1048" s="4">
        <f>AVERAGE(C214:C225)</f>
        <v>17.803033333333332</v>
      </c>
      <c r="D1048" s="4">
        <f>AVERAGE(D214:D225)</f>
        <v>23.093708333333336</v>
      </c>
      <c r="E1048" s="4">
        <f>AVERAGE(E214:E225)</f>
        <v>102.34961700439452</v>
      </c>
    </row>
    <row r="1049" spans="1:5" ht="15">
      <c r="A1049" s="3">
        <v>2034</v>
      </c>
      <c r="B1049" s="4">
        <f>AVERAGE(B226:B237)</f>
        <v>18.496791666666667</v>
      </c>
      <c r="C1049" s="4">
        <f>AVERAGE(C226:C237)</f>
        <v>18.184291666666667</v>
      </c>
      <c r="D1049" s="4">
        <f>AVERAGE(D226:D237)</f>
        <v>23.322974999999996</v>
      </c>
      <c r="E1049" s="4">
        <f>AVERAGE(E226:E237)</f>
        <v>104.32367706298832</v>
      </c>
    </row>
    <row r="1050" spans="1:5" ht="15">
      <c r="A1050" s="3">
        <v>2035</v>
      </c>
      <c r="B1050" s="4">
        <f>AVERAGE(B238:B249)</f>
        <v>18.883800000000004</v>
      </c>
      <c r="C1050" s="4">
        <f>AVERAGE(C238:C249)</f>
        <v>18.571300000000004</v>
      </c>
      <c r="D1050" s="4">
        <f>AVERAGE(D238:D249)</f>
        <v>23.586008333333329</v>
      </c>
      <c r="E1050" s="4">
        <f>AVERAGE(E238:E249)</f>
        <v>106.33606719970714</v>
      </c>
    </row>
    <row r="1051" spans="1:5" ht="15">
      <c r="A1051" s="3">
        <v>2036</v>
      </c>
      <c r="B1051" s="4">
        <f>AVERAGE(B250:B261)</f>
        <v>19.259708333333332</v>
      </c>
      <c r="C1051" s="4">
        <f>AVERAGE(C250:C261)</f>
        <v>18.947208333333332</v>
      </c>
      <c r="D1051" s="4">
        <f>AVERAGE(D250:D261)</f>
        <v>24.088616666666667</v>
      </c>
      <c r="E1051" s="4">
        <f>AVERAGE(E250:E261)</f>
        <v>109.40917954177844</v>
      </c>
    </row>
    <row r="1052" spans="1:5" ht="15">
      <c r="A1052" s="3">
        <v>2037</v>
      </c>
      <c r="B1052" s="4">
        <f>AVERAGE(B262:B273)</f>
        <v>19.643891666666665</v>
      </c>
      <c r="C1052" s="4">
        <f>AVERAGE(C262:C273)</f>
        <v>19.331391666666665</v>
      </c>
      <c r="D1052" s="4">
        <f>AVERAGE(D262:D273)</f>
        <v>24.602591666666669</v>
      </c>
      <c r="E1052" s="4">
        <f>AVERAGE(E262:E273)</f>
        <v>112.57110483053593</v>
      </c>
    </row>
    <row r="1053" spans="1:5" ht="15">
      <c r="A1053" s="3">
        <f t="shared" ref="A1053:A1084" si="0">A1052+1</f>
        <v>2038</v>
      </c>
      <c r="B1053" s="4">
        <f>AVERAGE(B274:B285)</f>
        <v>20.036583333333336</v>
      </c>
      <c r="C1053" s="4">
        <f>AVERAGE(C274:C285)</f>
        <v>19.724083333333336</v>
      </c>
      <c r="D1053" s="4">
        <f>AVERAGE(D274:D285)</f>
        <v>25.128174999999999</v>
      </c>
      <c r="E1053" s="4">
        <f>AVERAGE(E274:E285)</f>
        <v>115.82440976013844</v>
      </c>
    </row>
    <row r="1054" spans="1:5" ht="15">
      <c r="A1054" s="3">
        <f t="shared" si="0"/>
        <v>2039</v>
      </c>
      <c r="B1054" s="4">
        <f>AVERAGE(B286:B297)</f>
        <v>20.437966666666668</v>
      </c>
      <c r="C1054" s="4">
        <f>AVERAGE(C286:C297)</f>
        <v>20.125466666666668</v>
      </c>
      <c r="D1054" s="4">
        <f>AVERAGE(D286:D297)</f>
        <v>25.665625000000002</v>
      </c>
      <c r="E1054" s="4">
        <f>AVERAGE(E286:E297)</f>
        <v>119.17173520220649</v>
      </c>
    </row>
    <row r="1055" spans="1:5" ht="15">
      <c r="A1055" s="3">
        <f t="shared" si="0"/>
        <v>2040</v>
      </c>
      <c r="B1055" s="4">
        <f>AVERAGE(B298:B309)</f>
        <v>20.848191666666668</v>
      </c>
      <c r="C1055" s="4">
        <f>AVERAGE(C298:C309)</f>
        <v>20.535691666666668</v>
      </c>
      <c r="D1055" s="4">
        <f>AVERAGE(D298:D309)</f>
        <v>26.215249999999997</v>
      </c>
      <c r="E1055" s="4">
        <f>AVERAGE(E298:E309)</f>
        <v>122.61579834955008</v>
      </c>
    </row>
    <row r="1056" spans="1:5" ht="15">
      <c r="A1056" s="3">
        <f t="shared" si="0"/>
        <v>2041</v>
      </c>
      <c r="B1056" s="4">
        <f>AVERAGE(B310:B321)</f>
        <v>21.267508333333335</v>
      </c>
      <c r="C1056" s="4">
        <f>AVERAGE(C310:C321)</f>
        <v>20.955008333333335</v>
      </c>
      <c r="D1056" s="4">
        <f>AVERAGE(D310:D321)</f>
        <v>26.777283333333333</v>
      </c>
      <c r="E1056" s="4">
        <f>AVERAGE(E310:E321)</f>
        <v>126.15939492185218</v>
      </c>
    </row>
    <row r="1057" spans="1:5" ht="15">
      <c r="A1057" s="3">
        <f t="shared" si="0"/>
        <v>2042</v>
      </c>
      <c r="B1057" s="4">
        <f>AVERAGE(B322:B333)</f>
        <v>21.696074999999997</v>
      </c>
      <c r="C1057" s="4">
        <f>AVERAGE(C322:C333)</f>
        <v>21.383574999999997</v>
      </c>
      <c r="D1057" s="4">
        <f>AVERAGE(D322:D333)</f>
        <v>27.352016666666668</v>
      </c>
      <c r="E1057" s="4">
        <f>AVERAGE(E322:E333)</f>
        <v>129.80540143509367</v>
      </c>
    </row>
    <row r="1058" spans="1:5" ht="15">
      <c r="A1058" s="3">
        <f t="shared" si="0"/>
        <v>2043</v>
      </c>
      <c r="B1058" s="4">
        <f>AVERAGE(B334:B345)</f>
        <v>22.134133333333335</v>
      </c>
      <c r="C1058" s="4">
        <f>AVERAGE(C334:C345)</f>
        <v>21.821633333333335</v>
      </c>
      <c r="D1058" s="4">
        <f>AVERAGE(D334:D345)</f>
        <v>27.939741666666666</v>
      </c>
      <c r="E1058" s="4">
        <f>AVERAGE(E334:E345)</f>
        <v>133.55677753656792</v>
      </c>
    </row>
    <row r="1059" spans="1:5" ht="15">
      <c r="A1059" s="3">
        <f t="shared" si="0"/>
        <v>2044</v>
      </c>
      <c r="B1059" s="4">
        <f>AVERAGE(B346:B357)</f>
        <v>22.581858333333333</v>
      </c>
      <c r="C1059" s="4">
        <f>AVERAGE(C346:C357)</f>
        <v>22.269358333333333</v>
      </c>
      <c r="D1059" s="4">
        <f>AVERAGE(D346:D357)</f>
        <v>28.540733333333336</v>
      </c>
      <c r="E1059" s="4">
        <f>AVERAGE(E346:E357)</f>
        <v>137.41656840737457</v>
      </c>
    </row>
    <row r="1060" spans="1:5" ht="15">
      <c r="A1060" s="3">
        <f t="shared" si="0"/>
        <v>2045</v>
      </c>
      <c r="B1060" s="4">
        <f>AVERAGE(B358:B369)</f>
        <v>23.039475000000007</v>
      </c>
      <c r="C1060" s="4">
        <f>AVERAGE(C358:C369)</f>
        <v>22.726975000000007</v>
      </c>
      <c r="D1060" s="4">
        <f>AVERAGE(D358:D369)</f>
        <v>29.155325000000005</v>
      </c>
      <c r="E1060" s="4">
        <f>AVERAGE(E358:E369)</f>
        <v>141.38790723434781</v>
      </c>
    </row>
    <row r="1061" spans="1:5" ht="15">
      <c r="A1061" s="3">
        <f t="shared" si="0"/>
        <v>2046</v>
      </c>
      <c r="B1061" s="4">
        <f>AVERAGE(B370:B381)</f>
        <v>23.507208333333335</v>
      </c>
      <c r="C1061" s="4">
        <f>AVERAGE(C370:C381)</f>
        <v>23.194708333333335</v>
      </c>
      <c r="D1061" s="4">
        <f>AVERAGE(D370:D381)</f>
        <v>29.783799999999999</v>
      </c>
      <c r="E1061" s="4">
        <f>AVERAGE(E370:E381)</f>
        <v>145.47401775342044</v>
      </c>
    </row>
    <row r="1062" spans="1:5" ht="15">
      <c r="A1062" s="3">
        <f t="shared" si="0"/>
        <v>2047</v>
      </c>
      <c r="B1062" s="4">
        <f>AVERAGE(B382:B393)</f>
        <v>23.985274999999998</v>
      </c>
      <c r="C1062" s="4">
        <f>AVERAGE(C382:C393)</f>
        <v>23.672774999999998</v>
      </c>
      <c r="D1062" s="4">
        <f>AVERAGE(D382:D393)</f>
        <v>30.426483333333337</v>
      </c>
      <c r="E1062" s="4">
        <f>AVERAGE(E382:E393)</f>
        <v>149.67821686649435</v>
      </c>
    </row>
    <row r="1063" spans="1:5" ht="15">
      <c r="A1063" s="3">
        <f t="shared" si="0"/>
        <v>2048</v>
      </c>
      <c r="B1063" s="4">
        <f>AVERAGE(B394:B405)</f>
        <v>24.473916666666668</v>
      </c>
      <c r="C1063" s="4">
        <f>AVERAGE(C394:C405)</f>
        <v>24.161416666666668</v>
      </c>
      <c r="D1063" s="4">
        <f>AVERAGE(D394:D405)</f>
        <v>31.083674999999999</v>
      </c>
      <c r="E1063" s="4">
        <f>AVERAGE(E394:E405)</f>
        <v>154.00391733393585</v>
      </c>
    </row>
    <row r="1064" spans="1:5" ht="15">
      <c r="A1064" s="3">
        <f t="shared" si="0"/>
        <v>2049</v>
      </c>
      <c r="B1064" s="4">
        <f>AVERAGE(B406:B417)</f>
        <v>24.973349999999996</v>
      </c>
      <c r="C1064" s="4">
        <f>AVERAGE(C406:C417)</f>
        <v>24.660849999999996</v>
      </c>
      <c r="D1064" s="4">
        <f>AVERAGE(D406:D417)</f>
        <v>31.755750000000003</v>
      </c>
      <c r="E1064" s="4">
        <f>AVERAGE(E406:E417)</f>
        <v>158.45463054488684</v>
      </c>
    </row>
    <row r="1065" spans="1:5" ht="15">
      <c r="A1065" s="3">
        <f t="shared" si="0"/>
        <v>2050</v>
      </c>
      <c r="B1065" s="4">
        <f>AVERAGE(B418:B429)</f>
        <v>25.483825</v>
      </c>
      <c r="C1065" s="4">
        <f>AVERAGE(C418:C429)</f>
        <v>25.171324999999996</v>
      </c>
      <c r="D1065" s="4">
        <f>AVERAGE(D418:D429)</f>
        <v>32.442983333333331</v>
      </c>
      <c r="E1065" s="4">
        <f>AVERAGE(E418:E429)</f>
        <v>163.033969367634</v>
      </c>
    </row>
    <row r="1066" spans="1:5" ht="15">
      <c r="A1066" s="3">
        <f t="shared" si="0"/>
        <v>2051</v>
      </c>
      <c r="B1066" s="4">
        <f>AVERAGE(B430:B441)</f>
        <v>26.005600000000001</v>
      </c>
      <c r="C1066" s="4">
        <f>AVERAGE(C430:C441)</f>
        <v>25.693100000000001</v>
      </c>
      <c r="D1066" s="4">
        <f>AVERAGE(D430:D441)</f>
        <v>33.14575833333334</v>
      </c>
      <c r="E1066" s="4">
        <f>AVERAGE(E430:E441)</f>
        <v>167.74565108235842</v>
      </c>
    </row>
    <row r="1067" spans="1:5" ht="15">
      <c r="A1067" s="3">
        <f t="shared" si="0"/>
        <v>2052</v>
      </c>
      <c r="B1067" s="4">
        <f>AVERAGE(B442:B453)</f>
        <v>26.538875000000001</v>
      </c>
      <c r="C1067" s="4">
        <f>AVERAGE(C442:C453)</f>
        <v>26.226375000000001</v>
      </c>
      <c r="D1067" s="4">
        <f>AVERAGE(D442:D453)</f>
        <v>33.864433333333331</v>
      </c>
      <c r="E1067" s="4">
        <f>AVERAGE(E442:E453)</f>
        <v>172.59350039863864</v>
      </c>
    </row>
    <row r="1068" spans="1:5" ht="15">
      <c r="A1068" s="3">
        <f t="shared" si="0"/>
        <v>2053</v>
      </c>
      <c r="B1068" s="4">
        <f>AVERAGE(B454:B465)</f>
        <v>27.083941666666664</v>
      </c>
      <c r="C1068" s="4">
        <f>AVERAGE(C454:C465)</f>
        <v>26.771441666666664</v>
      </c>
      <c r="D1068" s="4">
        <f>AVERAGE(D454:D465)</f>
        <v>34.599341666666668</v>
      </c>
      <c r="E1068" s="4">
        <f>AVERAGE(E454:E465)</f>
        <v>177.58145256015936</v>
      </c>
    </row>
    <row r="1069" spans="1:5" ht="15">
      <c r="A1069" s="3">
        <f t="shared" si="0"/>
        <v>2054</v>
      </c>
      <c r="B1069" s="4">
        <f>AVERAGE(B466:B477)</f>
        <v>27.641058333333334</v>
      </c>
      <c r="C1069" s="4">
        <f>AVERAGE(C466:C477)</f>
        <v>27.328558333333334</v>
      </c>
      <c r="D1069" s="4">
        <f>AVERAGE(D466:D477)</f>
        <v>35.350850000000001</v>
      </c>
      <c r="E1069" s="4">
        <f>AVERAGE(E466:E477)</f>
        <v>182.71355653914793</v>
      </c>
    </row>
    <row r="1070" spans="1:5" ht="15">
      <c r="A1070" s="3">
        <f t="shared" si="0"/>
        <v>2055</v>
      </c>
      <c r="B1070" s="4">
        <f>AVERAGE(B478:B489)</f>
        <v>28.210483333333332</v>
      </c>
      <c r="C1070" s="4">
        <f>AVERAGE(C478:C489)</f>
        <v>27.897983333333332</v>
      </c>
      <c r="D1070" s="4">
        <f>AVERAGE(D478:D489)</f>
        <v>36.119358333333338</v>
      </c>
      <c r="E1070" s="4">
        <f>AVERAGE(E478:E489)</f>
        <v>187.99397832312914</v>
      </c>
    </row>
    <row r="1071" spans="1:5" ht="15">
      <c r="A1071" s="3">
        <f t="shared" si="0"/>
        <v>2056</v>
      </c>
      <c r="B1071" s="4">
        <f>AVERAGE(B490:B501)</f>
        <v>28.792483333333333</v>
      </c>
      <c r="C1071" s="4">
        <f>AVERAGE(C490:C501)</f>
        <v>28.479983333333333</v>
      </c>
      <c r="D1071" s="4">
        <f>AVERAGE(D490:D501)</f>
        <v>36.905191666666667</v>
      </c>
      <c r="E1071" s="4">
        <f>AVERAGE(E490:E501)</f>
        <v>193.42700429666766</v>
      </c>
    </row>
    <row r="1072" spans="1:5" ht="15">
      <c r="A1072" s="3">
        <f t="shared" si="0"/>
        <v>2057</v>
      </c>
      <c r="B1072" s="4">
        <f>AVERAGE(B502:B513)</f>
        <v>29.387375000000002</v>
      </c>
      <c r="C1072" s="4">
        <f>AVERAGE(C502:C513)</f>
        <v>29.074875000000002</v>
      </c>
      <c r="D1072" s="4">
        <f>AVERAGE(D502:D513)</f>
        <v>37.708833333333338</v>
      </c>
      <c r="E1072" s="4">
        <f>AVERAGE(E502:E513)</f>
        <v>199.0170447208412</v>
      </c>
    </row>
    <row r="1073" spans="1:5" ht="15">
      <c r="A1073" s="3">
        <f t="shared" si="0"/>
        <v>2058</v>
      </c>
      <c r="B1073" s="4">
        <f>AVERAGE(B514:B525)</f>
        <v>29.995400000000004</v>
      </c>
      <c r="C1073" s="4">
        <f>AVERAGE(C514:C525)</f>
        <v>29.682900000000004</v>
      </c>
      <c r="D1073" s="4">
        <f>AVERAGE(D514:D525)</f>
        <v>38.530608333333333</v>
      </c>
      <c r="E1073" s="4">
        <f>AVERAGE(E514:E525)</f>
        <v>204.76863731327367</v>
      </c>
    </row>
    <row r="1074" spans="1:5" ht="15">
      <c r="A1074" s="3">
        <f t="shared" si="0"/>
        <v>2059</v>
      </c>
      <c r="B1074" s="4">
        <f>AVERAGE(B526:B537)</f>
        <v>30.616858333333337</v>
      </c>
      <c r="C1074" s="4">
        <f>AVERAGE(C526:C537)</f>
        <v>30.304358333333337</v>
      </c>
      <c r="D1074" s="4">
        <f>AVERAGE(D526:D537)</f>
        <v>39.370983333333328</v>
      </c>
      <c r="E1074" s="4">
        <f>AVERAGE(E526:E537)</f>
        <v>210.68645093162721</v>
      </c>
    </row>
    <row r="1075" spans="1:5" ht="15">
      <c r="A1075" s="3">
        <f t="shared" si="0"/>
        <v>2060</v>
      </c>
      <c r="B1075" s="4">
        <f>AVERAGE(B538:B549)</f>
        <v>31.252058333333334</v>
      </c>
      <c r="C1075" s="4">
        <f>AVERAGE(C538:C549)</f>
        <v>30.939558333333334</v>
      </c>
      <c r="D1075" s="4">
        <f>AVERAGE(D538:D549)</f>
        <v>40.230325000000001</v>
      </c>
      <c r="E1075" s="4">
        <f>AVERAGE(E538:E549)</f>
        <v>216.77528936355122</v>
      </c>
    </row>
    <row r="1076" spans="1:5" ht="15">
      <c r="A1076" s="3">
        <f t="shared" si="0"/>
        <v>2061</v>
      </c>
      <c r="B1076" s="4">
        <f>AVERAGE(B550:B561)</f>
        <v>31.901283333333335</v>
      </c>
      <c r="C1076" s="4">
        <f>AVERAGE(C550:C561)</f>
        <v>31.588783333333335</v>
      </c>
      <c r="D1076" s="4">
        <f>AVERAGE(D550:D561)</f>
        <v>41.109099999999991</v>
      </c>
      <c r="E1076" s="4">
        <f>AVERAGE(E550:E561)</f>
        <v>223.04009522615789</v>
      </c>
    </row>
    <row r="1077" spans="1:5" ht="15">
      <c r="A1077" s="3">
        <f t="shared" si="0"/>
        <v>2062</v>
      </c>
      <c r="B1077" s="4">
        <f t="shared" ref="B1077:E1096" ca="1" si="1">AVERAGE(OFFSET(B$562,($A1077-$A$1077)*12,0,12,1))</f>
        <v>32.564875000000001</v>
      </c>
      <c r="C1077" s="4">
        <f t="shared" ca="1" si="1"/>
        <v>32.252375000000001</v>
      </c>
      <c r="D1077" s="4">
        <f t="shared" ca="1" si="1"/>
        <v>42.007741666666668</v>
      </c>
      <c r="E1077" s="4">
        <f t="shared" ca="1" si="1"/>
        <v>229.48595397819369</v>
      </c>
    </row>
    <row r="1078" spans="1:5" ht="15">
      <c r="A1078" s="3">
        <f t="shared" si="0"/>
        <v>2063</v>
      </c>
      <c r="B1078" s="4">
        <f t="shared" ca="1" si="1"/>
        <v>33.243116666666666</v>
      </c>
      <c r="C1078" s="4">
        <f t="shared" ca="1" si="1"/>
        <v>32.930616666666666</v>
      </c>
      <c r="D1078" s="4">
        <f t="shared" ca="1" si="1"/>
        <v>42.926666666666669</v>
      </c>
      <c r="E1078" s="4">
        <f t="shared" ca="1" si="1"/>
        <v>236.11809804816366</v>
      </c>
    </row>
    <row r="1079" spans="1:5" ht="15">
      <c r="A1079" s="3">
        <f t="shared" si="0"/>
        <v>2064</v>
      </c>
      <c r="B1079" s="4">
        <f t="shared" ca="1" si="1"/>
        <v>33.936358333333338</v>
      </c>
      <c r="C1079" s="4">
        <f t="shared" ca="1" si="1"/>
        <v>33.623858333333338</v>
      </c>
      <c r="D1079" s="4">
        <f t="shared" ca="1" si="1"/>
        <v>43.866375000000005</v>
      </c>
      <c r="E1079" s="4">
        <f t="shared" ca="1" si="1"/>
        <v>242.94191108175571</v>
      </c>
    </row>
    <row r="1080" spans="1:5" ht="15">
      <c r="A1080" s="3">
        <f t="shared" si="0"/>
        <v>2065</v>
      </c>
      <c r="B1080" s="4">
        <f t="shared" ca="1" si="1"/>
        <v>34.64491666666666</v>
      </c>
      <c r="C1080" s="4">
        <f t="shared" ca="1" si="1"/>
        <v>34.33241666666666</v>
      </c>
      <c r="D1080" s="4">
        <f t="shared" ca="1" si="1"/>
        <v>44.827333333333343</v>
      </c>
      <c r="E1080" s="4">
        <f t="shared" ca="1" si="1"/>
        <v>249.96293231201824</v>
      </c>
    </row>
    <row r="1081" spans="1:5" ht="15">
      <c r="A1081" s="3">
        <f t="shared" si="0"/>
        <v>2066</v>
      </c>
      <c r="B1081" s="4">
        <f t="shared" ca="1" si="1"/>
        <v>35.369125000000004</v>
      </c>
      <c r="C1081" s="4">
        <f t="shared" ca="1" si="1"/>
        <v>35.056625000000004</v>
      </c>
      <c r="D1081" s="4">
        <f t="shared" ca="1" si="1"/>
        <v>45.809975000000001</v>
      </c>
      <c r="E1081" s="4">
        <f t="shared" ca="1" si="1"/>
        <v>257.18686105583566</v>
      </c>
    </row>
    <row r="1082" spans="1:5" ht="15">
      <c r="A1082" s="3">
        <f t="shared" si="0"/>
        <v>2067</v>
      </c>
      <c r="B1082" s="4">
        <f t="shared" ca="1" si="1"/>
        <v>36.109341666666666</v>
      </c>
      <c r="C1082" s="4">
        <f t="shared" ca="1" si="1"/>
        <v>35.796841666666666</v>
      </c>
      <c r="D1082" s="4">
        <f t="shared" ca="1" si="1"/>
        <v>46.814858333333326</v>
      </c>
      <c r="E1082" s="4">
        <f t="shared" ca="1" si="1"/>
        <v>264.61956134034921</v>
      </c>
    </row>
    <row r="1083" spans="1:5" ht="15">
      <c r="A1083" s="3">
        <f t="shared" si="0"/>
        <v>2068</v>
      </c>
      <c r="B1083" s="4">
        <f t="shared" ca="1" si="1"/>
        <v>36.865924999999997</v>
      </c>
      <c r="C1083" s="4">
        <f t="shared" ca="1" si="1"/>
        <v>36.553424999999997</v>
      </c>
      <c r="D1083" s="4">
        <f t="shared" ca="1" si="1"/>
        <v>47.842424999999999</v>
      </c>
      <c r="E1083" s="4">
        <f t="shared" ca="1" si="1"/>
        <v>272.26706666308513</v>
      </c>
    </row>
    <row r="1084" spans="1:5" ht="15">
      <c r="A1084" s="3">
        <f t="shared" si="0"/>
        <v>2069</v>
      </c>
      <c r="B1084" s="4">
        <f t="shared" ca="1" si="1"/>
        <v>37.639233333333337</v>
      </c>
      <c r="C1084" s="4">
        <f t="shared" ca="1" si="1"/>
        <v>37.326733333333337</v>
      </c>
      <c r="D1084" s="4">
        <f t="shared" ca="1" si="1"/>
        <v>48.893241666666654</v>
      </c>
      <c r="E1084" s="4">
        <f t="shared" ca="1" si="1"/>
        <v>280.13558488964833</v>
      </c>
    </row>
    <row r="1085" spans="1:5" ht="15">
      <c r="A1085" s="3">
        <f t="shared" ref="A1085:A1115" si="2">A1084+1</f>
        <v>2070</v>
      </c>
      <c r="B1085" s="4">
        <f t="shared" ca="1" si="1"/>
        <v>38.429625000000001</v>
      </c>
      <c r="C1085" s="4">
        <f t="shared" ca="1" si="1"/>
        <v>38.117125000000001</v>
      </c>
      <c r="D1085" s="4">
        <f t="shared" ca="1" si="1"/>
        <v>49.96778333333333</v>
      </c>
      <c r="E1085" s="4">
        <f t="shared" ca="1" si="1"/>
        <v>288.23150329295925</v>
      </c>
    </row>
    <row r="1086" spans="1:5" ht="15">
      <c r="A1086" s="3">
        <f t="shared" si="2"/>
        <v>2071</v>
      </c>
      <c r="B1086" s="4">
        <f t="shared" ca="1" si="1"/>
        <v>39.237449999999995</v>
      </c>
      <c r="C1086" s="4">
        <f t="shared" ca="1" si="1"/>
        <v>38.924949999999995</v>
      </c>
      <c r="D1086" s="4">
        <f t="shared" ca="1" si="1"/>
        <v>51.066641666666669</v>
      </c>
      <c r="E1086" s="4">
        <f t="shared" ca="1" si="1"/>
        <v>296.56139373812567</v>
      </c>
    </row>
    <row r="1087" spans="1:5" ht="15">
      <c r="A1087" s="3">
        <f t="shared" si="2"/>
        <v>2072</v>
      </c>
      <c r="B1087" s="4">
        <f t="shared" ca="1" si="1"/>
        <v>40.063183333333335</v>
      </c>
      <c r="C1087" s="4">
        <f t="shared" ca="1" si="1"/>
        <v>39.750683333333335</v>
      </c>
      <c r="D1087" s="4">
        <f t="shared" ca="1" si="1"/>
        <v>52.190308333333327</v>
      </c>
      <c r="E1087" s="4">
        <f t="shared" ca="1" si="1"/>
        <v>305.13201801715763</v>
      </c>
    </row>
    <row r="1088" spans="1:5" ht="15">
      <c r="A1088" s="3">
        <f t="shared" si="2"/>
        <v>2073</v>
      </c>
      <c r="B1088" s="4">
        <f t="shared" ca="1" si="1"/>
        <v>40.907125000000001</v>
      </c>
      <c r="C1088" s="4">
        <f t="shared" ca="1" si="1"/>
        <v>40.594625000000001</v>
      </c>
      <c r="D1088" s="4">
        <f t="shared" ca="1" si="1"/>
        <v>53.339391666666671</v>
      </c>
      <c r="E1088" s="4">
        <f t="shared" ca="1" si="1"/>
        <v>313.95033333785329</v>
      </c>
    </row>
    <row r="1089" spans="1:5" ht="15">
      <c r="A1089" s="3">
        <f t="shared" si="2"/>
        <v>2074</v>
      </c>
      <c r="B1089" s="4">
        <f t="shared" ca="1" si="1"/>
        <v>41.769741666666668</v>
      </c>
      <c r="C1089" s="4">
        <f t="shared" ca="1" si="1"/>
        <v>41.457241666666668</v>
      </c>
      <c r="D1089" s="4">
        <f t="shared" ca="1" si="1"/>
        <v>54.514408333333336</v>
      </c>
      <c r="E1089" s="4">
        <f t="shared" ca="1" si="1"/>
        <v>323.02349797131717</v>
      </c>
    </row>
    <row r="1090" spans="1:5" ht="15">
      <c r="A1090" s="3">
        <f t="shared" si="2"/>
        <v>2075</v>
      </c>
      <c r="B1090" s="4">
        <f t="shared" ca="1" si="1"/>
        <v>42.651416666666663</v>
      </c>
      <c r="C1090" s="4">
        <f t="shared" ca="1" si="1"/>
        <v>42.338916666666663</v>
      </c>
      <c r="D1090" s="4">
        <f t="shared" ca="1" si="1"/>
        <v>55.715991666666675</v>
      </c>
      <c r="E1090" s="4">
        <f t="shared" ca="1" si="1"/>
        <v>332.35887706268846</v>
      </c>
    </row>
    <row r="1091" spans="1:5" ht="15">
      <c r="A1091" s="3">
        <f t="shared" si="2"/>
        <v>2076</v>
      </c>
      <c r="B1091" s="4">
        <f t="shared" ca="1" si="1"/>
        <v>43.552599999999991</v>
      </c>
      <c r="C1091" s="4">
        <f t="shared" ca="1" si="1"/>
        <v>43.240099999999991</v>
      </c>
      <c r="D1091" s="4">
        <f t="shared" ca="1" si="1"/>
        <v>56.944749999999999</v>
      </c>
      <c r="E1091" s="4">
        <f t="shared" ca="1" si="1"/>
        <v>341.96404860980005</v>
      </c>
    </row>
    <row r="1092" spans="1:5" ht="15">
      <c r="A1092" s="3">
        <f t="shared" si="2"/>
        <v>2077</v>
      </c>
      <c r="B1092" s="4">
        <f t="shared" ca="1" si="1"/>
        <v>44.473658333333333</v>
      </c>
      <c r="C1092" s="4">
        <f t="shared" ca="1" si="1"/>
        <v>44.161158333333333</v>
      </c>
      <c r="D1092" s="4">
        <f t="shared" ca="1" si="1"/>
        <v>58.201266666666676</v>
      </c>
      <c r="E1092" s="4">
        <f t="shared" ca="1" si="1"/>
        <v>351.84680961462323</v>
      </c>
    </row>
    <row r="1093" spans="1:5" ht="15">
      <c r="A1093" s="3">
        <f t="shared" si="2"/>
        <v>2078</v>
      </c>
      <c r="B1093" s="4">
        <f t="shared" ca="1" si="1"/>
        <v>45.415091666666662</v>
      </c>
      <c r="C1093" s="4">
        <f t="shared" ca="1" si="1"/>
        <v>45.102591666666662</v>
      </c>
      <c r="D1093" s="4">
        <f t="shared" ca="1" si="1"/>
        <v>59.486200000000004</v>
      </c>
      <c r="E1093" s="4">
        <f t="shared" ca="1" si="1"/>
        <v>362.01518241248567</v>
      </c>
    </row>
    <row r="1094" spans="1:5" ht="15">
      <c r="A1094" s="3">
        <f t="shared" si="2"/>
        <v>2079</v>
      </c>
      <c r="B1094" s="4">
        <f t="shared" ca="1" si="1"/>
        <v>46.377308333333325</v>
      </c>
      <c r="C1094" s="4">
        <f t="shared" ca="1" si="1"/>
        <v>46.064808333333325</v>
      </c>
      <c r="D1094" s="4">
        <f t="shared" ca="1" si="1"/>
        <v>60.800133333333328</v>
      </c>
      <c r="E1094" s="4">
        <f t="shared" ca="1" si="1"/>
        <v>372.47742118420643</v>
      </c>
    </row>
    <row r="1095" spans="1:5" ht="15">
      <c r="A1095" s="3">
        <f t="shared" si="2"/>
        <v>2080</v>
      </c>
      <c r="B1095" s="4">
        <f t="shared" ca="1" si="1"/>
        <v>47.360808333333345</v>
      </c>
      <c r="C1095" s="4">
        <f t="shared" ca="1" si="1"/>
        <v>47.048308333333345</v>
      </c>
      <c r="D1095" s="4">
        <f t="shared" ca="1" si="1"/>
        <v>62.143774999999998</v>
      </c>
      <c r="E1095" s="4">
        <f t="shared" ca="1" si="1"/>
        <v>383.24201865643028</v>
      </c>
    </row>
    <row r="1096" spans="1:5" ht="15">
      <c r="A1096" s="3">
        <f t="shared" si="2"/>
        <v>2081</v>
      </c>
      <c r="B1096" s="4">
        <f t="shared" ca="1" si="1"/>
        <v>48.366058333333335</v>
      </c>
      <c r="C1096" s="4">
        <f t="shared" ca="1" si="1"/>
        <v>48.053558333333335</v>
      </c>
      <c r="D1096" s="4">
        <f t="shared" ca="1" si="1"/>
        <v>63.517799999999994</v>
      </c>
      <c r="E1096" s="4">
        <f t="shared" ca="1" si="1"/>
        <v>394.31771299560074</v>
      </c>
    </row>
    <row r="1097" spans="1:5" ht="15">
      <c r="A1097" s="3">
        <f t="shared" si="2"/>
        <v>2082</v>
      </c>
      <c r="B1097" s="4">
        <f t="shared" ref="B1097:E1115" ca="1" si="3">AVERAGE(OFFSET(B$562,($A1097-$A$1077)*12,0,12,1))</f>
        <v>49.393499999999996</v>
      </c>
      <c r="C1097" s="4">
        <f t="shared" ca="1" si="3"/>
        <v>49.080999999999996</v>
      </c>
      <c r="D1097" s="4">
        <f t="shared" ca="1" si="3"/>
        <v>64.922858333333338</v>
      </c>
      <c r="E1097" s="4">
        <f t="shared" ca="1" si="3"/>
        <v>405.71349490117399</v>
      </c>
    </row>
    <row r="1098" spans="1:5" ht="15">
      <c r="A1098" s="3">
        <f t="shared" si="2"/>
        <v>2083</v>
      </c>
      <c r="B1098" s="4">
        <f t="shared" ca="1" si="3"/>
        <v>50.443666666666672</v>
      </c>
      <c r="C1098" s="4">
        <f t="shared" ca="1" si="3"/>
        <v>50.131166666666672</v>
      </c>
      <c r="D1098" s="4">
        <f t="shared" ca="1" si="3"/>
        <v>66.359700000000004</v>
      </c>
      <c r="E1098" s="4">
        <f t="shared" ca="1" si="3"/>
        <v>417.43861490381784</v>
      </c>
    </row>
    <row r="1099" spans="1:5" ht="15">
      <c r="A1099" s="3">
        <f t="shared" si="2"/>
        <v>2084</v>
      </c>
      <c r="B1099" s="4">
        <f t="shared" ca="1" si="3"/>
        <v>51.517041666666671</v>
      </c>
      <c r="C1099" s="4">
        <f t="shared" ca="1" si="3"/>
        <v>51.204541666666671</v>
      </c>
      <c r="D1099" s="4">
        <f t="shared" ca="1" si="3"/>
        <v>67.828991666666681</v>
      </c>
      <c r="E1099" s="4">
        <f t="shared" ca="1" si="3"/>
        <v>429.50259087453787</v>
      </c>
    </row>
    <row r="1100" spans="1:5" ht="15">
      <c r="A1100" s="3">
        <f t="shared" si="2"/>
        <v>2085</v>
      </c>
      <c r="B1100" s="4">
        <f t="shared" ca="1" si="3"/>
        <v>52.614133333333335</v>
      </c>
      <c r="C1100" s="4">
        <f t="shared" ca="1" si="3"/>
        <v>52.301633333333335</v>
      </c>
      <c r="D1100" s="4">
        <f t="shared" ca="1" si="3"/>
        <v>69.331466666666671</v>
      </c>
      <c r="E1100" s="4">
        <f t="shared" ca="1" si="3"/>
        <v>441.91521575081202</v>
      </c>
    </row>
    <row r="1101" spans="1:5" ht="15">
      <c r="A1101" s="3">
        <f t="shared" si="2"/>
        <v>2086</v>
      </c>
      <c r="B1101" s="4">
        <f t="shared" ca="1" si="3"/>
        <v>53.73546666666666</v>
      </c>
      <c r="C1101" s="4">
        <f t="shared" ca="1" si="3"/>
        <v>53.42296666666666</v>
      </c>
      <c r="D1101" s="4">
        <f t="shared" ca="1" si="3"/>
        <v>70.867958333333348</v>
      </c>
      <c r="E1101" s="4">
        <f t="shared" ca="1" si="3"/>
        <v>454.68656548601058</v>
      </c>
    </row>
    <row r="1102" spans="1:5" ht="15">
      <c r="A1102" s="3">
        <f t="shared" si="2"/>
        <v>2087</v>
      </c>
      <c r="B1102" s="4">
        <f t="shared" ca="1" si="3"/>
        <v>54.881583333333332</v>
      </c>
      <c r="C1102" s="4">
        <f t="shared" ca="1" si="3"/>
        <v>54.569083333333332</v>
      </c>
      <c r="D1102" s="4">
        <f t="shared" ca="1" si="3"/>
        <v>72.439125000000004</v>
      </c>
      <c r="E1102" s="4">
        <f t="shared" ca="1" si="3"/>
        <v>467.82700722855611</v>
      </c>
    </row>
    <row r="1103" spans="1:5" ht="15">
      <c r="A1103" s="3">
        <f t="shared" si="2"/>
        <v>2088</v>
      </c>
      <c r="B1103" s="4">
        <f t="shared" ca="1" si="3"/>
        <v>56.053033333333339</v>
      </c>
      <c r="C1103" s="4">
        <f t="shared" ca="1" si="3"/>
        <v>55.740533333333339</v>
      </c>
      <c r="D1103" s="4">
        <f t="shared" ca="1" si="3"/>
        <v>74.045816666666667</v>
      </c>
      <c r="E1103" s="4">
        <f t="shared" ca="1" si="3"/>
        <v>481.34720773746153</v>
      </c>
    </row>
    <row r="1104" spans="1:5" ht="15">
      <c r="A1104" s="3">
        <f t="shared" si="2"/>
        <v>2089</v>
      </c>
      <c r="B1104" s="4">
        <f t="shared" ca="1" si="3"/>
        <v>57.250366666666672</v>
      </c>
      <c r="C1104" s="4">
        <f t="shared" ca="1" si="3"/>
        <v>56.937866666666672</v>
      </c>
      <c r="D1104" s="4">
        <f t="shared" ca="1" si="3"/>
        <v>75.688816666666682</v>
      </c>
      <c r="E1104" s="4">
        <f t="shared" ca="1" si="3"/>
        <v>495.25814204107405</v>
      </c>
    </row>
    <row r="1105" spans="1:5" ht="15">
      <c r="A1105" s="3">
        <f t="shared" si="2"/>
        <v>2090</v>
      </c>
      <c r="B1105" s="4">
        <f t="shared" ca="1" si="3"/>
        <v>58.474141666666675</v>
      </c>
      <c r="C1105" s="4">
        <f t="shared" ca="1" si="3"/>
        <v>58.161641666666675</v>
      </c>
      <c r="D1105" s="4">
        <f t="shared" ca="1" si="3"/>
        <v>77.368949999999998</v>
      </c>
      <c r="E1105" s="4">
        <f t="shared" ca="1" si="3"/>
        <v>509.57110234606102</v>
      </c>
    </row>
    <row r="1106" spans="1:5" ht="15">
      <c r="A1106" s="3">
        <f t="shared" si="2"/>
        <v>2091</v>
      </c>
      <c r="B1106" s="4">
        <f t="shared" ca="1" si="3"/>
        <v>59.725000000000001</v>
      </c>
      <c r="C1106" s="4">
        <f t="shared" ca="1" si="3"/>
        <v>59.412500000000001</v>
      </c>
      <c r="D1106" s="4">
        <f t="shared" ca="1" si="3"/>
        <v>79.087066666666658</v>
      </c>
      <c r="E1106" s="4">
        <f t="shared" ca="1" si="3"/>
        <v>524.29770720386216</v>
      </c>
    </row>
    <row r="1107" spans="1:5" ht="15">
      <c r="A1107" s="3">
        <f t="shared" si="2"/>
        <v>2092</v>
      </c>
      <c r="B1107" s="4">
        <f t="shared" ca="1" si="3"/>
        <v>61.003483333333328</v>
      </c>
      <c r="C1107" s="4">
        <f t="shared" ca="1" si="3"/>
        <v>60.690983333333328</v>
      </c>
      <c r="D1107" s="4">
        <f t="shared" ca="1" si="3"/>
        <v>80.843983333333355</v>
      </c>
      <c r="E1107" s="4">
        <f t="shared" ca="1" si="3"/>
        <v>539.44991094205363</v>
      </c>
    </row>
    <row r="1108" spans="1:5" ht="15">
      <c r="A1108" s="3">
        <f t="shared" si="2"/>
        <v>2093</v>
      </c>
      <c r="B1108" s="4">
        <f t="shared" ca="1" si="3"/>
        <v>62.310224999999996</v>
      </c>
      <c r="C1108" s="4">
        <f t="shared" ca="1" si="3"/>
        <v>61.997725000000003</v>
      </c>
      <c r="D1108" s="4">
        <f t="shared" ca="1" si="3"/>
        <v>82.640633333333312</v>
      </c>
      <c r="E1108" s="4">
        <f t="shared" ca="1" si="3"/>
        <v>555.04001336827912</v>
      </c>
    </row>
    <row r="1109" spans="1:5" ht="15">
      <c r="A1109" s="3">
        <f t="shared" si="2"/>
        <v>2094</v>
      </c>
      <c r="B1109" s="4">
        <f t="shared" ca="1" si="3"/>
        <v>63.645833333333336</v>
      </c>
      <c r="C1109" s="4">
        <f t="shared" ca="1" si="3"/>
        <v>63.333333333333336</v>
      </c>
      <c r="D1109" s="4">
        <f t="shared" ca="1" si="3"/>
        <v>84.477866666666657</v>
      </c>
      <c r="E1109" s="4">
        <f t="shared" ca="1" si="3"/>
        <v>571.08066975462236</v>
      </c>
    </row>
    <row r="1110" spans="1:5" ht="15">
      <c r="A1110" s="3">
        <f t="shared" si="2"/>
        <v>2095</v>
      </c>
      <c r="B1110" s="4">
        <f t="shared" ca="1" si="3"/>
        <v>65.010983333333328</v>
      </c>
      <c r="C1110" s="4">
        <f t="shared" ca="1" si="3"/>
        <v>64.698483333333328</v>
      </c>
      <c r="D1110" s="4">
        <f t="shared" ca="1" si="3"/>
        <v>86.35663333333332</v>
      </c>
      <c r="E1110" s="4">
        <f t="shared" ca="1" si="3"/>
        <v>587.58490111053095</v>
      </c>
    </row>
    <row r="1111" spans="1:5" ht="15">
      <c r="A1111" s="3">
        <f t="shared" si="2"/>
        <v>2096</v>
      </c>
      <c r="B1111" s="4">
        <f t="shared" ca="1" si="3"/>
        <v>66.40628333333332</v>
      </c>
      <c r="C1111" s="4">
        <f t="shared" ca="1" si="3"/>
        <v>66.09378333333332</v>
      </c>
      <c r="D1111" s="4">
        <f t="shared" ca="1" si="3"/>
        <v>88.277858333333327</v>
      </c>
      <c r="E1111" s="4">
        <f t="shared" ca="1" si="3"/>
        <v>604.56610475262517</v>
      </c>
    </row>
    <row r="1112" spans="1:5" ht="15">
      <c r="A1112" s="3">
        <f t="shared" si="2"/>
        <v>2097</v>
      </c>
      <c r="B1112" s="4">
        <f t="shared" ca="1" si="3"/>
        <v>67.832416666666674</v>
      </c>
      <c r="C1112" s="4">
        <f t="shared" ca="1" si="3"/>
        <v>67.519916666666674</v>
      </c>
      <c r="D1112" s="4">
        <f t="shared" ca="1" si="3"/>
        <v>90.242516666666674</v>
      </c>
      <c r="E1112" s="4">
        <f t="shared" ca="1" si="3"/>
        <v>622.03806517997589</v>
      </c>
    </row>
    <row r="1113" spans="1:5" ht="15">
      <c r="A1113" s="3">
        <f t="shared" si="2"/>
        <v>2098</v>
      </c>
      <c r="B1113" s="4">
        <f t="shared" ca="1" si="3"/>
        <v>69.290083333333328</v>
      </c>
      <c r="C1113" s="4">
        <f t="shared" ca="1" si="3"/>
        <v>68.977583333333328</v>
      </c>
      <c r="D1113" s="4">
        <f t="shared" ca="1" si="3"/>
        <v>92.251566666666676</v>
      </c>
      <c r="E1113" s="4">
        <f t="shared" ca="1" si="3"/>
        <v>640.01496526367725</v>
      </c>
    </row>
    <row r="1114" spans="1:5" ht="15">
      <c r="A1114" s="3">
        <f t="shared" si="2"/>
        <v>2099</v>
      </c>
      <c r="B1114" s="4">
        <f t="shared" ca="1" si="3"/>
        <v>70.779949999999999</v>
      </c>
      <c r="C1114" s="4">
        <f t="shared" ca="1" si="3"/>
        <v>70.467449999999999</v>
      </c>
      <c r="D1114" s="4">
        <f t="shared" ca="1" si="3"/>
        <v>94.306016666666665</v>
      </c>
      <c r="E1114" s="4">
        <f t="shared" ca="1" si="3"/>
        <v>658.51139775979732</v>
      </c>
    </row>
    <row r="1115" spans="1:5" ht="15">
      <c r="A1115" s="3">
        <f t="shared" si="2"/>
        <v>2100</v>
      </c>
      <c r="B1115" s="4">
        <f t="shared" ca="1" si="3"/>
        <v>72.302750000000003</v>
      </c>
      <c r="C1115" s="4">
        <f t="shared" ca="1" si="3"/>
        <v>71.990250000000003</v>
      </c>
      <c r="D1115" s="4">
        <f t="shared" ca="1" si="3"/>
        <v>96.406883333333326</v>
      </c>
      <c r="E1115" s="4">
        <f t="shared" ca="1" si="3"/>
        <v>677.54237715505542</v>
      </c>
    </row>
    <row r="1116" spans="1:5">
      <c r="A1116" s="29"/>
    </row>
    <row r="1117" spans="1:5">
      <c r="A1117" s="29"/>
    </row>
    <row r="1118" spans="1:5">
      <c r="A1118" s="29"/>
    </row>
    <row r="1119" spans="1:5">
      <c r="A1119" s="29"/>
    </row>
    <row r="1120" spans="1:5">
      <c r="A1120" s="29"/>
    </row>
    <row r="1121" s="29" customFormat="1"/>
    <row r="1122" s="29" customFormat="1"/>
    <row r="1123" s="29" customFormat="1"/>
    <row r="1124" s="29" customFormat="1"/>
    <row r="1125" s="29" customFormat="1"/>
    <row r="1126" s="29" customFormat="1"/>
    <row r="1127" s="29" customFormat="1"/>
    <row r="1128" s="29" customFormat="1"/>
    <row r="1129" s="29" customFormat="1"/>
    <row r="1130" s="29" customFormat="1"/>
    <row r="1131" s="29" customFormat="1"/>
    <row r="1132" s="29" customFormat="1"/>
    <row r="1133" s="29" customFormat="1"/>
    <row r="1134" s="29" customFormat="1"/>
    <row r="1135" s="29" customFormat="1"/>
  </sheetData>
  <mergeCells count="1">
    <mergeCell ref="B7:C7"/>
  </mergeCells>
  <pageMargins left="0.75" right="0.75" top="1" bottom="1" header="0.5" footer="0.5"/>
  <pageSetup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locked="0" defaultSize="0" autoLine="0" autoPict="0">
                <anchor moveWithCells="1">
                  <from>
                    <xdr:col>1</xdr:col>
                    <xdr:colOff>137160</xdr:colOff>
                    <xdr:row>2</xdr:row>
                    <xdr:rowOff>182880</xdr:rowOff>
                  </from>
                  <to>
                    <xdr:col>2</xdr:col>
                    <xdr:colOff>670560</xdr:colOff>
                    <xdr:row>4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locked="0" defaultSize="0" autoLine="0" autoPict="0">
                <anchor moveWithCells="1">
                  <from>
                    <xdr:col>3</xdr:col>
                    <xdr:colOff>22860</xdr:colOff>
                    <xdr:row>2</xdr:row>
                    <xdr:rowOff>182880</xdr:rowOff>
                  </from>
                  <to>
                    <xdr:col>4</xdr:col>
                    <xdr:colOff>373380</xdr:colOff>
                    <xdr:row>4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O1115"/>
  <sheetViews>
    <sheetView zoomScale="70" workbookViewId="0">
      <pane xSplit="1" ySplit="9" topLeftCell="B10" activePane="bottomRight" state="frozen"/>
      <selection activeCell="C1056" sqref="C1056"/>
      <selection pane="topRight" activeCell="C1056" sqref="C1056"/>
      <selection pane="bottomLeft" activeCell="C1056" sqref="C1056"/>
      <selection pane="bottomRight"/>
    </sheetView>
  </sheetViews>
  <sheetFormatPr defaultColWidth="7.08984375" defaultRowHeight="13.2"/>
  <cols>
    <col min="1" max="1" width="14.54296875" style="29" customWidth="1"/>
    <col min="2" max="2" width="19" style="29" customWidth="1"/>
    <col min="3" max="3" width="16.08984375" style="29" customWidth="1"/>
    <col min="4" max="4" width="20.1796875" style="29" customWidth="1"/>
    <col min="5" max="5" width="20.6328125" style="29" customWidth="1"/>
    <col min="6" max="6" width="16.08984375" style="29" customWidth="1"/>
    <col min="7" max="9" width="20" style="29" customWidth="1"/>
    <col min="10" max="11" width="19.08984375" style="29" customWidth="1"/>
    <col min="12" max="12" width="16.08984375" style="29" customWidth="1"/>
    <col min="13" max="15" width="17.6328125" style="29" customWidth="1"/>
    <col min="16" max="16384" width="7.08984375" style="29"/>
  </cols>
  <sheetData>
    <row r="1" spans="1:15">
      <c r="A1" s="92" t="s">
        <v>67</v>
      </c>
    </row>
    <row r="2" spans="1:15" ht="15" customHeight="1">
      <c r="A2" s="71" t="s">
        <v>25</v>
      </c>
    </row>
    <row r="3" spans="1:15" ht="15" customHeight="1">
      <c r="A3" s="72"/>
    </row>
    <row r="4" spans="1:15" ht="15" customHeight="1">
      <c r="A4" s="72"/>
    </row>
    <row r="5" spans="1:15" ht="15" customHeight="1">
      <c r="B5" s="71"/>
      <c r="H5" s="68" t="s">
        <v>51</v>
      </c>
    </row>
    <row r="6" spans="1:15" ht="15" customHeight="1">
      <c r="A6" s="71"/>
      <c r="B6" s="70" t="s">
        <v>24</v>
      </c>
      <c r="C6" s="69">
        <f>1-0.14</f>
        <v>0.86</v>
      </c>
      <c r="D6" s="70" t="s">
        <v>23</v>
      </c>
      <c r="E6" s="69">
        <f>1+0.14</f>
        <v>1.1400000000000001</v>
      </c>
      <c r="H6" s="68"/>
      <c r="L6" s="85"/>
      <c r="M6" s="85"/>
      <c r="N6" s="85"/>
      <c r="O6" s="85"/>
    </row>
    <row r="7" spans="1:15" ht="15" customHeight="1">
      <c r="B7" s="84" t="s">
        <v>50</v>
      </c>
      <c r="C7" s="84"/>
      <c r="D7" s="84"/>
      <c r="E7" s="86" t="s">
        <v>49</v>
      </c>
      <c r="F7" s="86"/>
      <c r="G7" s="87"/>
      <c r="H7" s="88" t="s">
        <v>48</v>
      </c>
      <c r="I7" s="88"/>
      <c r="J7" s="87" t="s">
        <v>47</v>
      </c>
      <c r="K7" s="87"/>
      <c r="L7" s="85"/>
      <c r="M7" s="85"/>
      <c r="N7" s="85"/>
      <c r="O7" s="85"/>
    </row>
    <row r="8" spans="1:15" ht="46.8">
      <c r="B8" s="67" t="s">
        <v>46</v>
      </c>
      <c r="C8" s="66" t="s">
        <v>45</v>
      </c>
      <c r="D8" s="65" t="s">
        <v>44</v>
      </c>
      <c r="E8" s="67" t="s">
        <v>46</v>
      </c>
      <c r="F8" s="66" t="s">
        <v>45</v>
      </c>
      <c r="G8" s="65" t="s">
        <v>44</v>
      </c>
      <c r="H8" s="66" t="s">
        <v>45</v>
      </c>
      <c r="I8" s="65" t="s">
        <v>44</v>
      </c>
      <c r="J8" s="66" t="s">
        <v>45</v>
      </c>
      <c r="K8" s="65" t="s">
        <v>44</v>
      </c>
      <c r="L8" s="57"/>
      <c r="M8" s="64"/>
      <c r="N8" s="64"/>
      <c r="O8" s="64"/>
    </row>
    <row r="9" spans="1:15" ht="19.2">
      <c r="A9" s="21" t="s">
        <v>2</v>
      </c>
      <c r="B9" s="63" t="s">
        <v>1</v>
      </c>
      <c r="C9" s="63" t="s">
        <v>1</v>
      </c>
      <c r="D9" s="63" t="s">
        <v>1</v>
      </c>
      <c r="E9" s="63" t="s">
        <v>1</v>
      </c>
      <c r="F9" s="63" t="s">
        <v>1</v>
      </c>
      <c r="G9" s="63" t="s">
        <v>1</v>
      </c>
      <c r="H9" s="63" t="s">
        <v>1</v>
      </c>
      <c r="I9" s="63" t="s">
        <v>1</v>
      </c>
      <c r="J9" s="63" t="s">
        <v>1</v>
      </c>
      <c r="K9" s="63" t="s">
        <v>1</v>
      </c>
      <c r="L9" s="62"/>
      <c r="M9" s="62"/>
      <c r="N9" s="62"/>
      <c r="O9" s="62"/>
    </row>
    <row r="10" spans="1:15" ht="15">
      <c r="A10" s="13">
        <v>42370</v>
      </c>
      <c r="B10" s="60">
        <f>2.3101 * CHOOSE(CONTROL!$C$19, $C$6, 100%, $E$6)</f>
        <v>2.3100999999999998</v>
      </c>
      <c r="C10" s="60">
        <f>2.3101 * CHOOSE(CONTROL!$C$19, $C$6, 100%, $E$6)</f>
        <v>2.3100999999999998</v>
      </c>
      <c r="D10" s="60">
        <f>2.3266 * CHOOSE(CONTROL!$C$19, $C$6, 100%, $E$6)</f>
        <v>2.3266</v>
      </c>
      <c r="E10" s="61">
        <f>2.073 * CHOOSE(CONTROL!$C$19, $C$6, 100%, $E$6)</f>
        <v>2.073</v>
      </c>
      <c r="F10" s="61">
        <f>2.073 * CHOOSE(CONTROL!$C$19, $C$6, 100%, $E$6)</f>
        <v>2.073</v>
      </c>
      <c r="G10" s="61">
        <f>2.0732 * CHOOSE(CONTROL!$C$19, $C$6, 100%, $E$6)</f>
        <v>2.0731999999999999</v>
      </c>
      <c r="H10" s="61">
        <f>5.16* CHOOSE(CONTROL!$C$19, $C$6, 100%, $E$6)</f>
        <v>5.16</v>
      </c>
      <c r="I10" s="61">
        <f>5.1602 * CHOOSE(CONTROL!$C$19, $C$6, 100%, $E$6)</f>
        <v>5.1601999999999997</v>
      </c>
      <c r="J10" s="61">
        <f>2.073 * CHOOSE(CONTROL!$C$19, $C$6, 100%, $E$6)</f>
        <v>2.073</v>
      </c>
      <c r="K10" s="61">
        <f>2.0732 * CHOOSE(CONTROL!$C$19, $C$6, 100%, $E$6)</f>
        <v>2.0731999999999999</v>
      </c>
      <c r="L10" s="4"/>
      <c r="M10" s="61"/>
      <c r="N10" s="61"/>
    </row>
    <row r="11" spans="1:15" ht="15">
      <c r="A11" s="13">
        <v>42401</v>
      </c>
      <c r="B11" s="60">
        <f>2.2919 * CHOOSE(CONTROL!$C$19, $C$6, 100%, $E$6)</f>
        <v>2.2919</v>
      </c>
      <c r="C11" s="60">
        <f>2.2919 * CHOOSE(CONTROL!$C$19, $C$6, 100%, $E$6)</f>
        <v>2.2919</v>
      </c>
      <c r="D11" s="60">
        <f>2.3084 * CHOOSE(CONTROL!$C$19, $C$6, 100%, $E$6)</f>
        <v>2.3083999999999998</v>
      </c>
      <c r="E11" s="61">
        <f>3.2937 * CHOOSE(CONTROL!$C$19, $C$6, 100%, $E$6)</f>
        <v>3.2936999999999999</v>
      </c>
      <c r="F11" s="61">
        <f>2.073 * CHOOSE(CONTROL!$C$19, $C$6, 100%, $E$6)</f>
        <v>2.073</v>
      </c>
      <c r="G11" s="61">
        <f>2.0732 * CHOOSE(CONTROL!$C$19, $C$6, 100%, $E$6)</f>
        <v>2.0731999999999999</v>
      </c>
      <c r="H11" s="61">
        <f>5.1708* CHOOSE(CONTROL!$C$19, $C$6, 100%, $E$6)</f>
        <v>5.1707999999999998</v>
      </c>
      <c r="I11" s="61">
        <f>5.1709 * CHOOSE(CONTROL!$C$19, $C$6, 100%, $E$6)</f>
        <v>5.1708999999999996</v>
      </c>
      <c r="J11" s="61">
        <f>3.2937 * CHOOSE(CONTROL!$C$19, $C$6, 100%, $E$6)</f>
        <v>3.2936999999999999</v>
      </c>
      <c r="K11" s="61">
        <f>3.2939 * CHOOSE(CONTROL!$C$19, $C$6, 100%, $E$6)</f>
        <v>3.2938999999999998</v>
      </c>
      <c r="L11" s="4"/>
      <c r="M11" s="61"/>
      <c r="N11" s="61"/>
    </row>
    <row r="12" spans="1:15" ht="15">
      <c r="A12" s="13">
        <v>42430</v>
      </c>
      <c r="B12" s="60">
        <f>2.2949 * CHOOSE(CONTROL!$C$19, $C$6, 100%, $E$6)</f>
        <v>2.2949000000000002</v>
      </c>
      <c r="C12" s="60">
        <f>2.2949 * CHOOSE(CONTROL!$C$19, $C$6, 100%, $E$6)</f>
        <v>2.2949000000000002</v>
      </c>
      <c r="D12" s="60">
        <f>2.3114 * CHOOSE(CONTROL!$C$19, $C$6, 100%, $E$6)</f>
        <v>2.3113999999999999</v>
      </c>
      <c r="E12" s="61">
        <f>3.2105 * CHOOSE(CONTROL!$C$19, $C$6, 100%, $E$6)</f>
        <v>3.2105000000000001</v>
      </c>
      <c r="F12" s="61">
        <f>2.073 * CHOOSE(CONTROL!$C$19, $C$6, 100%, $E$6)</f>
        <v>2.073</v>
      </c>
      <c r="G12" s="61">
        <f>2.0732 * CHOOSE(CONTROL!$C$19, $C$6, 100%, $E$6)</f>
        <v>2.0731999999999999</v>
      </c>
      <c r="H12" s="61">
        <f>5.1815* CHOOSE(CONTROL!$C$19, $C$6, 100%, $E$6)</f>
        <v>5.1814999999999998</v>
      </c>
      <c r="I12" s="61">
        <f>5.1817 * CHOOSE(CONTROL!$C$19, $C$6, 100%, $E$6)</f>
        <v>5.1817000000000002</v>
      </c>
      <c r="J12" s="61">
        <f>3.2105 * CHOOSE(CONTROL!$C$19, $C$6, 100%, $E$6)</f>
        <v>3.2105000000000001</v>
      </c>
      <c r="K12" s="61">
        <f>3.2107 * CHOOSE(CONTROL!$C$19, $C$6, 100%, $E$6)</f>
        <v>3.2107000000000001</v>
      </c>
      <c r="L12" s="4"/>
      <c r="M12" s="61"/>
      <c r="N12" s="61"/>
    </row>
    <row r="13" spans="1:15" ht="15">
      <c r="A13" s="13">
        <v>42461</v>
      </c>
      <c r="B13" s="60">
        <f>2.2787 * CHOOSE(CONTROL!$C$19, $C$6, 100%, $E$6)</f>
        <v>2.2787000000000002</v>
      </c>
      <c r="C13" s="60">
        <f>2.2787 * CHOOSE(CONTROL!$C$19, $C$6, 100%, $E$6)</f>
        <v>2.2787000000000002</v>
      </c>
      <c r="D13" s="60">
        <f>2.2952 * CHOOSE(CONTROL!$C$19, $C$6, 100%, $E$6)</f>
        <v>2.2951999999999999</v>
      </c>
      <c r="E13" s="61">
        <f>2.9965 * CHOOSE(CONTROL!$C$19, $C$6, 100%, $E$6)</f>
        <v>2.9965000000000002</v>
      </c>
      <c r="F13" s="61">
        <f>2.049 * CHOOSE(CONTROL!$C$19, $C$6, 100%, $E$6)</f>
        <v>2.0489999999999999</v>
      </c>
      <c r="G13" s="61">
        <f>2.0492 * CHOOSE(CONTROL!$C$19, $C$6, 100%, $E$6)</f>
        <v>2.0491999999999999</v>
      </c>
      <c r="H13" s="61">
        <f>4.199* CHOOSE(CONTROL!$C$19, $C$6, 100%, $E$6)</f>
        <v>4.1989999999999998</v>
      </c>
      <c r="I13" s="61">
        <f>4.1992 * CHOOSE(CONTROL!$C$19, $C$6, 100%, $E$6)</f>
        <v>4.1992000000000003</v>
      </c>
      <c r="J13" s="61">
        <f>2.9965 * CHOOSE(CONTROL!$C$19, $C$6, 100%, $E$6)</f>
        <v>2.9965000000000002</v>
      </c>
      <c r="K13" s="61">
        <f>2.9966 * CHOOSE(CONTROL!$C$19, $C$6, 100%, $E$6)</f>
        <v>2.9965999999999999</v>
      </c>
      <c r="L13" s="4"/>
      <c r="M13" s="61"/>
      <c r="N13" s="61"/>
    </row>
    <row r="14" spans="1:15" ht="15">
      <c r="A14" s="13">
        <v>42491</v>
      </c>
      <c r="B14" s="60">
        <f>2.2696 * CHOOSE(CONTROL!$C$19, $C$6, 100%, $E$6)</f>
        <v>2.2696000000000001</v>
      </c>
      <c r="C14" s="60">
        <f>2.2696 * CHOOSE(CONTROL!$C$19, $C$6, 100%, $E$6)</f>
        <v>2.2696000000000001</v>
      </c>
      <c r="D14" s="60">
        <f>2.3026 * CHOOSE(CONTROL!$C$19, $C$6, 100%, $E$6)</f>
        <v>2.3026</v>
      </c>
      <c r="E14" s="61">
        <f>3.1407 * CHOOSE(CONTROL!$C$19, $C$6, 100%, $E$6)</f>
        <v>3.1406999999999998</v>
      </c>
      <c r="F14" s="61">
        <f>2.049 * CHOOSE(CONTROL!$C$19, $C$6, 100%, $E$6)</f>
        <v>2.0489999999999999</v>
      </c>
      <c r="G14" s="61">
        <f>2.0511 * CHOOSE(CONTROL!$C$19, $C$6, 100%, $E$6)</f>
        <v>2.0510999999999999</v>
      </c>
      <c r="H14" s="61">
        <f>4.2077* CHOOSE(CONTROL!$C$19, $C$6, 100%, $E$6)</f>
        <v>4.2077</v>
      </c>
      <c r="I14" s="61">
        <f>4.2098 * CHOOSE(CONTROL!$C$19, $C$6, 100%, $E$6)</f>
        <v>4.2098000000000004</v>
      </c>
      <c r="J14" s="61">
        <f>3.1407 * CHOOSE(CONTROL!$C$19, $C$6, 100%, $E$6)</f>
        <v>3.1406999999999998</v>
      </c>
      <c r="K14" s="61">
        <f>3.1428 * CHOOSE(CONTROL!$C$19, $C$6, 100%, $E$6)</f>
        <v>3.1427999999999998</v>
      </c>
      <c r="L14" s="4"/>
      <c r="M14" s="61"/>
      <c r="N14" s="61"/>
    </row>
    <row r="15" spans="1:15" ht="15">
      <c r="A15" s="13">
        <v>42522</v>
      </c>
      <c r="B15" s="60">
        <f>2.2787 * CHOOSE(CONTROL!$C$19, $C$6, 100%, $E$6)</f>
        <v>2.2787000000000002</v>
      </c>
      <c r="C15" s="60">
        <f>2.2787 * CHOOSE(CONTROL!$C$19, $C$6, 100%, $E$6)</f>
        <v>2.2787000000000002</v>
      </c>
      <c r="D15" s="60">
        <f>2.3117 * CHOOSE(CONTROL!$C$19, $C$6, 100%, $E$6)</f>
        <v>2.3117000000000001</v>
      </c>
      <c r="E15" s="61">
        <f>2.7508 * CHOOSE(CONTROL!$C$19, $C$6, 100%, $E$6)</f>
        <v>2.7507999999999999</v>
      </c>
      <c r="F15" s="61">
        <f>2.049 * CHOOSE(CONTROL!$C$19, $C$6, 100%, $E$6)</f>
        <v>2.0489999999999999</v>
      </c>
      <c r="G15" s="61">
        <f>2.0511 * CHOOSE(CONTROL!$C$19, $C$6, 100%, $E$6)</f>
        <v>2.0510999999999999</v>
      </c>
      <c r="H15" s="61">
        <f>4.2165* CHOOSE(CONTROL!$C$19, $C$6, 100%, $E$6)</f>
        <v>4.2164999999999999</v>
      </c>
      <c r="I15" s="61">
        <f>4.2186 * CHOOSE(CONTROL!$C$19, $C$6, 100%, $E$6)</f>
        <v>4.2186000000000003</v>
      </c>
      <c r="J15" s="61">
        <f>2.7508 * CHOOSE(CONTROL!$C$19, $C$6, 100%, $E$6)</f>
        <v>2.7507999999999999</v>
      </c>
      <c r="K15" s="61">
        <f>2.7528 * CHOOSE(CONTROL!$C$19, $C$6, 100%, $E$6)</f>
        <v>2.7528000000000001</v>
      </c>
      <c r="L15" s="4"/>
      <c r="M15" s="61"/>
      <c r="N15" s="61"/>
    </row>
    <row r="16" spans="1:15" ht="15">
      <c r="A16" s="13">
        <v>42552</v>
      </c>
      <c r="B16" s="60">
        <f>2.3547 * CHOOSE(CONTROL!$C$19, $C$6, 100%, $E$6)</f>
        <v>2.3546999999999998</v>
      </c>
      <c r="C16" s="60">
        <f>2.3547 * CHOOSE(CONTROL!$C$19, $C$6, 100%, $E$6)</f>
        <v>2.3546999999999998</v>
      </c>
      <c r="D16" s="60">
        <f>2.3877 * CHOOSE(CONTROL!$C$19, $C$6, 100%, $E$6)</f>
        <v>2.3877000000000002</v>
      </c>
      <c r="E16" s="61">
        <f>2.9653 * CHOOSE(CONTROL!$C$19, $C$6, 100%, $E$6)</f>
        <v>2.9653</v>
      </c>
      <c r="F16" s="61">
        <f>2.035 * CHOOSE(CONTROL!$C$19, $C$6, 100%, $E$6)</f>
        <v>2.0350000000000001</v>
      </c>
      <c r="G16" s="61">
        <f>2.0371 * CHOOSE(CONTROL!$C$19, $C$6, 100%, $E$6)</f>
        <v>2.0371000000000001</v>
      </c>
      <c r="H16" s="61">
        <f>4.2253* CHOOSE(CONTROL!$C$19, $C$6, 100%, $E$6)</f>
        <v>4.2252999999999998</v>
      </c>
      <c r="I16" s="61">
        <f>4.2274 * CHOOSE(CONTROL!$C$19, $C$6, 100%, $E$6)</f>
        <v>4.2274000000000003</v>
      </c>
      <c r="J16" s="61">
        <f>2.9653 * CHOOSE(CONTROL!$C$19, $C$6, 100%, $E$6)</f>
        <v>2.9653</v>
      </c>
      <c r="K16" s="61">
        <f>2.9674 * CHOOSE(CONTROL!$C$19, $C$6, 100%, $E$6)</f>
        <v>2.9674</v>
      </c>
      <c r="L16" s="4"/>
      <c r="M16" s="4"/>
      <c r="N16" s="4"/>
    </row>
    <row r="17" spans="1:14" ht="15">
      <c r="A17" s="13">
        <v>42583</v>
      </c>
      <c r="B17" s="60">
        <f>2.3759 * CHOOSE(CONTROL!$C$19, $C$6, 100%, $E$6)</f>
        <v>2.3759000000000001</v>
      </c>
      <c r="C17" s="60">
        <f>2.3759 * CHOOSE(CONTROL!$C$19, $C$6, 100%, $E$6)</f>
        <v>2.3759000000000001</v>
      </c>
      <c r="D17" s="60">
        <f>2.4089 * CHOOSE(CONTROL!$C$19, $C$6, 100%, $E$6)</f>
        <v>2.4089</v>
      </c>
      <c r="E17" s="61">
        <f>3.2103 * CHOOSE(CONTROL!$C$19, $C$6, 100%, $E$6)</f>
        <v>3.2103000000000002</v>
      </c>
      <c r="F17" s="61">
        <f>2.035 * CHOOSE(CONTROL!$C$19, $C$6, 100%, $E$6)</f>
        <v>2.0350000000000001</v>
      </c>
      <c r="G17" s="61">
        <f>2.0371 * CHOOSE(CONTROL!$C$19, $C$6, 100%, $E$6)</f>
        <v>2.0371000000000001</v>
      </c>
      <c r="H17" s="61">
        <f>4.2341* CHOOSE(CONTROL!$C$19, $C$6, 100%, $E$6)</f>
        <v>4.2340999999999998</v>
      </c>
      <c r="I17" s="61">
        <f>4.2362 * CHOOSE(CONTROL!$C$19, $C$6, 100%, $E$6)</f>
        <v>4.2362000000000002</v>
      </c>
      <c r="J17" s="61">
        <f>3.2103 * CHOOSE(CONTROL!$C$19, $C$6, 100%, $E$6)</f>
        <v>3.2103000000000002</v>
      </c>
      <c r="K17" s="61">
        <f>3.2123 * CHOOSE(CONTROL!$C$19, $C$6, 100%, $E$6)</f>
        <v>3.2122999999999999</v>
      </c>
      <c r="L17" s="4"/>
      <c r="M17" s="4"/>
      <c r="N17" s="4"/>
    </row>
    <row r="18" spans="1:14" ht="15">
      <c r="A18" s="13">
        <v>42614</v>
      </c>
      <c r="B18" s="60">
        <f>2.3638 * CHOOSE(CONTROL!$C$19, $C$6, 100%, $E$6)</f>
        <v>2.3637999999999999</v>
      </c>
      <c r="C18" s="60">
        <f>2.3638 * CHOOSE(CONTROL!$C$19, $C$6, 100%, $E$6)</f>
        <v>2.3637999999999999</v>
      </c>
      <c r="D18" s="60">
        <f>2.3968 * CHOOSE(CONTROL!$C$19, $C$6, 100%, $E$6)</f>
        <v>2.3967999999999998</v>
      </c>
      <c r="E18" s="61">
        <f>3.139 * CHOOSE(CONTROL!$C$19, $C$6, 100%, $E$6)</f>
        <v>3.1389999999999998</v>
      </c>
      <c r="F18" s="61">
        <f>2.035 * CHOOSE(CONTROL!$C$19, $C$6, 100%, $E$6)</f>
        <v>2.0350000000000001</v>
      </c>
      <c r="G18" s="61">
        <f>2.0371 * CHOOSE(CONTROL!$C$19, $C$6, 100%, $E$6)</f>
        <v>2.0371000000000001</v>
      </c>
      <c r="H18" s="61">
        <f>4.2429* CHOOSE(CONTROL!$C$19, $C$6, 100%, $E$6)</f>
        <v>4.2428999999999997</v>
      </c>
      <c r="I18" s="61">
        <f>4.245 * CHOOSE(CONTROL!$C$19, $C$6, 100%, $E$6)</f>
        <v>4.2450000000000001</v>
      </c>
      <c r="J18" s="61">
        <f>3.139 * CHOOSE(CONTROL!$C$19, $C$6, 100%, $E$6)</f>
        <v>3.1389999999999998</v>
      </c>
      <c r="K18" s="61">
        <f>3.1411 * CHOOSE(CONTROL!$C$19, $C$6, 100%, $E$6)</f>
        <v>3.1410999999999998</v>
      </c>
      <c r="L18" s="4"/>
      <c r="M18" s="4"/>
      <c r="N18" s="4"/>
    </row>
    <row r="19" spans="1:14" ht="15">
      <c r="A19" s="13">
        <v>42644</v>
      </c>
      <c r="B19" s="60">
        <f>2.3759 * CHOOSE(CONTROL!$C$19, $C$6, 100%, $E$6)</f>
        <v>2.3759000000000001</v>
      </c>
      <c r="C19" s="60">
        <f>2.3759 * CHOOSE(CONTROL!$C$19, $C$6, 100%, $E$6)</f>
        <v>2.3759000000000001</v>
      </c>
      <c r="D19" s="60">
        <f>2.3924 * CHOOSE(CONTROL!$C$19, $C$6, 100%, $E$6)</f>
        <v>2.3923999999999999</v>
      </c>
      <c r="E19" s="61">
        <f>3.139 * CHOOSE(CONTROL!$C$19, $C$6, 100%, $E$6)</f>
        <v>3.1389999999999998</v>
      </c>
      <c r="F19" s="61">
        <f>2.035 * CHOOSE(CONTROL!$C$19, $C$6, 100%, $E$6)</f>
        <v>2.0350000000000001</v>
      </c>
      <c r="G19" s="61">
        <f>2.0352 * CHOOSE(CONTROL!$C$19, $C$6, 100%, $E$6)</f>
        <v>2.0352000000000001</v>
      </c>
      <c r="H19" s="61">
        <f>4.2518* CHOOSE(CONTROL!$C$19, $C$6, 100%, $E$6)</f>
        <v>4.2518000000000002</v>
      </c>
      <c r="I19" s="61">
        <f>4.2519 * CHOOSE(CONTROL!$C$19, $C$6, 100%, $E$6)</f>
        <v>4.2519</v>
      </c>
      <c r="J19" s="61">
        <f>3.139 * CHOOSE(CONTROL!$C$19, $C$6, 100%, $E$6)</f>
        <v>3.1389999999999998</v>
      </c>
      <c r="K19" s="61">
        <f>3.1392 * CHOOSE(CONTROL!$C$19, $C$6, 100%, $E$6)</f>
        <v>3.1392000000000002</v>
      </c>
      <c r="L19" s="4"/>
      <c r="M19" s="4"/>
      <c r="N19" s="4"/>
    </row>
    <row r="20" spans="1:14" ht="15">
      <c r="A20" s="13">
        <v>42675</v>
      </c>
      <c r="B20" s="60">
        <f>2.3911 * CHOOSE(CONTROL!$C$19, $C$6, 100%, $E$6)</f>
        <v>2.3910999999999998</v>
      </c>
      <c r="C20" s="60">
        <f>2.3911 * CHOOSE(CONTROL!$C$19, $C$6, 100%, $E$6)</f>
        <v>2.3910999999999998</v>
      </c>
      <c r="D20" s="60">
        <f>2.4076 * CHOOSE(CONTROL!$C$19, $C$6, 100%, $E$6)</f>
        <v>2.4076</v>
      </c>
      <c r="E20" s="61">
        <f>3.0263 * CHOOSE(CONTROL!$C$19, $C$6, 100%, $E$6)</f>
        <v>3.0263</v>
      </c>
      <c r="F20" s="61">
        <f>2.05 * CHOOSE(CONTROL!$C$19, $C$6, 100%, $E$6)</f>
        <v>2.0499999999999998</v>
      </c>
      <c r="G20" s="61">
        <f>2.0502 * CHOOSE(CONTROL!$C$19, $C$6, 100%, $E$6)</f>
        <v>2.0501999999999998</v>
      </c>
      <c r="H20" s="61">
        <f>4.2606* CHOOSE(CONTROL!$C$19, $C$6, 100%, $E$6)</f>
        <v>4.2606000000000002</v>
      </c>
      <c r="I20" s="61">
        <f>4.2608 * CHOOSE(CONTROL!$C$19, $C$6, 100%, $E$6)</f>
        <v>4.2607999999999997</v>
      </c>
      <c r="J20" s="61">
        <f>3.0263 * CHOOSE(CONTROL!$C$19, $C$6, 100%, $E$6)</f>
        <v>3.0263</v>
      </c>
      <c r="K20" s="61">
        <f>3.0265 * CHOOSE(CONTROL!$C$19, $C$6, 100%, $E$6)</f>
        <v>3.0265</v>
      </c>
      <c r="L20" s="4"/>
      <c r="M20" s="4"/>
      <c r="N20" s="4"/>
    </row>
    <row r="21" spans="1:14" ht="15">
      <c r="A21" s="13">
        <v>42705</v>
      </c>
      <c r="B21" s="60">
        <f>2.4063 * CHOOSE(CONTROL!$C$19, $C$6, 100%, $E$6)</f>
        <v>2.4062999999999999</v>
      </c>
      <c r="C21" s="60">
        <f>2.4063 * CHOOSE(CONTROL!$C$19, $C$6, 100%, $E$6)</f>
        <v>2.4062999999999999</v>
      </c>
      <c r="D21" s="60">
        <f>2.4228 * CHOOSE(CONTROL!$C$19, $C$6, 100%, $E$6)</f>
        <v>2.4228000000000001</v>
      </c>
      <c r="E21" s="61">
        <f>3.0678 * CHOOSE(CONTROL!$C$19, $C$6, 100%, $E$6)</f>
        <v>3.0678000000000001</v>
      </c>
      <c r="F21" s="61">
        <f>2.05 * CHOOSE(CONTROL!$C$19, $C$6, 100%, $E$6)</f>
        <v>2.0499999999999998</v>
      </c>
      <c r="G21" s="61">
        <f>2.0502 * CHOOSE(CONTROL!$C$19, $C$6, 100%, $E$6)</f>
        <v>2.0501999999999998</v>
      </c>
      <c r="H21" s="61">
        <f>4.2695* CHOOSE(CONTROL!$C$19, $C$6, 100%, $E$6)</f>
        <v>4.2694999999999999</v>
      </c>
      <c r="I21" s="61">
        <f>4.2697 * CHOOSE(CONTROL!$C$19, $C$6, 100%, $E$6)</f>
        <v>4.2697000000000003</v>
      </c>
      <c r="J21" s="61">
        <f>3.0678 * CHOOSE(CONTROL!$C$19, $C$6, 100%, $E$6)</f>
        <v>3.0678000000000001</v>
      </c>
      <c r="K21" s="61">
        <f>3.068 * CHOOSE(CONTROL!$C$19, $C$6, 100%, $E$6)</f>
        <v>3.0680000000000001</v>
      </c>
      <c r="L21" s="4"/>
      <c r="M21" s="4"/>
      <c r="N21" s="4"/>
    </row>
    <row r="22" spans="1:14" ht="15">
      <c r="A22" s="13">
        <v>42736</v>
      </c>
      <c r="B22" s="60">
        <f>2.2766 * CHOOSE(CONTROL!$C$19, $C$6, 100%, $E$6)</f>
        <v>2.2766000000000002</v>
      </c>
      <c r="C22" s="60">
        <f>2.2766 * CHOOSE(CONTROL!$C$19, $C$6, 100%, $E$6)</f>
        <v>2.2766000000000002</v>
      </c>
      <c r="D22" s="60">
        <f>2.2931 * CHOOSE(CONTROL!$C$19, $C$6, 100%, $E$6)</f>
        <v>2.2930999999999999</v>
      </c>
      <c r="E22" s="61">
        <f>3.4487 * CHOOSE(CONTROL!$C$19, $C$6, 100%, $E$6)</f>
        <v>3.4487000000000001</v>
      </c>
      <c r="F22" s="61">
        <f>2.073 * CHOOSE(CONTROL!$C$19, $C$6, 100%, $E$6)</f>
        <v>2.073</v>
      </c>
      <c r="G22" s="61">
        <f>2.0732 * CHOOSE(CONTROL!$C$19, $C$6, 100%, $E$6)</f>
        <v>2.0731999999999999</v>
      </c>
      <c r="H22" s="61">
        <f>4.2784* CHOOSE(CONTROL!$C$19, $C$6, 100%, $E$6)</f>
        <v>4.2784000000000004</v>
      </c>
      <c r="I22" s="61">
        <f>4.2786 * CHOOSE(CONTROL!$C$19, $C$6, 100%, $E$6)</f>
        <v>4.2786</v>
      </c>
      <c r="J22" s="61">
        <f>3.4487 * CHOOSE(CONTROL!$C$19, $C$6, 100%, $E$6)</f>
        <v>3.4487000000000001</v>
      </c>
      <c r="K22" s="61">
        <f>3.4489 * CHOOSE(CONTROL!$C$19, $C$6, 100%, $E$6)</f>
        <v>3.4489000000000001</v>
      </c>
      <c r="L22" s="4"/>
      <c r="M22" s="4"/>
      <c r="N22" s="4"/>
    </row>
    <row r="23" spans="1:14" ht="15">
      <c r="A23" s="13">
        <v>42767</v>
      </c>
      <c r="B23" s="60">
        <f>2.2705 * CHOOSE(CONTROL!$C$19, $C$6, 100%, $E$6)</f>
        <v>2.2705000000000002</v>
      </c>
      <c r="C23" s="60">
        <f>2.2705 * CHOOSE(CONTROL!$C$19, $C$6, 100%, $E$6)</f>
        <v>2.2705000000000002</v>
      </c>
      <c r="D23" s="60">
        <f>2.287 * CHOOSE(CONTROL!$C$19, $C$6, 100%, $E$6)</f>
        <v>2.2869999999999999</v>
      </c>
      <c r="E23" s="61">
        <f>3.3873 * CHOOSE(CONTROL!$C$19, $C$6, 100%, $E$6)</f>
        <v>3.3873000000000002</v>
      </c>
      <c r="F23" s="61">
        <f>2.073 * CHOOSE(CONTROL!$C$19, $C$6, 100%, $E$6)</f>
        <v>2.073</v>
      </c>
      <c r="G23" s="61">
        <f>2.0732 * CHOOSE(CONTROL!$C$19, $C$6, 100%, $E$6)</f>
        <v>2.0731999999999999</v>
      </c>
      <c r="H23" s="61">
        <f>4.2873* CHOOSE(CONTROL!$C$19, $C$6, 100%, $E$6)</f>
        <v>4.2873000000000001</v>
      </c>
      <c r="I23" s="61">
        <f>4.2875 * CHOOSE(CONTROL!$C$19, $C$6, 100%, $E$6)</f>
        <v>4.2874999999999996</v>
      </c>
      <c r="J23" s="61">
        <f>3.3873 * CHOOSE(CONTROL!$C$19, $C$6, 100%, $E$6)</f>
        <v>3.3873000000000002</v>
      </c>
      <c r="K23" s="61">
        <f>3.3875 * CHOOSE(CONTROL!$C$19, $C$6, 100%, $E$6)</f>
        <v>3.3875000000000002</v>
      </c>
      <c r="L23" s="4"/>
      <c r="M23" s="4"/>
      <c r="N23" s="4"/>
    </row>
    <row r="24" spans="1:14" ht="15">
      <c r="A24" s="13">
        <v>42795</v>
      </c>
      <c r="B24" s="60">
        <f>2.2645 * CHOOSE(CONTROL!$C$19, $C$6, 100%, $E$6)</f>
        <v>2.2645</v>
      </c>
      <c r="C24" s="60">
        <f>2.2645 * CHOOSE(CONTROL!$C$19, $C$6, 100%, $E$6)</f>
        <v>2.2645</v>
      </c>
      <c r="D24" s="60">
        <f>2.281 * CHOOSE(CONTROL!$C$19, $C$6, 100%, $E$6)</f>
        <v>2.2810000000000001</v>
      </c>
      <c r="E24" s="61">
        <f>3.3873 * CHOOSE(CONTROL!$C$19, $C$6, 100%, $E$6)</f>
        <v>3.3873000000000002</v>
      </c>
      <c r="F24" s="61">
        <f>2.073 * CHOOSE(CONTROL!$C$19, $C$6, 100%, $E$6)</f>
        <v>2.073</v>
      </c>
      <c r="G24" s="61">
        <f>2.0732 * CHOOSE(CONTROL!$C$19, $C$6, 100%, $E$6)</f>
        <v>2.0731999999999999</v>
      </c>
      <c r="H24" s="61">
        <f>4.2962* CHOOSE(CONTROL!$C$19, $C$6, 100%, $E$6)</f>
        <v>4.2961999999999998</v>
      </c>
      <c r="I24" s="61">
        <f>4.2964 * CHOOSE(CONTROL!$C$19, $C$6, 100%, $E$6)</f>
        <v>4.2964000000000002</v>
      </c>
      <c r="J24" s="61">
        <f>3.3873 * CHOOSE(CONTROL!$C$19, $C$6, 100%, $E$6)</f>
        <v>3.3873000000000002</v>
      </c>
      <c r="K24" s="61">
        <f>3.3875 * CHOOSE(CONTROL!$C$19, $C$6, 100%, $E$6)</f>
        <v>3.3875000000000002</v>
      </c>
      <c r="L24" s="4"/>
      <c r="M24" s="4"/>
      <c r="N24" s="4"/>
    </row>
    <row r="25" spans="1:14" ht="15">
      <c r="A25" s="13">
        <v>42826</v>
      </c>
      <c r="B25" s="60">
        <f>2.2553 * CHOOSE(CONTROL!$C$19, $C$6, 100%, $E$6)</f>
        <v>2.2553000000000001</v>
      </c>
      <c r="C25" s="60">
        <f>2.2553 * CHOOSE(CONTROL!$C$19, $C$6, 100%, $E$6)</f>
        <v>2.2553000000000001</v>
      </c>
      <c r="D25" s="60">
        <f>2.2718 * CHOOSE(CONTROL!$C$19, $C$6, 100%, $E$6)</f>
        <v>2.2717999999999998</v>
      </c>
      <c r="E25" s="61">
        <f>3.3873 * CHOOSE(CONTROL!$C$19, $C$6, 100%, $E$6)</f>
        <v>3.3873000000000002</v>
      </c>
      <c r="F25" s="61">
        <f>2.049 * CHOOSE(CONTROL!$C$19, $C$6, 100%, $E$6)</f>
        <v>2.0489999999999999</v>
      </c>
      <c r="G25" s="61">
        <f>2.0492 * CHOOSE(CONTROL!$C$19, $C$6, 100%, $E$6)</f>
        <v>2.0491999999999999</v>
      </c>
      <c r="H25" s="61">
        <f>4.3052* CHOOSE(CONTROL!$C$19, $C$6, 100%, $E$6)</f>
        <v>4.3052000000000001</v>
      </c>
      <c r="I25" s="61">
        <f>4.3054 * CHOOSE(CONTROL!$C$19, $C$6, 100%, $E$6)</f>
        <v>4.3053999999999997</v>
      </c>
      <c r="J25" s="61">
        <f>3.3873 * CHOOSE(CONTROL!$C$19, $C$6, 100%, $E$6)</f>
        <v>3.3873000000000002</v>
      </c>
      <c r="K25" s="61">
        <f>3.3875 * CHOOSE(CONTROL!$C$19, $C$6, 100%, $E$6)</f>
        <v>3.3875000000000002</v>
      </c>
      <c r="L25" s="4"/>
      <c r="M25" s="4"/>
      <c r="N25" s="4"/>
    </row>
    <row r="26" spans="1:14" ht="15">
      <c r="A26" s="13">
        <v>42856</v>
      </c>
      <c r="B26" s="60">
        <f>2.2493 * CHOOSE(CONTROL!$C$19, $C$6, 100%, $E$6)</f>
        <v>2.2492999999999999</v>
      </c>
      <c r="C26" s="60">
        <f>2.2493 * CHOOSE(CONTROL!$C$19, $C$6, 100%, $E$6)</f>
        <v>2.2492999999999999</v>
      </c>
      <c r="D26" s="60">
        <f>2.2823 * CHOOSE(CONTROL!$C$19, $C$6, 100%, $E$6)</f>
        <v>2.2823000000000002</v>
      </c>
      <c r="E26" s="61">
        <f>3.3873 * CHOOSE(CONTROL!$C$19, $C$6, 100%, $E$6)</f>
        <v>3.3873000000000002</v>
      </c>
      <c r="F26" s="61">
        <f>2.049 * CHOOSE(CONTROL!$C$19, $C$6, 100%, $E$6)</f>
        <v>2.0489999999999999</v>
      </c>
      <c r="G26" s="61">
        <f>2.0511 * CHOOSE(CONTROL!$C$19, $C$6, 100%, $E$6)</f>
        <v>2.0510999999999999</v>
      </c>
      <c r="H26" s="61">
        <f>4.3142* CHOOSE(CONTROL!$C$19, $C$6, 100%, $E$6)</f>
        <v>4.3141999999999996</v>
      </c>
      <c r="I26" s="61">
        <f>4.3162 * CHOOSE(CONTROL!$C$19, $C$6, 100%, $E$6)</f>
        <v>4.3162000000000003</v>
      </c>
      <c r="J26" s="61">
        <f>3.3873 * CHOOSE(CONTROL!$C$19, $C$6, 100%, $E$6)</f>
        <v>3.3873000000000002</v>
      </c>
      <c r="K26" s="61">
        <f>3.3894 * CHOOSE(CONTROL!$C$19, $C$6, 100%, $E$6)</f>
        <v>3.3894000000000002</v>
      </c>
      <c r="L26" s="4"/>
      <c r="M26" s="4"/>
      <c r="N26" s="4"/>
    </row>
    <row r="27" spans="1:14" ht="15">
      <c r="A27" s="13">
        <v>42887</v>
      </c>
      <c r="B27" s="60">
        <f>2.2645 * CHOOSE(CONTROL!$C$19, $C$6, 100%, $E$6)</f>
        <v>2.2645</v>
      </c>
      <c r="C27" s="60">
        <f>2.2645 * CHOOSE(CONTROL!$C$19, $C$6, 100%, $E$6)</f>
        <v>2.2645</v>
      </c>
      <c r="D27" s="60">
        <f>2.2975 * CHOOSE(CONTROL!$C$19, $C$6, 100%, $E$6)</f>
        <v>2.2974999999999999</v>
      </c>
      <c r="E27" s="61">
        <f>3.2645 * CHOOSE(CONTROL!$C$19, $C$6, 100%, $E$6)</f>
        <v>3.2645</v>
      </c>
      <c r="F27" s="61">
        <f>2.049 * CHOOSE(CONTROL!$C$19, $C$6, 100%, $E$6)</f>
        <v>2.0489999999999999</v>
      </c>
      <c r="G27" s="61">
        <f>2.0511 * CHOOSE(CONTROL!$C$19, $C$6, 100%, $E$6)</f>
        <v>2.0510999999999999</v>
      </c>
      <c r="H27" s="61">
        <f>4.3231* CHOOSE(CONTROL!$C$19, $C$6, 100%, $E$6)</f>
        <v>4.3231000000000002</v>
      </c>
      <c r="I27" s="61">
        <f>4.3252 * CHOOSE(CONTROL!$C$19, $C$6, 100%, $E$6)</f>
        <v>4.3251999999999997</v>
      </c>
      <c r="J27" s="61">
        <f>3.2645 * CHOOSE(CONTROL!$C$19, $C$6, 100%, $E$6)</f>
        <v>3.2645</v>
      </c>
      <c r="K27" s="61">
        <f>3.2666 * CHOOSE(CONTROL!$C$19, $C$6, 100%, $E$6)</f>
        <v>3.2665999999999999</v>
      </c>
      <c r="L27" s="4"/>
      <c r="M27" s="4"/>
      <c r="N27" s="4"/>
    </row>
    <row r="28" spans="1:14" ht="15">
      <c r="A28" s="13">
        <v>42917</v>
      </c>
      <c r="B28" s="60">
        <f>2.2949 * CHOOSE(CONTROL!$C$19, $C$6, 100%, $E$6)</f>
        <v>2.2949000000000002</v>
      </c>
      <c r="C28" s="60">
        <f>2.2949 * CHOOSE(CONTROL!$C$19, $C$6, 100%, $E$6)</f>
        <v>2.2949000000000002</v>
      </c>
      <c r="D28" s="60">
        <f>2.3279 * CHOOSE(CONTROL!$C$19, $C$6, 100%, $E$6)</f>
        <v>2.3279000000000001</v>
      </c>
      <c r="E28" s="61">
        <f>3.633 * CHOOSE(CONTROL!$C$19, $C$6, 100%, $E$6)</f>
        <v>3.633</v>
      </c>
      <c r="F28" s="61">
        <f>2.035 * CHOOSE(CONTROL!$C$19, $C$6, 100%, $E$6)</f>
        <v>2.0350000000000001</v>
      </c>
      <c r="G28" s="61">
        <f>2.0371 * CHOOSE(CONTROL!$C$19, $C$6, 100%, $E$6)</f>
        <v>2.0371000000000001</v>
      </c>
      <c r="H28" s="61">
        <f>4.3321* CHOOSE(CONTROL!$C$19, $C$6, 100%, $E$6)</f>
        <v>4.3320999999999996</v>
      </c>
      <c r="I28" s="61">
        <f>4.3342 * CHOOSE(CONTROL!$C$19, $C$6, 100%, $E$6)</f>
        <v>4.3342000000000001</v>
      </c>
      <c r="J28" s="61">
        <f>3.633 * CHOOSE(CONTROL!$C$19, $C$6, 100%, $E$6)</f>
        <v>3.633</v>
      </c>
      <c r="K28" s="61">
        <f>3.6351 * CHOOSE(CONTROL!$C$19, $C$6, 100%, $E$6)</f>
        <v>3.6351</v>
      </c>
      <c r="L28" s="4"/>
      <c r="M28" s="4"/>
      <c r="N28" s="4"/>
    </row>
    <row r="29" spans="1:14" ht="15">
      <c r="A29" s="13">
        <v>42948</v>
      </c>
      <c r="B29" s="60">
        <f>2.3161 * CHOOSE(CONTROL!$C$19, $C$6, 100%, $E$6)</f>
        <v>2.3161</v>
      </c>
      <c r="C29" s="60">
        <f>2.3161 * CHOOSE(CONTROL!$C$19, $C$6, 100%, $E$6)</f>
        <v>2.3161</v>
      </c>
      <c r="D29" s="60">
        <f>2.3491 * CHOOSE(CONTROL!$C$19, $C$6, 100%, $E$6)</f>
        <v>2.3491</v>
      </c>
      <c r="E29" s="61">
        <f>3.633 * CHOOSE(CONTROL!$C$19, $C$6, 100%, $E$6)</f>
        <v>3.633</v>
      </c>
      <c r="F29" s="61">
        <f>2.035 * CHOOSE(CONTROL!$C$19, $C$6, 100%, $E$6)</f>
        <v>2.0350000000000001</v>
      </c>
      <c r="G29" s="61">
        <f>2.0371 * CHOOSE(CONTROL!$C$19, $C$6, 100%, $E$6)</f>
        <v>2.0371000000000001</v>
      </c>
      <c r="H29" s="61">
        <f>4.3412* CHOOSE(CONTROL!$C$19, $C$6, 100%, $E$6)</f>
        <v>4.3411999999999997</v>
      </c>
      <c r="I29" s="61">
        <f>4.3432 * CHOOSE(CONTROL!$C$19, $C$6, 100%, $E$6)</f>
        <v>4.3432000000000004</v>
      </c>
      <c r="J29" s="61">
        <f>3.633 * CHOOSE(CONTROL!$C$19, $C$6, 100%, $E$6)</f>
        <v>3.633</v>
      </c>
      <c r="K29" s="61">
        <f>3.6351 * CHOOSE(CONTROL!$C$19, $C$6, 100%, $E$6)</f>
        <v>3.6351</v>
      </c>
      <c r="L29" s="4"/>
      <c r="M29" s="4"/>
      <c r="N29" s="4"/>
    </row>
    <row r="30" spans="1:14" ht="15">
      <c r="A30" s="13">
        <v>42979</v>
      </c>
      <c r="B30" s="60">
        <f>2.304 * CHOOSE(CONTROL!$C$19, $C$6, 100%, $E$6)</f>
        <v>2.3039999999999998</v>
      </c>
      <c r="C30" s="60">
        <f>2.304 * CHOOSE(CONTROL!$C$19, $C$6, 100%, $E$6)</f>
        <v>2.3039999999999998</v>
      </c>
      <c r="D30" s="60">
        <f>2.337 * CHOOSE(CONTROL!$C$19, $C$6, 100%, $E$6)</f>
        <v>2.3370000000000002</v>
      </c>
      <c r="E30" s="61">
        <f>3.633 * CHOOSE(CONTROL!$C$19, $C$6, 100%, $E$6)</f>
        <v>3.633</v>
      </c>
      <c r="F30" s="61">
        <f>2.035 * CHOOSE(CONTROL!$C$19, $C$6, 100%, $E$6)</f>
        <v>2.0350000000000001</v>
      </c>
      <c r="G30" s="61">
        <f>2.0371 * CHOOSE(CONTROL!$C$19, $C$6, 100%, $E$6)</f>
        <v>2.0371000000000001</v>
      </c>
      <c r="H30" s="61">
        <f>4.3502* CHOOSE(CONTROL!$C$19, $C$6, 100%, $E$6)</f>
        <v>4.3502000000000001</v>
      </c>
      <c r="I30" s="61">
        <f>4.3523 * CHOOSE(CONTROL!$C$19, $C$6, 100%, $E$6)</f>
        <v>4.3522999999999996</v>
      </c>
      <c r="J30" s="61">
        <f>3.633 * CHOOSE(CONTROL!$C$19, $C$6, 100%, $E$6)</f>
        <v>3.633</v>
      </c>
      <c r="K30" s="61">
        <f>3.6351 * CHOOSE(CONTROL!$C$19, $C$6, 100%, $E$6)</f>
        <v>3.6351</v>
      </c>
      <c r="L30" s="4"/>
      <c r="M30" s="4"/>
      <c r="N30" s="4"/>
    </row>
    <row r="31" spans="1:14" ht="15">
      <c r="A31" s="13">
        <v>43009</v>
      </c>
      <c r="B31" s="60">
        <f>2.3009 * CHOOSE(CONTROL!$C$19, $C$6, 100%, $E$6)</f>
        <v>2.3008999999999999</v>
      </c>
      <c r="C31" s="60">
        <f>2.3009 * CHOOSE(CONTROL!$C$19, $C$6, 100%, $E$6)</f>
        <v>2.3008999999999999</v>
      </c>
      <c r="D31" s="60">
        <f>2.3174 * CHOOSE(CONTROL!$C$19, $C$6, 100%, $E$6)</f>
        <v>2.3174000000000001</v>
      </c>
      <c r="E31" s="61">
        <f>3.633 * CHOOSE(CONTROL!$C$19, $C$6, 100%, $E$6)</f>
        <v>3.633</v>
      </c>
      <c r="F31" s="61">
        <f>2.035 * CHOOSE(CONTROL!$C$19, $C$6, 100%, $E$6)</f>
        <v>2.0350000000000001</v>
      </c>
      <c r="G31" s="61">
        <f>2.0352 * CHOOSE(CONTROL!$C$19, $C$6, 100%, $E$6)</f>
        <v>2.0352000000000001</v>
      </c>
      <c r="H31" s="61">
        <f>4.3593* CHOOSE(CONTROL!$C$19, $C$6, 100%, $E$6)</f>
        <v>4.3593000000000002</v>
      </c>
      <c r="I31" s="61">
        <f>4.3595 * CHOOSE(CONTROL!$C$19, $C$6, 100%, $E$6)</f>
        <v>4.3594999999999997</v>
      </c>
      <c r="J31" s="61">
        <f>3.633 * CHOOSE(CONTROL!$C$19, $C$6, 100%, $E$6)</f>
        <v>3.633</v>
      </c>
      <c r="K31" s="61">
        <f>3.6332 * CHOOSE(CONTROL!$C$19, $C$6, 100%, $E$6)</f>
        <v>3.6332</v>
      </c>
      <c r="L31" s="4"/>
      <c r="M31" s="4"/>
      <c r="N31" s="4"/>
    </row>
    <row r="32" spans="1:14" ht="15">
      <c r="A32" s="13">
        <v>43040</v>
      </c>
      <c r="B32" s="60">
        <f>2.3131 * CHOOSE(CONTROL!$C$19, $C$6, 100%, $E$6)</f>
        <v>2.3130999999999999</v>
      </c>
      <c r="C32" s="60">
        <f>2.3131 * CHOOSE(CONTROL!$C$19, $C$6, 100%, $E$6)</f>
        <v>2.3130999999999999</v>
      </c>
      <c r="D32" s="60">
        <f>2.3296 * CHOOSE(CONTROL!$C$19, $C$6, 100%, $E$6)</f>
        <v>2.3296000000000001</v>
      </c>
      <c r="E32" s="61">
        <f>3.2372 * CHOOSE(CONTROL!$C$19, $C$6, 100%, $E$6)</f>
        <v>3.2372000000000001</v>
      </c>
      <c r="F32" s="61">
        <f>2.05 * CHOOSE(CONTROL!$C$19, $C$6, 100%, $E$6)</f>
        <v>2.0499999999999998</v>
      </c>
      <c r="G32" s="61">
        <f>2.0502 * CHOOSE(CONTROL!$C$19, $C$6, 100%, $E$6)</f>
        <v>2.0501999999999998</v>
      </c>
      <c r="H32" s="61">
        <f>4.3684* CHOOSE(CONTROL!$C$19, $C$6, 100%, $E$6)</f>
        <v>4.3684000000000003</v>
      </c>
      <c r="I32" s="61">
        <f>4.3685 * CHOOSE(CONTROL!$C$19, $C$6, 100%, $E$6)</f>
        <v>4.3685</v>
      </c>
      <c r="J32" s="61">
        <f>3.2372 * CHOOSE(CONTROL!$C$19, $C$6, 100%, $E$6)</f>
        <v>3.2372000000000001</v>
      </c>
      <c r="K32" s="61">
        <f>3.2374 * CHOOSE(CONTROL!$C$19, $C$6, 100%, $E$6)</f>
        <v>3.2374000000000001</v>
      </c>
      <c r="L32" s="4"/>
      <c r="M32" s="4"/>
      <c r="N32" s="4"/>
    </row>
    <row r="33" spans="1:14" ht="15">
      <c r="A33" s="13">
        <v>43070</v>
      </c>
      <c r="B33" s="60">
        <f>2.3253 * CHOOSE(CONTROL!$C$19, $C$6, 100%, $E$6)</f>
        <v>2.3252999999999999</v>
      </c>
      <c r="C33" s="60">
        <f>2.3253 * CHOOSE(CONTROL!$C$19, $C$6, 100%, $E$6)</f>
        <v>2.3252999999999999</v>
      </c>
      <c r="D33" s="60">
        <f>2.3418 * CHOOSE(CONTROL!$C$19, $C$6, 100%, $E$6)</f>
        <v>2.3418000000000001</v>
      </c>
      <c r="E33" s="61">
        <f>3.2372 * CHOOSE(CONTROL!$C$19, $C$6, 100%, $E$6)</f>
        <v>3.2372000000000001</v>
      </c>
      <c r="F33" s="61">
        <f>2.05 * CHOOSE(CONTROL!$C$19, $C$6, 100%, $E$6)</f>
        <v>2.0499999999999998</v>
      </c>
      <c r="G33" s="61">
        <f>2.0502 * CHOOSE(CONTROL!$C$19, $C$6, 100%, $E$6)</f>
        <v>2.0501999999999998</v>
      </c>
      <c r="H33" s="61">
        <f>4.3775* CHOOSE(CONTROL!$C$19, $C$6, 100%, $E$6)</f>
        <v>4.3775000000000004</v>
      </c>
      <c r="I33" s="61">
        <f>4.3776 * CHOOSE(CONTROL!$C$19, $C$6, 100%, $E$6)</f>
        <v>4.3776000000000002</v>
      </c>
      <c r="J33" s="61">
        <f>3.2372 * CHOOSE(CONTROL!$C$19, $C$6, 100%, $E$6)</f>
        <v>3.2372000000000001</v>
      </c>
      <c r="K33" s="61">
        <f>3.2374 * CHOOSE(CONTROL!$C$19, $C$6, 100%, $E$6)</f>
        <v>3.2374000000000001</v>
      </c>
      <c r="L33" s="4"/>
      <c r="M33" s="4"/>
      <c r="N33" s="4"/>
    </row>
    <row r="34" spans="1:14" ht="15">
      <c r="A34" s="13">
        <v>43101</v>
      </c>
      <c r="B34" s="60">
        <f>2.3811 * CHOOSE(CONTROL!$C$19, $C$6, 100%, $E$6)</f>
        <v>2.3811</v>
      </c>
      <c r="C34" s="60">
        <f>2.3811 * CHOOSE(CONTROL!$C$19, $C$6, 100%, $E$6)</f>
        <v>2.3811</v>
      </c>
      <c r="D34" s="60">
        <f>2.3976 * CHOOSE(CONTROL!$C$19, $C$6, 100%, $E$6)</f>
        <v>2.3976000000000002</v>
      </c>
      <c r="E34" s="61">
        <f>2.3159 * CHOOSE(CONTROL!$C$19, $C$6, 100%, $E$6)</f>
        <v>2.3159000000000001</v>
      </c>
      <c r="F34" s="61">
        <f>2.3159 * CHOOSE(CONTROL!$C$19, $C$6, 100%, $E$6)</f>
        <v>2.3159000000000001</v>
      </c>
      <c r="G34" s="61">
        <f>2.316 * CHOOSE(CONTROL!$C$19, $C$6, 100%, $E$6)</f>
        <v>2.3159999999999998</v>
      </c>
      <c r="H34" s="61">
        <f>4.3866* CHOOSE(CONTROL!$C$19, $C$6, 100%, $E$6)</f>
        <v>4.3865999999999996</v>
      </c>
      <c r="I34" s="61">
        <f>4.3868 * CHOOSE(CONTROL!$C$19, $C$6, 100%, $E$6)</f>
        <v>4.3868</v>
      </c>
      <c r="J34" s="61">
        <f>2.3159 * CHOOSE(CONTROL!$C$19, $C$6, 100%, $E$6)</f>
        <v>2.3159000000000001</v>
      </c>
      <c r="K34" s="61">
        <f>2.316 * CHOOSE(CONTROL!$C$19, $C$6, 100%, $E$6)</f>
        <v>2.3159999999999998</v>
      </c>
      <c r="L34" s="4"/>
      <c r="M34" s="4"/>
      <c r="N34" s="4"/>
    </row>
    <row r="35" spans="1:14" ht="15">
      <c r="A35" s="13">
        <v>43132</v>
      </c>
      <c r="B35" s="60">
        <f>2.3751 * CHOOSE(CONTROL!$C$19, $C$6, 100%, $E$6)</f>
        <v>2.3751000000000002</v>
      </c>
      <c r="C35" s="60">
        <f>2.3751 * CHOOSE(CONTROL!$C$19, $C$6, 100%, $E$6)</f>
        <v>2.3751000000000002</v>
      </c>
      <c r="D35" s="60">
        <f>2.3916 * CHOOSE(CONTROL!$C$19, $C$6, 100%, $E$6)</f>
        <v>2.3915999999999999</v>
      </c>
      <c r="E35" s="61">
        <f>2.3174 * CHOOSE(CONTROL!$C$19, $C$6, 100%, $E$6)</f>
        <v>2.3174000000000001</v>
      </c>
      <c r="F35" s="61">
        <f>2.3174 * CHOOSE(CONTROL!$C$19, $C$6, 100%, $E$6)</f>
        <v>2.3174000000000001</v>
      </c>
      <c r="G35" s="61">
        <f>2.3176 * CHOOSE(CONTROL!$C$19, $C$6, 100%, $E$6)</f>
        <v>2.3176000000000001</v>
      </c>
      <c r="H35" s="61">
        <f>4.3957* CHOOSE(CONTROL!$C$19, $C$6, 100%, $E$6)</f>
        <v>4.3956999999999997</v>
      </c>
      <c r="I35" s="61">
        <f>4.3959 * CHOOSE(CONTROL!$C$19, $C$6, 100%, $E$6)</f>
        <v>4.3959000000000001</v>
      </c>
      <c r="J35" s="61">
        <f>2.3174 * CHOOSE(CONTROL!$C$19, $C$6, 100%, $E$6)</f>
        <v>2.3174000000000001</v>
      </c>
      <c r="K35" s="61">
        <f>2.3176 * CHOOSE(CONTROL!$C$19, $C$6, 100%, $E$6)</f>
        <v>2.3176000000000001</v>
      </c>
      <c r="L35" s="4"/>
      <c r="M35" s="4"/>
      <c r="N35" s="4"/>
    </row>
    <row r="36" spans="1:14" ht="15">
      <c r="A36" s="13">
        <v>43160</v>
      </c>
      <c r="B36" s="60">
        <f>2.369 * CHOOSE(CONTROL!$C$19, $C$6, 100%, $E$6)</f>
        <v>2.3690000000000002</v>
      </c>
      <c r="C36" s="60">
        <f>2.369 * CHOOSE(CONTROL!$C$19, $C$6, 100%, $E$6)</f>
        <v>2.3690000000000002</v>
      </c>
      <c r="D36" s="60">
        <f>2.3855 * CHOOSE(CONTROL!$C$19, $C$6, 100%, $E$6)</f>
        <v>2.3855</v>
      </c>
      <c r="E36" s="61">
        <f>2.3217 * CHOOSE(CONTROL!$C$19, $C$6, 100%, $E$6)</f>
        <v>2.3216999999999999</v>
      </c>
      <c r="F36" s="61">
        <f>2.3217 * CHOOSE(CONTROL!$C$19, $C$6, 100%, $E$6)</f>
        <v>2.3216999999999999</v>
      </c>
      <c r="G36" s="61">
        <f>2.3218 * CHOOSE(CONTROL!$C$19, $C$6, 100%, $E$6)</f>
        <v>2.3218000000000001</v>
      </c>
      <c r="H36" s="61">
        <f>4.4049* CHOOSE(CONTROL!$C$19, $C$6, 100%, $E$6)</f>
        <v>4.4048999999999996</v>
      </c>
      <c r="I36" s="61">
        <f>4.4051 * CHOOSE(CONTROL!$C$19, $C$6, 100%, $E$6)</f>
        <v>4.4051</v>
      </c>
      <c r="J36" s="61">
        <f>2.3217 * CHOOSE(CONTROL!$C$19, $C$6, 100%, $E$6)</f>
        <v>2.3216999999999999</v>
      </c>
      <c r="K36" s="61">
        <f>2.3218 * CHOOSE(CONTROL!$C$19, $C$6, 100%, $E$6)</f>
        <v>2.3218000000000001</v>
      </c>
      <c r="L36" s="4"/>
      <c r="M36" s="4"/>
      <c r="N36" s="4"/>
    </row>
    <row r="37" spans="1:14" ht="15">
      <c r="A37" s="13">
        <v>43191</v>
      </c>
      <c r="B37" s="60">
        <f>2.3629 * CHOOSE(CONTROL!$C$19, $C$6, 100%, $E$6)</f>
        <v>2.3628999999999998</v>
      </c>
      <c r="C37" s="60">
        <f>2.3629 * CHOOSE(CONTROL!$C$19, $C$6, 100%, $E$6)</f>
        <v>2.3628999999999998</v>
      </c>
      <c r="D37" s="60">
        <f>2.3794 * CHOOSE(CONTROL!$C$19, $C$6, 100%, $E$6)</f>
        <v>2.3794</v>
      </c>
      <c r="E37" s="61">
        <f>2.3286 * CHOOSE(CONTROL!$C$19, $C$6, 100%, $E$6)</f>
        <v>2.3285999999999998</v>
      </c>
      <c r="F37" s="61">
        <f>2.3286 * CHOOSE(CONTROL!$C$19, $C$6, 100%, $E$6)</f>
        <v>2.3285999999999998</v>
      </c>
      <c r="G37" s="61">
        <f>2.3287 * CHOOSE(CONTROL!$C$19, $C$6, 100%, $E$6)</f>
        <v>2.3287</v>
      </c>
      <c r="H37" s="61">
        <f>4.4141* CHOOSE(CONTROL!$C$19, $C$6, 100%, $E$6)</f>
        <v>4.4141000000000004</v>
      </c>
      <c r="I37" s="61">
        <f>4.4142 * CHOOSE(CONTROL!$C$19, $C$6, 100%, $E$6)</f>
        <v>4.4142000000000001</v>
      </c>
      <c r="J37" s="61">
        <f>2.3286 * CHOOSE(CONTROL!$C$19, $C$6, 100%, $E$6)</f>
        <v>2.3285999999999998</v>
      </c>
      <c r="K37" s="61">
        <f>2.3287 * CHOOSE(CONTROL!$C$19, $C$6, 100%, $E$6)</f>
        <v>2.3287</v>
      </c>
      <c r="L37" s="4"/>
      <c r="M37" s="4"/>
      <c r="N37" s="4"/>
    </row>
    <row r="38" spans="1:14" ht="15">
      <c r="A38" s="13">
        <v>43221</v>
      </c>
      <c r="B38" s="60">
        <f>2.3568 * CHOOSE(CONTROL!$C$19, $C$6, 100%, $E$6)</f>
        <v>2.3567999999999998</v>
      </c>
      <c r="C38" s="60">
        <f>2.3568 * CHOOSE(CONTROL!$C$19, $C$6, 100%, $E$6)</f>
        <v>2.3567999999999998</v>
      </c>
      <c r="D38" s="60">
        <f>2.3898 * CHOOSE(CONTROL!$C$19, $C$6, 100%, $E$6)</f>
        <v>2.3898000000000001</v>
      </c>
      <c r="E38" s="61">
        <f>2.354 * CHOOSE(CONTROL!$C$19, $C$6, 100%, $E$6)</f>
        <v>2.3540000000000001</v>
      </c>
      <c r="F38" s="61">
        <f>2.354 * CHOOSE(CONTROL!$C$19, $C$6, 100%, $E$6)</f>
        <v>2.3540000000000001</v>
      </c>
      <c r="G38" s="61">
        <f>2.356 * CHOOSE(CONTROL!$C$19, $C$6, 100%, $E$6)</f>
        <v>2.3559999999999999</v>
      </c>
      <c r="H38" s="61">
        <f>4.4233* CHOOSE(CONTROL!$C$19, $C$6, 100%, $E$6)</f>
        <v>4.4233000000000002</v>
      </c>
      <c r="I38" s="61">
        <f>4.4253 * CHOOSE(CONTROL!$C$19, $C$6, 100%, $E$6)</f>
        <v>4.4253</v>
      </c>
      <c r="J38" s="61">
        <f>2.354 * CHOOSE(CONTROL!$C$19, $C$6, 100%, $E$6)</f>
        <v>2.3540000000000001</v>
      </c>
      <c r="K38" s="61">
        <f>2.356 * CHOOSE(CONTROL!$C$19, $C$6, 100%, $E$6)</f>
        <v>2.3559999999999999</v>
      </c>
      <c r="L38" s="4"/>
      <c r="M38" s="4"/>
      <c r="N38" s="4"/>
    </row>
    <row r="39" spans="1:14" ht="15">
      <c r="A39" s="13">
        <v>43252</v>
      </c>
      <c r="B39" s="60">
        <f>2.369 * CHOOSE(CONTROL!$C$19, $C$6, 100%, $E$6)</f>
        <v>2.3690000000000002</v>
      </c>
      <c r="C39" s="60">
        <f>2.369 * CHOOSE(CONTROL!$C$19, $C$6, 100%, $E$6)</f>
        <v>2.3690000000000002</v>
      </c>
      <c r="D39" s="60">
        <f>2.402 * CHOOSE(CONTROL!$C$19, $C$6, 100%, $E$6)</f>
        <v>2.4020000000000001</v>
      </c>
      <c r="E39" s="61">
        <f>2.3848 * CHOOSE(CONTROL!$C$19, $C$6, 100%, $E$6)</f>
        <v>2.3847999999999998</v>
      </c>
      <c r="F39" s="61">
        <f>2.3848 * CHOOSE(CONTROL!$C$19, $C$6, 100%, $E$6)</f>
        <v>2.3847999999999998</v>
      </c>
      <c r="G39" s="61">
        <f>2.3868 * CHOOSE(CONTROL!$C$19, $C$6, 100%, $E$6)</f>
        <v>2.3868</v>
      </c>
      <c r="H39" s="61">
        <f>4.4325* CHOOSE(CONTROL!$C$19, $C$6, 100%, $E$6)</f>
        <v>4.4325000000000001</v>
      </c>
      <c r="I39" s="61">
        <f>4.4345 * CHOOSE(CONTROL!$C$19, $C$6, 100%, $E$6)</f>
        <v>4.4344999999999999</v>
      </c>
      <c r="J39" s="61">
        <f>2.3848 * CHOOSE(CONTROL!$C$19, $C$6, 100%, $E$6)</f>
        <v>2.3847999999999998</v>
      </c>
      <c r="K39" s="61">
        <f>2.3868 * CHOOSE(CONTROL!$C$19, $C$6, 100%, $E$6)</f>
        <v>2.3868</v>
      </c>
      <c r="L39" s="4"/>
      <c r="M39" s="4"/>
      <c r="N39" s="4"/>
    </row>
    <row r="40" spans="1:14" ht="15">
      <c r="A40" s="13">
        <v>43282</v>
      </c>
      <c r="B40" s="60">
        <f>2.3872 * CHOOSE(CONTROL!$C$19, $C$6, 100%, $E$6)</f>
        <v>2.3872</v>
      </c>
      <c r="C40" s="60">
        <f>2.3872 * CHOOSE(CONTROL!$C$19, $C$6, 100%, $E$6)</f>
        <v>2.3872</v>
      </c>
      <c r="D40" s="60">
        <f>2.4202 * CHOOSE(CONTROL!$C$19, $C$6, 100%, $E$6)</f>
        <v>2.4201999999999999</v>
      </c>
      <c r="E40" s="61">
        <f>2.4401 * CHOOSE(CONTROL!$C$19, $C$6, 100%, $E$6)</f>
        <v>2.4401000000000002</v>
      </c>
      <c r="F40" s="61">
        <f>2.4401 * CHOOSE(CONTROL!$C$19, $C$6, 100%, $E$6)</f>
        <v>2.4401000000000002</v>
      </c>
      <c r="G40" s="61">
        <f>2.4421 * CHOOSE(CONTROL!$C$19, $C$6, 100%, $E$6)</f>
        <v>2.4420999999999999</v>
      </c>
      <c r="H40" s="61">
        <f>4.4417* CHOOSE(CONTROL!$C$19, $C$6, 100%, $E$6)</f>
        <v>4.4417</v>
      </c>
      <c r="I40" s="61">
        <f>4.4438 * CHOOSE(CONTROL!$C$19, $C$6, 100%, $E$6)</f>
        <v>4.4438000000000004</v>
      </c>
      <c r="J40" s="61">
        <f>2.4401 * CHOOSE(CONTROL!$C$19, $C$6, 100%, $E$6)</f>
        <v>2.4401000000000002</v>
      </c>
      <c r="K40" s="61">
        <f>2.4421 * CHOOSE(CONTROL!$C$19, $C$6, 100%, $E$6)</f>
        <v>2.4420999999999999</v>
      </c>
      <c r="L40" s="4"/>
      <c r="M40" s="4"/>
      <c r="N40" s="4"/>
    </row>
    <row r="41" spans="1:14" ht="15">
      <c r="A41" s="13">
        <v>43313</v>
      </c>
      <c r="B41" s="60">
        <f>2.4055 * CHOOSE(CONTROL!$C$19, $C$6, 100%, $E$6)</f>
        <v>2.4055</v>
      </c>
      <c r="C41" s="60">
        <f>2.4055 * CHOOSE(CONTROL!$C$19, $C$6, 100%, $E$6)</f>
        <v>2.4055</v>
      </c>
      <c r="D41" s="60">
        <f>2.4385 * CHOOSE(CONTROL!$C$19, $C$6, 100%, $E$6)</f>
        <v>2.4384999999999999</v>
      </c>
      <c r="E41" s="61">
        <f>2.4602 * CHOOSE(CONTROL!$C$19, $C$6, 100%, $E$6)</f>
        <v>2.4601999999999999</v>
      </c>
      <c r="F41" s="61">
        <f>2.4602 * CHOOSE(CONTROL!$C$19, $C$6, 100%, $E$6)</f>
        <v>2.4601999999999999</v>
      </c>
      <c r="G41" s="61">
        <f>2.4622 * CHOOSE(CONTROL!$C$19, $C$6, 100%, $E$6)</f>
        <v>2.4622000000000002</v>
      </c>
      <c r="H41" s="61">
        <f>4.451* CHOOSE(CONTROL!$C$19, $C$6, 100%, $E$6)</f>
        <v>4.4509999999999996</v>
      </c>
      <c r="I41" s="61">
        <f>4.453 * CHOOSE(CONTROL!$C$19, $C$6, 100%, $E$6)</f>
        <v>4.4530000000000003</v>
      </c>
      <c r="J41" s="61">
        <f>2.4602 * CHOOSE(CONTROL!$C$19, $C$6, 100%, $E$6)</f>
        <v>2.4601999999999999</v>
      </c>
      <c r="K41" s="61">
        <f>2.4622 * CHOOSE(CONTROL!$C$19, $C$6, 100%, $E$6)</f>
        <v>2.4622000000000002</v>
      </c>
      <c r="L41" s="4"/>
      <c r="M41" s="4"/>
      <c r="N41" s="4"/>
    </row>
    <row r="42" spans="1:14" ht="15">
      <c r="A42" s="13">
        <v>43344</v>
      </c>
      <c r="B42" s="60">
        <f>2.3933 * CHOOSE(CONTROL!$C$19, $C$6, 100%, $E$6)</f>
        <v>2.3933</v>
      </c>
      <c r="C42" s="60">
        <f>2.3933 * CHOOSE(CONTROL!$C$19, $C$6, 100%, $E$6)</f>
        <v>2.3933</v>
      </c>
      <c r="D42" s="60">
        <f>2.4263 * CHOOSE(CONTROL!$C$19, $C$6, 100%, $E$6)</f>
        <v>2.4262999999999999</v>
      </c>
      <c r="E42" s="61">
        <f>2.5112 * CHOOSE(CONTROL!$C$19, $C$6, 100%, $E$6)</f>
        <v>2.5112000000000001</v>
      </c>
      <c r="F42" s="61">
        <f>2.5112 * CHOOSE(CONTROL!$C$19, $C$6, 100%, $E$6)</f>
        <v>2.5112000000000001</v>
      </c>
      <c r="G42" s="61">
        <f>2.5133 * CHOOSE(CONTROL!$C$19, $C$6, 100%, $E$6)</f>
        <v>2.5133000000000001</v>
      </c>
      <c r="H42" s="61">
        <f>4.4602* CHOOSE(CONTROL!$C$19, $C$6, 100%, $E$6)</f>
        <v>4.4602000000000004</v>
      </c>
      <c r="I42" s="61">
        <f>4.4623 * CHOOSE(CONTROL!$C$19, $C$6, 100%, $E$6)</f>
        <v>4.4622999999999999</v>
      </c>
      <c r="J42" s="61">
        <f>2.5112 * CHOOSE(CONTROL!$C$19, $C$6, 100%, $E$6)</f>
        <v>2.5112000000000001</v>
      </c>
      <c r="K42" s="61">
        <f>2.5133 * CHOOSE(CONTROL!$C$19, $C$6, 100%, $E$6)</f>
        <v>2.5133000000000001</v>
      </c>
      <c r="L42" s="4"/>
      <c r="M42" s="4"/>
      <c r="N42" s="4"/>
    </row>
    <row r="43" spans="1:14" ht="15">
      <c r="A43" s="13">
        <v>43374</v>
      </c>
      <c r="B43" s="60">
        <f>2.3842 * CHOOSE(CONTROL!$C$19, $C$6, 100%, $E$6)</f>
        <v>2.3841999999999999</v>
      </c>
      <c r="C43" s="60">
        <f>2.3842 * CHOOSE(CONTROL!$C$19, $C$6, 100%, $E$6)</f>
        <v>2.3841999999999999</v>
      </c>
      <c r="D43" s="60">
        <f>2.4007 * CHOOSE(CONTROL!$C$19, $C$6, 100%, $E$6)</f>
        <v>2.4007000000000001</v>
      </c>
      <c r="E43" s="61">
        <f>2.4896 * CHOOSE(CONTROL!$C$19, $C$6, 100%, $E$6)</f>
        <v>2.4895999999999998</v>
      </c>
      <c r="F43" s="61">
        <f>2.4896 * CHOOSE(CONTROL!$C$19, $C$6, 100%, $E$6)</f>
        <v>2.4895999999999998</v>
      </c>
      <c r="G43" s="61">
        <f>2.4898 * CHOOSE(CONTROL!$C$19, $C$6, 100%, $E$6)</f>
        <v>2.4897999999999998</v>
      </c>
      <c r="H43" s="61">
        <f>4.4695* CHOOSE(CONTROL!$C$19, $C$6, 100%, $E$6)</f>
        <v>4.4695</v>
      </c>
      <c r="I43" s="61">
        <f>4.4697 * CHOOSE(CONTROL!$C$19, $C$6, 100%, $E$6)</f>
        <v>4.4696999999999996</v>
      </c>
      <c r="J43" s="61">
        <f>2.4896 * CHOOSE(CONTROL!$C$19, $C$6, 100%, $E$6)</f>
        <v>2.4895999999999998</v>
      </c>
      <c r="K43" s="61">
        <f>2.4898 * CHOOSE(CONTROL!$C$19, $C$6, 100%, $E$6)</f>
        <v>2.4897999999999998</v>
      </c>
      <c r="L43" s="4"/>
      <c r="M43" s="4"/>
      <c r="N43" s="4"/>
    </row>
    <row r="44" spans="1:14" ht="15">
      <c r="A44" s="13">
        <v>43405</v>
      </c>
      <c r="B44" s="60">
        <f>2.3963 * CHOOSE(CONTROL!$C$19, $C$6, 100%, $E$6)</f>
        <v>2.3963000000000001</v>
      </c>
      <c r="C44" s="60">
        <f>2.3963 * CHOOSE(CONTROL!$C$19, $C$6, 100%, $E$6)</f>
        <v>2.3963000000000001</v>
      </c>
      <c r="D44" s="60">
        <f>2.4128 * CHOOSE(CONTROL!$C$19, $C$6, 100%, $E$6)</f>
        <v>2.4127999999999998</v>
      </c>
      <c r="E44" s="61">
        <f>2.5159 * CHOOSE(CONTROL!$C$19, $C$6, 100%, $E$6)</f>
        <v>2.5158999999999998</v>
      </c>
      <c r="F44" s="61">
        <f>2.5159 * CHOOSE(CONTROL!$C$19, $C$6, 100%, $E$6)</f>
        <v>2.5158999999999998</v>
      </c>
      <c r="G44" s="61">
        <f>2.5161 * CHOOSE(CONTROL!$C$19, $C$6, 100%, $E$6)</f>
        <v>2.5160999999999998</v>
      </c>
      <c r="H44" s="61">
        <f>4.4788* CHOOSE(CONTROL!$C$19, $C$6, 100%, $E$6)</f>
        <v>4.4787999999999997</v>
      </c>
      <c r="I44" s="61">
        <f>4.479 * CHOOSE(CONTROL!$C$19, $C$6, 100%, $E$6)</f>
        <v>4.4790000000000001</v>
      </c>
      <c r="J44" s="61">
        <f>2.5159 * CHOOSE(CONTROL!$C$19, $C$6, 100%, $E$6)</f>
        <v>2.5158999999999998</v>
      </c>
      <c r="K44" s="61">
        <f>2.5161 * CHOOSE(CONTROL!$C$19, $C$6, 100%, $E$6)</f>
        <v>2.5160999999999998</v>
      </c>
      <c r="L44" s="4"/>
      <c r="M44" s="4"/>
      <c r="N44" s="4"/>
    </row>
    <row r="45" spans="1:14" ht="15">
      <c r="A45" s="13">
        <v>43435</v>
      </c>
      <c r="B45" s="60">
        <f>2.4085 * CHOOSE(CONTROL!$C$19, $C$6, 100%, $E$6)</f>
        <v>2.4085000000000001</v>
      </c>
      <c r="C45" s="60">
        <f>2.4085 * CHOOSE(CONTROL!$C$19, $C$6, 100%, $E$6)</f>
        <v>2.4085000000000001</v>
      </c>
      <c r="D45" s="60">
        <f>2.425 * CHOOSE(CONTROL!$C$19, $C$6, 100%, $E$6)</f>
        <v>2.4249999999999998</v>
      </c>
      <c r="E45" s="61">
        <f>2.5184 * CHOOSE(CONTROL!$C$19, $C$6, 100%, $E$6)</f>
        <v>2.5184000000000002</v>
      </c>
      <c r="F45" s="61">
        <f>2.5184 * CHOOSE(CONTROL!$C$19, $C$6, 100%, $E$6)</f>
        <v>2.5184000000000002</v>
      </c>
      <c r="G45" s="61">
        <f>2.5185 * CHOOSE(CONTROL!$C$19, $C$6, 100%, $E$6)</f>
        <v>2.5185</v>
      </c>
      <c r="H45" s="61">
        <f>4.4882* CHOOSE(CONTROL!$C$19, $C$6, 100%, $E$6)</f>
        <v>4.4882</v>
      </c>
      <c r="I45" s="61">
        <f>4.4883 * CHOOSE(CONTROL!$C$19, $C$6, 100%, $E$6)</f>
        <v>4.4882999999999997</v>
      </c>
      <c r="J45" s="61">
        <f>2.5184 * CHOOSE(CONTROL!$C$19, $C$6, 100%, $E$6)</f>
        <v>2.5184000000000002</v>
      </c>
      <c r="K45" s="61">
        <f>2.5185 * CHOOSE(CONTROL!$C$19, $C$6, 100%, $E$6)</f>
        <v>2.5185</v>
      </c>
      <c r="L45" s="4"/>
      <c r="M45" s="4"/>
      <c r="N45" s="4"/>
    </row>
    <row r="46" spans="1:14" ht="15">
      <c r="A46" s="13">
        <v>43466</v>
      </c>
      <c r="B46" s="60">
        <f>2.4751 * CHOOSE(CONTROL!$C$19, $C$6, 100%, $E$6)</f>
        <v>2.4750999999999999</v>
      </c>
      <c r="C46" s="60">
        <f>2.4751 * CHOOSE(CONTROL!$C$19, $C$6, 100%, $E$6)</f>
        <v>2.4750999999999999</v>
      </c>
      <c r="D46" s="60">
        <f>2.4916 * CHOOSE(CONTROL!$C$19, $C$6, 100%, $E$6)</f>
        <v>2.4916</v>
      </c>
      <c r="E46" s="61">
        <f>2.5695 * CHOOSE(CONTROL!$C$19, $C$6, 100%, $E$6)</f>
        <v>2.5695000000000001</v>
      </c>
      <c r="F46" s="61">
        <f>2.5695 * CHOOSE(CONTROL!$C$19, $C$6, 100%, $E$6)</f>
        <v>2.5695000000000001</v>
      </c>
      <c r="G46" s="61">
        <f>2.5697 * CHOOSE(CONTROL!$C$19, $C$6, 100%, $E$6)</f>
        <v>2.5697000000000001</v>
      </c>
      <c r="H46" s="61">
        <f>4.4975* CHOOSE(CONTROL!$C$19, $C$6, 100%, $E$6)</f>
        <v>4.4974999999999996</v>
      </c>
      <c r="I46" s="61">
        <f>4.4977 * CHOOSE(CONTROL!$C$19, $C$6, 100%, $E$6)</f>
        <v>4.4977</v>
      </c>
      <c r="J46" s="61">
        <f>2.5695 * CHOOSE(CONTROL!$C$19, $C$6, 100%, $E$6)</f>
        <v>2.5695000000000001</v>
      </c>
      <c r="K46" s="61">
        <f>2.5697 * CHOOSE(CONTROL!$C$19, $C$6, 100%, $E$6)</f>
        <v>2.5697000000000001</v>
      </c>
      <c r="L46" s="4"/>
      <c r="M46" s="4"/>
      <c r="N46" s="4"/>
    </row>
    <row r="47" spans="1:14" ht="15">
      <c r="A47" s="13">
        <v>43497</v>
      </c>
      <c r="B47" s="60">
        <f>2.472 * CHOOSE(CONTROL!$C$19, $C$6, 100%, $E$6)</f>
        <v>2.472</v>
      </c>
      <c r="C47" s="60">
        <f>2.472 * CHOOSE(CONTROL!$C$19, $C$6, 100%, $E$6)</f>
        <v>2.472</v>
      </c>
      <c r="D47" s="60">
        <f>2.4885 * CHOOSE(CONTROL!$C$19, $C$6, 100%, $E$6)</f>
        <v>2.4885000000000002</v>
      </c>
      <c r="E47" s="61">
        <f>2.5537 * CHOOSE(CONTROL!$C$19, $C$6, 100%, $E$6)</f>
        <v>2.5537000000000001</v>
      </c>
      <c r="F47" s="61">
        <f>2.5537 * CHOOSE(CONTROL!$C$19, $C$6, 100%, $E$6)</f>
        <v>2.5537000000000001</v>
      </c>
      <c r="G47" s="61">
        <f>2.5539 * CHOOSE(CONTROL!$C$19, $C$6, 100%, $E$6)</f>
        <v>2.5539000000000001</v>
      </c>
      <c r="H47" s="61">
        <f>4.5069* CHOOSE(CONTROL!$C$19, $C$6, 100%, $E$6)</f>
        <v>4.5068999999999999</v>
      </c>
      <c r="I47" s="61">
        <f>4.5071 * CHOOSE(CONTROL!$C$19, $C$6, 100%, $E$6)</f>
        <v>4.5071000000000003</v>
      </c>
      <c r="J47" s="61">
        <f>2.5537 * CHOOSE(CONTROL!$C$19, $C$6, 100%, $E$6)</f>
        <v>2.5537000000000001</v>
      </c>
      <c r="K47" s="61">
        <f>2.5539 * CHOOSE(CONTROL!$C$19, $C$6, 100%, $E$6)</f>
        <v>2.5539000000000001</v>
      </c>
      <c r="L47" s="4"/>
      <c r="M47" s="4"/>
      <c r="N47" s="4"/>
    </row>
    <row r="48" spans="1:14" ht="15">
      <c r="A48" s="13">
        <v>43525</v>
      </c>
      <c r="B48" s="60">
        <f>2.469 * CHOOSE(CONTROL!$C$19, $C$6, 100%, $E$6)</f>
        <v>2.4689999999999999</v>
      </c>
      <c r="C48" s="60">
        <f>2.469 * CHOOSE(CONTROL!$C$19, $C$6, 100%, $E$6)</f>
        <v>2.4689999999999999</v>
      </c>
      <c r="D48" s="60">
        <f>2.4855 * CHOOSE(CONTROL!$C$19, $C$6, 100%, $E$6)</f>
        <v>2.4855</v>
      </c>
      <c r="E48" s="61">
        <f>2.5624 * CHOOSE(CONTROL!$C$19, $C$6, 100%, $E$6)</f>
        <v>2.5623999999999998</v>
      </c>
      <c r="F48" s="61">
        <f>2.5624 * CHOOSE(CONTROL!$C$19, $C$6, 100%, $E$6)</f>
        <v>2.5623999999999998</v>
      </c>
      <c r="G48" s="61">
        <f>2.5625 * CHOOSE(CONTROL!$C$19, $C$6, 100%, $E$6)</f>
        <v>2.5625</v>
      </c>
      <c r="H48" s="61">
        <f>4.5163* CHOOSE(CONTROL!$C$19, $C$6, 100%, $E$6)</f>
        <v>4.5163000000000002</v>
      </c>
      <c r="I48" s="61">
        <f>4.5165 * CHOOSE(CONTROL!$C$19, $C$6, 100%, $E$6)</f>
        <v>4.5164999999999997</v>
      </c>
      <c r="J48" s="61">
        <f>2.5624 * CHOOSE(CONTROL!$C$19, $C$6, 100%, $E$6)</f>
        <v>2.5623999999999998</v>
      </c>
      <c r="K48" s="61">
        <f>2.5625 * CHOOSE(CONTROL!$C$19, $C$6, 100%, $E$6)</f>
        <v>2.5625</v>
      </c>
      <c r="L48" s="4"/>
      <c r="M48" s="4"/>
      <c r="N48" s="4"/>
    </row>
    <row r="49" spans="1:14" ht="15">
      <c r="A49" s="13">
        <v>43556</v>
      </c>
      <c r="B49" s="60">
        <f>2.4629 * CHOOSE(CONTROL!$C$19, $C$6, 100%, $E$6)</f>
        <v>2.4628999999999999</v>
      </c>
      <c r="C49" s="60">
        <f>2.4629 * CHOOSE(CONTROL!$C$19, $C$6, 100%, $E$6)</f>
        <v>2.4628999999999999</v>
      </c>
      <c r="D49" s="60">
        <f>2.4794 * CHOOSE(CONTROL!$C$19, $C$6, 100%, $E$6)</f>
        <v>2.4794</v>
      </c>
      <c r="E49" s="61">
        <f>2.5697 * CHOOSE(CONTROL!$C$19, $C$6, 100%, $E$6)</f>
        <v>2.5697000000000001</v>
      </c>
      <c r="F49" s="61">
        <f>2.5697 * CHOOSE(CONTROL!$C$19, $C$6, 100%, $E$6)</f>
        <v>2.5697000000000001</v>
      </c>
      <c r="G49" s="61">
        <f>2.5699 * CHOOSE(CONTROL!$C$19, $C$6, 100%, $E$6)</f>
        <v>2.5699000000000001</v>
      </c>
      <c r="H49" s="61">
        <f>4.5257* CHOOSE(CONTROL!$C$19, $C$6, 100%, $E$6)</f>
        <v>4.5256999999999996</v>
      </c>
      <c r="I49" s="61">
        <f>4.5259 * CHOOSE(CONTROL!$C$19, $C$6, 100%, $E$6)</f>
        <v>4.5259</v>
      </c>
      <c r="J49" s="61">
        <f>2.5697 * CHOOSE(CONTROL!$C$19, $C$6, 100%, $E$6)</f>
        <v>2.5697000000000001</v>
      </c>
      <c r="K49" s="61">
        <f>2.5699 * CHOOSE(CONTROL!$C$19, $C$6, 100%, $E$6)</f>
        <v>2.5699000000000001</v>
      </c>
      <c r="L49" s="4"/>
      <c r="M49" s="4"/>
      <c r="N49" s="4"/>
    </row>
    <row r="50" spans="1:14" ht="15">
      <c r="A50" s="13">
        <v>43586</v>
      </c>
      <c r="B50" s="60">
        <f>2.4629 * CHOOSE(CONTROL!$C$19, $C$6, 100%, $E$6)</f>
        <v>2.4628999999999999</v>
      </c>
      <c r="C50" s="60">
        <f>2.4629 * CHOOSE(CONTROL!$C$19, $C$6, 100%, $E$6)</f>
        <v>2.4628999999999999</v>
      </c>
      <c r="D50" s="60">
        <f>2.4959 * CHOOSE(CONTROL!$C$19, $C$6, 100%, $E$6)</f>
        <v>2.4958999999999998</v>
      </c>
      <c r="E50" s="61">
        <f>2.574 * CHOOSE(CONTROL!$C$19, $C$6, 100%, $E$6)</f>
        <v>2.5739999999999998</v>
      </c>
      <c r="F50" s="61">
        <f>2.574 * CHOOSE(CONTROL!$C$19, $C$6, 100%, $E$6)</f>
        <v>2.5739999999999998</v>
      </c>
      <c r="G50" s="61">
        <f>2.5761 * CHOOSE(CONTROL!$C$19, $C$6, 100%, $E$6)</f>
        <v>2.5760999999999998</v>
      </c>
      <c r="H50" s="61">
        <f>4.5351* CHOOSE(CONTROL!$C$19, $C$6, 100%, $E$6)</f>
        <v>4.5350999999999999</v>
      </c>
      <c r="I50" s="61">
        <f>4.5372 * CHOOSE(CONTROL!$C$19, $C$6, 100%, $E$6)</f>
        <v>4.5372000000000003</v>
      </c>
      <c r="J50" s="61">
        <f>2.574 * CHOOSE(CONTROL!$C$19, $C$6, 100%, $E$6)</f>
        <v>2.5739999999999998</v>
      </c>
      <c r="K50" s="61">
        <f>2.5761 * CHOOSE(CONTROL!$C$19, $C$6, 100%, $E$6)</f>
        <v>2.5760999999999998</v>
      </c>
      <c r="L50" s="4"/>
      <c r="M50" s="4"/>
      <c r="N50" s="4"/>
    </row>
    <row r="51" spans="1:14" ht="15">
      <c r="A51" s="13">
        <v>43617</v>
      </c>
      <c r="B51" s="60">
        <f>2.469 * CHOOSE(CONTROL!$C$19, $C$6, 100%, $E$6)</f>
        <v>2.4689999999999999</v>
      </c>
      <c r="C51" s="60">
        <f>2.469 * CHOOSE(CONTROL!$C$19, $C$6, 100%, $E$6)</f>
        <v>2.4689999999999999</v>
      </c>
      <c r="D51" s="60">
        <f>2.502 * CHOOSE(CONTROL!$C$19, $C$6, 100%, $E$6)</f>
        <v>2.5019999999999998</v>
      </c>
      <c r="E51" s="61">
        <f>2.5739 * CHOOSE(CONTROL!$C$19, $C$6, 100%, $E$6)</f>
        <v>2.5739000000000001</v>
      </c>
      <c r="F51" s="61">
        <f>2.5739 * CHOOSE(CONTROL!$C$19, $C$6, 100%, $E$6)</f>
        <v>2.5739000000000001</v>
      </c>
      <c r="G51" s="61">
        <f>2.576 * CHOOSE(CONTROL!$C$19, $C$6, 100%, $E$6)</f>
        <v>2.5760000000000001</v>
      </c>
      <c r="H51" s="61">
        <f>4.5446* CHOOSE(CONTROL!$C$19, $C$6, 100%, $E$6)</f>
        <v>4.5446</v>
      </c>
      <c r="I51" s="61">
        <f>4.5466 * CHOOSE(CONTROL!$C$19, $C$6, 100%, $E$6)</f>
        <v>4.5465999999999998</v>
      </c>
      <c r="J51" s="61">
        <f>2.5739 * CHOOSE(CONTROL!$C$19, $C$6, 100%, $E$6)</f>
        <v>2.5739000000000001</v>
      </c>
      <c r="K51" s="61">
        <f>2.576 * CHOOSE(CONTROL!$C$19, $C$6, 100%, $E$6)</f>
        <v>2.5760000000000001</v>
      </c>
      <c r="L51" s="4"/>
      <c r="M51" s="4"/>
      <c r="N51" s="4"/>
    </row>
    <row r="52" spans="1:14" ht="15">
      <c r="A52" s="13">
        <v>43647</v>
      </c>
      <c r="B52" s="60">
        <f>2.4964 * CHOOSE(CONTROL!$C$19, $C$6, 100%, $E$6)</f>
        <v>2.4964</v>
      </c>
      <c r="C52" s="60">
        <f>2.4964 * CHOOSE(CONTROL!$C$19, $C$6, 100%, $E$6)</f>
        <v>2.4964</v>
      </c>
      <c r="D52" s="60">
        <f>2.5294 * CHOOSE(CONTROL!$C$19, $C$6, 100%, $E$6)</f>
        <v>2.5293999999999999</v>
      </c>
      <c r="E52" s="61">
        <f>2.6157 * CHOOSE(CONTROL!$C$19, $C$6, 100%, $E$6)</f>
        <v>2.6156999999999999</v>
      </c>
      <c r="F52" s="61">
        <f>2.6157 * CHOOSE(CONTROL!$C$19, $C$6, 100%, $E$6)</f>
        <v>2.6156999999999999</v>
      </c>
      <c r="G52" s="61">
        <f>2.6178 * CHOOSE(CONTROL!$C$19, $C$6, 100%, $E$6)</f>
        <v>2.6177999999999999</v>
      </c>
      <c r="H52" s="61">
        <f>4.554* CHOOSE(CONTROL!$C$19, $C$6, 100%, $E$6)</f>
        <v>4.5540000000000003</v>
      </c>
      <c r="I52" s="61">
        <f>4.5561 * CHOOSE(CONTROL!$C$19, $C$6, 100%, $E$6)</f>
        <v>4.5560999999999998</v>
      </c>
      <c r="J52" s="61">
        <f>2.6157 * CHOOSE(CONTROL!$C$19, $C$6, 100%, $E$6)</f>
        <v>2.6156999999999999</v>
      </c>
      <c r="K52" s="61">
        <f>2.6178 * CHOOSE(CONTROL!$C$19, $C$6, 100%, $E$6)</f>
        <v>2.6177999999999999</v>
      </c>
      <c r="L52" s="4"/>
      <c r="M52" s="4"/>
      <c r="N52" s="4"/>
    </row>
    <row r="53" spans="1:14" ht="15">
      <c r="A53" s="13">
        <v>43678</v>
      </c>
      <c r="B53" s="60">
        <f>2.5031 * CHOOSE(CONTROL!$C$19, $C$6, 100%, $E$6)</f>
        <v>2.5030999999999999</v>
      </c>
      <c r="C53" s="60">
        <f>2.5031 * CHOOSE(CONTROL!$C$19, $C$6, 100%, $E$6)</f>
        <v>2.5030999999999999</v>
      </c>
      <c r="D53" s="60">
        <f>2.5361 * CHOOSE(CONTROL!$C$19, $C$6, 100%, $E$6)</f>
        <v>2.5360999999999998</v>
      </c>
      <c r="E53" s="61">
        <f>2.6074 * CHOOSE(CONTROL!$C$19, $C$6, 100%, $E$6)</f>
        <v>2.6074000000000002</v>
      </c>
      <c r="F53" s="61">
        <f>2.6074 * CHOOSE(CONTROL!$C$19, $C$6, 100%, $E$6)</f>
        <v>2.6074000000000002</v>
      </c>
      <c r="G53" s="61">
        <f>2.6094 * CHOOSE(CONTROL!$C$19, $C$6, 100%, $E$6)</f>
        <v>2.6093999999999999</v>
      </c>
      <c r="H53" s="61">
        <f>4.5635* CHOOSE(CONTROL!$C$19, $C$6, 100%, $E$6)</f>
        <v>4.5635000000000003</v>
      </c>
      <c r="I53" s="61">
        <f>4.5656 * CHOOSE(CONTROL!$C$19, $C$6, 100%, $E$6)</f>
        <v>4.5655999999999999</v>
      </c>
      <c r="J53" s="61">
        <f>2.6074 * CHOOSE(CONTROL!$C$19, $C$6, 100%, $E$6)</f>
        <v>2.6074000000000002</v>
      </c>
      <c r="K53" s="61">
        <f>2.6094 * CHOOSE(CONTROL!$C$19, $C$6, 100%, $E$6)</f>
        <v>2.6093999999999999</v>
      </c>
      <c r="L53" s="4"/>
      <c r="M53" s="4"/>
      <c r="N53" s="4"/>
    </row>
    <row r="54" spans="1:14" ht="15">
      <c r="A54" s="13">
        <v>43709</v>
      </c>
      <c r="B54" s="60">
        <f>2.5001 * CHOOSE(CONTROL!$C$19, $C$6, 100%, $E$6)</f>
        <v>2.5001000000000002</v>
      </c>
      <c r="C54" s="60">
        <f>2.5001 * CHOOSE(CONTROL!$C$19, $C$6, 100%, $E$6)</f>
        <v>2.5001000000000002</v>
      </c>
      <c r="D54" s="60">
        <f>2.5331 * CHOOSE(CONTROL!$C$19, $C$6, 100%, $E$6)</f>
        <v>2.5331000000000001</v>
      </c>
      <c r="E54" s="61">
        <f>2.6038 * CHOOSE(CONTROL!$C$19, $C$6, 100%, $E$6)</f>
        <v>2.6038000000000001</v>
      </c>
      <c r="F54" s="61">
        <f>2.6038 * CHOOSE(CONTROL!$C$19, $C$6, 100%, $E$6)</f>
        <v>2.6038000000000001</v>
      </c>
      <c r="G54" s="61">
        <f>2.6058 * CHOOSE(CONTROL!$C$19, $C$6, 100%, $E$6)</f>
        <v>2.6057999999999999</v>
      </c>
      <c r="H54" s="61">
        <f>4.573* CHOOSE(CONTROL!$C$19, $C$6, 100%, $E$6)</f>
        <v>4.5730000000000004</v>
      </c>
      <c r="I54" s="61">
        <f>4.5751 * CHOOSE(CONTROL!$C$19, $C$6, 100%, $E$6)</f>
        <v>4.5750999999999999</v>
      </c>
      <c r="J54" s="61">
        <f>2.6038 * CHOOSE(CONTROL!$C$19, $C$6, 100%, $E$6)</f>
        <v>2.6038000000000001</v>
      </c>
      <c r="K54" s="61">
        <f>2.6058 * CHOOSE(CONTROL!$C$19, $C$6, 100%, $E$6)</f>
        <v>2.6057999999999999</v>
      </c>
      <c r="L54" s="4"/>
      <c r="M54" s="4"/>
      <c r="N54" s="4"/>
    </row>
    <row r="55" spans="1:14" ht="15">
      <c r="A55" s="13">
        <v>43739</v>
      </c>
      <c r="B55" s="60">
        <f>2.4808 * CHOOSE(CONTROL!$C$19, $C$6, 100%, $E$6)</f>
        <v>2.4807999999999999</v>
      </c>
      <c r="C55" s="60">
        <f>2.4808 * CHOOSE(CONTROL!$C$19, $C$6, 100%, $E$6)</f>
        <v>2.4807999999999999</v>
      </c>
      <c r="D55" s="60">
        <f>2.4973 * CHOOSE(CONTROL!$C$19, $C$6, 100%, $E$6)</f>
        <v>2.4973000000000001</v>
      </c>
      <c r="E55" s="61">
        <f>2.5962 * CHOOSE(CONTROL!$C$19, $C$6, 100%, $E$6)</f>
        <v>2.5962000000000001</v>
      </c>
      <c r="F55" s="61">
        <f>2.5962 * CHOOSE(CONTROL!$C$19, $C$6, 100%, $E$6)</f>
        <v>2.5962000000000001</v>
      </c>
      <c r="G55" s="61">
        <f>2.5963 * CHOOSE(CONTROL!$C$19, $C$6, 100%, $E$6)</f>
        <v>2.5962999999999998</v>
      </c>
      <c r="H55" s="61">
        <f>4.5825* CHOOSE(CONTROL!$C$19, $C$6, 100%, $E$6)</f>
        <v>4.5824999999999996</v>
      </c>
      <c r="I55" s="61">
        <f>4.5827 * CHOOSE(CONTROL!$C$19, $C$6, 100%, $E$6)</f>
        <v>4.5827</v>
      </c>
      <c r="J55" s="61">
        <f>2.5962 * CHOOSE(CONTROL!$C$19, $C$6, 100%, $E$6)</f>
        <v>2.5962000000000001</v>
      </c>
      <c r="K55" s="61">
        <f>2.5963 * CHOOSE(CONTROL!$C$19, $C$6, 100%, $E$6)</f>
        <v>2.5962999999999998</v>
      </c>
      <c r="L55" s="4"/>
      <c r="M55" s="4"/>
      <c r="N55" s="4"/>
    </row>
    <row r="56" spans="1:14" ht="15">
      <c r="A56" s="13">
        <v>43770</v>
      </c>
      <c r="B56" s="60">
        <f>2.4839 * CHOOSE(CONTROL!$C$19, $C$6, 100%, $E$6)</f>
        <v>2.4839000000000002</v>
      </c>
      <c r="C56" s="60">
        <f>2.4839 * CHOOSE(CONTROL!$C$19, $C$6, 100%, $E$6)</f>
        <v>2.4839000000000002</v>
      </c>
      <c r="D56" s="60">
        <f>2.5004 * CHOOSE(CONTROL!$C$19, $C$6, 100%, $E$6)</f>
        <v>2.5004</v>
      </c>
      <c r="E56" s="61">
        <f>2.6012 * CHOOSE(CONTROL!$C$19, $C$6, 100%, $E$6)</f>
        <v>2.6012</v>
      </c>
      <c r="F56" s="61">
        <f>2.6012 * CHOOSE(CONTROL!$C$19, $C$6, 100%, $E$6)</f>
        <v>2.6012</v>
      </c>
      <c r="G56" s="61">
        <f>2.6013 * CHOOSE(CONTROL!$C$19, $C$6, 100%, $E$6)</f>
        <v>2.6013000000000002</v>
      </c>
      <c r="H56" s="61">
        <f>4.5921* CHOOSE(CONTROL!$C$19, $C$6, 100%, $E$6)</f>
        <v>4.5921000000000003</v>
      </c>
      <c r="I56" s="61">
        <f>4.5923 * CHOOSE(CONTROL!$C$19, $C$6, 100%, $E$6)</f>
        <v>4.5922999999999998</v>
      </c>
      <c r="J56" s="61">
        <f>2.6012 * CHOOSE(CONTROL!$C$19, $C$6, 100%, $E$6)</f>
        <v>2.6012</v>
      </c>
      <c r="K56" s="61">
        <f>2.6013 * CHOOSE(CONTROL!$C$19, $C$6, 100%, $E$6)</f>
        <v>2.6013000000000002</v>
      </c>
      <c r="L56" s="4"/>
      <c r="M56" s="4"/>
      <c r="N56" s="4"/>
    </row>
    <row r="57" spans="1:14" ht="15">
      <c r="A57" s="13">
        <v>43800</v>
      </c>
      <c r="B57" s="60">
        <f>2.4839 * CHOOSE(CONTROL!$C$19, $C$6, 100%, $E$6)</f>
        <v>2.4839000000000002</v>
      </c>
      <c r="C57" s="60">
        <f>2.4839 * CHOOSE(CONTROL!$C$19, $C$6, 100%, $E$6)</f>
        <v>2.4839000000000002</v>
      </c>
      <c r="D57" s="60">
        <f>2.5004 * CHOOSE(CONTROL!$C$19, $C$6, 100%, $E$6)</f>
        <v>2.5004</v>
      </c>
      <c r="E57" s="61">
        <f>2.5939 * CHOOSE(CONTROL!$C$19, $C$6, 100%, $E$6)</f>
        <v>2.5939000000000001</v>
      </c>
      <c r="F57" s="61">
        <f>2.5939 * CHOOSE(CONTROL!$C$19, $C$6, 100%, $E$6)</f>
        <v>2.5939000000000001</v>
      </c>
      <c r="G57" s="61">
        <f>2.5941 * CHOOSE(CONTROL!$C$19, $C$6, 100%, $E$6)</f>
        <v>2.5941000000000001</v>
      </c>
      <c r="H57" s="61">
        <f>4.6017* CHOOSE(CONTROL!$C$19, $C$6, 100%, $E$6)</f>
        <v>4.6017000000000001</v>
      </c>
      <c r="I57" s="61">
        <f>4.6018 * CHOOSE(CONTROL!$C$19, $C$6, 100%, $E$6)</f>
        <v>4.6017999999999999</v>
      </c>
      <c r="J57" s="61">
        <f>2.5939 * CHOOSE(CONTROL!$C$19, $C$6, 100%, $E$6)</f>
        <v>2.5939000000000001</v>
      </c>
      <c r="K57" s="61">
        <f>2.5941 * CHOOSE(CONTROL!$C$19, $C$6, 100%, $E$6)</f>
        <v>2.5941000000000001</v>
      </c>
      <c r="L57" s="4"/>
      <c r="M57" s="4"/>
      <c r="N57" s="4"/>
    </row>
    <row r="58" spans="1:14" ht="15">
      <c r="A58" s="13">
        <v>43831</v>
      </c>
      <c r="B58" s="60">
        <f>2.6884 * CHOOSE(CONTROL!$C$19, $C$6, 100%, $E$6)</f>
        <v>2.6884000000000001</v>
      </c>
      <c r="C58" s="60">
        <f>2.6884 * CHOOSE(CONTROL!$C$19, $C$6, 100%, $E$6)</f>
        <v>2.6884000000000001</v>
      </c>
      <c r="D58" s="60">
        <f>2.7049 * CHOOSE(CONTROL!$C$19, $C$6, 100%, $E$6)</f>
        <v>2.7048999999999999</v>
      </c>
      <c r="E58" s="61">
        <f>2.6809 * CHOOSE(CONTROL!$C$19, $C$6, 100%, $E$6)</f>
        <v>2.6808999999999998</v>
      </c>
      <c r="F58" s="61">
        <f>2.6809 * CHOOSE(CONTROL!$C$19, $C$6, 100%, $E$6)</f>
        <v>2.6808999999999998</v>
      </c>
      <c r="G58" s="61">
        <f>2.6811 * CHOOSE(CONTROL!$C$19, $C$6, 100%, $E$6)</f>
        <v>2.6810999999999998</v>
      </c>
      <c r="H58" s="61">
        <f>4.6112* CHOOSE(CONTROL!$C$19, $C$6, 100%, $E$6)</f>
        <v>4.6112000000000002</v>
      </c>
      <c r="I58" s="61">
        <f>4.6114 * CHOOSE(CONTROL!$C$19, $C$6, 100%, $E$6)</f>
        <v>4.6113999999999997</v>
      </c>
      <c r="J58" s="61">
        <f>2.6809 * CHOOSE(CONTROL!$C$19, $C$6, 100%, $E$6)</f>
        <v>2.6808999999999998</v>
      </c>
      <c r="K58" s="61">
        <f>2.6811 * CHOOSE(CONTROL!$C$19, $C$6, 100%, $E$6)</f>
        <v>2.6810999999999998</v>
      </c>
      <c r="L58" s="4"/>
      <c r="M58" s="4"/>
      <c r="N58" s="4"/>
    </row>
    <row r="59" spans="1:14" ht="15">
      <c r="A59" s="13">
        <v>43862</v>
      </c>
      <c r="B59" s="60">
        <f>2.6854 * CHOOSE(CONTROL!$C$19, $C$6, 100%, $E$6)</f>
        <v>2.6854</v>
      </c>
      <c r="C59" s="60">
        <f>2.6854 * CHOOSE(CONTROL!$C$19, $C$6, 100%, $E$6)</f>
        <v>2.6854</v>
      </c>
      <c r="D59" s="60">
        <f>2.7019 * CHOOSE(CONTROL!$C$19, $C$6, 100%, $E$6)</f>
        <v>2.7019000000000002</v>
      </c>
      <c r="E59" s="61">
        <f>2.6621 * CHOOSE(CONTROL!$C$19, $C$6, 100%, $E$6)</f>
        <v>2.6621000000000001</v>
      </c>
      <c r="F59" s="61">
        <f>2.6621 * CHOOSE(CONTROL!$C$19, $C$6, 100%, $E$6)</f>
        <v>2.6621000000000001</v>
      </c>
      <c r="G59" s="61">
        <f>2.6623 * CHOOSE(CONTROL!$C$19, $C$6, 100%, $E$6)</f>
        <v>2.6623000000000001</v>
      </c>
      <c r="H59" s="61">
        <f>4.6209* CHOOSE(CONTROL!$C$19, $C$6, 100%, $E$6)</f>
        <v>4.6208999999999998</v>
      </c>
      <c r="I59" s="61">
        <f>4.621 * CHOOSE(CONTROL!$C$19, $C$6, 100%, $E$6)</f>
        <v>4.6210000000000004</v>
      </c>
      <c r="J59" s="61">
        <f>2.6621 * CHOOSE(CONTROL!$C$19, $C$6, 100%, $E$6)</f>
        <v>2.6621000000000001</v>
      </c>
      <c r="K59" s="61">
        <f>2.6623 * CHOOSE(CONTROL!$C$19, $C$6, 100%, $E$6)</f>
        <v>2.6623000000000001</v>
      </c>
      <c r="L59" s="4"/>
      <c r="M59" s="4"/>
      <c r="N59" s="4"/>
    </row>
    <row r="60" spans="1:14" ht="15">
      <c r="A60" s="13">
        <v>43891</v>
      </c>
      <c r="B60" s="60">
        <f>2.6823 * CHOOSE(CONTROL!$C$19, $C$6, 100%, $E$6)</f>
        <v>2.6823000000000001</v>
      </c>
      <c r="C60" s="60">
        <f>2.6823 * CHOOSE(CONTROL!$C$19, $C$6, 100%, $E$6)</f>
        <v>2.6823000000000001</v>
      </c>
      <c r="D60" s="60">
        <f>2.6989 * CHOOSE(CONTROL!$C$19, $C$6, 100%, $E$6)</f>
        <v>2.6989000000000001</v>
      </c>
      <c r="E60" s="61">
        <f>2.6731 * CHOOSE(CONTROL!$C$19, $C$6, 100%, $E$6)</f>
        <v>2.6730999999999998</v>
      </c>
      <c r="F60" s="61">
        <f>2.6731 * CHOOSE(CONTROL!$C$19, $C$6, 100%, $E$6)</f>
        <v>2.6730999999999998</v>
      </c>
      <c r="G60" s="61">
        <f>2.6733 * CHOOSE(CONTROL!$C$19, $C$6, 100%, $E$6)</f>
        <v>2.6732999999999998</v>
      </c>
      <c r="H60" s="61">
        <f>4.6305* CHOOSE(CONTROL!$C$19, $C$6, 100%, $E$6)</f>
        <v>4.6304999999999996</v>
      </c>
      <c r="I60" s="61">
        <f>4.6307 * CHOOSE(CONTROL!$C$19, $C$6, 100%, $E$6)</f>
        <v>4.6307</v>
      </c>
      <c r="J60" s="61">
        <f>2.6731 * CHOOSE(CONTROL!$C$19, $C$6, 100%, $E$6)</f>
        <v>2.6730999999999998</v>
      </c>
      <c r="K60" s="61">
        <f>2.6733 * CHOOSE(CONTROL!$C$19, $C$6, 100%, $E$6)</f>
        <v>2.6732999999999998</v>
      </c>
      <c r="L60" s="4"/>
      <c r="M60" s="4"/>
      <c r="N60" s="4"/>
    </row>
    <row r="61" spans="1:14" ht="15">
      <c r="A61" s="13">
        <v>43922</v>
      </c>
      <c r="B61" s="60">
        <f>2.6788 * CHOOSE(CONTROL!$C$19, $C$6, 100%, $E$6)</f>
        <v>2.6787999999999998</v>
      </c>
      <c r="C61" s="60">
        <f>2.6788 * CHOOSE(CONTROL!$C$19, $C$6, 100%, $E$6)</f>
        <v>2.6787999999999998</v>
      </c>
      <c r="D61" s="60">
        <f>2.6953 * CHOOSE(CONTROL!$C$19, $C$6, 100%, $E$6)</f>
        <v>2.6953</v>
      </c>
      <c r="E61" s="61">
        <f>2.683 * CHOOSE(CONTROL!$C$19, $C$6, 100%, $E$6)</f>
        <v>2.6829999999999998</v>
      </c>
      <c r="F61" s="61">
        <f>2.683 * CHOOSE(CONTROL!$C$19, $C$6, 100%, $E$6)</f>
        <v>2.6829999999999998</v>
      </c>
      <c r="G61" s="61">
        <f>2.6832 * CHOOSE(CONTROL!$C$19, $C$6, 100%, $E$6)</f>
        <v>2.6831999999999998</v>
      </c>
      <c r="H61" s="61">
        <f>4.6401* CHOOSE(CONTROL!$C$19, $C$6, 100%, $E$6)</f>
        <v>4.6401000000000003</v>
      </c>
      <c r="I61" s="61">
        <f>4.6403 * CHOOSE(CONTROL!$C$19, $C$6, 100%, $E$6)</f>
        <v>4.6402999999999999</v>
      </c>
      <c r="J61" s="61">
        <f>2.683 * CHOOSE(CONTROL!$C$19, $C$6, 100%, $E$6)</f>
        <v>2.6829999999999998</v>
      </c>
      <c r="K61" s="61">
        <f>2.6832 * CHOOSE(CONTROL!$C$19, $C$6, 100%, $E$6)</f>
        <v>2.6831999999999998</v>
      </c>
      <c r="L61" s="4"/>
      <c r="M61" s="4"/>
      <c r="N61" s="4"/>
    </row>
    <row r="62" spans="1:14" ht="15">
      <c r="A62" s="13">
        <v>43952</v>
      </c>
      <c r="B62" s="60">
        <f>2.6788 * CHOOSE(CONTROL!$C$19, $C$6, 100%, $E$6)</f>
        <v>2.6787999999999998</v>
      </c>
      <c r="C62" s="60">
        <f>2.6788 * CHOOSE(CONTROL!$C$19, $C$6, 100%, $E$6)</f>
        <v>2.6787999999999998</v>
      </c>
      <c r="D62" s="60">
        <f>2.7118 * CHOOSE(CONTROL!$C$19, $C$6, 100%, $E$6)</f>
        <v>2.7118000000000002</v>
      </c>
      <c r="E62" s="61">
        <f>2.6883 * CHOOSE(CONTROL!$C$19, $C$6, 100%, $E$6)</f>
        <v>2.6882999999999999</v>
      </c>
      <c r="F62" s="61">
        <f>2.6883 * CHOOSE(CONTROL!$C$19, $C$6, 100%, $E$6)</f>
        <v>2.6882999999999999</v>
      </c>
      <c r="G62" s="61">
        <f>2.6903 * CHOOSE(CONTROL!$C$19, $C$6, 100%, $E$6)</f>
        <v>2.6903000000000001</v>
      </c>
      <c r="H62" s="61">
        <f>4.6498* CHOOSE(CONTROL!$C$19, $C$6, 100%, $E$6)</f>
        <v>4.6497999999999999</v>
      </c>
      <c r="I62" s="61">
        <f>4.6518 * CHOOSE(CONTROL!$C$19, $C$6, 100%, $E$6)</f>
        <v>4.6517999999999997</v>
      </c>
      <c r="J62" s="61">
        <f>2.6883 * CHOOSE(CONTROL!$C$19, $C$6, 100%, $E$6)</f>
        <v>2.6882999999999999</v>
      </c>
      <c r="K62" s="61">
        <f>2.6903 * CHOOSE(CONTROL!$C$19, $C$6, 100%, $E$6)</f>
        <v>2.6903000000000001</v>
      </c>
      <c r="L62" s="4"/>
      <c r="M62" s="4"/>
      <c r="N62" s="4"/>
    </row>
    <row r="63" spans="1:14" ht="15">
      <c r="A63" s="13">
        <v>43983</v>
      </c>
      <c r="B63" s="60">
        <f>2.6848 * CHOOSE(CONTROL!$C$19, $C$6, 100%, $E$6)</f>
        <v>2.6848000000000001</v>
      </c>
      <c r="C63" s="60">
        <f>2.6848 * CHOOSE(CONTROL!$C$19, $C$6, 100%, $E$6)</f>
        <v>2.6848000000000001</v>
      </c>
      <c r="D63" s="60">
        <f>2.7179 * CHOOSE(CONTROL!$C$19, $C$6, 100%, $E$6)</f>
        <v>2.7179000000000002</v>
      </c>
      <c r="E63" s="61">
        <f>2.6872 * CHOOSE(CONTROL!$C$19, $C$6, 100%, $E$6)</f>
        <v>2.6871999999999998</v>
      </c>
      <c r="F63" s="61">
        <f>2.6872 * CHOOSE(CONTROL!$C$19, $C$6, 100%, $E$6)</f>
        <v>2.6871999999999998</v>
      </c>
      <c r="G63" s="61">
        <f>2.6893 * CHOOSE(CONTROL!$C$19, $C$6, 100%, $E$6)</f>
        <v>2.6892999999999998</v>
      </c>
      <c r="H63" s="61">
        <f>4.6595* CHOOSE(CONTROL!$C$19, $C$6, 100%, $E$6)</f>
        <v>4.6595000000000004</v>
      </c>
      <c r="I63" s="61">
        <f>4.6615 * CHOOSE(CONTROL!$C$19, $C$6, 100%, $E$6)</f>
        <v>4.6615000000000002</v>
      </c>
      <c r="J63" s="61">
        <f>2.6872 * CHOOSE(CONTROL!$C$19, $C$6, 100%, $E$6)</f>
        <v>2.6871999999999998</v>
      </c>
      <c r="K63" s="61">
        <f>2.6893 * CHOOSE(CONTROL!$C$19, $C$6, 100%, $E$6)</f>
        <v>2.6892999999999998</v>
      </c>
      <c r="L63" s="4"/>
      <c r="M63" s="4"/>
      <c r="N63" s="4"/>
    </row>
    <row r="64" spans="1:14" ht="15">
      <c r="A64" s="13">
        <v>44013</v>
      </c>
      <c r="B64" s="60">
        <f>2.7801 * CHOOSE(CONTROL!$C$19, $C$6, 100%, $E$6)</f>
        <v>2.7801</v>
      </c>
      <c r="C64" s="60">
        <f>2.7801 * CHOOSE(CONTROL!$C$19, $C$6, 100%, $E$6)</f>
        <v>2.7801</v>
      </c>
      <c r="D64" s="60">
        <f>2.8131 * CHOOSE(CONTROL!$C$19, $C$6, 100%, $E$6)</f>
        <v>2.8130999999999999</v>
      </c>
      <c r="E64" s="61">
        <f>2.8193 * CHOOSE(CONTROL!$C$19, $C$6, 100%, $E$6)</f>
        <v>2.8193000000000001</v>
      </c>
      <c r="F64" s="61">
        <f>2.8193 * CHOOSE(CONTROL!$C$19, $C$6, 100%, $E$6)</f>
        <v>2.8193000000000001</v>
      </c>
      <c r="G64" s="61">
        <f>2.8213 * CHOOSE(CONTROL!$C$19, $C$6, 100%, $E$6)</f>
        <v>2.8212999999999999</v>
      </c>
      <c r="H64" s="61">
        <f>4.6692* CHOOSE(CONTROL!$C$19, $C$6, 100%, $E$6)</f>
        <v>4.6692</v>
      </c>
      <c r="I64" s="61">
        <f>4.6712 * CHOOSE(CONTROL!$C$19, $C$6, 100%, $E$6)</f>
        <v>4.6711999999999998</v>
      </c>
      <c r="J64" s="61">
        <f>2.8193 * CHOOSE(CONTROL!$C$19, $C$6, 100%, $E$6)</f>
        <v>2.8193000000000001</v>
      </c>
      <c r="K64" s="61">
        <f>2.8213 * CHOOSE(CONTROL!$C$19, $C$6, 100%, $E$6)</f>
        <v>2.8212999999999999</v>
      </c>
      <c r="L64" s="4"/>
      <c r="M64" s="4"/>
      <c r="N64" s="4"/>
    </row>
    <row r="65" spans="1:14" ht="15">
      <c r="A65" s="13">
        <v>44044</v>
      </c>
      <c r="B65" s="60">
        <f>2.7867 * CHOOSE(CONTROL!$C$19, $C$6, 100%, $E$6)</f>
        <v>2.7867000000000002</v>
      </c>
      <c r="C65" s="60">
        <f>2.7867 * CHOOSE(CONTROL!$C$19, $C$6, 100%, $E$6)</f>
        <v>2.7867000000000002</v>
      </c>
      <c r="D65" s="60">
        <f>2.8198 * CHOOSE(CONTROL!$C$19, $C$6, 100%, $E$6)</f>
        <v>2.8197999999999999</v>
      </c>
      <c r="E65" s="61">
        <f>2.8081 * CHOOSE(CONTROL!$C$19, $C$6, 100%, $E$6)</f>
        <v>2.8081</v>
      </c>
      <c r="F65" s="61">
        <f>2.8081 * CHOOSE(CONTROL!$C$19, $C$6, 100%, $E$6)</f>
        <v>2.8081</v>
      </c>
      <c r="G65" s="61">
        <f>2.8101 * CHOOSE(CONTROL!$C$19, $C$6, 100%, $E$6)</f>
        <v>2.8100999999999998</v>
      </c>
      <c r="H65" s="61">
        <f>4.6789* CHOOSE(CONTROL!$C$19, $C$6, 100%, $E$6)</f>
        <v>4.6788999999999996</v>
      </c>
      <c r="I65" s="61">
        <f>4.681 * CHOOSE(CONTROL!$C$19, $C$6, 100%, $E$6)</f>
        <v>4.681</v>
      </c>
      <c r="J65" s="61">
        <f>2.8081 * CHOOSE(CONTROL!$C$19, $C$6, 100%, $E$6)</f>
        <v>2.8081</v>
      </c>
      <c r="K65" s="61">
        <f>2.8101 * CHOOSE(CONTROL!$C$19, $C$6, 100%, $E$6)</f>
        <v>2.8100999999999998</v>
      </c>
      <c r="L65" s="4"/>
      <c r="M65" s="4"/>
      <c r="N65" s="4"/>
    </row>
    <row r="66" spans="1:14" ht="15">
      <c r="A66" s="13">
        <v>44075</v>
      </c>
      <c r="B66" s="60">
        <f>2.7837 * CHOOSE(CONTROL!$C$19, $C$6, 100%, $E$6)</f>
        <v>2.7837000000000001</v>
      </c>
      <c r="C66" s="60">
        <f>2.7837 * CHOOSE(CONTROL!$C$19, $C$6, 100%, $E$6)</f>
        <v>2.7837000000000001</v>
      </c>
      <c r="D66" s="60">
        <f>2.8167 * CHOOSE(CONTROL!$C$19, $C$6, 100%, $E$6)</f>
        <v>2.8167</v>
      </c>
      <c r="E66" s="61">
        <f>2.8042 * CHOOSE(CONTROL!$C$19, $C$6, 100%, $E$6)</f>
        <v>2.8041999999999998</v>
      </c>
      <c r="F66" s="61">
        <f>2.8042 * CHOOSE(CONTROL!$C$19, $C$6, 100%, $E$6)</f>
        <v>2.8041999999999998</v>
      </c>
      <c r="G66" s="61">
        <f>2.8062 * CHOOSE(CONTROL!$C$19, $C$6, 100%, $E$6)</f>
        <v>2.8062</v>
      </c>
      <c r="H66" s="61">
        <f>4.6887* CHOOSE(CONTROL!$C$19, $C$6, 100%, $E$6)</f>
        <v>4.6886999999999999</v>
      </c>
      <c r="I66" s="61">
        <f>4.6907 * CHOOSE(CONTROL!$C$19, $C$6, 100%, $E$6)</f>
        <v>4.6906999999999996</v>
      </c>
      <c r="J66" s="61">
        <f>2.8042 * CHOOSE(CONTROL!$C$19, $C$6, 100%, $E$6)</f>
        <v>2.8041999999999998</v>
      </c>
      <c r="K66" s="61">
        <f>2.8062 * CHOOSE(CONTROL!$C$19, $C$6, 100%, $E$6)</f>
        <v>2.8062</v>
      </c>
      <c r="L66" s="4"/>
      <c r="M66" s="4"/>
      <c r="N66" s="4"/>
    </row>
    <row r="67" spans="1:14" ht="15">
      <c r="A67" s="13">
        <v>44105</v>
      </c>
      <c r="B67" s="60">
        <f>2.7743 * CHOOSE(CONTROL!$C$19, $C$6, 100%, $E$6)</f>
        <v>2.7743000000000002</v>
      </c>
      <c r="C67" s="60">
        <f>2.7743 * CHOOSE(CONTROL!$C$19, $C$6, 100%, $E$6)</f>
        <v>2.7743000000000002</v>
      </c>
      <c r="D67" s="60">
        <f>2.7908 * CHOOSE(CONTROL!$C$19, $C$6, 100%, $E$6)</f>
        <v>2.7907999999999999</v>
      </c>
      <c r="E67" s="61">
        <f>2.7978 * CHOOSE(CONTROL!$C$19, $C$6, 100%, $E$6)</f>
        <v>2.7978000000000001</v>
      </c>
      <c r="F67" s="61">
        <f>2.7978 * CHOOSE(CONTROL!$C$19, $C$6, 100%, $E$6)</f>
        <v>2.7978000000000001</v>
      </c>
      <c r="G67" s="61">
        <f>2.798 * CHOOSE(CONTROL!$C$19, $C$6, 100%, $E$6)</f>
        <v>2.798</v>
      </c>
      <c r="H67" s="61">
        <f>4.6984* CHOOSE(CONTROL!$C$19, $C$6, 100%, $E$6)</f>
        <v>4.6984000000000004</v>
      </c>
      <c r="I67" s="61">
        <f>4.6986 * CHOOSE(CONTROL!$C$19, $C$6, 100%, $E$6)</f>
        <v>4.6985999999999999</v>
      </c>
      <c r="J67" s="61">
        <f>2.7978 * CHOOSE(CONTROL!$C$19, $C$6, 100%, $E$6)</f>
        <v>2.7978000000000001</v>
      </c>
      <c r="K67" s="61">
        <f>2.798 * CHOOSE(CONTROL!$C$19, $C$6, 100%, $E$6)</f>
        <v>2.798</v>
      </c>
      <c r="L67" s="4"/>
      <c r="M67" s="4"/>
      <c r="N67" s="4"/>
    </row>
    <row r="68" spans="1:14" ht="15">
      <c r="A68" s="13">
        <v>44136</v>
      </c>
      <c r="B68" s="60">
        <f>2.7773 * CHOOSE(CONTROL!$C$19, $C$6, 100%, $E$6)</f>
        <v>2.7772999999999999</v>
      </c>
      <c r="C68" s="60">
        <f>2.7773 * CHOOSE(CONTROL!$C$19, $C$6, 100%, $E$6)</f>
        <v>2.7772999999999999</v>
      </c>
      <c r="D68" s="60">
        <f>2.7938 * CHOOSE(CONTROL!$C$19, $C$6, 100%, $E$6)</f>
        <v>2.7938000000000001</v>
      </c>
      <c r="E68" s="61">
        <f>2.8035 * CHOOSE(CONTROL!$C$19, $C$6, 100%, $E$6)</f>
        <v>2.8035000000000001</v>
      </c>
      <c r="F68" s="61">
        <f>2.8035 * CHOOSE(CONTROL!$C$19, $C$6, 100%, $E$6)</f>
        <v>2.8035000000000001</v>
      </c>
      <c r="G68" s="61">
        <f>2.8036 * CHOOSE(CONTROL!$C$19, $C$6, 100%, $E$6)</f>
        <v>2.8035999999999999</v>
      </c>
      <c r="H68" s="61">
        <f>4.7082* CHOOSE(CONTROL!$C$19, $C$6, 100%, $E$6)</f>
        <v>4.7081999999999997</v>
      </c>
      <c r="I68" s="61">
        <f>4.7084 * CHOOSE(CONTROL!$C$19, $C$6, 100%, $E$6)</f>
        <v>4.7084000000000001</v>
      </c>
      <c r="J68" s="61">
        <f>2.8035 * CHOOSE(CONTROL!$C$19, $C$6, 100%, $E$6)</f>
        <v>2.8035000000000001</v>
      </c>
      <c r="K68" s="61">
        <f>2.8036 * CHOOSE(CONTROL!$C$19, $C$6, 100%, $E$6)</f>
        <v>2.8035999999999999</v>
      </c>
      <c r="L68" s="4"/>
      <c r="M68" s="4"/>
      <c r="N68" s="4"/>
    </row>
    <row r="69" spans="1:14" ht="15">
      <c r="A69" s="13">
        <v>44166</v>
      </c>
      <c r="B69" s="60">
        <f>2.7773 * CHOOSE(CONTROL!$C$19, $C$6, 100%, $E$6)</f>
        <v>2.7772999999999999</v>
      </c>
      <c r="C69" s="60">
        <f>2.7773 * CHOOSE(CONTROL!$C$19, $C$6, 100%, $E$6)</f>
        <v>2.7772999999999999</v>
      </c>
      <c r="D69" s="60">
        <f>2.7938 * CHOOSE(CONTROL!$C$19, $C$6, 100%, $E$6)</f>
        <v>2.7938000000000001</v>
      </c>
      <c r="E69" s="61">
        <f>2.7946 * CHOOSE(CONTROL!$C$19, $C$6, 100%, $E$6)</f>
        <v>2.7946</v>
      </c>
      <c r="F69" s="61">
        <f>2.7946 * CHOOSE(CONTROL!$C$19, $C$6, 100%, $E$6)</f>
        <v>2.7946</v>
      </c>
      <c r="G69" s="61">
        <f>2.7948 * CHOOSE(CONTROL!$C$19, $C$6, 100%, $E$6)</f>
        <v>2.7948</v>
      </c>
      <c r="H69" s="61">
        <f>4.718* CHOOSE(CONTROL!$C$19, $C$6, 100%, $E$6)</f>
        <v>4.718</v>
      </c>
      <c r="I69" s="61">
        <f>4.7182 * CHOOSE(CONTROL!$C$19, $C$6, 100%, $E$6)</f>
        <v>4.7182000000000004</v>
      </c>
      <c r="J69" s="61">
        <f>2.7946 * CHOOSE(CONTROL!$C$19, $C$6, 100%, $E$6)</f>
        <v>2.7946</v>
      </c>
      <c r="K69" s="61">
        <f>2.7948 * CHOOSE(CONTROL!$C$19, $C$6, 100%, $E$6)</f>
        <v>2.7948</v>
      </c>
      <c r="L69" s="4"/>
      <c r="M69" s="4"/>
      <c r="N69" s="4"/>
    </row>
    <row r="70" spans="1:14" ht="15">
      <c r="A70" s="13">
        <v>44197</v>
      </c>
      <c r="B70" s="60">
        <f>2.8122 * CHOOSE(CONTROL!$C$19, $C$6, 100%, $E$6)</f>
        <v>2.8121999999999998</v>
      </c>
      <c r="C70" s="60">
        <f>2.8122 * CHOOSE(CONTROL!$C$19, $C$6, 100%, $E$6)</f>
        <v>2.8121999999999998</v>
      </c>
      <c r="D70" s="60">
        <f>2.8287 * CHOOSE(CONTROL!$C$19, $C$6, 100%, $E$6)</f>
        <v>2.8287</v>
      </c>
      <c r="E70" s="61">
        <f>2.8576 * CHOOSE(CONTROL!$C$19, $C$6, 100%, $E$6)</f>
        <v>2.8576000000000001</v>
      </c>
      <c r="F70" s="61">
        <f>2.8576 * CHOOSE(CONTROL!$C$19, $C$6, 100%, $E$6)</f>
        <v>2.8576000000000001</v>
      </c>
      <c r="G70" s="61">
        <f>2.8578 * CHOOSE(CONTROL!$C$19, $C$6, 100%, $E$6)</f>
        <v>2.8578000000000001</v>
      </c>
      <c r="H70" s="61">
        <f>4.7279* CHOOSE(CONTROL!$C$19, $C$6, 100%, $E$6)</f>
        <v>4.7279</v>
      </c>
      <c r="I70" s="61">
        <f>4.728 * CHOOSE(CONTROL!$C$19, $C$6, 100%, $E$6)</f>
        <v>4.7279999999999998</v>
      </c>
      <c r="J70" s="61">
        <f>2.8576 * CHOOSE(CONTROL!$C$19, $C$6, 100%, $E$6)</f>
        <v>2.8576000000000001</v>
      </c>
      <c r="K70" s="61">
        <f>2.8578 * CHOOSE(CONTROL!$C$19, $C$6, 100%, $E$6)</f>
        <v>2.8578000000000001</v>
      </c>
      <c r="L70" s="4"/>
      <c r="M70" s="4"/>
      <c r="N70" s="4"/>
    </row>
    <row r="71" spans="1:14" ht="15">
      <c r="A71" s="13">
        <v>44228</v>
      </c>
      <c r="B71" s="60">
        <f>2.8091 * CHOOSE(CONTROL!$C$19, $C$6, 100%, $E$6)</f>
        <v>2.8090999999999999</v>
      </c>
      <c r="C71" s="60">
        <f>2.8091 * CHOOSE(CONTROL!$C$19, $C$6, 100%, $E$6)</f>
        <v>2.8090999999999999</v>
      </c>
      <c r="D71" s="60">
        <f>2.8256 * CHOOSE(CONTROL!$C$19, $C$6, 100%, $E$6)</f>
        <v>2.8256000000000001</v>
      </c>
      <c r="E71" s="61">
        <f>2.8354 * CHOOSE(CONTROL!$C$19, $C$6, 100%, $E$6)</f>
        <v>2.8353999999999999</v>
      </c>
      <c r="F71" s="61">
        <f>2.8354 * CHOOSE(CONTROL!$C$19, $C$6, 100%, $E$6)</f>
        <v>2.8353999999999999</v>
      </c>
      <c r="G71" s="61">
        <f>2.8356 * CHOOSE(CONTROL!$C$19, $C$6, 100%, $E$6)</f>
        <v>2.8355999999999999</v>
      </c>
      <c r="H71" s="61">
        <f>4.7377* CHOOSE(CONTROL!$C$19, $C$6, 100%, $E$6)</f>
        <v>4.7377000000000002</v>
      </c>
      <c r="I71" s="61">
        <f>4.7379 * CHOOSE(CONTROL!$C$19, $C$6, 100%, $E$6)</f>
        <v>4.7378999999999998</v>
      </c>
      <c r="J71" s="61">
        <f>2.8354 * CHOOSE(CONTROL!$C$19, $C$6, 100%, $E$6)</f>
        <v>2.8353999999999999</v>
      </c>
      <c r="K71" s="61">
        <f>2.8356 * CHOOSE(CONTROL!$C$19, $C$6, 100%, $E$6)</f>
        <v>2.8355999999999999</v>
      </c>
      <c r="L71" s="4"/>
      <c r="M71" s="4"/>
      <c r="N71" s="4"/>
    </row>
    <row r="72" spans="1:14" ht="15">
      <c r="A72" s="13">
        <v>44256</v>
      </c>
      <c r="B72" s="60">
        <f>2.8061 * CHOOSE(CONTROL!$C$19, $C$6, 100%, $E$6)</f>
        <v>2.8060999999999998</v>
      </c>
      <c r="C72" s="60">
        <f>2.8061 * CHOOSE(CONTROL!$C$19, $C$6, 100%, $E$6)</f>
        <v>2.8060999999999998</v>
      </c>
      <c r="D72" s="60">
        <f>2.8226 * CHOOSE(CONTROL!$C$19, $C$6, 100%, $E$6)</f>
        <v>2.8226</v>
      </c>
      <c r="E72" s="61">
        <f>2.8491 * CHOOSE(CONTROL!$C$19, $C$6, 100%, $E$6)</f>
        <v>2.8491</v>
      </c>
      <c r="F72" s="61">
        <f>2.8491 * CHOOSE(CONTROL!$C$19, $C$6, 100%, $E$6)</f>
        <v>2.8491</v>
      </c>
      <c r="G72" s="61">
        <f>2.8493 * CHOOSE(CONTROL!$C$19, $C$6, 100%, $E$6)</f>
        <v>2.8492999999999999</v>
      </c>
      <c r="H72" s="61">
        <f>4.7476* CHOOSE(CONTROL!$C$19, $C$6, 100%, $E$6)</f>
        <v>4.7476000000000003</v>
      </c>
      <c r="I72" s="61">
        <f>4.7478 * CHOOSE(CONTROL!$C$19, $C$6, 100%, $E$6)</f>
        <v>4.7477999999999998</v>
      </c>
      <c r="J72" s="61">
        <f>2.8491 * CHOOSE(CONTROL!$C$19, $C$6, 100%, $E$6)</f>
        <v>2.8491</v>
      </c>
      <c r="K72" s="61">
        <f>2.8493 * CHOOSE(CONTROL!$C$19, $C$6, 100%, $E$6)</f>
        <v>2.8492999999999999</v>
      </c>
      <c r="L72" s="4"/>
      <c r="M72" s="4"/>
      <c r="N72" s="4"/>
    </row>
    <row r="73" spans="1:14" ht="15">
      <c r="A73" s="13">
        <v>44287</v>
      </c>
      <c r="B73" s="60">
        <f>2.8026 * CHOOSE(CONTROL!$C$19, $C$6, 100%, $E$6)</f>
        <v>2.8026</v>
      </c>
      <c r="C73" s="60">
        <f>2.8026 * CHOOSE(CONTROL!$C$19, $C$6, 100%, $E$6)</f>
        <v>2.8026</v>
      </c>
      <c r="D73" s="60">
        <f>2.8191 * CHOOSE(CONTROL!$C$19, $C$6, 100%, $E$6)</f>
        <v>2.8191000000000002</v>
      </c>
      <c r="E73" s="61">
        <f>2.8619 * CHOOSE(CONTROL!$C$19, $C$6, 100%, $E$6)</f>
        <v>2.8618999999999999</v>
      </c>
      <c r="F73" s="61">
        <f>2.8619 * CHOOSE(CONTROL!$C$19, $C$6, 100%, $E$6)</f>
        <v>2.8618999999999999</v>
      </c>
      <c r="G73" s="61">
        <f>2.8621 * CHOOSE(CONTROL!$C$19, $C$6, 100%, $E$6)</f>
        <v>2.8620999999999999</v>
      </c>
      <c r="H73" s="61">
        <f>4.7575* CHOOSE(CONTROL!$C$19, $C$6, 100%, $E$6)</f>
        <v>4.7575000000000003</v>
      </c>
      <c r="I73" s="61">
        <f>4.7576 * CHOOSE(CONTROL!$C$19, $C$6, 100%, $E$6)</f>
        <v>4.7576000000000001</v>
      </c>
      <c r="J73" s="61">
        <f>2.8619 * CHOOSE(CONTROL!$C$19, $C$6, 100%, $E$6)</f>
        <v>2.8618999999999999</v>
      </c>
      <c r="K73" s="61">
        <f>2.8621 * CHOOSE(CONTROL!$C$19, $C$6, 100%, $E$6)</f>
        <v>2.8620999999999999</v>
      </c>
      <c r="L73" s="4"/>
      <c r="M73" s="4"/>
      <c r="N73" s="4"/>
    </row>
    <row r="74" spans="1:14" ht="15">
      <c r="A74" s="13">
        <v>44317</v>
      </c>
      <c r="B74" s="60">
        <f>2.8026 * CHOOSE(CONTROL!$C$19, $C$6, 100%, $E$6)</f>
        <v>2.8026</v>
      </c>
      <c r="C74" s="60">
        <f>2.8026 * CHOOSE(CONTROL!$C$19, $C$6, 100%, $E$6)</f>
        <v>2.8026</v>
      </c>
      <c r="D74" s="60">
        <f>2.8356 * CHOOSE(CONTROL!$C$19, $C$6, 100%, $E$6)</f>
        <v>2.8355999999999999</v>
      </c>
      <c r="E74" s="61">
        <f>2.8683 * CHOOSE(CONTROL!$C$19, $C$6, 100%, $E$6)</f>
        <v>2.8683000000000001</v>
      </c>
      <c r="F74" s="61">
        <f>2.8683 * CHOOSE(CONTROL!$C$19, $C$6, 100%, $E$6)</f>
        <v>2.8683000000000001</v>
      </c>
      <c r="G74" s="61">
        <f>2.8703 * CHOOSE(CONTROL!$C$19, $C$6, 100%, $E$6)</f>
        <v>2.8702999999999999</v>
      </c>
      <c r="H74" s="61">
        <f>4.7674* CHOOSE(CONTROL!$C$19, $C$6, 100%, $E$6)</f>
        <v>4.7674000000000003</v>
      </c>
      <c r="I74" s="61">
        <f>4.7694 * CHOOSE(CONTROL!$C$19, $C$6, 100%, $E$6)</f>
        <v>4.7694000000000001</v>
      </c>
      <c r="J74" s="61">
        <f>2.8683 * CHOOSE(CONTROL!$C$19, $C$6, 100%, $E$6)</f>
        <v>2.8683000000000001</v>
      </c>
      <c r="K74" s="61">
        <f>2.8703 * CHOOSE(CONTROL!$C$19, $C$6, 100%, $E$6)</f>
        <v>2.8702999999999999</v>
      </c>
      <c r="L74" s="4"/>
      <c r="M74" s="4"/>
      <c r="N74" s="4"/>
    </row>
    <row r="75" spans="1:14" ht="15">
      <c r="A75" s="13">
        <v>44348</v>
      </c>
      <c r="B75" s="60">
        <f>2.8087 * CHOOSE(CONTROL!$C$19, $C$6, 100%, $E$6)</f>
        <v>2.8087</v>
      </c>
      <c r="C75" s="60">
        <f>2.8087 * CHOOSE(CONTROL!$C$19, $C$6, 100%, $E$6)</f>
        <v>2.8087</v>
      </c>
      <c r="D75" s="60">
        <f>2.8417 * CHOOSE(CONTROL!$C$19, $C$6, 100%, $E$6)</f>
        <v>2.8416999999999999</v>
      </c>
      <c r="E75" s="61">
        <f>2.8661 * CHOOSE(CONTROL!$C$19, $C$6, 100%, $E$6)</f>
        <v>2.8660999999999999</v>
      </c>
      <c r="F75" s="61">
        <f>2.8661 * CHOOSE(CONTROL!$C$19, $C$6, 100%, $E$6)</f>
        <v>2.8660999999999999</v>
      </c>
      <c r="G75" s="61">
        <f>2.8682 * CHOOSE(CONTROL!$C$19, $C$6, 100%, $E$6)</f>
        <v>2.8681999999999999</v>
      </c>
      <c r="H75" s="61">
        <f>4.7773* CHOOSE(CONTROL!$C$19, $C$6, 100%, $E$6)</f>
        <v>4.7773000000000003</v>
      </c>
      <c r="I75" s="61">
        <f>4.7794 * CHOOSE(CONTROL!$C$19, $C$6, 100%, $E$6)</f>
        <v>4.7793999999999999</v>
      </c>
      <c r="J75" s="61">
        <f>2.8661 * CHOOSE(CONTROL!$C$19, $C$6, 100%, $E$6)</f>
        <v>2.8660999999999999</v>
      </c>
      <c r="K75" s="61">
        <f>2.8682 * CHOOSE(CONTROL!$C$19, $C$6, 100%, $E$6)</f>
        <v>2.8681999999999999</v>
      </c>
      <c r="L75" s="4"/>
      <c r="M75" s="4"/>
      <c r="N75" s="4"/>
    </row>
    <row r="76" spans="1:14" ht="15">
      <c r="A76" s="13">
        <v>44378</v>
      </c>
      <c r="B76" s="60">
        <f>2.8711 * CHOOSE(CONTROL!$C$19, $C$6, 100%, $E$6)</f>
        <v>2.8711000000000002</v>
      </c>
      <c r="C76" s="60">
        <f>2.8711 * CHOOSE(CONTROL!$C$19, $C$6, 100%, $E$6)</f>
        <v>2.8711000000000002</v>
      </c>
      <c r="D76" s="60">
        <f>2.9041 * CHOOSE(CONTROL!$C$19, $C$6, 100%, $E$6)</f>
        <v>2.9041000000000001</v>
      </c>
      <c r="E76" s="61">
        <f>2.9281 * CHOOSE(CONTROL!$C$19, $C$6, 100%, $E$6)</f>
        <v>2.9281000000000001</v>
      </c>
      <c r="F76" s="61">
        <f>2.9281 * CHOOSE(CONTROL!$C$19, $C$6, 100%, $E$6)</f>
        <v>2.9281000000000001</v>
      </c>
      <c r="G76" s="61">
        <f>2.9301 * CHOOSE(CONTROL!$C$19, $C$6, 100%, $E$6)</f>
        <v>2.9300999999999999</v>
      </c>
      <c r="H76" s="61">
        <f>4.7873* CHOOSE(CONTROL!$C$19, $C$6, 100%, $E$6)</f>
        <v>4.7873000000000001</v>
      </c>
      <c r="I76" s="61">
        <f>4.7893 * CHOOSE(CONTROL!$C$19, $C$6, 100%, $E$6)</f>
        <v>4.7892999999999999</v>
      </c>
      <c r="J76" s="61">
        <f>2.9281 * CHOOSE(CONTROL!$C$19, $C$6, 100%, $E$6)</f>
        <v>2.9281000000000001</v>
      </c>
      <c r="K76" s="61">
        <f>2.9301 * CHOOSE(CONTROL!$C$19, $C$6, 100%, $E$6)</f>
        <v>2.9300999999999999</v>
      </c>
      <c r="L76" s="4"/>
      <c r="M76" s="4"/>
      <c r="N76" s="4"/>
    </row>
    <row r="77" spans="1:14" ht="15">
      <c r="A77" s="13">
        <v>44409</v>
      </c>
      <c r="B77" s="60">
        <f>2.8778 * CHOOSE(CONTROL!$C$19, $C$6, 100%, $E$6)</f>
        <v>2.8778000000000001</v>
      </c>
      <c r="C77" s="60">
        <f>2.8778 * CHOOSE(CONTROL!$C$19, $C$6, 100%, $E$6)</f>
        <v>2.8778000000000001</v>
      </c>
      <c r="D77" s="60">
        <f>2.9108 * CHOOSE(CONTROL!$C$19, $C$6, 100%, $E$6)</f>
        <v>2.9108000000000001</v>
      </c>
      <c r="E77" s="61">
        <f>2.9136 * CHOOSE(CONTROL!$C$19, $C$6, 100%, $E$6)</f>
        <v>2.9136000000000002</v>
      </c>
      <c r="F77" s="61">
        <f>2.9136 * CHOOSE(CONTROL!$C$19, $C$6, 100%, $E$6)</f>
        <v>2.9136000000000002</v>
      </c>
      <c r="G77" s="61">
        <f>2.9157 * CHOOSE(CONTROL!$C$19, $C$6, 100%, $E$6)</f>
        <v>2.9157000000000002</v>
      </c>
      <c r="H77" s="61">
        <f>4.7972* CHOOSE(CONTROL!$C$19, $C$6, 100%, $E$6)</f>
        <v>4.7972000000000001</v>
      </c>
      <c r="I77" s="61">
        <f>4.7993 * CHOOSE(CONTROL!$C$19, $C$6, 100%, $E$6)</f>
        <v>4.7992999999999997</v>
      </c>
      <c r="J77" s="61">
        <f>2.9136 * CHOOSE(CONTROL!$C$19, $C$6, 100%, $E$6)</f>
        <v>2.9136000000000002</v>
      </c>
      <c r="K77" s="61">
        <f>2.9157 * CHOOSE(CONTROL!$C$19, $C$6, 100%, $E$6)</f>
        <v>2.9157000000000002</v>
      </c>
      <c r="L77" s="4"/>
      <c r="M77" s="4"/>
      <c r="N77" s="4"/>
    </row>
    <row r="78" spans="1:14" ht="15">
      <c r="A78" s="13">
        <v>44440</v>
      </c>
      <c r="B78" s="60">
        <f>2.8748 * CHOOSE(CONTROL!$C$19, $C$6, 100%, $E$6)</f>
        <v>2.8748</v>
      </c>
      <c r="C78" s="60">
        <f>2.8748 * CHOOSE(CONTROL!$C$19, $C$6, 100%, $E$6)</f>
        <v>2.8748</v>
      </c>
      <c r="D78" s="60">
        <f>2.9078 * CHOOSE(CONTROL!$C$19, $C$6, 100%, $E$6)</f>
        <v>2.9077999999999999</v>
      </c>
      <c r="E78" s="61">
        <f>2.9094 * CHOOSE(CONTROL!$C$19, $C$6, 100%, $E$6)</f>
        <v>2.9094000000000002</v>
      </c>
      <c r="F78" s="61">
        <f>2.9094 * CHOOSE(CONTROL!$C$19, $C$6, 100%, $E$6)</f>
        <v>2.9094000000000002</v>
      </c>
      <c r="G78" s="61">
        <f>2.9114 * CHOOSE(CONTROL!$C$19, $C$6, 100%, $E$6)</f>
        <v>2.9114</v>
      </c>
      <c r="H78" s="61">
        <f>4.8072* CHOOSE(CONTROL!$C$19, $C$6, 100%, $E$6)</f>
        <v>4.8071999999999999</v>
      </c>
      <c r="I78" s="61">
        <f>4.8093 * CHOOSE(CONTROL!$C$19, $C$6, 100%, $E$6)</f>
        <v>4.8093000000000004</v>
      </c>
      <c r="J78" s="61">
        <f>2.9094 * CHOOSE(CONTROL!$C$19, $C$6, 100%, $E$6)</f>
        <v>2.9094000000000002</v>
      </c>
      <c r="K78" s="61">
        <f>2.9114 * CHOOSE(CONTROL!$C$19, $C$6, 100%, $E$6)</f>
        <v>2.9114</v>
      </c>
      <c r="L78" s="4"/>
      <c r="M78" s="4"/>
      <c r="N78" s="4"/>
    </row>
    <row r="79" spans="1:14" ht="15">
      <c r="A79" s="13">
        <v>44470</v>
      </c>
      <c r="B79" s="60">
        <f>2.8659 * CHOOSE(CONTROL!$C$19, $C$6, 100%, $E$6)</f>
        <v>2.8658999999999999</v>
      </c>
      <c r="C79" s="60">
        <f>2.8659 * CHOOSE(CONTROL!$C$19, $C$6, 100%, $E$6)</f>
        <v>2.8658999999999999</v>
      </c>
      <c r="D79" s="60">
        <f>2.8824 * CHOOSE(CONTROL!$C$19, $C$6, 100%, $E$6)</f>
        <v>2.8824000000000001</v>
      </c>
      <c r="E79" s="61">
        <f>2.9045 * CHOOSE(CONTROL!$C$19, $C$6, 100%, $E$6)</f>
        <v>2.9045000000000001</v>
      </c>
      <c r="F79" s="61">
        <f>2.9045 * CHOOSE(CONTROL!$C$19, $C$6, 100%, $E$6)</f>
        <v>2.9045000000000001</v>
      </c>
      <c r="G79" s="61">
        <f>2.9046 * CHOOSE(CONTROL!$C$19, $C$6, 100%, $E$6)</f>
        <v>2.9045999999999998</v>
      </c>
      <c r="H79" s="61">
        <f>4.8173* CHOOSE(CONTROL!$C$19, $C$6, 100%, $E$6)</f>
        <v>4.8173000000000004</v>
      </c>
      <c r="I79" s="61">
        <f>4.8174 * CHOOSE(CONTROL!$C$19, $C$6, 100%, $E$6)</f>
        <v>4.8174000000000001</v>
      </c>
      <c r="J79" s="61">
        <f>2.9045 * CHOOSE(CONTROL!$C$19, $C$6, 100%, $E$6)</f>
        <v>2.9045000000000001</v>
      </c>
      <c r="K79" s="61">
        <f>2.9046 * CHOOSE(CONTROL!$C$19, $C$6, 100%, $E$6)</f>
        <v>2.9045999999999998</v>
      </c>
      <c r="L79" s="4"/>
      <c r="M79" s="4"/>
      <c r="N79" s="4"/>
    </row>
    <row r="80" spans="1:14" ht="15">
      <c r="A80" s="13">
        <v>44501</v>
      </c>
      <c r="B80" s="60">
        <f>2.869 * CHOOSE(CONTROL!$C$19, $C$6, 100%, $E$6)</f>
        <v>2.8690000000000002</v>
      </c>
      <c r="C80" s="60">
        <f>2.869 * CHOOSE(CONTROL!$C$19, $C$6, 100%, $E$6)</f>
        <v>2.8690000000000002</v>
      </c>
      <c r="D80" s="60">
        <f>2.8855 * CHOOSE(CONTROL!$C$19, $C$6, 100%, $E$6)</f>
        <v>2.8855</v>
      </c>
      <c r="E80" s="61">
        <f>2.9108 * CHOOSE(CONTROL!$C$19, $C$6, 100%, $E$6)</f>
        <v>2.9108000000000001</v>
      </c>
      <c r="F80" s="61">
        <f>2.9108 * CHOOSE(CONTROL!$C$19, $C$6, 100%, $E$6)</f>
        <v>2.9108000000000001</v>
      </c>
      <c r="G80" s="61">
        <f>2.911 * CHOOSE(CONTROL!$C$19, $C$6, 100%, $E$6)</f>
        <v>2.911</v>
      </c>
      <c r="H80" s="61">
        <f>4.8273* CHOOSE(CONTROL!$C$19, $C$6, 100%, $E$6)</f>
        <v>4.8273000000000001</v>
      </c>
      <c r="I80" s="61">
        <f>4.8275 * CHOOSE(CONTROL!$C$19, $C$6, 100%, $E$6)</f>
        <v>4.8274999999999997</v>
      </c>
      <c r="J80" s="61">
        <f>2.9108 * CHOOSE(CONTROL!$C$19, $C$6, 100%, $E$6)</f>
        <v>2.9108000000000001</v>
      </c>
      <c r="K80" s="61">
        <f>2.911 * CHOOSE(CONTROL!$C$19, $C$6, 100%, $E$6)</f>
        <v>2.911</v>
      </c>
      <c r="L80" s="4"/>
      <c r="M80" s="4"/>
      <c r="N80" s="4"/>
    </row>
    <row r="81" spans="1:14" ht="15">
      <c r="A81" s="13">
        <v>44531</v>
      </c>
      <c r="B81" s="60">
        <f>2.869 * CHOOSE(CONTROL!$C$19, $C$6, 100%, $E$6)</f>
        <v>2.8690000000000002</v>
      </c>
      <c r="C81" s="60">
        <f>2.869 * CHOOSE(CONTROL!$C$19, $C$6, 100%, $E$6)</f>
        <v>2.8690000000000002</v>
      </c>
      <c r="D81" s="60">
        <f>2.8855 * CHOOSE(CONTROL!$C$19, $C$6, 100%, $E$6)</f>
        <v>2.8855</v>
      </c>
      <c r="E81" s="61">
        <f>2.9002 * CHOOSE(CONTROL!$C$19, $C$6, 100%, $E$6)</f>
        <v>2.9001999999999999</v>
      </c>
      <c r="F81" s="61">
        <f>2.9002 * CHOOSE(CONTROL!$C$19, $C$6, 100%, $E$6)</f>
        <v>2.9001999999999999</v>
      </c>
      <c r="G81" s="61">
        <f>2.9004 * CHOOSE(CONTROL!$C$19, $C$6, 100%, $E$6)</f>
        <v>2.9003999999999999</v>
      </c>
      <c r="H81" s="61">
        <f>4.8373* CHOOSE(CONTROL!$C$19, $C$6, 100%, $E$6)</f>
        <v>4.8372999999999999</v>
      </c>
      <c r="I81" s="61">
        <f>4.8375 * CHOOSE(CONTROL!$C$19, $C$6, 100%, $E$6)</f>
        <v>4.8375000000000004</v>
      </c>
      <c r="J81" s="61">
        <f>2.9002 * CHOOSE(CONTROL!$C$19, $C$6, 100%, $E$6)</f>
        <v>2.9001999999999999</v>
      </c>
      <c r="K81" s="61">
        <f>2.9004 * CHOOSE(CONTROL!$C$19, $C$6, 100%, $E$6)</f>
        <v>2.9003999999999999</v>
      </c>
      <c r="L81" s="4"/>
      <c r="M81" s="4"/>
      <c r="N81" s="4"/>
    </row>
    <row r="82" spans="1:14" ht="15">
      <c r="A82" s="13">
        <v>44562</v>
      </c>
      <c r="B82" s="60">
        <f>2.925 * CHOOSE(CONTROL!$C$19, $C$6, 100%, $E$6)</f>
        <v>2.9249999999999998</v>
      </c>
      <c r="C82" s="60">
        <f>2.925 * CHOOSE(CONTROL!$C$19, $C$6, 100%, $E$6)</f>
        <v>2.9249999999999998</v>
      </c>
      <c r="D82" s="60">
        <f>2.9415 * CHOOSE(CONTROL!$C$19, $C$6, 100%, $E$6)</f>
        <v>2.9415</v>
      </c>
      <c r="E82" s="61">
        <f>2.9769 * CHOOSE(CONTROL!$C$19, $C$6, 100%, $E$6)</f>
        <v>2.9769000000000001</v>
      </c>
      <c r="F82" s="61">
        <f>2.9769 * CHOOSE(CONTROL!$C$19, $C$6, 100%, $E$6)</f>
        <v>2.9769000000000001</v>
      </c>
      <c r="G82" s="61">
        <f>2.9771 * CHOOSE(CONTROL!$C$19, $C$6, 100%, $E$6)</f>
        <v>2.9771000000000001</v>
      </c>
      <c r="H82" s="61">
        <f>4.8474* CHOOSE(CONTROL!$C$19, $C$6, 100%, $E$6)</f>
        <v>4.8474000000000004</v>
      </c>
      <c r="I82" s="61">
        <f>4.8476 * CHOOSE(CONTROL!$C$19, $C$6, 100%, $E$6)</f>
        <v>4.8475999999999999</v>
      </c>
      <c r="J82" s="61">
        <f>2.9769 * CHOOSE(CONTROL!$C$19, $C$6, 100%, $E$6)</f>
        <v>2.9769000000000001</v>
      </c>
      <c r="K82" s="61">
        <f>2.9771 * CHOOSE(CONTROL!$C$19, $C$6, 100%, $E$6)</f>
        <v>2.9771000000000001</v>
      </c>
      <c r="L82" s="4"/>
      <c r="M82" s="4"/>
      <c r="N82" s="4"/>
    </row>
    <row r="83" spans="1:14" ht="15">
      <c r="A83" s="13">
        <v>44593</v>
      </c>
      <c r="B83" s="60">
        <f>2.9219 * CHOOSE(CONTROL!$C$19, $C$6, 100%, $E$6)</f>
        <v>2.9218999999999999</v>
      </c>
      <c r="C83" s="60">
        <f>2.9219 * CHOOSE(CONTROL!$C$19, $C$6, 100%, $E$6)</f>
        <v>2.9218999999999999</v>
      </c>
      <c r="D83" s="60">
        <f>2.9384 * CHOOSE(CONTROL!$C$19, $C$6, 100%, $E$6)</f>
        <v>2.9384000000000001</v>
      </c>
      <c r="E83" s="61">
        <f>2.9507 * CHOOSE(CONTROL!$C$19, $C$6, 100%, $E$6)</f>
        <v>2.9506999999999999</v>
      </c>
      <c r="F83" s="61">
        <f>2.9507 * CHOOSE(CONTROL!$C$19, $C$6, 100%, $E$6)</f>
        <v>2.9506999999999999</v>
      </c>
      <c r="G83" s="61">
        <f>2.9509 * CHOOSE(CONTROL!$C$19, $C$6, 100%, $E$6)</f>
        <v>2.9508999999999999</v>
      </c>
      <c r="H83" s="61">
        <f>4.8575* CHOOSE(CONTROL!$C$19, $C$6, 100%, $E$6)</f>
        <v>4.8574999999999999</v>
      </c>
      <c r="I83" s="61">
        <f>4.8577 * CHOOSE(CONTROL!$C$19, $C$6, 100%, $E$6)</f>
        <v>4.8577000000000004</v>
      </c>
      <c r="J83" s="61">
        <f>2.9507 * CHOOSE(CONTROL!$C$19, $C$6, 100%, $E$6)</f>
        <v>2.9506999999999999</v>
      </c>
      <c r="K83" s="61">
        <f>2.9509 * CHOOSE(CONTROL!$C$19, $C$6, 100%, $E$6)</f>
        <v>2.9508999999999999</v>
      </c>
      <c r="L83" s="4"/>
      <c r="M83" s="4"/>
      <c r="N83" s="4"/>
    </row>
    <row r="84" spans="1:14" ht="15">
      <c r="A84" s="13">
        <v>44621</v>
      </c>
      <c r="B84" s="60">
        <f>2.9189 * CHOOSE(CONTROL!$C$19, $C$6, 100%, $E$6)</f>
        <v>2.9188999999999998</v>
      </c>
      <c r="C84" s="60">
        <f>2.9189 * CHOOSE(CONTROL!$C$19, $C$6, 100%, $E$6)</f>
        <v>2.9188999999999998</v>
      </c>
      <c r="D84" s="60">
        <f>2.9354 * CHOOSE(CONTROL!$C$19, $C$6, 100%, $E$6)</f>
        <v>2.9354</v>
      </c>
      <c r="E84" s="61">
        <f>2.9676 * CHOOSE(CONTROL!$C$19, $C$6, 100%, $E$6)</f>
        <v>2.9676</v>
      </c>
      <c r="F84" s="61">
        <f>2.9676 * CHOOSE(CONTROL!$C$19, $C$6, 100%, $E$6)</f>
        <v>2.9676</v>
      </c>
      <c r="G84" s="61">
        <f>2.9677 * CHOOSE(CONTROL!$C$19, $C$6, 100%, $E$6)</f>
        <v>2.9676999999999998</v>
      </c>
      <c r="H84" s="61">
        <f>4.8676* CHOOSE(CONTROL!$C$19, $C$6, 100%, $E$6)</f>
        <v>4.8676000000000004</v>
      </c>
      <c r="I84" s="61">
        <f>4.8678 * CHOOSE(CONTROL!$C$19, $C$6, 100%, $E$6)</f>
        <v>4.8677999999999999</v>
      </c>
      <c r="J84" s="61">
        <f>2.9676 * CHOOSE(CONTROL!$C$19, $C$6, 100%, $E$6)</f>
        <v>2.9676</v>
      </c>
      <c r="K84" s="61">
        <f>2.9677 * CHOOSE(CONTROL!$C$19, $C$6, 100%, $E$6)</f>
        <v>2.9676999999999998</v>
      </c>
      <c r="L84" s="4"/>
      <c r="M84" s="4"/>
      <c r="N84" s="4"/>
    </row>
    <row r="85" spans="1:14" ht="15">
      <c r="A85" s="13">
        <v>44652</v>
      </c>
      <c r="B85" s="60">
        <f>2.9156 * CHOOSE(CONTROL!$C$19, $C$6, 100%, $E$6)</f>
        <v>2.9156</v>
      </c>
      <c r="C85" s="60">
        <f>2.9156 * CHOOSE(CONTROL!$C$19, $C$6, 100%, $E$6)</f>
        <v>2.9156</v>
      </c>
      <c r="D85" s="60">
        <f>2.9321 * CHOOSE(CONTROL!$C$19, $C$6, 100%, $E$6)</f>
        <v>2.9321000000000002</v>
      </c>
      <c r="E85" s="61">
        <f>2.9837 * CHOOSE(CONTROL!$C$19, $C$6, 100%, $E$6)</f>
        <v>2.9836999999999998</v>
      </c>
      <c r="F85" s="61">
        <f>2.9837 * CHOOSE(CONTROL!$C$19, $C$6, 100%, $E$6)</f>
        <v>2.9836999999999998</v>
      </c>
      <c r="G85" s="61">
        <f>2.9839 * CHOOSE(CONTROL!$C$19, $C$6, 100%, $E$6)</f>
        <v>2.9839000000000002</v>
      </c>
      <c r="H85" s="61">
        <f>4.8778* CHOOSE(CONTROL!$C$19, $C$6, 100%, $E$6)</f>
        <v>4.8777999999999997</v>
      </c>
      <c r="I85" s="61">
        <f>4.878 * CHOOSE(CONTROL!$C$19, $C$6, 100%, $E$6)</f>
        <v>4.8780000000000001</v>
      </c>
      <c r="J85" s="61">
        <f>2.9837 * CHOOSE(CONTROL!$C$19, $C$6, 100%, $E$6)</f>
        <v>2.9836999999999998</v>
      </c>
      <c r="K85" s="61">
        <f>2.9839 * CHOOSE(CONTROL!$C$19, $C$6, 100%, $E$6)</f>
        <v>2.9839000000000002</v>
      </c>
      <c r="L85" s="4"/>
      <c r="M85" s="4"/>
      <c r="N85" s="4"/>
    </row>
    <row r="86" spans="1:14" ht="15">
      <c r="A86" s="13">
        <v>44682</v>
      </c>
      <c r="B86" s="60">
        <f>2.9156 * CHOOSE(CONTROL!$C$19, $C$6, 100%, $E$6)</f>
        <v>2.9156</v>
      </c>
      <c r="C86" s="60">
        <f>2.9156 * CHOOSE(CONTROL!$C$19, $C$6, 100%, $E$6)</f>
        <v>2.9156</v>
      </c>
      <c r="D86" s="60">
        <f>2.9486 * CHOOSE(CONTROL!$C$19, $C$6, 100%, $E$6)</f>
        <v>2.9485999999999999</v>
      </c>
      <c r="E86" s="61">
        <f>2.9913 * CHOOSE(CONTROL!$C$19, $C$6, 100%, $E$6)</f>
        <v>2.9912999999999998</v>
      </c>
      <c r="F86" s="61">
        <f>2.9913 * CHOOSE(CONTROL!$C$19, $C$6, 100%, $E$6)</f>
        <v>2.9912999999999998</v>
      </c>
      <c r="G86" s="61">
        <f>2.9934 * CHOOSE(CONTROL!$C$19, $C$6, 100%, $E$6)</f>
        <v>2.9933999999999998</v>
      </c>
      <c r="H86" s="61">
        <f>4.8879* CHOOSE(CONTROL!$C$19, $C$6, 100%, $E$6)</f>
        <v>4.8879000000000001</v>
      </c>
      <c r="I86" s="61">
        <f>4.89 * CHOOSE(CONTROL!$C$19, $C$6, 100%, $E$6)</f>
        <v>4.8899999999999997</v>
      </c>
      <c r="J86" s="61">
        <f>2.9913 * CHOOSE(CONTROL!$C$19, $C$6, 100%, $E$6)</f>
        <v>2.9912999999999998</v>
      </c>
      <c r="K86" s="61">
        <f>2.9934 * CHOOSE(CONTROL!$C$19, $C$6, 100%, $E$6)</f>
        <v>2.9933999999999998</v>
      </c>
      <c r="L86" s="4"/>
      <c r="M86" s="4"/>
      <c r="N86" s="4"/>
    </row>
    <row r="87" spans="1:14" ht="15">
      <c r="A87" s="13">
        <v>44713</v>
      </c>
      <c r="B87" s="60">
        <f>2.9216 * CHOOSE(CONTROL!$C$19, $C$6, 100%, $E$6)</f>
        <v>2.9216000000000002</v>
      </c>
      <c r="C87" s="60">
        <f>2.9216 * CHOOSE(CONTROL!$C$19, $C$6, 100%, $E$6)</f>
        <v>2.9216000000000002</v>
      </c>
      <c r="D87" s="60">
        <f>2.9546 * CHOOSE(CONTROL!$C$19, $C$6, 100%, $E$6)</f>
        <v>2.9546000000000001</v>
      </c>
      <c r="E87" s="61">
        <f>2.9879 * CHOOSE(CONTROL!$C$19, $C$6, 100%, $E$6)</f>
        <v>2.9878999999999998</v>
      </c>
      <c r="F87" s="61">
        <f>2.9879 * CHOOSE(CONTROL!$C$19, $C$6, 100%, $E$6)</f>
        <v>2.9878999999999998</v>
      </c>
      <c r="G87" s="61">
        <f>2.99 * CHOOSE(CONTROL!$C$19, $C$6, 100%, $E$6)</f>
        <v>2.99</v>
      </c>
      <c r="H87" s="61">
        <f>4.8981* CHOOSE(CONTROL!$C$19, $C$6, 100%, $E$6)</f>
        <v>4.8981000000000003</v>
      </c>
      <c r="I87" s="61">
        <f>4.9002 * CHOOSE(CONTROL!$C$19, $C$6, 100%, $E$6)</f>
        <v>4.9001999999999999</v>
      </c>
      <c r="J87" s="61">
        <f>2.9879 * CHOOSE(CONTROL!$C$19, $C$6, 100%, $E$6)</f>
        <v>2.9878999999999998</v>
      </c>
      <c r="K87" s="61">
        <f>2.99 * CHOOSE(CONTROL!$C$19, $C$6, 100%, $E$6)</f>
        <v>2.99</v>
      </c>
      <c r="L87" s="4"/>
      <c r="M87" s="4"/>
      <c r="N87" s="4"/>
    </row>
    <row r="88" spans="1:14" ht="15">
      <c r="A88" s="13">
        <v>44743</v>
      </c>
      <c r="B88" s="60">
        <f>3.0359 * CHOOSE(CONTROL!$C$19, $C$6, 100%, $E$6)</f>
        <v>3.0358999999999998</v>
      </c>
      <c r="C88" s="60">
        <f>3.0359 * CHOOSE(CONTROL!$C$19, $C$6, 100%, $E$6)</f>
        <v>3.0358999999999998</v>
      </c>
      <c r="D88" s="60">
        <f>3.0689 * CHOOSE(CONTROL!$C$19, $C$6, 100%, $E$6)</f>
        <v>3.0689000000000002</v>
      </c>
      <c r="E88" s="61">
        <f>3.0661 * CHOOSE(CONTROL!$C$19, $C$6, 100%, $E$6)</f>
        <v>3.0661</v>
      </c>
      <c r="F88" s="61">
        <f>3.0661 * CHOOSE(CONTROL!$C$19, $C$6, 100%, $E$6)</f>
        <v>3.0661</v>
      </c>
      <c r="G88" s="61">
        <f>3.0682 * CHOOSE(CONTROL!$C$19, $C$6, 100%, $E$6)</f>
        <v>3.0682</v>
      </c>
      <c r="H88" s="61">
        <f>4.9083* CHOOSE(CONTROL!$C$19, $C$6, 100%, $E$6)</f>
        <v>4.9082999999999997</v>
      </c>
      <c r="I88" s="61">
        <f>4.9104 * CHOOSE(CONTROL!$C$19, $C$6, 100%, $E$6)</f>
        <v>4.9104000000000001</v>
      </c>
      <c r="J88" s="61">
        <f>3.0661 * CHOOSE(CONTROL!$C$19, $C$6, 100%, $E$6)</f>
        <v>3.0661</v>
      </c>
      <c r="K88" s="61">
        <f>3.0682 * CHOOSE(CONTROL!$C$19, $C$6, 100%, $E$6)</f>
        <v>3.0682</v>
      </c>
      <c r="L88" s="4"/>
      <c r="M88" s="4"/>
      <c r="N88" s="4"/>
    </row>
    <row r="89" spans="1:14" ht="15">
      <c r="A89" s="13">
        <v>44774</v>
      </c>
      <c r="B89" s="60">
        <f>3.0426 * CHOOSE(CONTROL!$C$19, $C$6, 100%, $E$6)</f>
        <v>3.0426000000000002</v>
      </c>
      <c r="C89" s="60">
        <f>3.0426 * CHOOSE(CONTROL!$C$19, $C$6, 100%, $E$6)</f>
        <v>3.0426000000000002</v>
      </c>
      <c r="D89" s="60">
        <f>3.0756 * CHOOSE(CONTROL!$C$19, $C$6, 100%, $E$6)</f>
        <v>3.0756000000000001</v>
      </c>
      <c r="E89" s="61">
        <f>3.0478 * CHOOSE(CONTROL!$C$19, $C$6, 100%, $E$6)</f>
        <v>3.0478000000000001</v>
      </c>
      <c r="F89" s="61">
        <f>3.0478 * CHOOSE(CONTROL!$C$19, $C$6, 100%, $E$6)</f>
        <v>3.0478000000000001</v>
      </c>
      <c r="G89" s="61">
        <f>3.0499 * CHOOSE(CONTROL!$C$19, $C$6, 100%, $E$6)</f>
        <v>3.0499000000000001</v>
      </c>
      <c r="H89" s="61">
        <f>4.9186* CHOOSE(CONTROL!$C$19, $C$6, 100%, $E$6)</f>
        <v>4.9185999999999996</v>
      </c>
      <c r="I89" s="61">
        <f>4.9206 * CHOOSE(CONTROL!$C$19, $C$6, 100%, $E$6)</f>
        <v>4.9206000000000003</v>
      </c>
      <c r="J89" s="61">
        <f>3.0478 * CHOOSE(CONTROL!$C$19, $C$6, 100%, $E$6)</f>
        <v>3.0478000000000001</v>
      </c>
      <c r="K89" s="61">
        <f>3.0499 * CHOOSE(CONTROL!$C$19, $C$6, 100%, $E$6)</f>
        <v>3.0499000000000001</v>
      </c>
      <c r="L89" s="4"/>
      <c r="M89" s="4"/>
      <c r="N89" s="4"/>
    </row>
    <row r="90" spans="1:14" ht="15">
      <c r="A90" s="13">
        <v>44805</v>
      </c>
      <c r="B90" s="60">
        <f>3.0395 * CHOOSE(CONTROL!$C$19, $C$6, 100%, $E$6)</f>
        <v>3.0394999999999999</v>
      </c>
      <c r="C90" s="60">
        <f>3.0395 * CHOOSE(CONTROL!$C$19, $C$6, 100%, $E$6)</f>
        <v>3.0394999999999999</v>
      </c>
      <c r="D90" s="60">
        <f>3.0725 * CHOOSE(CONTROL!$C$19, $C$6, 100%, $E$6)</f>
        <v>3.0724999999999998</v>
      </c>
      <c r="E90" s="61">
        <f>3.0432 * CHOOSE(CONTROL!$C$19, $C$6, 100%, $E$6)</f>
        <v>3.0432000000000001</v>
      </c>
      <c r="F90" s="61">
        <f>3.0432 * CHOOSE(CONTROL!$C$19, $C$6, 100%, $E$6)</f>
        <v>3.0432000000000001</v>
      </c>
      <c r="G90" s="61">
        <f>3.0452 * CHOOSE(CONTROL!$C$19, $C$6, 100%, $E$6)</f>
        <v>3.0451999999999999</v>
      </c>
      <c r="H90" s="61">
        <f>4.9288* CHOOSE(CONTROL!$C$19, $C$6, 100%, $E$6)</f>
        <v>4.9287999999999998</v>
      </c>
      <c r="I90" s="61">
        <f>4.9309 * CHOOSE(CONTROL!$C$19, $C$6, 100%, $E$6)</f>
        <v>4.9309000000000003</v>
      </c>
      <c r="J90" s="61">
        <f>3.0432 * CHOOSE(CONTROL!$C$19, $C$6, 100%, $E$6)</f>
        <v>3.0432000000000001</v>
      </c>
      <c r="K90" s="61">
        <f>3.0452 * CHOOSE(CONTROL!$C$19, $C$6, 100%, $E$6)</f>
        <v>3.0451999999999999</v>
      </c>
      <c r="L90" s="4"/>
      <c r="M90" s="4"/>
      <c r="N90" s="4"/>
    </row>
    <row r="91" spans="1:14" ht="15">
      <c r="A91" s="13">
        <v>44835</v>
      </c>
      <c r="B91" s="60">
        <f>3.0312 * CHOOSE(CONTROL!$C$19, $C$6, 100%, $E$6)</f>
        <v>3.0312000000000001</v>
      </c>
      <c r="C91" s="60">
        <f>3.0312 * CHOOSE(CONTROL!$C$19, $C$6, 100%, $E$6)</f>
        <v>3.0312000000000001</v>
      </c>
      <c r="D91" s="60">
        <f>3.0477 * CHOOSE(CONTROL!$C$19, $C$6, 100%, $E$6)</f>
        <v>3.0476999999999999</v>
      </c>
      <c r="E91" s="61">
        <f>3.04 * CHOOSE(CONTROL!$C$19, $C$6, 100%, $E$6)</f>
        <v>3.04</v>
      </c>
      <c r="F91" s="61">
        <f>3.04 * CHOOSE(CONTROL!$C$19, $C$6, 100%, $E$6)</f>
        <v>3.04</v>
      </c>
      <c r="G91" s="61">
        <f>3.0401 * CHOOSE(CONTROL!$C$19, $C$6, 100%, $E$6)</f>
        <v>3.0400999999999998</v>
      </c>
      <c r="H91" s="61">
        <f>4.9391* CHOOSE(CONTROL!$C$19, $C$6, 100%, $E$6)</f>
        <v>4.9390999999999998</v>
      </c>
      <c r="I91" s="61">
        <f>4.9392 * CHOOSE(CONTROL!$C$19, $C$6, 100%, $E$6)</f>
        <v>4.9391999999999996</v>
      </c>
      <c r="J91" s="61">
        <f>3.04 * CHOOSE(CONTROL!$C$19, $C$6, 100%, $E$6)</f>
        <v>3.04</v>
      </c>
      <c r="K91" s="61">
        <f>3.0401 * CHOOSE(CONTROL!$C$19, $C$6, 100%, $E$6)</f>
        <v>3.0400999999999998</v>
      </c>
      <c r="L91" s="4"/>
      <c r="M91" s="4"/>
      <c r="N91" s="4"/>
    </row>
    <row r="92" spans="1:14" ht="15">
      <c r="A92" s="13">
        <v>44866</v>
      </c>
      <c r="B92" s="60">
        <f>3.0342 * CHOOSE(CONTROL!$C$19, $C$6, 100%, $E$6)</f>
        <v>3.0341999999999998</v>
      </c>
      <c r="C92" s="60">
        <f>3.0342 * CHOOSE(CONTROL!$C$19, $C$6, 100%, $E$6)</f>
        <v>3.0341999999999998</v>
      </c>
      <c r="D92" s="60">
        <f>3.0507 * CHOOSE(CONTROL!$C$19, $C$6, 100%, $E$6)</f>
        <v>3.0507</v>
      </c>
      <c r="E92" s="61">
        <f>3.0472 * CHOOSE(CONTROL!$C$19, $C$6, 100%, $E$6)</f>
        <v>3.0472000000000001</v>
      </c>
      <c r="F92" s="61">
        <f>3.0472 * CHOOSE(CONTROL!$C$19, $C$6, 100%, $E$6)</f>
        <v>3.0472000000000001</v>
      </c>
      <c r="G92" s="61">
        <f>3.0473 * CHOOSE(CONTROL!$C$19, $C$6, 100%, $E$6)</f>
        <v>3.0472999999999999</v>
      </c>
      <c r="H92" s="61">
        <f>4.9494* CHOOSE(CONTROL!$C$19, $C$6, 100%, $E$6)</f>
        <v>4.9493999999999998</v>
      </c>
      <c r="I92" s="61">
        <f>4.9495 * CHOOSE(CONTROL!$C$19, $C$6, 100%, $E$6)</f>
        <v>4.9494999999999996</v>
      </c>
      <c r="J92" s="61">
        <f>3.0472 * CHOOSE(CONTROL!$C$19, $C$6, 100%, $E$6)</f>
        <v>3.0472000000000001</v>
      </c>
      <c r="K92" s="61">
        <f>3.0473 * CHOOSE(CONTROL!$C$19, $C$6, 100%, $E$6)</f>
        <v>3.0472999999999999</v>
      </c>
      <c r="L92" s="4"/>
      <c r="M92" s="4"/>
      <c r="N92" s="4"/>
    </row>
    <row r="93" spans="1:14" ht="15">
      <c r="A93" s="13">
        <v>44896</v>
      </c>
      <c r="B93" s="60">
        <f>3.0342 * CHOOSE(CONTROL!$C$19, $C$6, 100%, $E$6)</f>
        <v>3.0341999999999998</v>
      </c>
      <c r="C93" s="60">
        <f>3.0342 * CHOOSE(CONTROL!$C$19, $C$6, 100%, $E$6)</f>
        <v>3.0341999999999998</v>
      </c>
      <c r="D93" s="60">
        <f>3.0507 * CHOOSE(CONTROL!$C$19, $C$6, 100%, $E$6)</f>
        <v>3.0507</v>
      </c>
      <c r="E93" s="61">
        <f>3.0344 * CHOOSE(CONTROL!$C$19, $C$6, 100%, $E$6)</f>
        <v>3.0344000000000002</v>
      </c>
      <c r="F93" s="61">
        <f>3.0344 * CHOOSE(CONTROL!$C$19, $C$6, 100%, $E$6)</f>
        <v>3.0344000000000002</v>
      </c>
      <c r="G93" s="61">
        <f>3.0346 * CHOOSE(CONTROL!$C$19, $C$6, 100%, $E$6)</f>
        <v>3.0346000000000002</v>
      </c>
      <c r="H93" s="61">
        <f>4.9597* CHOOSE(CONTROL!$C$19, $C$6, 100%, $E$6)</f>
        <v>4.9596999999999998</v>
      </c>
      <c r="I93" s="61">
        <f>4.9598 * CHOOSE(CONTROL!$C$19, $C$6, 100%, $E$6)</f>
        <v>4.9598000000000004</v>
      </c>
      <c r="J93" s="61">
        <f>3.0344 * CHOOSE(CONTROL!$C$19, $C$6, 100%, $E$6)</f>
        <v>3.0344000000000002</v>
      </c>
      <c r="K93" s="61">
        <f>3.0346 * CHOOSE(CONTROL!$C$19, $C$6, 100%, $E$6)</f>
        <v>3.0346000000000002</v>
      </c>
      <c r="L93" s="4"/>
      <c r="M93" s="4"/>
      <c r="N93" s="4"/>
    </row>
    <row r="94" spans="1:14" ht="15">
      <c r="A94" s="13">
        <v>44927</v>
      </c>
      <c r="B94" s="60">
        <f>3.0584 * CHOOSE(CONTROL!$C$19, $C$6, 100%, $E$6)</f>
        <v>3.0583999999999998</v>
      </c>
      <c r="C94" s="60">
        <f>3.0584 * CHOOSE(CONTROL!$C$19, $C$6, 100%, $E$6)</f>
        <v>3.0583999999999998</v>
      </c>
      <c r="D94" s="60">
        <f>3.0749 * CHOOSE(CONTROL!$C$19, $C$6, 100%, $E$6)</f>
        <v>3.0749</v>
      </c>
      <c r="E94" s="61">
        <f>3.1403 * CHOOSE(CONTROL!$C$19, $C$6, 100%, $E$6)</f>
        <v>3.1402999999999999</v>
      </c>
      <c r="F94" s="61">
        <f>3.1403 * CHOOSE(CONTROL!$C$19, $C$6, 100%, $E$6)</f>
        <v>3.1402999999999999</v>
      </c>
      <c r="G94" s="61">
        <f>3.1405 * CHOOSE(CONTROL!$C$19, $C$6, 100%, $E$6)</f>
        <v>3.1404999999999998</v>
      </c>
      <c r="H94" s="61">
        <f>4.97* CHOOSE(CONTROL!$C$19, $C$6, 100%, $E$6)</f>
        <v>4.97</v>
      </c>
      <c r="I94" s="61">
        <f>4.9702 * CHOOSE(CONTROL!$C$19, $C$6, 100%, $E$6)</f>
        <v>4.9702000000000002</v>
      </c>
      <c r="J94" s="61">
        <f>3.1403 * CHOOSE(CONTROL!$C$19, $C$6, 100%, $E$6)</f>
        <v>3.1402999999999999</v>
      </c>
      <c r="K94" s="61">
        <f>3.1405 * CHOOSE(CONTROL!$C$19, $C$6, 100%, $E$6)</f>
        <v>3.1404999999999998</v>
      </c>
      <c r="L94" s="4"/>
      <c r="M94" s="4"/>
      <c r="N94" s="4"/>
    </row>
    <row r="95" spans="1:14" ht="15">
      <c r="A95" s="13">
        <v>44958</v>
      </c>
      <c r="B95" s="60">
        <f>3.0553 * CHOOSE(CONTROL!$C$19, $C$6, 100%, $E$6)</f>
        <v>3.0552999999999999</v>
      </c>
      <c r="C95" s="60">
        <f>3.0553 * CHOOSE(CONTROL!$C$19, $C$6, 100%, $E$6)</f>
        <v>3.0552999999999999</v>
      </c>
      <c r="D95" s="60">
        <f>3.0718 * CHOOSE(CONTROL!$C$19, $C$6, 100%, $E$6)</f>
        <v>3.0718000000000001</v>
      </c>
      <c r="E95" s="61">
        <f>3.1066 * CHOOSE(CONTROL!$C$19, $C$6, 100%, $E$6)</f>
        <v>3.1065999999999998</v>
      </c>
      <c r="F95" s="61">
        <f>3.1066 * CHOOSE(CONTROL!$C$19, $C$6, 100%, $E$6)</f>
        <v>3.1065999999999998</v>
      </c>
      <c r="G95" s="61">
        <f>3.1068 * CHOOSE(CONTROL!$C$19, $C$6, 100%, $E$6)</f>
        <v>3.1067999999999998</v>
      </c>
      <c r="H95" s="61">
        <f>4.9804* CHOOSE(CONTROL!$C$19, $C$6, 100%, $E$6)</f>
        <v>4.9804000000000004</v>
      </c>
      <c r="I95" s="61">
        <f>4.9805 * CHOOSE(CONTROL!$C$19, $C$6, 100%, $E$6)</f>
        <v>4.9805000000000001</v>
      </c>
      <c r="J95" s="61">
        <f>3.1066 * CHOOSE(CONTROL!$C$19, $C$6, 100%, $E$6)</f>
        <v>3.1065999999999998</v>
      </c>
      <c r="K95" s="61">
        <f>3.1068 * CHOOSE(CONTROL!$C$19, $C$6, 100%, $E$6)</f>
        <v>3.1067999999999998</v>
      </c>
      <c r="L95" s="4"/>
      <c r="M95" s="4"/>
      <c r="N95" s="4"/>
    </row>
    <row r="96" spans="1:14" ht="15">
      <c r="A96" s="13">
        <v>44986</v>
      </c>
      <c r="B96" s="60">
        <f>3.0523 * CHOOSE(CONTROL!$C$19, $C$6, 100%, $E$6)</f>
        <v>3.0522999999999998</v>
      </c>
      <c r="C96" s="60">
        <f>3.0523 * CHOOSE(CONTROL!$C$19, $C$6, 100%, $E$6)</f>
        <v>3.0522999999999998</v>
      </c>
      <c r="D96" s="60">
        <f>3.0688 * CHOOSE(CONTROL!$C$19, $C$6, 100%, $E$6)</f>
        <v>3.0688</v>
      </c>
      <c r="E96" s="61">
        <f>3.1294 * CHOOSE(CONTROL!$C$19, $C$6, 100%, $E$6)</f>
        <v>3.1294</v>
      </c>
      <c r="F96" s="61">
        <f>3.1294 * CHOOSE(CONTROL!$C$19, $C$6, 100%, $E$6)</f>
        <v>3.1294</v>
      </c>
      <c r="G96" s="61">
        <f>3.1296 * CHOOSE(CONTROL!$C$19, $C$6, 100%, $E$6)</f>
        <v>3.1295999999999999</v>
      </c>
      <c r="H96" s="61">
        <f>4.9907* CHOOSE(CONTROL!$C$19, $C$6, 100%, $E$6)</f>
        <v>4.9907000000000004</v>
      </c>
      <c r="I96" s="61">
        <f>4.9909 * CHOOSE(CONTROL!$C$19, $C$6, 100%, $E$6)</f>
        <v>4.9908999999999999</v>
      </c>
      <c r="J96" s="61">
        <f>3.1294 * CHOOSE(CONTROL!$C$19, $C$6, 100%, $E$6)</f>
        <v>3.1294</v>
      </c>
      <c r="K96" s="61">
        <f>3.1296 * CHOOSE(CONTROL!$C$19, $C$6, 100%, $E$6)</f>
        <v>3.1295999999999999</v>
      </c>
      <c r="L96" s="4"/>
      <c r="M96" s="4"/>
      <c r="N96" s="4"/>
    </row>
    <row r="97" spans="1:14" ht="15">
      <c r="A97" s="13">
        <v>45017</v>
      </c>
      <c r="B97" s="60">
        <f>3.0491 * CHOOSE(CONTROL!$C$19, $C$6, 100%, $E$6)</f>
        <v>3.0491000000000001</v>
      </c>
      <c r="C97" s="60">
        <f>3.0491 * CHOOSE(CONTROL!$C$19, $C$6, 100%, $E$6)</f>
        <v>3.0491000000000001</v>
      </c>
      <c r="D97" s="60">
        <f>3.0656 * CHOOSE(CONTROL!$C$19, $C$6, 100%, $E$6)</f>
        <v>3.0655999999999999</v>
      </c>
      <c r="E97" s="61">
        <f>3.1519 * CHOOSE(CONTROL!$C$19, $C$6, 100%, $E$6)</f>
        <v>3.1518999999999999</v>
      </c>
      <c r="F97" s="61">
        <f>3.1519 * CHOOSE(CONTROL!$C$19, $C$6, 100%, $E$6)</f>
        <v>3.1518999999999999</v>
      </c>
      <c r="G97" s="61">
        <f>3.1521 * CHOOSE(CONTROL!$C$19, $C$6, 100%, $E$6)</f>
        <v>3.1520999999999999</v>
      </c>
      <c r="H97" s="61">
        <f>5.0011* CHOOSE(CONTROL!$C$19, $C$6, 100%, $E$6)</f>
        <v>5.0011000000000001</v>
      </c>
      <c r="I97" s="61">
        <f>5.0013 * CHOOSE(CONTROL!$C$19, $C$6, 100%, $E$6)</f>
        <v>5.0012999999999996</v>
      </c>
      <c r="J97" s="61">
        <f>3.1519 * CHOOSE(CONTROL!$C$19, $C$6, 100%, $E$6)</f>
        <v>3.1518999999999999</v>
      </c>
      <c r="K97" s="61">
        <f>3.1521 * CHOOSE(CONTROL!$C$19, $C$6, 100%, $E$6)</f>
        <v>3.1520999999999999</v>
      </c>
      <c r="L97" s="4"/>
      <c r="M97" s="4"/>
      <c r="N97" s="4"/>
    </row>
    <row r="98" spans="1:14" ht="15">
      <c r="A98" s="13">
        <v>45047</v>
      </c>
      <c r="B98" s="60">
        <f>3.0491 * CHOOSE(CONTROL!$C$19, $C$6, 100%, $E$6)</f>
        <v>3.0491000000000001</v>
      </c>
      <c r="C98" s="60">
        <f>3.0491 * CHOOSE(CONTROL!$C$19, $C$6, 100%, $E$6)</f>
        <v>3.0491000000000001</v>
      </c>
      <c r="D98" s="60">
        <f>3.0821 * CHOOSE(CONTROL!$C$19, $C$6, 100%, $E$6)</f>
        <v>3.0821000000000001</v>
      </c>
      <c r="E98" s="61">
        <f>3.1619 * CHOOSE(CONTROL!$C$19, $C$6, 100%, $E$6)</f>
        <v>3.1619000000000002</v>
      </c>
      <c r="F98" s="61">
        <f>3.1619 * CHOOSE(CONTROL!$C$19, $C$6, 100%, $E$6)</f>
        <v>3.1619000000000002</v>
      </c>
      <c r="G98" s="61">
        <f>3.164 * CHOOSE(CONTROL!$C$19, $C$6, 100%, $E$6)</f>
        <v>3.1640000000000001</v>
      </c>
      <c r="H98" s="61">
        <f>5.0116* CHOOSE(CONTROL!$C$19, $C$6, 100%, $E$6)</f>
        <v>5.0115999999999996</v>
      </c>
      <c r="I98" s="61">
        <f>5.0136 * CHOOSE(CONTROL!$C$19, $C$6, 100%, $E$6)</f>
        <v>5.0136000000000003</v>
      </c>
      <c r="J98" s="61">
        <f>3.1619 * CHOOSE(CONTROL!$C$19, $C$6, 100%, $E$6)</f>
        <v>3.1619000000000002</v>
      </c>
      <c r="K98" s="61">
        <f>3.164 * CHOOSE(CONTROL!$C$19, $C$6, 100%, $E$6)</f>
        <v>3.1640000000000001</v>
      </c>
      <c r="L98" s="4"/>
      <c r="M98" s="4"/>
      <c r="N98" s="4"/>
    </row>
    <row r="99" spans="1:14" ht="15">
      <c r="A99" s="13">
        <v>45078</v>
      </c>
      <c r="B99" s="60">
        <f>3.0552 * CHOOSE(CONTROL!$C$19, $C$6, 100%, $E$6)</f>
        <v>3.0552000000000001</v>
      </c>
      <c r="C99" s="60">
        <f>3.0552 * CHOOSE(CONTROL!$C$19, $C$6, 100%, $E$6)</f>
        <v>3.0552000000000001</v>
      </c>
      <c r="D99" s="60">
        <f>3.0882 * CHOOSE(CONTROL!$C$19, $C$6, 100%, $E$6)</f>
        <v>3.0882000000000001</v>
      </c>
      <c r="E99" s="61">
        <f>3.1561 * CHOOSE(CONTROL!$C$19, $C$6, 100%, $E$6)</f>
        <v>3.1560999999999999</v>
      </c>
      <c r="F99" s="61">
        <f>3.1561 * CHOOSE(CONTROL!$C$19, $C$6, 100%, $E$6)</f>
        <v>3.1560999999999999</v>
      </c>
      <c r="G99" s="61">
        <f>3.1582 * CHOOSE(CONTROL!$C$19, $C$6, 100%, $E$6)</f>
        <v>3.1581999999999999</v>
      </c>
      <c r="H99" s="61">
        <f>5.022* CHOOSE(CONTROL!$C$19, $C$6, 100%, $E$6)</f>
        <v>5.0220000000000002</v>
      </c>
      <c r="I99" s="61">
        <f>5.024 * CHOOSE(CONTROL!$C$19, $C$6, 100%, $E$6)</f>
        <v>5.024</v>
      </c>
      <c r="J99" s="61">
        <f>3.1561 * CHOOSE(CONTROL!$C$19, $C$6, 100%, $E$6)</f>
        <v>3.1560999999999999</v>
      </c>
      <c r="K99" s="61">
        <f>3.1582 * CHOOSE(CONTROL!$C$19, $C$6, 100%, $E$6)</f>
        <v>3.1581999999999999</v>
      </c>
      <c r="L99" s="4"/>
      <c r="M99" s="4"/>
      <c r="N99" s="4"/>
    </row>
    <row r="100" spans="1:14" ht="15">
      <c r="A100" s="13">
        <v>45108</v>
      </c>
      <c r="B100" s="60">
        <f>3.1 * CHOOSE(CONTROL!$C$19, $C$6, 100%, $E$6)</f>
        <v>3.1</v>
      </c>
      <c r="C100" s="60">
        <f>3.1 * CHOOSE(CONTROL!$C$19, $C$6, 100%, $E$6)</f>
        <v>3.1</v>
      </c>
      <c r="D100" s="60">
        <f>3.133 * CHOOSE(CONTROL!$C$19, $C$6, 100%, $E$6)</f>
        <v>3.133</v>
      </c>
      <c r="E100" s="61">
        <f>3.2154 * CHOOSE(CONTROL!$C$19, $C$6, 100%, $E$6)</f>
        <v>3.2153999999999998</v>
      </c>
      <c r="F100" s="61">
        <f>3.2154 * CHOOSE(CONTROL!$C$19, $C$6, 100%, $E$6)</f>
        <v>3.2153999999999998</v>
      </c>
      <c r="G100" s="61">
        <f>3.2175 * CHOOSE(CONTROL!$C$19, $C$6, 100%, $E$6)</f>
        <v>3.2174999999999998</v>
      </c>
      <c r="H100" s="61">
        <f>5.0325* CHOOSE(CONTROL!$C$19, $C$6, 100%, $E$6)</f>
        <v>5.0324999999999998</v>
      </c>
      <c r="I100" s="61">
        <f>5.0345 * CHOOSE(CONTROL!$C$19, $C$6, 100%, $E$6)</f>
        <v>5.0345000000000004</v>
      </c>
      <c r="J100" s="61">
        <f>3.2154 * CHOOSE(CONTROL!$C$19, $C$6, 100%, $E$6)</f>
        <v>3.2153999999999998</v>
      </c>
      <c r="K100" s="61">
        <f>3.2175 * CHOOSE(CONTROL!$C$19, $C$6, 100%, $E$6)</f>
        <v>3.2174999999999998</v>
      </c>
      <c r="L100" s="4"/>
      <c r="M100" s="4"/>
      <c r="N100" s="4"/>
    </row>
    <row r="101" spans="1:14" ht="15">
      <c r="A101" s="13">
        <v>45139</v>
      </c>
      <c r="B101" s="60">
        <f>3.1066 * CHOOSE(CONTROL!$C$19, $C$6, 100%, $E$6)</f>
        <v>3.1065999999999998</v>
      </c>
      <c r="C101" s="60">
        <f>3.1066 * CHOOSE(CONTROL!$C$19, $C$6, 100%, $E$6)</f>
        <v>3.1065999999999998</v>
      </c>
      <c r="D101" s="60">
        <f>3.1397 * CHOOSE(CONTROL!$C$19, $C$6, 100%, $E$6)</f>
        <v>3.1396999999999999</v>
      </c>
      <c r="E101" s="61">
        <f>3.19 * CHOOSE(CONTROL!$C$19, $C$6, 100%, $E$6)</f>
        <v>3.19</v>
      </c>
      <c r="F101" s="61">
        <f>3.19 * CHOOSE(CONTROL!$C$19, $C$6, 100%, $E$6)</f>
        <v>3.19</v>
      </c>
      <c r="G101" s="61">
        <f>3.1921 * CHOOSE(CONTROL!$C$19, $C$6, 100%, $E$6)</f>
        <v>3.1920999999999999</v>
      </c>
      <c r="H101" s="61">
        <f>5.0429* CHOOSE(CONTROL!$C$19, $C$6, 100%, $E$6)</f>
        <v>5.0429000000000004</v>
      </c>
      <c r="I101" s="61">
        <f>5.045 * CHOOSE(CONTROL!$C$19, $C$6, 100%, $E$6)</f>
        <v>5.0449999999999999</v>
      </c>
      <c r="J101" s="61">
        <f>3.19 * CHOOSE(CONTROL!$C$19, $C$6, 100%, $E$6)</f>
        <v>3.19</v>
      </c>
      <c r="K101" s="61">
        <f>3.1921 * CHOOSE(CONTROL!$C$19, $C$6, 100%, $E$6)</f>
        <v>3.1920999999999999</v>
      </c>
      <c r="L101" s="4"/>
      <c r="M101" s="4"/>
      <c r="N101" s="4"/>
    </row>
    <row r="102" spans="1:14" ht="15">
      <c r="A102" s="13">
        <v>45170</v>
      </c>
      <c r="B102" s="60">
        <f>3.1036 * CHOOSE(CONTROL!$C$19, $C$6, 100%, $E$6)</f>
        <v>3.1036000000000001</v>
      </c>
      <c r="C102" s="60">
        <f>3.1036 * CHOOSE(CONTROL!$C$19, $C$6, 100%, $E$6)</f>
        <v>3.1036000000000001</v>
      </c>
      <c r="D102" s="60">
        <f>3.1366 * CHOOSE(CONTROL!$C$19, $C$6, 100%, $E$6)</f>
        <v>3.1366000000000001</v>
      </c>
      <c r="E102" s="61">
        <f>3.1845 * CHOOSE(CONTROL!$C$19, $C$6, 100%, $E$6)</f>
        <v>3.1844999999999999</v>
      </c>
      <c r="F102" s="61">
        <f>3.1845 * CHOOSE(CONTROL!$C$19, $C$6, 100%, $E$6)</f>
        <v>3.1844999999999999</v>
      </c>
      <c r="G102" s="61">
        <f>3.1866 * CHOOSE(CONTROL!$C$19, $C$6, 100%, $E$6)</f>
        <v>3.1865999999999999</v>
      </c>
      <c r="H102" s="61">
        <f>5.0534* CHOOSE(CONTROL!$C$19, $C$6, 100%, $E$6)</f>
        <v>5.0533999999999999</v>
      </c>
      <c r="I102" s="61">
        <f>5.0555 * CHOOSE(CONTROL!$C$19, $C$6, 100%, $E$6)</f>
        <v>5.0555000000000003</v>
      </c>
      <c r="J102" s="61">
        <f>3.1845 * CHOOSE(CONTROL!$C$19, $C$6, 100%, $E$6)</f>
        <v>3.1844999999999999</v>
      </c>
      <c r="K102" s="61">
        <f>3.1866 * CHOOSE(CONTROL!$C$19, $C$6, 100%, $E$6)</f>
        <v>3.1865999999999999</v>
      </c>
      <c r="L102" s="4"/>
      <c r="M102" s="4"/>
      <c r="N102" s="4"/>
    </row>
    <row r="103" spans="1:14" ht="15">
      <c r="A103" s="13">
        <v>45200</v>
      </c>
      <c r="B103" s="60">
        <f>3.0955 * CHOOSE(CONTROL!$C$19, $C$6, 100%, $E$6)</f>
        <v>3.0954999999999999</v>
      </c>
      <c r="C103" s="60">
        <f>3.0955 * CHOOSE(CONTROL!$C$19, $C$6, 100%, $E$6)</f>
        <v>3.0954999999999999</v>
      </c>
      <c r="D103" s="60">
        <f>3.112 * CHOOSE(CONTROL!$C$19, $C$6, 100%, $E$6)</f>
        <v>3.1120000000000001</v>
      </c>
      <c r="E103" s="61">
        <f>3.1845 * CHOOSE(CONTROL!$C$19, $C$6, 100%, $E$6)</f>
        <v>3.1844999999999999</v>
      </c>
      <c r="F103" s="61">
        <f>3.1845 * CHOOSE(CONTROL!$C$19, $C$6, 100%, $E$6)</f>
        <v>3.1844999999999999</v>
      </c>
      <c r="G103" s="61">
        <f>3.1847 * CHOOSE(CONTROL!$C$19, $C$6, 100%, $E$6)</f>
        <v>3.1846999999999999</v>
      </c>
      <c r="H103" s="61">
        <f>5.064* CHOOSE(CONTROL!$C$19, $C$6, 100%, $E$6)</f>
        <v>5.0640000000000001</v>
      </c>
      <c r="I103" s="61">
        <f>5.0641 * CHOOSE(CONTROL!$C$19, $C$6, 100%, $E$6)</f>
        <v>5.0640999999999998</v>
      </c>
      <c r="J103" s="61">
        <f>3.1845 * CHOOSE(CONTROL!$C$19, $C$6, 100%, $E$6)</f>
        <v>3.1844999999999999</v>
      </c>
      <c r="K103" s="61">
        <f>3.1847 * CHOOSE(CONTROL!$C$19, $C$6, 100%, $E$6)</f>
        <v>3.1846999999999999</v>
      </c>
      <c r="L103" s="4"/>
      <c r="M103" s="4"/>
      <c r="N103" s="4"/>
    </row>
    <row r="104" spans="1:14" ht="15">
      <c r="A104" s="13">
        <v>45231</v>
      </c>
      <c r="B104" s="60">
        <f>3.0985 * CHOOSE(CONTROL!$C$19, $C$6, 100%, $E$6)</f>
        <v>3.0985</v>
      </c>
      <c r="C104" s="60">
        <f>3.0985 * CHOOSE(CONTROL!$C$19, $C$6, 100%, $E$6)</f>
        <v>3.0985</v>
      </c>
      <c r="D104" s="60">
        <f>3.1151 * CHOOSE(CONTROL!$C$19, $C$6, 100%, $E$6)</f>
        <v>3.1151</v>
      </c>
      <c r="E104" s="61">
        <f>3.1933 * CHOOSE(CONTROL!$C$19, $C$6, 100%, $E$6)</f>
        <v>3.1932999999999998</v>
      </c>
      <c r="F104" s="61">
        <f>3.1933 * CHOOSE(CONTROL!$C$19, $C$6, 100%, $E$6)</f>
        <v>3.1932999999999998</v>
      </c>
      <c r="G104" s="61">
        <f>3.1935 * CHOOSE(CONTROL!$C$19, $C$6, 100%, $E$6)</f>
        <v>3.1934999999999998</v>
      </c>
      <c r="H104" s="61">
        <f>5.0745* CHOOSE(CONTROL!$C$19, $C$6, 100%, $E$6)</f>
        <v>5.0744999999999996</v>
      </c>
      <c r="I104" s="61">
        <f>5.0747 * CHOOSE(CONTROL!$C$19, $C$6, 100%, $E$6)</f>
        <v>5.0747</v>
      </c>
      <c r="J104" s="61">
        <f>3.1933 * CHOOSE(CONTROL!$C$19, $C$6, 100%, $E$6)</f>
        <v>3.1932999999999998</v>
      </c>
      <c r="K104" s="61">
        <f>3.1935 * CHOOSE(CONTROL!$C$19, $C$6, 100%, $E$6)</f>
        <v>3.1934999999999998</v>
      </c>
      <c r="L104" s="4"/>
      <c r="M104" s="4"/>
      <c r="N104" s="4"/>
    </row>
    <row r="105" spans="1:14" ht="15">
      <c r="A105" s="13">
        <v>45261</v>
      </c>
      <c r="B105" s="60">
        <f>3.0985 * CHOOSE(CONTROL!$C$19, $C$6, 100%, $E$6)</f>
        <v>3.0985</v>
      </c>
      <c r="C105" s="60">
        <f>3.0985 * CHOOSE(CONTROL!$C$19, $C$6, 100%, $E$6)</f>
        <v>3.0985</v>
      </c>
      <c r="D105" s="60">
        <f>3.1151 * CHOOSE(CONTROL!$C$19, $C$6, 100%, $E$6)</f>
        <v>3.1151</v>
      </c>
      <c r="E105" s="61">
        <f>3.1766 * CHOOSE(CONTROL!$C$19, $C$6, 100%, $E$6)</f>
        <v>3.1766000000000001</v>
      </c>
      <c r="F105" s="61">
        <f>3.1766 * CHOOSE(CONTROL!$C$19, $C$6, 100%, $E$6)</f>
        <v>3.1766000000000001</v>
      </c>
      <c r="G105" s="61">
        <f>3.1768 * CHOOSE(CONTROL!$C$19, $C$6, 100%, $E$6)</f>
        <v>3.1768000000000001</v>
      </c>
      <c r="H105" s="61">
        <f>5.0851* CHOOSE(CONTROL!$C$19, $C$6, 100%, $E$6)</f>
        <v>5.0850999999999997</v>
      </c>
      <c r="I105" s="61">
        <f>5.0853 * CHOOSE(CONTROL!$C$19, $C$6, 100%, $E$6)</f>
        <v>5.0853000000000002</v>
      </c>
      <c r="J105" s="61">
        <f>3.1766 * CHOOSE(CONTROL!$C$19, $C$6, 100%, $E$6)</f>
        <v>3.1766000000000001</v>
      </c>
      <c r="K105" s="61">
        <f>3.1768 * CHOOSE(CONTROL!$C$19, $C$6, 100%, $E$6)</f>
        <v>3.1768000000000001</v>
      </c>
      <c r="L105" s="4"/>
      <c r="M105" s="4"/>
      <c r="N105" s="4"/>
    </row>
    <row r="106" spans="1:14" ht="15">
      <c r="A106" s="13">
        <v>45292</v>
      </c>
      <c r="B106" s="60">
        <f>3.129 * CHOOSE(CONTROL!$C$19, $C$6, 100%, $E$6)</f>
        <v>3.129</v>
      </c>
      <c r="C106" s="60">
        <f>3.129 * CHOOSE(CONTROL!$C$19, $C$6, 100%, $E$6)</f>
        <v>3.129</v>
      </c>
      <c r="D106" s="60">
        <f>3.1455 * CHOOSE(CONTROL!$C$19, $C$6, 100%, $E$6)</f>
        <v>3.1455000000000002</v>
      </c>
      <c r="E106" s="61">
        <f>3.255 * CHOOSE(CONTROL!$C$19, $C$6, 100%, $E$6)</f>
        <v>3.2549999999999999</v>
      </c>
      <c r="F106" s="61">
        <f>3.255 * CHOOSE(CONTROL!$C$19, $C$6, 100%, $E$6)</f>
        <v>3.2549999999999999</v>
      </c>
      <c r="G106" s="61">
        <f>3.2551 * CHOOSE(CONTROL!$C$19, $C$6, 100%, $E$6)</f>
        <v>3.2551000000000001</v>
      </c>
      <c r="H106" s="61">
        <f>5.0957* CHOOSE(CONTROL!$C$19, $C$6, 100%, $E$6)</f>
        <v>5.0956999999999999</v>
      </c>
      <c r="I106" s="61">
        <f>5.0959 * CHOOSE(CONTROL!$C$19, $C$6, 100%, $E$6)</f>
        <v>5.0959000000000003</v>
      </c>
      <c r="J106" s="61">
        <f>3.255 * CHOOSE(CONTROL!$C$19, $C$6, 100%, $E$6)</f>
        <v>3.2549999999999999</v>
      </c>
      <c r="K106" s="61">
        <f>3.2551 * CHOOSE(CONTROL!$C$19, $C$6, 100%, $E$6)</f>
        <v>3.2551000000000001</v>
      </c>
      <c r="L106" s="4"/>
      <c r="M106" s="4"/>
      <c r="N106" s="4"/>
    </row>
    <row r="107" spans="1:14" ht="15">
      <c r="A107" s="13">
        <v>45323</v>
      </c>
      <c r="B107" s="60">
        <f>3.1259 * CHOOSE(CONTROL!$C$19, $C$6, 100%, $E$6)</f>
        <v>3.1259000000000001</v>
      </c>
      <c r="C107" s="60">
        <f>3.1259 * CHOOSE(CONTROL!$C$19, $C$6, 100%, $E$6)</f>
        <v>3.1259000000000001</v>
      </c>
      <c r="D107" s="60">
        <f>3.1424 * CHOOSE(CONTROL!$C$19, $C$6, 100%, $E$6)</f>
        <v>3.1423999999999999</v>
      </c>
      <c r="E107" s="61">
        <f>3.2171 * CHOOSE(CONTROL!$C$19, $C$6, 100%, $E$6)</f>
        <v>3.2170999999999998</v>
      </c>
      <c r="F107" s="61">
        <f>3.2171 * CHOOSE(CONTROL!$C$19, $C$6, 100%, $E$6)</f>
        <v>3.2170999999999998</v>
      </c>
      <c r="G107" s="61">
        <f>3.2172 * CHOOSE(CONTROL!$C$19, $C$6, 100%, $E$6)</f>
        <v>3.2172000000000001</v>
      </c>
      <c r="H107" s="61">
        <f>5.1063* CHOOSE(CONTROL!$C$19, $C$6, 100%, $E$6)</f>
        <v>5.1063000000000001</v>
      </c>
      <c r="I107" s="61">
        <f>5.1065 * CHOOSE(CONTROL!$C$19, $C$6, 100%, $E$6)</f>
        <v>5.1064999999999996</v>
      </c>
      <c r="J107" s="61">
        <f>3.2171 * CHOOSE(CONTROL!$C$19, $C$6, 100%, $E$6)</f>
        <v>3.2170999999999998</v>
      </c>
      <c r="K107" s="61">
        <f>3.2172 * CHOOSE(CONTROL!$C$19, $C$6, 100%, $E$6)</f>
        <v>3.2172000000000001</v>
      </c>
      <c r="L107" s="4"/>
      <c r="M107" s="4"/>
      <c r="N107" s="4"/>
    </row>
    <row r="108" spans="1:14" ht="15">
      <c r="A108" s="13">
        <v>45352</v>
      </c>
      <c r="B108" s="60">
        <f>3.1229 * CHOOSE(CONTROL!$C$19, $C$6, 100%, $E$6)</f>
        <v>3.1229</v>
      </c>
      <c r="C108" s="60">
        <f>3.1229 * CHOOSE(CONTROL!$C$19, $C$6, 100%, $E$6)</f>
        <v>3.1229</v>
      </c>
      <c r="D108" s="60">
        <f>3.1394 * CHOOSE(CONTROL!$C$19, $C$6, 100%, $E$6)</f>
        <v>3.1394000000000002</v>
      </c>
      <c r="E108" s="61">
        <f>3.2432 * CHOOSE(CONTROL!$C$19, $C$6, 100%, $E$6)</f>
        <v>3.2431999999999999</v>
      </c>
      <c r="F108" s="61">
        <f>3.2432 * CHOOSE(CONTROL!$C$19, $C$6, 100%, $E$6)</f>
        <v>3.2431999999999999</v>
      </c>
      <c r="G108" s="61">
        <f>3.2433 * CHOOSE(CONTROL!$C$19, $C$6, 100%, $E$6)</f>
        <v>3.2433000000000001</v>
      </c>
      <c r="H108" s="61">
        <f>5.1169* CHOOSE(CONTROL!$C$19, $C$6, 100%, $E$6)</f>
        <v>5.1169000000000002</v>
      </c>
      <c r="I108" s="61">
        <f>5.1171 * CHOOSE(CONTROL!$C$19, $C$6, 100%, $E$6)</f>
        <v>5.1170999999999998</v>
      </c>
      <c r="J108" s="61">
        <f>3.2432 * CHOOSE(CONTROL!$C$19, $C$6, 100%, $E$6)</f>
        <v>3.2431999999999999</v>
      </c>
      <c r="K108" s="61">
        <f>3.2433 * CHOOSE(CONTROL!$C$19, $C$6, 100%, $E$6)</f>
        <v>3.2433000000000001</v>
      </c>
      <c r="L108" s="4"/>
      <c r="M108" s="4"/>
      <c r="N108" s="4"/>
    </row>
    <row r="109" spans="1:14" ht="15">
      <c r="A109" s="13">
        <v>45383</v>
      </c>
      <c r="B109" s="60">
        <f>3.1198 * CHOOSE(CONTROL!$C$19, $C$6, 100%, $E$6)</f>
        <v>3.1198000000000001</v>
      </c>
      <c r="C109" s="60">
        <f>3.1198 * CHOOSE(CONTROL!$C$19, $C$6, 100%, $E$6)</f>
        <v>3.1198000000000001</v>
      </c>
      <c r="D109" s="60">
        <f>3.1363 * CHOOSE(CONTROL!$C$19, $C$6, 100%, $E$6)</f>
        <v>3.1362999999999999</v>
      </c>
      <c r="E109" s="61">
        <f>3.2692 * CHOOSE(CONTROL!$C$19, $C$6, 100%, $E$6)</f>
        <v>3.2692000000000001</v>
      </c>
      <c r="F109" s="61">
        <f>3.2692 * CHOOSE(CONTROL!$C$19, $C$6, 100%, $E$6)</f>
        <v>3.2692000000000001</v>
      </c>
      <c r="G109" s="61">
        <f>3.2694 * CHOOSE(CONTROL!$C$19, $C$6, 100%, $E$6)</f>
        <v>3.2694000000000001</v>
      </c>
      <c r="H109" s="61">
        <f>5.1276* CHOOSE(CONTROL!$C$19, $C$6, 100%, $E$6)</f>
        <v>5.1276000000000002</v>
      </c>
      <c r="I109" s="61">
        <f>5.1278 * CHOOSE(CONTROL!$C$19, $C$6, 100%, $E$6)</f>
        <v>5.1277999999999997</v>
      </c>
      <c r="J109" s="61">
        <f>3.2692 * CHOOSE(CONTROL!$C$19, $C$6, 100%, $E$6)</f>
        <v>3.2692000000000001</v>
      </c>
      <c r="K109" s="61">
        <f>3.2694 * CHOOSE(CONTROL!$C$19, $C$6, 100%, $E$6)</f>
        <v>3.2694000000000001</v>
      </c>
      <c r="L109" s="4"/>
      <c r="M109" s="4"/>
      <c r="N109" s="4"/>
    </row>
    <row r="110" spans="1:14" ht="15">
      <c r="A110" s="13">
        <v>45413</v>
      </c>
      <c r="B110" s="60">
        <f>3.1198 * CHOOSE(CONTROL!$C$19, $C$6, 100%, $E$6)</f>
        <v>3.1198000000000001</v>
      </c>
      <c r="C110" s="60">
        <f>3.1198 * CHOOSE(CONTROL!$C$19, $C$6, 100%, $E$6)</f>
        <v>3.1198000000000001</v>
      </c>
      <c r="D110" s="60">
        <f>3.1528 * CHOOSE(CONTROL!$C$19, $C$6, 100%, $E$6)</f>
        <v>3.1528</v>
      </c>
      <c r="E110" s="61">
        <f>3.2806 * CHOOSE(CONTROL!$C$19, $C$6, 100%, $E$6)</f>
        <v>3.2806000000000002</v>
      </c>
      <c r="F110" s="61">
        <f>3.2806 * CHOOSE(CONTROL!$C$19, $C$6, 100%, $E$6)</f>
        <v>3.2806000000000002</v>
      </c>
      <c r="G110" s="61">
        <f>3.2826 * CHOOSE(CONTROL!$C$19, $C$6, 100%, $E$6)</f>
        <v>3.2826</v>
      </c>
      <c r="H110" s="61">
        <f>5.1383* CHOOSE(CONTROL!$C$19, $C$6, 100%, $E$6)</f>
        <v>5.1383000000000001</v>
      </c>
      <c r="I110" s="61">
        <f>5.1403 * CHOOSE(CONTROL!$C$19, $C$6, 100%, $E$6)</f>
        <v>5.1402999999999999</v>
      </c>
      <c r="J110" s="61">
        <f>3.2806 * CHOOSE(CONTROL!$C$19, $C$6, 100%, $E$6)</f>
        <v>3.2806000000000002</v>
      </c>
      <c r="K110" s="61">
        <f>3.2826 * CHOOSE(CONTROL!$C$19, $C$6, 100%, $E$6)</f>
        <v>3.2826</v>
      </c>
      <c r="L110" s="4"/>
      <c r="M110" s="4"/>
      <c r="N110" s="4"/>
    </row>
    <row r="111" spans="1:14" ht="15">
      <c r="A111" s="13">
        <v>45444</v>
      </c>
      <c r="B111" s="60">
        <f>3.1258 * CHOOSE(CONTROL!$C$19, $C$6, 100%, $E$6)</f>
        <v>3.1257999999999999</v>
      </c>
      <c r="C111" s="60">
        <f>3.1258 * CHOOSE(CONTROL!$C$19, $C$6, 100%, $E$6)</f>
        <v>3.1257999999999999</v>
      </c>
      <c r="D111" s="60">
        <f>3.1588 * CHOOSE(CONTROL!$C$19, $C$6, 100%, $E$6)</f>
        <v>3.1587999999999998</v>
      </c>
      <c r="E111" s="61">
        <f>3.2735 * CHOOSE(CONTROL!$C$19, $C$6, 100%, $E$6)</f>
        <v>3.2734999999999999</v>
      </c>
      <c r="F111" s="61">
        <f>3.2735 * CHOOSE(CONTROL!$C$19, $C$6, 100%, $E$6)</f>
        <v>3.2734999999999999</v>
      </c>
      <c r="G111" s="61">
        <f>3.2755 * CHOOSE(CONTROL!$C$19, $C$6, 100%, $E$6)</f>
        <v>3.2755000000000001</v>
      </c>
      <c r="H111" s="61">
        <f>5.149* CHOOSE(CONTROL!$C$19, $C$6, 100%, $E$6)</f>
        <v>5.149</v>
      </c>
      <c r="I111" s="61">
        <f>5.151 * CHOOSE(CONTROL!$C$19, $C$6, 100%, $E$6)</f>
        <v>5.1509999999999998</v>
      </c>
      <c r="J111" s="61">
        <f>3.2735 * CHOOSE(CONTROL!$C$19, $C$6, 100%, $E$6)</f>
        <v>3.2734999999999999</v>
      </c>
      <c r="K111" s="61">
        <f>3.2755 * CHOOSE(CONTROL!$C$19, $C$6, 100%, $E$6)</f>
        <v>3.2755000000000001</v>
      </c>
      <c r="L111" s="4"/>
      <c r="M111" s="4"/>
      <c r="N111" s="4"/>
    </row>
    <row r="112" spans="1:14" ht="15">
      <c r="A112" s="13">
        <v>45474</v>
      </c>
      <c r="B112" s="60">
        <f>3.1848 * CHOOSE(CONTROL!$C$19, $C$6, 100%, $E$6)</f>
        <v>3.1848000000000001</v>
      </c>
      <c r="C112" s="60">
        <f>3.1848 * CHOOSE(CONTROL!$C$19, $C$6, 100%, $E$6)</f>
        <v>3.1848000000000001</v>
      </c>
      <c r="D112" s="60">
        <f>3.2178 * CHOOSE(CONTROL!$C$19, $C$6, 100%, $E$6)</f>
        <v>3.2178</v>
      </c>
      <c r="E112" s="61">
        <f>3.3462 * CHOOSE(CONTROL!$C$19, $C$6, 100%, $E$6)</f>
        <v>3.3462000000000001</v>
      </c>
      <c r="F112" s="61">
        <f>3.3462 * CHOOSE(CONTROL!$C$19, $C$6, 100%, $E$6)</f>
        <v>3.3462000000000001</v>
      </c>
      <c r="G112" s="61">
        <f>3.3482 * CHOOSE(CONTROL!$C$19, $C$6, 100%, $E$6)</f>
        <v>3.3481999999999998</v>
      </c>
      <c r="H112" s="61">
        <f>5.1597* CHOOSE(CONTROL!$C$19, $C$6, 100%, $E$6)</f>
        <v>5.1597</v>
      </c>
      <c r="I112" s="61">
        <f>5.1618 * CHOOSE(CONTROL!$C$19, $C$6, 100%, $E$6)</f>
        <v>5.1618000000000004</v>
      </c>
      <c r="J112" s="61">
        <f>3.3462 * CHOOSE(CONTROL!$C$19, $C$6, 100%, $E$6)</f>
        <v>3.3462000000000001</v>
      </c>
      <c r="K112" s="61">
        <f>3.3482 * CHOOSE(CONTROL!$C$19, $C$6, 100%, $E$6)</f>
        <v>3.3481999999999998</v>
      </c>
      <c r="L112" s="4"/>
      <c r="M112" s="4"/>
      <c r="N112" s="4"/>
    </row>
    <row r="113" spans="1:14" ht="15">
      <c r="A113" s="13">
        <v>45505</v>
      </c>
      <c r="B113" s="60">
        <f>3.1915 * CHOOSE(CONTROL!$C$19, $C$6, 100%, $E$6)</f>
        <v>3.1915</v>
      </c>
      <c r="C113" s="60">
        <f>3.1915 * CHOOSE(CONTROL!$C$19, $C$6, 100%, $E$6)</f>
        <v>3.1915</v>
      </c>
      <c r="D113" s="60">
        <f>3.2245 * CHOOSE(CONTROL!$C$19, $C$6, 100%, $E$6)</f>
        <v>3.2244999999999999</v>
      </c>
      <c r="E113" s="61">
        <f>3.3167 * CHOOSE(CONTROL!$C$19, $C$6, 100%, $E$6)</f>
        <v>3.3167</v>
      </c>
      <c r="F113" s="61">
        <f>3.3167 * CHOOSE(CONTROL!$C$19, $C$6, 100%, $E$6)</f>
        <v>3.3167</v>
      </c>
      <c r="G113" s="61">
        <f>3.3188 * CHOOSE(CONTROL!$C$19, $C$6, 100%, $E$6)</f>
        <v>3.3188</v>
      </c>
      <c r="H113" s="61">
        <f>5.1705* CHOOSE(CONTROL!$C$19, $C$6, 100%, $E$6)</f>
        <v>5.1704999999999997</v>
      </c>
      <c r="I113" s="61">
        <f>5.1725 * CHOOSE(CONTROL!$C$19, $C$6, 100%, $E$6)</f>
        <v>5.1725000000000003</v>
      </c>
      <c r="J113" s="61">
        <f>3.3167 * CHOOSE(CONTROL!$C$19, $C$6, 100%, $E$6)</f>
        <v>3.3167</v>
      </c>
      <c r="K113" s="61">
        <f>3.3188 * CHOOSE(CONTROL!$C$19, $C$6, 100%, $E$6)</f>
        <v>3.3188</v>
      </c>
      <c r="L113" s="4"/>
      <c r="M113" s="4"/>
      <c r="N113" s="4"/>
    </row>
    <row r="114" spans="1:14" ht="15">
      <c r="A114" s="13">
        <v>45536</v>
      </c>
      <c r="B114" s="60">
        <f>3.1885 * CHOOSE(CONTROL!$C$19, $C$6, 100%, $E$6)</f>
        <v>3.1884999999999999</v>
      </c>
      <c r="C114" s="60">
        <f>3.1885 * CHOOSE(CONTROL!$C$19, $C$6, 100%, $E$6)</f>
        <v>3.1884999999999999</v>
      </c>
      <c r="D114" s="60">
        <f>3.2215 * CHOOSE(CONTROL!$C$19, $C$6, 100%, $E$6)</f>
        <v>3.2214999999999998</v>
      </c>
      <c r="E114" s="61">
        <f>3.3108 * CHOOSE(CONTROL!$C$19, $C$6, 100%, $E$6)</f>
        <v>3.3108</v>
      </c>
      <c r="F114" s="61">
        <f>3.3108 * CHOOSE(CONTROL!$C$19, $C$6, 100%, $E$6)</f>
        <v>3.3108</v>
      </c>
      <c r="G114" s="61">
        <f>3.3129 * CHOOSE(CONTROL!$C$19, $C$6, 100%, $E$6)</f>
        <v>3.3129</v>
      </c>
      <c r="H114" s="61">
        <f>5.1812* CHOOSE(CONTROL!$C$19, $C$6, 100%, $E$6)</f>
        <v>5.1811999999999996</v>
      </c>
      <c r="I114" s="61">
        <f>5.1833 * CHOOSE(CONTROL!$C$19, $C$6, 100%, $E$6)</f>
        <v>5.1833</v>
      </c>
      <c r="J114" s="61">
        <f>3.3108 * CHOOSE(CONTROL!$C$19, $C$6, 100%, $E$6)</f>
        <v>3.3108</v>
      </c>
      <c r="K114" s="61">
        <f>3.3129 * CHOOSE(CONTROL!$C$19, $C$6, 100%, $E$6)</f>
        <v>3.3129</v>
      </c>
      <c r="L114" s="4"/>
      <c r="M114" s="4"/>
      <c r="N114" s="4"/>
    </row>
    <row r="115" spans="1:14" ht="15">
      <c r="A115" s="13">
        <v>45566</v>
      </c>
      <c r="B115" s="60">
        <f>3.1807 * CHOOSE(CONTROL!$C$19, $C$6, 100%, $E$6)</f>
        <v>3.1806999999999999</v>
      </c>
      <c r="C115" s="60">
        <f>3.1807 * CHOOSE(CONTROL!$C$19, $C$6, 100%, $E$6)</f>
        <v>3.1806999999999999</v>
      </c>
      <c r="D115" s="60">
        <f>3.1972 * CHOOSE(CONTROL!$C$19, $C$6, 100%, $E$6)</f>
        <v>3.1972</v>
      </c>
      <c r="E115" s="61">
        <f>3.3126 * CHOOSE(CONTROL!$C$19, $C$6, 100%, $E$6)</f>
        <v>3.3126000000000002</v>
      </c>
      <c r="F115" s="61">
        <f>3.3126 * CHOOSE(CONTROL!$C$19, $C$6, 100%, $E$6)</f>
        <v>3.3126000000000002</v>
      </c>
      <c r="G115" s="61">
        <f>3.3127 * CHOOSE(CONTROL!$C$19, $C$6, 100%, $E$6)</f>
        <v>3.3127</v>
      </c>
      <c r="H115" s="61">
        <f>5.192* CHOOSE(CONTROL!$C$19, $C$6, 100%, $E$6)</f>
        <v>5.1920000000000002</v>
      </c>
      <c r="I115" s="61">
        <f>5.1922 * CHOOSE(CONTROL!$C$19, $C$6, 100%, $E$6)</f>
        <v>5.1921999999999997</v>
      </c>
      <c r="J115" s="61">
        <f>3.3126 * CHOOSE(CONTROL!$C$19, $C$6, 100%, $E$6)</f>
        <v>3.3126000000000002</v>
      </c>
      <c r="K115" s="61">
        <f>3.3127 * CHOOSE(CONTROL!$C$19, $C$6, 100%, $E$6)</f>
        <v>3.3127</v>
      </c>
      <c r="L115" s="4"/>
      <c r="M115" s="4"/>
      <c r="N115" s="4"/>
    </row>
    <row r="116" spans="1:14" ht="15">
      <c r="A116" s="13">
        <v>45597</v>
      </c>
      <c r="B116" s="60">
        <f>3.1837 * CHOOSE(CONTROL!$C$19, $C$6, 100%, $E$6)</f>
        <v>3.1837</v>
      </c>
      <c r="C116" s="60">
        <f>3.1837 * CHOOSE(CONTROL!$C$19, $C$6, 100%, $E$6)</f>
        <v>3.1837</v>
      </c>
      <c r="D116" s="60">
        <f>3.2002 * CHOOSE(CONTROL!$C$19, $C$6, 100%, $E$6)</f>
        <v>3.2002000000000002</v>
      </c>
      <c r="E116" s="61">
        <f>3.3223 * CHOOSE(CONTROL!$C$19, $C$6, 100%, $E$6)</f>
        <v>3.3222999999999998</v>
      </c>
      <c r="F116" s="61">
        <f>3.3223 * CHOOSE(CONTROL!$C$19, $C$6, 100%, $E$6)</f>
        <v>3.3222999999999998</v>
      </c>
      <c r="G116" s="61">
        <f>3.3224 * CHOOSE(CONTROL!$C$19, $C$6, 100%, $E$6)</f>
        <v>3.3224</v>
      </c>
      <c r="H116" s="61">
        <f>5.2028* CHOOSE(CONTROL!$C$19, $C$6, 100%, $E$6)</f>
        <v>5.2027999999999999</v>
      </c>
      <c r="I116" s="61">
        <f>5.203 * CHOOSE(CONTROL!$C$19, $C$6, 100%, $E$6)</f>
        <v>5.2030000000000003</v>
      </c>
      <c r="J116" s="61">
        <f>3.3223 * CHOOSE(CONTROL!$C$19, $C$6, 100%, $E$6)</f>
        <v>3.3222999999999998</v>
      </c>
      <c r="K116" s="61">
        <f>3.3224 * CHOOSE(CONTROL!$C$19, $C$6, 100%, $E$6)</f>
        <v>3.3224</v>
      </c>
      <c r="L116" s="4"/>
      <c r="M116" s="4"/>
      <c r="N116" s="4"/>
    </row>
    <row r="117" spans="1:14" ht="15">
      <c r="A117" s="13">
        <v>45627</v>
      </c>
      <c r="B117" s="60">
        <f>3.1837 * CHOOSE(CONTROL!$C$19, $C$6, 100%, $E$6)</f>
        <v>3.1837</v>
      </c>
      <c r="C117" s="60">
        <f>3.1837 * CHOOSE(CONTROL!$C$19, $C$6, 100%, $E$6)</f>
        <v>3.1837</v>
      </c>
      <c r="D117" s="60">
        <f>3.2002 * CHOOSE(CONTROL!$C$19, $C$6, 100%, $E$6)</f>
        <v>3.2002000000000002</v>
      </c>
      <c r="E117" s="61">
        <f>3.3033 * CHOOSE(CONTROL!$C$19, $C$6, 100%, $E$6)</f>
        <v>3.3033000000000001</v>
      </c>
      <c r="F117" s="61">
        <f>3.3033 * CHOOSE(CONTROL!$C$19, $C$6, 100%, $E$6)</f>
        <v>3.3033000000000001</v>
      </c>
      <c r="G117" s="61">
        <f>3.3035 * CHOOSE(CONTROL!$C$19, $C$6, 100%, $E$6)</f>
        <v>3.3035000000000001</v>
      </c>
      <c r="H117" s="61">
        <f>5.2137* CHOOSE(CONTROL!$C$19, $C$6, 100%, $E$6)</f>
        <v>5.2137000000000002</v>
      </c>
      <c r="I117" s="61">
        <f>5.2139 * CHOOSE(CONTROL!$C$19, $C$6, 100%, $E$6)</f>
        <v>5.2138999999999998</v>
      </c>
      <c r="J117" s="61">
        <f>3.3033 * CHOOSE(CONTROL!$C$19, $C$6, 100%, $E$6)</f>
        <v>3.3033000000000001</v>
      </c>
      <c r="K117" s="61">
        <f>3.3035 * CHOOSE(CONTROL!$C$19, $C$6, 100%, $E$6)</f>
        <v>3.3035000000000001</v>
      </c>
      <c r="L117" s="4"/>
      <c r="M117" s="4"/>
      <c r="N117" s="4"/>
    </row>
    <row r="118" spans="1:14" ht="15">
      <c r="A118" s="13">
        <v>45658</v>
      </c>
      <c r="B118" s="60">
        <f>3.21 * CHOOSE(CONTROL!$C$19, $C$6, 100%, $E$6)</f>
        <v>3.21</v>
      </c>
      <c r="C118" s="60">
        <f>3.21 * CHOOSE(CONTROL!$C$19, $C$6, 100%, $E$6)</f>
        <v>3.21</v>
      </c>
      <c r="D118" s="60">
        <f>3.2265 * CHOOSE(CONTROL!$C$19, $C$6, 100%, $E$6)</f>
        <v>3.2265000000000001</v>
      </c>
      <c r="E118" s="61">
        <f>3.3861 * CHOOSE(CONTROL!$C$19, $C$6, 100%, $E$6)</f>
        <v>3.3860999999999999</v>
      </c>
      <c r="F118" s="61">
        <f>3.3861 * CHOOSE(CONTROL!$C$19, $C$6, 100%, $E$6)</f>
        <v>3.3860999999999999</v>
      </c>
      <c r="G118" s="61">
        <f>3.3863 * CHOOSE(CONTROL!$C$19, $C$6, 100%, $E$6)</f>
        <v>3.3862999999999999</v>
      </c>
      <c r="H118" s="61">
        <f>5.2246* CHOOSE(CONTROL!$C$19, $C$6, 100%, $E$6)</f>
        <v>5.2245999999999997</v>
      </c>
      <c r="I118" s="61">
        <f>5.2247 * CHOOSE(CONTROL!$C$19, $C$6, 100%, $E$6)</f>
        <v>5.2247000000000003</v>
      </c>
      <c r="J118" s="61">
        <f>3.3861 * CHOOSE(CONTROL!$C$19, $C$6, 100%, $E$6)</f>
        <v>3.3860999999999999</v>
      </c>
      <c r="K118" s="61">
        <f>3.3863 * CHOOSE(CONTROL!$C$19, $C$6, 100%, $E$6)</f>
        <v>3.3862999999999999</v>
      </c>
      <c r="L118" s="4"/>
      <c r="M118" s="4"/>
      <c r="N118" s="4"/>
    </row>
    <row r="119" spans="1:14" ht="15">
      <c r="A119" s="13">
        <v>45689</v>
      </c>
      <c r="B119" s="60">
        <f>3.2069 * CHOOSE(CONTROL!$C$19, $C$6, 100%, $E$6)</f>
        <v>3.2069000000000001</v>
      </c>
      <c r="C119" s="60">
        <f>3.2069 * CHOOSE(CONTROL!$C$19, $C$6, 100%, $E$6)</f>
        <v>3.2069000000000001</v>
      </c>
      <c r="D119" s="60">
        <f>3.2234 * CHOOSE(CONTROL!$C$19, $C$6, 100%, $E$6)</f>
        <v>3.2233999999999998</v>
      </c>
      <c r="E119" s="61">
        <f>3.3429 * CHOOSE(CONTROL!$C$19, $C$6, 100%, $E$6)</f>
        <v>3.3429000000000002</v>
      </c>
      <c r="F119" s="61">
        <f>3.3429 * CHOOSE(CONTROL!$C$19, $C$6, 100%, $E$6)</f>
        <v>3.3429000000000002</v>
      </c>
      <c r="G119" s="61">
        <f>3.3431 * CHOOSE(CONTROL!$C$19, $C$6, 100%, $E$6)</f>
        <v>3.3431000000000002</v>
      </c>
      <c r="H119" s="61">
        <f>5.2354* CHOOSE(CONTROL!$C$19, $C$6, 100%, $E$6)</f>
        <v>5.2354000000000003</v>
      </c>
      <c r="I119" s="61">
        <f>5.2356 * CHOOSE(CONTROL!$C$19, $C$6, 100%, $E$6)</f>
        <v>5.2355999999999998</v>
      </c>
      <c r="J119" s="61">
        <f>3.3429 * CHOOSE(CONTROL!$C$19, $C$6, 100%, $E$6)</f>
        <v>3.3429000000000002</v>
      </c>
      <c r="K119" s="61">
        <f>3.3431 * CHOOSE(CONTROL!$C$19, $C$6, 100%, $E$6)</f>
        <v>3.3431000000000002</v>
      </c>
      <c r="L119" s="4"/>
      <c r="M119" s="4"/>
      <c r="N119" s="4"/>
    </row>
    <row r="120" spans="1:14" ht="15">
      <c r="A120" s="13">
        <v>45717</v>
      </c>
      <c r="B120" s="60">
        <f>3.2039 * CHOOSE(CONTROL!$C$19, $C$6, 100%, $E$6)</f>
        <v>3.2039</v>
      </c>
      <c r="C120" s="60">
        <f>3.2039 * CHOOSE(CONTROL!$C$19, $C$6, 100%, $E$6)</f>
        <v>3.2039</v>
      </c>
      <c r="D120" s="60">
        <f>3.2204 * CHOOSE(CONTROL!$C$19, $C$6, 100%, $E$6)</f>
        <v>3.2204000000000002</v>
      </c>
      <c r="E120" s="61">
        <f>3.3732 * CHOOSE(CONTROL!$C$19, $C$6, 100%, $E$6)</f>
        <v>3.3732000000000002</v>
      </c>
      <c r="F120" s="61">
        <f>3.3732 * CHOOSE(CONTROL!$C$19, $C$6, 100%, $E$6)</f>
        <v>3.3732000000000002</v>
      </c>
      <c r="G120" s="61">
        <f>3.3733 * CHOOSE(CONTROL!$C$19, $C$6, 100%, $E$6)</f>
        <v>3.3733</v>
      </c>
      <c r="H120" s="61">
        <f>5.2463* CHOOSE(CONTROL!$C$19, $C$6, 100%, $E$6)</f>
        <v>5.2462999999999997</v>
      </c>
      <c r="I120" s="61">
        <f>5.2465 * CHOOSE(CONTROL!$C$19, $C$6, 100%, $E$6)</f>
        <v>5.2465000000000002</v>
      </c>
      <c r="J120" s="61">
        <f>3.3732 * CHOOSE(CONTROL!$C$19, $C$6, 100%, $E$6)</f>
        <v>3.3732000000000002</v>
      </c>
      <c r="K120" s="61">
        <f>3.3733 * CHOOSE(CONTROL!$C$19, $C$6, 100%, $E$6)</f>
        <v>3.3733</v>
      </c>
      <c r="L120" s="4"/>
      <c r="M120" s="4"/>
      <c r="N120" s="4"/>
    </row>
    <row r="121" spans="1:14" ht="15">
      <c r="A121" s="13">
        <v>45748</v>
      </c>
      <c r="B121" s="60">
        <f>3.2008 * CHOOSE(CONTROL!$C$19, $C$6, 100%, $E$6)</f>
        <v>3.2008000000000001</v>
      </c>
      <c r="C121" s="60">
        <f>3.2008 * CHOOSE(CONTROL!$C$19, $C$6, 100%, $E$6)</f>
        <v>3.2008000000000001</v>
      </c>
      <c r="D121" s="60">
        <f>3.2173 * CHOOSE(CONTROL!$C$19, $C$6, 100%, $E$6)</f>
        <v>3.2172999999999998</v>
      </c>
      <c r="E121" s="61">
        <f>3.4037 * CHOOSE(CONTROL!$C$19, $C$6, 100%, $E$6)</f>
        <v>3.4037000000000002</v>
      </c>
      <c r="F121" s="61">
        <f>3.4037 * CHOOSE(CONTROL!$C$19, $C$6, 100%, $E$6)</f>
        <v>3.4037000000000002</v>
      </c>
      <c r="G121" s="61">
        <f>3.4039 * CHOOSE(CONTROL!$C$19, $C$6, 100%, $E$6)</f>
        <v>3.4039000000000001</v>
      </c>
      <c r="H121" s="61">
        <f>5.2573* CHOOSE(CONTROL!$C$19, $C$6, 100%, $E$6)</f>
        <v>5.2572999999999999</v>
      </c>
      <c r="I121" s="61">
        <f>5.2574 * CHOOSE(CONTROL!$C$19, $C$6, 100%, $E$6)</f>
        <v>5.2573999999999996</v>
      </c>
      <c r="J121" s="61">
        <f>3.4037 * CHOOSE(CONTROL!$C$19, $C$6, 100%, $E$6)</f>
        <v>3.4037000000000002</v>
      </c>
      <c r="K121" s="61">
        <f>3.4039 * CHOOSE(CONTROL!$C$19, $C$6, 100%, $E$6)</f>
        <v>3.4039000000000001</v>
      </c>
      <c r="L121" s="4"/>
      <c r="M121" s="4"/>
      <c r="N121" s="4"/>
    </row>
    <row r="122" spans="1:14" ht="15">
      <c r="A122" s="13">
        <v>45778</v>
      </c>
      <c r="B122" s="60">
        <f>3.2008 * CHOOSE(CONTROL!$C$19, $C$6, 100%, $E$6)</f>
        <v>3.2008000000000001</v>
      </c>
      <c r="C122" s="60">
        <f>3.2008 * CHOOSE(CONTROL!$C$19, $C$6, 100%, $E$6)</f>
        <v>3.2008000000000001</v>
      </c>
      <c r="D122" s="60">
        <f>3.2338 * CHOOSE(CONTROL!$C$19, $C$6, 100%, $E$6)</f>
        <v>3.2338</v>
      </c>
      <c r="E122" s="61">
        <f>3.4168 * CHOOSE(CONTROL!$C$19, $C$6, 100%, $E$6)</f>
        <v>3.4167999999999998</v>
      </c>
      <c r="F122" s="61">
        <f>3.4168 * CHOOSE(CONTROL!$C$19, $C$6, 100%, $E$6)</f>
        <v>3.4167999999999998</v>
      </c>
      <c r="G122" s="61">
        <f>3.4188 * CHOOSE(CONTROL!$C$19, $C$6, 100%, $E$6)</f>
        <v>3.4188000000000001</v>
      </c>
      <c r="H122" s="61">
        <f>5.2682* CHOOSE(CONTROL!$C$19, $C$6, 100%, $E$6)</f>
        <v>5.2682000000000002</v>
      </c>
      <c r="I122" s="61">
        <f>5.2703 * CHOOSE(CONTROL!$C$19, $C$6, 100%, $E$6)</f>
        <v>5.2702999999999998</v>
      </c>
      <c r="J122" s="61">
        <f>3.4168 * CHOOSE(CONTROL!$C$19, $C$6, 100%, $E$6)</f>
        <v>3.4167999999999998</v>
      </c>
      <c r="K122" s="61">
        <f>3.4188 * CHOOSE(CONTROL!$C$19, $C$6, 100%, $E$6)</f>
        <v>3.4188000000000001</v>
      </c>
      <c r="L122" s="4"/>
      <c r="M122" s="4"/>
      <c r="N122" s="4"/>
    </row>
    <row r="123" spans="1:14" ht="15">
      <c r="A123" s="13">
        <v>45809</v>
      </c>
      <c r="B123" s="60">
        <f>3.2069 * CHOOSE(CONTROL!$C$19, $C$6, 100%, $E$6)</f>
        <v>3.2069000000000001</v>
      </c>
      <c r="C123" s="60">
        <f>3.2069 * CHOOSE(CONTROL!$C$19, $C$6, 100%, $E$6)</f>
        <v>3.2069000000000001</v>
      </c>
      <c r="D123" s="60">
        <f>3.2399 * CHOOSE(CONTROL!$C$19, $C$6, 100%, $E$6)</f>
        <v>3.2399</v>
      </c>
      <c r="E123" s="61">
        <f>3.408 * CHOOSE(CONTROL!$C$19, $C$6, 100%, $E$6)</f>
        <v>3.4079999999999999</v>
      </c>
      <c r="F123" s="61">
        <f>3.408 * CHOOSE(CONTROL!$C$19, $C$6, 100%, $E$6)</f>
        <v>3.4079999999999999</v>
      </c>
      <c r="G123" s="61">
        <f>3.41 * CHOOSE(CONTROL!$C$19, $C$6, 100%, $E$6)</f>
        <v>3.41</v>
      </c>
      <c r="H123" s="61">
        <f>5.2792* CHOOSE(CONTROL!$C$19, $C$6, 100%, $E$6)</f>
        <v>5.2792000000000003</v>
      </c>
      <c r="I123" s="61">
        <f>5.2813 * CHOOSE(CONTROL!$C$19, $C$6, 100%, $E$6)</f>
        <v>5.2812999999999999</v>
      </c>
      <c r="J123" s="61">
        <f>3.408 * CHOOSE(CONTROL!$C$19, $C$6, 100%, $E$6)</f>
        <v>3.4079999999999999</v>
      </c>
      <c r="K123" s="61">
        <f>3.41 * CHOOSE(CONTROL!$C$19, $C$6, 100%, $E$6)</f>
        <v>3.41</v>
      </c>
      <c r="L123" s="4"/>
      <c r="M123" s="4"/>
      <c r="N123" s="4"/>
    </row>
    <row r="124" spans="1:14" ht="15">
      <c r="A124" s="13">
        <v>45839</v>
      </c>
      <c r="B124" s="60">
        <f>3.2555 * CHOOSE(CONTROL!$C$19, $C$6, 100%, $E$6)</f>
        <v>3.2555000000000001</v>
      </c>
      <c r="C124" s="60">
        <f>3.2555 * CHOOSE(CONTROL!$C$19, $C$6, 100%, $E$6)</f>
        <v>3.2555000000000001</v>
      </c>
      <c r="D124" s="60">
        <f>3.2885 * CHOOSE(CONTROL!$C$19, $C$6, 100%, $E$6)</f>
        <v>3.2885</v>
      </c>
      <c r="E124" s="61">
        <f>3.4617 * CHOOSE(CONTROL!$C$19, $C$6, 100%, $E$6)</f>
        <v>3.4617</v>
      </c>
      <c r="F124" s="61">
        <f>3.4617 * CHOOSE(CONTROL!$C$19, $C$6, 100%, $E$6)</f>
        <v>3.4617</v>
      </c>
      <c r="G124" s="61">
        <f>3.4637 * CHOOSE(CONTROL!$C$19, $C$6, 100%, $E$6)</f>
        <v>3.4636999999999998</v>
      </c>
      <c r="H124" s="61">
        <f>5.2902* CHOOSE(CONTROL!$C$19, $C$6, 100%, $E$6)</f>
        <v>5.2901999999999996</v>
      </c>
      <c r="I124" s="61">
        <f>5.2923 * CHOOSE(CONTROL!$C$19, $C$6, 100%, $E$6)</f>
        <v>5.2923</v>
      </c>
      <c r="J124" s="61">
        <f>3.4617 * CHOOSE(CONTROL!$C$19, $C$6, 100%, $E$6)</f>
        <v>3.4617</v>
      </c>
      <c r="K124" s="61">
        <f>3.4637 * CHOOSE(CONTROL!$C$19, $C$6, 100%, $E$6)</f>
        <v>3.4636999999999998</v>
      </c>
      <c r="L124" s="4"/>
      <c r="M124" s="4"/>
      <c r="N124" s="4"/>
    </row>
    <row r="125" spans="1:14" ht="15">
      <c r="A125" s="13">
        <v>45870</v>
      </c>
      <c r="B125" s="60">
        <f>3.2622 * CHOOSE(CONTROL!$C$19, $C$6, 100%, $E$6)</f>
        <v>3.2622</v>
      </c>
      <c r="C125" s="60">
        <f>3.2622 * CHOOSE(CONTROL!$C$19, $C$6, 100%, $E$6)</f>
        <v>3.2622</v>
      </c>
      <c r="D125" s="60">
        <f>3.2952 * CHOOSE(CONTROL!$C$19, $C$6, 100%, $E$6)</f>
        <v>3.2951999999999999</v>
      </c>
      <c r="E125" s="61">
        <f>3.4272 * CHOOSE(CONTROL!$C$19, $C$6, 100%, $E$6)</f>
        <v>3.4272</v>
      </c>
      <c r="F125" s="61">
        <f>3.4272 * CHOOSE(CONTROL!$C$19, $C$6, 100%, $E$6)</f>
        <v>3.4272</v>
      </c>
      <c r="G125" s="61">
        <f>3.4293 * CHOOSE(CONTROL!$C$19, $C$6, 100%, $E$6)</f>
        <v>3.4293</v>
      </c>
      <c r="H125" s="61">
        <f>5.3012* CHOOSE(CONTROL!$C$19, $C$6, 100%, $E$6)</f>
        <v>5.3011999999999997</v>
      </c>
      <c r="I125" s="61">
        <f>5.3033 * CHOOSE(CONTROL!$C$19, $C$6, 100%, $E$6)</f>
        <v>5.3033000000000001</v>
      </c>
      <c r="J125" s="61">
        <f>3.4272 * CHOOSE(CONTROL!$C$19, $C$6, 100%, $E$6)</f>
        <v>3.4272</v>
      </c>
      <c r="K125" s="61">
        <f>3.4293 * CHOOSE(CONTROL!$C$19, $C$6, 100%, $E$6)</f>
        <v>3.4293</v>
      </c>
      <c r="L125" s="4"/>
      <c r="M125" s="4"/>
      <c r="N125" s="4"/>
    </row>
    <row r="126" spans="1:14" ht="15">
      <c r="A126" s="13">
        <v>45901</v>
      </c>
      <c r="B126" s="60">
        <f>3.2592 * CHOOSE(CONTROL!$C$19, $C$6, 100%, $E$6)</f>
        <v>3.2591999999999999</v>
      </c>
      <c r="C126" s="60">
        <f>3.2592 * CHOOSE(CONTROL!$C$19, $C$6, 100%, $E$6)</f>
        <v>3.2591999999999999</v>
      </c>
      <c r="D126" s="60">
        <f>3.2922 * CHOOSE(CONTROL!$C$19, $C$6, 100%, $E$6)</f>
        <v>3.2921999999999998</v>
      </c>
      <c r="E126" s="61">
        <f>3.4207 * CHOOSE(CONTROL!$C$19, $C$6, 100%, $E$6)</f>
        <v>3.4207000000000001</v>
      </c>
      <c r="F126" s="61">
        <f>3.4207 * CHOOSE(CONTROL!$C$19, $C$6, 100%, $E$6)</f>
        <v>3.4207000000000001</v>
      </c>
      <c r="G126" s="61">
        <f>3.4228 * CHOOSE(CONTROL!$C$19, $C$6, 100%, $E$6)</f>
        <v>3.4228000000000001</v>
      </c>
      <c r="H126" s="61">
        <f>5.3123* CHOOSE(CONTROL!$C$19, $C$6, 100%, $E$6)</f>
        <v>5.3122999999999996</v>
      </c>
      <c r="I126" s="61">
        <f>5.3143 * CHOOSE(CONTROL!$C$19, $C$6, 100%, $E$6)</f>
        <v>5.3143000000000002</v>
      </c>
      <c r="J126" s="61">
        <f>3.4207 * CHOOSE(CONTROL!$C$19, $C$6, 100%, $E$6)</f>
        <v>3.4207000000000001</v>
      </c>
      <c r="K126" s="61">
        <f>3.4228 * CHOOSE(CONTROL!$C$19, $C$6, 100%, $E$6)</f>
        <v>3.4228000000000001</v>
      </c>
      <c r="L126" s="4"/>
      <c r="M126" s="4"/>
      <c r="N126" s="4"/>
    </row>
    <row r="127" spans="1:14" ht="15">
      <c r="A127" s="13">
        <v>45931</v>
      </c>
      <c r="B127" s="60">
        <f>3.2516 * CHOOSE(CONTROL!$C$19, $C$6, 100%, $E$6)</f>
        <v>3.2515999999999998</v>
      </c>
      <c r="C127" s="60">
        <f>3.2516 * CHOOSE(CONTROL!$C$19, $C$6, 100%, $E$6)</f>
        <v>3.2515999999999998</v>
      </c>
      <c r="D127" s="60">
        <f>3.2681 * CHOOSE(CONTROL!$C$19, $C$6, 100%, $E$6)</f>
        <v>3.2681</v>
      </c>
      <c r="E127" s="61">
        <f>3.4247 * CHOOSE(CONTROL!$C$19, $C$6, 100%, $E$6)</f>
        <v>3.4247000000000001</v>
      </c>
      <c r="F127" s="61">
        <f>3.4247 * CHOOSE(CONTROL!$C$19, $C$6, 100%, $E$6)</f>
        <v>3.4247000000000001</v>
      </c>
      <c r="G127" s="61">
        <f>3.4249 * CHOOSE(CONTROL!$C$19, $C$6, 100%, $E$6)</f>
        <v>3.4249000000000001</v>
      </c>
      <c r="H127" s="61">
        <f>5.3233* CHOOSE(CONTROL!$C$19, $C$6, 100%, $E$6)</f>
        <v>5.3232999999999997</v>
      </c>
      <c r="I127" s="61">
        <f>5.3235 * CHOOSE(CONTROL!$C$19, $C$6, 100%, $E$6)</f>
        <v>5.3235000000000001</v>
      </c>
      <c r="J127" s="61">
        <f>3.4247 * CHOOSE(CONTROL!$C$19, $C$6, 100%, $E$6)</f>
        <v>3.4247000000000001</v>
      </c>
      <c r="K127" s="61">
        <f>3.4249 * CHOOSE(CONTROL!$C$19, $C$6, 100%, $E$6)</f>
        <v>3.4249000000000001</v>
      </c>
      <c r="L127" s="4"/>
      <c r="M127" s="4"/>
      <c r="N127" s="4"/>
    </row>
    <row r="128" spans="1:14" ht="15">
      <c r="A128" s="13">
        <v>45962</v>
      </c>
      <c r="B128" s="60">
        <f>3.2547 * CHOOSE(CONTROL!$C$19, $C$6, 100%, $E$6)</f>
        <v>3.2547000000000001</v>
      </c>
      <c r="C128" s="60">
        <f>3.2547 * CHOOSE(CONTROL!$C$19, $C$6, 100%, $E$6)</f>
        <v>3.2547000000000001</v>
      </c>
      <c r="D128" s="60">
        <f>3.2712 * CHOOSE(CONTROL!$C$19, $C$6, 100%, $E$6)</f>
        <v>3.2711999999999999</v>
      </c>
      <c r="E128" s="61">
        <f>3.4355 * CHOOSE(CONTROL!$C$19, $C$6, 100%, $E$6)</f>
        <v>3.4355000000000002</v>
      </c>
      <c r="F128" s="61">
        <f>3.4355 * CHOOSE(CONTROL!$C$19, $C$6, 100%, $E$6)</f>
        <v>3.4355000000000002</v>
      </c>
      <c r="G128" s="61">
        <f>3.4357 * CHOOSE(CONTROL!$C$19, $C$6, 100%, $E$6)</f>
        <v>3.4357000000000002</v>
      </c>
      <c r="H128" s="61">
        <f>5.3344* CHOOSE(CONTROL!$C$19, $C$6, 100%, $E$6)</f>
        <v>5.3343999999999996</v>
      </c>
      <c r="I128" s="61">
        <f>5.3346 * CHOOSE(CONTROL!$C$19, $C$6, 100%, $E$6)</f>
        <v>5.3346</v>
      </c>
      <c r="J128" s="61">
        <f>3.4355 * CHOOSE(CONTROL!$C$19, $C$6, 100%, $E$6)</f>
        <v>3.4355000000000002</v>
      </c>
      <c r="K128" s="61">
        <f>3.4357 * CHOOSE(CONTROL!$C$19, $C$6, 100%, $E$6)</f>
        <v>3.4357000000000002</v>
      </c>
    </row>
    <row r="129" spans="1:11" ht="15">
      <c r="A129" s="13">
        <v>45992</v>
      </c>
      <c r="B129" s="60">
        <f>3.2547 * CHOOSE(CONTROL!$C$19, $C$6, 100%, $E$6)</f>
        <v>3.2547000000000001</v>
      </c>
      <c r="C129" s="60">
        <f>3.2547 * CHOOSE(CONTROL!$C$19, $C$6, 100%, $E$6)</f>
        <v>3.2547000000000001</v>
      </c>
      <c r="D129" s="60">
        <f>3.2712 * CHOOSE(CONTROL!$C$19, $C$6, 100%, $E$6)</f>
        <v>3.2711999999999999</v>
      </c>
      <c r="E129" s="61">
        <f>3.4138 * CHOOSE(CONTROL!$C$19, $C$6, 100%, $E$6)</f>
        <v>3.4138000000000002</v>
      </c>
      <c r="F129" s="61">
        <f>3.4138 * CHOOSE(CONTROL!$C$19, $C$6, 100%, $E$6)</f>
        <v>3.4138000000000002</v>
      </c>
      <c r="G129" s="61">
        <f>3.414 * CHOOSE(CONTROL!$C$19, $C$6, 100%, $E$6)</f>
        <v>3.4140000000000001</v>
      </c>
      <c r="H129" s="61">
        <f>5.3455* CHOOSE(CONTROL!$C$19, $C$6, 100%, $E$6)</f>
        <v>5.3455000000000004</v>
      </c>
      <c r="I129" s="61">
        <f>5.3457 * CHOOSE(CONTROL!$C$19, $C$6, 100%, $E$6)</f>
        <v>5.3456999999999999</v>
      </c>
      <c r="J129" s="61">
        <f>3.4138 * CHOOSE(CONTROL!$C$19, $C$6, 100%, $E$6)</f>
        <v>3.4138000000000002</v>
      </c>
      <c r="K129" s="61">
        <f>3.414 * CHOOSE(CONTROL!$C$19, $C$6, 100%, $E$6)</f>
        <v>3.4140000000000001</v>
      </c>
    </row>
    <row r="130" spans="1:11" ht="15">
      <c r="A130" s="13">
        <v>46023</v>
      </c>
      <c r="B130" s="60">
        <f>3.2844 * CHOOSE(CONTROL!$C$19, $C$6, 100%, $E$6)</f>
        <v>3.2844000000000002</v>
      </c>
      <c r="C130" s="60">
        <f>3.2844 * CHOOSE(CONTROL!$C$19, $C$6, 100%, $E$6)</f>
        <v>3.2844000000000002</v>
      </c>
      <c r="D130" s="60">
        <f>3.3009 * CHOOSE(CONTROL!$C$19, $C$6, 100%, $E$6)</f>
        <v>3.3008999999999999</v>
      </c>
      <c r="E130" s="61">
        <f>3.4905 * CHOOSE(CONTROL!$C$19, $C$6, 100%, $E$6)</f>
        <v>3.4904999999999999</v>
      </c>
      <c r="F130" s="61">
        <f>3.4905 * CHOOSE(CONTROL!$C$19, $C$6, 100%, $E$6)</f>
        <v>3.4904999999999999</v>
      </c>
      <c r="G130" s="61">
        <f>3.4907 * CHOOSE(CONTROL!$C$19, $C$6, 100%, $E$6)</f>
        <v>3.4906999999999999</v>
      </c>
      <c r="H130" s="61">
        <f>5.3567* CHOOSE(CONTROL!$C$19, $C$6, 100%, $E$6)</f>
        <v>5.3567</v>
      </c>
      <c r="I130" s="61">
        <f>5.3568 * CHOOSE(CONTROL!$C$19, $C$6, 100%, $E$6)</f>
        <v>5.3567999999999998</v>
      </c>
      <c r="J130" s="61">
        <f>3.4905 * CHOOSE(CONTROL!$C$19, $C$6, 100%, $E$6)</f>
        <v>3.4904999999999999</v>
      </c>
      <c r="K130" s="61">
        <f>3.4907 * CHOOSE(CONTROL!$C$19, $C$6, 100%, $E$6)</f>
        <v>3.4906999999999999</v>
      </c>
    </row>
    <row r="131" spans="1:11" ht="15">
      <c r="A131" s="13">
        <v>46054</v>
      </c>
      <c r="B131" s="60">
        <f>3.2813 * CHOOSE(CONTROL!$C$19, $C$6, 100%, $E$6)</f>
        <v>3.2812999999999999</v>
      </c>
      <c r="C131" s="60">
        <f>3.2813 * CHOOSE(CONTROL!$C$19, $C$6, 100%, $E$6)</f>
        <v>3.2812999999999999</v>
      </c>
      <c r="D131" s="60">
        <f>3.2978 * CHOOSE(CONTROL!$C$19, $C$6, 100%, $E$6)</f>
        <v>3.2978000000000001</v>
      </c>
      <c r="E131" s="61">
        <f>3.4432 * CHOOSE(CONTROL!$C$19, $C$6, 100%, $E$6)</f>
        <v>3.4432</v>
      </c>
      <c r="F131" s="61">
        <f>3.4432 * CHOOSE(CONTROL!$C$19, $C$6, 100%, $E$6)</f>
        <v>3.4432</v>
      </c>
      <c r="G131" s="61">
        <f>3.4433 * CHOOSE(CONTROL!$C$19, $C$6, 100%, $E$6)</f>
        <v>3.4432999999999998</v>
      </c>
      <c r="H131" s="61">
        <f>5.3678* CHOOSE(CONTROL!$C$19, $C$6, 100%, $E$6)</f>
        <v>5.3677999999999999</v>
      </c>
      <c r="I131" s="61">
        <f>5.368 * CHOOSE(CONTROL!$C$19, $C$6, 100%, $E$6)</f>
        <v>5.3680000000000003</v>
      </c>
      <c r="J131" s="61">
        <f>3.4432 * CHOOSE(CONTROL!$C$19, $C$6, 100%, $E$6)</f>
        <v>3.4432</v>
      </c>
      <c r="K131" s="61">
        <f>3.4433 * CHOOSE(CONTROL!$C$19, $C$6, 100%, $E$6)</f>
        <v>3.4432999999999998</v>
      </c>
    </row>
    <row r="132" spans="1:11" ht="15">
      <c r="A132" s="13">
        <v>46082</v>
      </c>
      <c r="B132" s="60">
        <f>3.2783 * CHOOSE(CONTROL!$C$19, $C$6, 100%, $E$6)</f>
        <v>3.2783000000000002</v>
      </c>
      <c r="C132" s="60">
        <f>3.2783 * CHOOSE(CONTROL!$C$19, $C$6, 100%, $E$6)</f>
        <v>3.2783000000000002</v>
      </c>
      <c r="D132" s="60">
        <f>3.2948 * CHOOSE(CONTROL!$C$19, $C$6, 100%, $E$6)</f>
        <v>3.2948</v>
      </c>
      <c r="E132" s="61">
        <f>3.4767 * CHOOSE(CONTROL!$C$19, $C$6, 100%, $E$6)</f>
        <v>3.4767000000000001</v>
      </c>
      <c r="F132" s="61">
        <f>3.4767 * CHOOSE(CONTROL!$C$19, $C$6, 100%, $E$6)</f>
        <v>3.4767000000000001</v>
      </c>
      <c r="G132" s="61">
        <f>3.4769 * CHOOSE(CONTROL!$C$19, $C$6, 100%, $E$6)</f>
        <v>3.4769000000000001</v>
      </c>
      <c r="H132" s="61">
        <f>5.379* CHOOSE(CONTROL!$C$19, $C$6, 100%, $E$6)</f>
        <v>5.3789999999999996</v>
      </c>
      <c r="I132" s="61">
        <f>5.3792 * CHOOSE(CONTROL!$C$19, $C$6, 100%, $E$6)</f>
        <v>5.3792</v>
      </c>
      <c r="J132" s="61">
        <f>3.4767 * CHOOSE(CONTROL!$C$19, $C$6, 100%, $E$6)</f>
        <v>3.4767000000000001</v>
      </c>
      <c r="K132" s="61">
        <f>3.4769 * CHOOSE(CONTROL!$C$19, $C$6, 100%, $E$6)</f>
        <v>3.4769000000000001</v>
      </c>
    </row>
    <row r="133" spans="1:11" ht="15">
      <c r="A133" s="13">
        <v>46113</v>
      </c>
      <c r="B133" s="60">
        <f>3.2753 * CHOOSE(CONTROL!$C$19, $C$6, 100%, $E$6)</f>
        <v>3.2753000000000001</v>
      </c>
      <c r="C133" s="60">
        <f>3.2753 * CHOOSE(CONTROL!$C$19, $C$6, 100%, $E$6)</f>
        <v>3.2753000000000001</v>
      </c>
      <c r="D133" s="60">
        <f>3.2918 * CHOOSE(CONTROL!$C$19, $C$6, 100%, $E$6)</f>
        <v>3.2917999999999998</v>
      </c>
      <c r="E133" s="61">
        <f>3.5108 * CHOOSE(CONTROL!$C$19, $C$6, 100%, $E$6)</f>
        <v>3.5108000000000001</v>
      </c>
      <c r="F133" s="61">
        <f>3.5108 * CHOOSE(CONTROL!$C$19, $C$6, 100%, $E$6)</f>
        <v>3.5108000000000001</v>
      </c>
      <c r="G133" s="61">
        <f>3.511 * CHOOSE(CONTROL!$C$19, $C$6, 100%, $E$6)</f>
        <v>3.5110000000000001</v>
      </c>
      <c r="H133" s="61">
        <f>5.3902* CHOOSE(CONTROL!$C$19, $C$6, 100%, $E$6)</f>
        <v>5.3902000000000001</v>
      </c>
      <c r="I133" s="61">
        <f>5.3904 * CHOOSE(CONTROL!$C$19, $C$6, 100%, $E$6)</f>
        <v>5.3903999999999996</v>
      </c>
      <c r="J133" s="61">
        <f>3.5108 * CHOOSE(CONTROL!$C$19, $C$6, 100%, $E$6)</f>
        <v>3.5108000000000001</v>
      </c>
      <c r="K133" s="61">
        <f>3.511 * CHOOSE(CONTROL!$C$19, $C$6, 100%, $E$6)</f>
        <v>3.5110000000000001</v>
      </c>
    </row>
    <row r="134" spans="1:11" ht="15">
      <c r="A134" s="13">
        <v>46143</v>
      </c>
      <c r="B134" s="60">
        <f>3.2753 * CHOOSE(CONTROL!$C$19, $C$6, 100%, $E$6)</f>
        <v>3.2753000000000001</v>
      </c>
      <c r="C134" s="60">
        <f>3.2753 * CHOOSE(CONTROL!$C$19, $C$6, 100%, $E$6)</f>
        <v>3.2753000000000001</v>
      </c>
      <c r="D134" s="60">
        <f>3.3083 * CHOOSE(CONTROL!$C$19, $C$6, 100%, $E$6)</f>
        <v>3.3083</v>
      </c>
      <c r="E134" s="61">
        <f>3.5252 * CHOOSE(CONTROL!$C$19, $C$6, 100%, $E$6)</f>
        <v>3.5251999999999999</v>
      </c>
      <c r="F134" s="61">
        <f>3.5252 * CHOOSE(CONTROL!$C$19, $C$6, 100%, $E$6)</f>
        <v>3.5251999999999999</v>
      </c>
      <c r="G134" s="61">
        <f>3.5272 * CHOOSE(CONTROL!$C$19, $C$6, 100%, $E$6)</f>
        <v>3.5272000000000001</v>
      </c>
      <c r="H134" s="61">
        <f>5.4015* CHOOSE(CONTROL!$C$19, $C$6, 100%, $E$6)</f>
        <v>5.4015000000000004</v>
      </c>
      <c r="I134" s="61">
        <f>5.4035 * CHOOSE(CONTROL!$C$19, $C$6, 100%, $E$6)</f>
        <v>5.4035000000000002</v>
      </c>
      <c r="J134" s="61">
        <f>3.5252 * CHOOSE(CONTROL!$C$19, $C$6, 100%, $E$6)</f>
        <v>3.5251999999999999</v>
      </c>
      <c r="K134" s="61">
        <f>3.5272 * CHOOSE(CONTROL!$C$19, $C$6, 100%, $E$6)</f>
        <v>3.5272000000000001</v>
      </c>
    </row>
    <row r="135" spans="1:11" ht="15">
      <c r="A135" s="13">
        <v>46174</v>
      </c>
      <c r="B135" s="60">
        <f>3.2814 * CHOOSE(CONTROL!$C$19, $C$6, 100%, $E$6)</f>
        <v>3.2814000000000001</v>
      </c>
      <c r="C135" s="60">
        <f>3.2814 * CHOOSE(CONTROL!$C$19, $C$6, 100%, $E$6)</f>
        <v>3.2814000000000001</v>
      </c>
      <c r="D135" s="60">
        <f>3.3144 * CHOOSE(CONTROL!$C$19, $C$6, 100%, $E$6)</f>
        <v>3.3144</v>
      </c>
      <c r="E135" s="61">
        <f>3.515 * CHOOSE(CONTROL!$C$19, $C$6, 100%, $E$6)</f>
        <v>3.5150000000000001</v>
      </c>
      <c r="F135" s="61">
        <f>3.515 * CHOOSE(CONTROL!$C$19, $C$6, 100%, $E$6)</f>
        <v>3.5150000000000001</v>
      </c>
      <c r="G135" s="61">
        <f>3.5171 * CHOOSE(CONTROL!$C$19, $C$6, 100%, $E$6)</f>
        <v>3.5171000000000001</v>
      </c>
      <c r="H135" s="61">
        <f>5.4127* CHOOSE(CONTROL!$C$19, $C$6, 100%, $E$6)</f>
        <v>5.4127000000000001</v>
      </c>
      <c r="I135" s="61">
        <f>5.4148 * CHOOSE(CONTROL!$C$19, $C$6, 100%, $E$6)</f>
        <v>5.4147999999999996</v>
      </c>
      <c r="J135" s="61">
        <f>3.515 * CHOOSE(CONTROL!$C$19, $C$6, 100%, $E$6)</f>
        <v>3.5150000000000001</v>
      </c>
      <c r="K135" s="61">
        <f>3.5171 * CHOOSE(CONTROL!$C$19, $C$6, 100%, $E$6)</f>
        <v>3.5171000000000001</v>
      </c>
    </row>
    <row r="136" spans="1:11" ht="15">
      <c r="A136" s="13">
        <v>46204</v>
      </c>
      <c r="B136" s="60">
        <f>3.3377 * CHOOSE(CONTROL!$C$19, $C$6, 100%, $E$6)</f>
        <v>3.3376999999999999</v>
      </c>
      <c r="C136" s="60">
        <f>3.3377 * CHOOSE(CONTROL!$C$19, $C$6, 100%, $E$6)</f>
        <v>3.3376999999999999</v>
      </c>
      <c r="D136" s="60">
        <f>3.3707 * CHOOSE(CONTROL!$C$19, $C$6, 100%, $E$6)</f>
        <v>3.3706999999999998</v>
      </c>
      <c r="E136" s="61">
        <f>3.5814 * CHOOSE(CONTROL!$C$19, $C$6, 100%, $E$6)</f>
        <v>3.5813999999999999</v>
      </c>
      <c r="F136" s="61">
        <f>3.5814 * CHOOSE(CONTROL!$C$19, $C$6, 100%, $E$6)</f>
        <v>3.5813999999999999</v>
      </c>
      <c r="G136" s="61">
        <f>3.5835 * CHOOSE(CONTROL!$C$19, $C$6, 100%, $E$6)</f>
        <v>3.5834999999999999</v>
      </c>
      <c r="H136" s="61">
        <f>5.424* CHOOSE(CONTROL!$C$19, $C$6, 100%, $E$6)</f>
        <v>5.4240000000000004</v>
      </c>
      <c r="I136" s="61">
        <f>5.426 * CHOOSE(CONTROL!$C$19, $C$6, 100%, $E$6)</f>
        <v>5.4260000000000002</v>
      </c>
      <c r="J136" s="61">
        <f>3.5814 * CHOOSE(CONTROL!$C$19, $C$6, 100%, $E$6)</f>
        <v>3.5813999999999999</v>
      </c>
      <c r="K136" s="61">
        <f>3.5835 * CHOOSE(CONTROL!$C$19, $C$6, 100%, $E$6)</f>
        <v>3.5834999999999999</v>
      </c>
    </row>
    <row r="137" spans="1:11" ht="15">
      <c r="A137" s="13">
        <v>46235</v>
      </c>
      <c r="B137" s="60">
        <f>3.3444 * CHOOSE(CONTROL!$C$19, $C$6, 100%, $E$6)</f>
        <v>3.3443999999999998</v>
      </c>
      <c r="C137" s="60">
        <f>3.3444 * CHOOSE(CONTROL!$C$19, $C$6, 100%, $E$6)</f>
        <v>3.3443999999999998</v>
      </c>
      <c r="D137" s="60">
        <f>3.3774 * CHOOSE(CONTROL!$C$19, $C$6, 100%, $E$6)</f>
        <v>3.3774000000000002</v>
      </c>
      <c r="E137" s="61">
        <f>3.543 * CHOOSE(CONTROL!$C$19, $C$6, 100%, $E$6)</f>
        <v>3.5430000000000001</v>
      </c>
      <c r="F137" s="61">
        <f>3.543 * CHOOSE(CONTROL!$C$19, $C$6, 100%, $E$6)</f>
        <v>3.5430000000000001</v>
      </c>
      <c r="G137" s="61">
        <f>3.545 * CHOOSE(CONTROL!$C$19, $C$6, 100%, $E$6)</f>
        <v>3.5449999999999999</v>
      </c>
      <c r="H137" s="61">
        <f>5.4353* CHOOSE(CONTROL!$C$19, $C$6, 100%, $E$6)</f>
        <v>5.4352999999999998</v>
      </c>
      <c r="I137" s="61">
        <f>5.4373 * CHOOSE(CONTROL!$C$19, $C$6, 100%, $E$6)</f>
        <v>5.4372999999999996</v>
      </c>
      <c r="J137" s="61">
        <f>3.543 * CHOOSE(CONTROL!$C$19, $C$6, 100%, $E$6)</f>
        <v>3.5430000000000001</v>
      </c>
      <c r="K137" s="61">
        <f>3.545 * CHOOSE(CONTROL!$C$19, $C$6, 100%, $E$6)</f>
        <v>3.5449999999999999</v>
      </c>
    </row>
    <row r="138" spans="1:11" ht="15">
      <c r="A138" s="13">
        <v>46266</v>
      </c>
      <c r="B138" s="60">
        <f>3.3413 * CHOOSE(CONTROL!$C$19, $C$6, 100%, $E$6)</f>
        <v>3.3412999999999999</v>
      </c>
      <c r="C138" s="60">
        <f>3.3413 * CHOOSE(CONTROL!$C$19, $C$6, 100%, $E$6)</f>
        <v>3.3412999999999999</v>
      </c>
      <c r="D138" s="60">
        <f>3.3744 * CHOOSE(CONTROL!$C$19, $C$6, 100%, $E$6)</f>
        <v>3.3744000000000001</v>
      </c>
      <c r="E138" s="61">
        <f>3.5361 * CHOOSE(CONTROL!$C$19, $C$6, 100%, $E$6)</f>
        <v>3.5360999999999998</v>
      </c>
      <c r="F138" s="61">
        <f>3.5361 * CHOOSE(CONTROL!$C$19, $C$6, 100%, $E$6)</f>
        <v>3.5360999999999998</v>
      </c>
      <c r="G138" s="61">
        <f>3.5381 * CHOOSE(CONTROL!$C$19, $C$6, 100%, $E$6)</f>
        <v>3.5381</v>
      </c>
      <c r="H138" s="61">
        <f>5.4466* CHOOSE(CONTROL!$C$19, $C$6, 100%, $E$6)</f>
        <v>5.4466000000000001</v>
      </c>
      <c r="I138" s="61">
        <f>5.4487 * CHOOSE(CONTROL!$C$19, $C$6, 100%, $E$6)</f>
        <v>5.4486999999999997</v>
      </c>
      <c r="J138" s="61">
        <f>3.5361 * CHOOSE(CONTROL!$C$19, $C$6, 100%, $E$6)</f>
        <v>3.5360999999999998</v>
      </c>
      <c r="K138" s="61">
        <f>3.5381 * CHOOSE(CONTROL!$C$19, $C$6, 100%, $E$6)</f>
        <v>3.5381</v>
      </c>
    </row>
    <row r="139" spans="1:11" ht="15">
      <c r="A139" s="13">
        <v>46296</v>
      </c>
      <c r="B139" s="60">
        <f>3.3341 * CHOOSE(CONTROL!$C$19, $C$6, 100%, $E$6)</f>
        <v>3.3340999999999998</v>
      </c>
      <c r="C139" s="60">
        <f>3.3341 * CHOOSE(CONTROL!$C$19, $C$6, 100%, $E$6)</f>
        <v>3.3340999999999998</v>
      </c>
      <c r="D139" s="60">
        <f>3.3506 * CHOOSE(CONTROL!$C$19, $C$6, 100%, $E$6)</f>
        <v>3.3506</v>
      </c>
      <c r="E139" s="61">
        <f>3.5418 * CHOOSE(CONTROL!$C$19, $C$6, 100%, $E$6)</f>
        <v>3.5417999999999998</v>
      </c>
      <c r="F139" s="61">
        <f>3.5418 * CHOOSE(CONTROL!$C$19, $C$6, 100%, $E$6)</f>
        <v>3.5417999999999998</v>
      </c>
      <c r="G139" s="61">
        <f>3.542 * CHOOSE(CONTROL!$C$19, $C$6, 100%, $E$6)</f>
        <v>3.5419999999999998</v>
      </c>
      <c r="H139" s="61">
        <f>5.458* CHOOSE(CONTROL!$C$19, $C$6, 100%, $E$6)</f>
        <v>5.4580000000000002</v>
      </c>
      <c r="I139" s="61">
        <f>5.4581 * CHOOSE(CONTROL!$C$19, $C$6, 100%, $E$6)</f>
        <v>5.4581</v>
      </c>
      <c r="J139" s="61">
        <f>3.5418 * CHOOSE(CONTROL!$C$19, $C$6, 100%, $E$6)</f>
        <v>3.5417999999999998</v>
      </c>
      <c r="K139" s="61">
        <f>3.542 * CHOOSE(CONTROL!$C$19, $C$6, 100%, $E$6)</f>
        <v>3.5419999999999998</v>
      </c>
    </row>
    <row r="140" spans="1:11" ht="15">
      <c r="A140" s="13">
        <v>46327</v>
      </c>
      <c r="B140" s="60">
        <f>3.3371 * CHOOSE(CONTROL!$C$19, $C$6, 100%, $E$6)</f>
        <v>3.3371</v>
      </c>
      <c r="C140" s="60">
        <f>3.3371 * CHOOSE(CONTROL!$C$19, $C$6, 100%, $E$6)</f>
        <v>3.3371</v>
      </c>
      <c r="D140" s="60">
        <f>3.3536 * CHOOSE(CONTROL!$C$19, $C$6, 100%, $E$6)</f>
        <v>3.3536000000000001</v>
      </c>
      <c r="E140" s="61">
        <f>3.5535 * CHOOSE(CONTROL!$C$19, $C$6, 100%, $E$6)</f>
        <v>3.5535000000000001</v>
      </c>
      <c r="F140" s="61">
        <f>3.5535 * CHOOSE(CONTROL!$C$19, $C$6, 100%, $E$6)</f>
        <v>3.5535000000000001</v>
      </c>
      <c r="G140" s="61">
        <f>3.5537 * CHOOSE(CONTROL!$C$19, $C$6, 100%, $E$6)</f>
        <v>3.5537000000000001</v>
      </c>
      <c r="H140" s="61">
        <f>5.4693* CHOOSE(CONTROL!$C$19, $C$6, 100%, $E$6)</f>
        <v>5.4692999999999996</v>
      </c>
      <c r="I140" s="61">
        <f>5.4695 * CHOOSE(CONTROL!$C$19, $C$6, 100%, $E$6)</f>
        <v>5.4695</v>
      </c>
      <c r="J140" s="61">
        <f>3.5535 * CHOOSE(CONTROL!$C$19, $C$6, 100%, $E$6)</f>
        <v>3.5535000000000001</v>
      </c>
      <c r="K140" s="61">
        <f>3.5537 * CHOOSE(CONTROL!$C$19, $C$6, 100%, $E$6)</f>
        <v>3.5537000000000001</v>
      </c>
    </row>
    <row r="141" spans="1:11" ht="15">
      <c r="A141" s="13">
        <v>46357</v>
      </c>
      <c r="B141" s="60">
        <f>3.3371 * CHOOSE(CONTROL!$C$19, $C$6, 100%, $E$6)</f>
        <v>3.3371</v>
      </c>
      <c r="C141" s="60">
        <f>3.3371 * CHOOSE(CONTROL!$C$19, $C$6, 100%, $E$6)</f>
        <v>3.3371</v>
      </c>
      <c r="D141" s="60">
        <f>3.3536 * CHOOSE(CONTROL!$C$19, $C$6, 100%, $E$6)</f>
        <v>3.3536000000000001</v>
      </c>
      <c r="E141" s="61">
        <f>3.5296 * CHOOSE(CONTROL!$C$19, $C$6, 100%, $E$6)</f>
        <v>3.5295999999999998</v>
      </c>
      <c r="F141" s="61">
        <f>3.5296 * CHOOSE(CONTROL!$C$19, $C$6, 100%, $E$6)</f>
        <v>3.5295999999999998</v>
      </c>
      <c r="G141" s="61">
        <f>3.5297 * CHOOSE(CONTROL!$C$19, $C$6, 100%, $E$6)</f>
        <v>3.5297000000000001</v>
      </c>
      <c r="H141" s="61">
        <f>5.4807* CHOOSE(CONTROL!$C$19, $C$6, 100%, $E$6)</f>
        <v>5.4806999999999997</v>
      </c>
      <c r="I141" s="61">
        <f>5.4809 * CHOOSE(CONTROL!$C$19, $C$6, 100%, $E$6)</f>
        <v>5.4809000000000001</v>
      </c>
      <c r="J141" s="61">
        <f>3.5296 * CHOOSE(CONTROL!$C$19, $C$6, 100%, $E$6)</f>
        <v>3.5295999999999998</v>
      </c>
      <c r="K141" s="61">
        <f>3.5297 * CHOOSE(CONTROL!$C$19, $C$6, 100%, $E$6)</f>
        <v>3.5297000000000001</v>
      </c>
    </row>
    <row r="142" spans="1:11" ht="15">
      <c r="A142" s="13">
        <v>46388</v>
      </c>
      <c r="B142" s="60">
        <f>3.365 * CHOOSE(CONTROL!$C$19, $C$6, 100%, $E$6)</f>
        <v>3.3650000000000002</v>
      </c>
      <c r="C142" s="60">
        <f>3.365 * CHOOSE(CONTROL!$C$19, $C$6, 100%, $E$6)</f>
        <v>3.3650000000000002</v>
      </c>
      <c r="D142" s="60">
        <f>3.3815 * CHOOSE(CONTROL!$C$19, $C$6, 100%, $E$6)</f>
        <v>3.3815</v>
      </c>
      <c r="E142" s="61">
        <f>3.5929 * CHOOSE(CONTROL!$C$19, $C$6, 100%, $E$6)</f>
        <v>3.5929000000000002</v>
      </c>
      <c r="F142" s="61">
        <f>3.5929 * CHOOSE(CONTROL!$C$19, $C$6, 100%, $E$6)</f>
        <v>3.5929000000000002</v>
      </c>
      <c r="G142" s="61">
        <f>3.5931 * CHOOSE(CONTROL!$C$19, $C$6, 100%, $E$6)</f>
        <v>3.5931000000000002</v>
      </c>
      <c r="H142" s="61">
        <f>5.4921* CHOOSE(CONTROL!$C$19, $C$6, 100%, $E$6)</f>
        <v>5.4920999999999998</v>
      </c>
      <c r="I142" s="61">
        <f>5.4923 * CHOOSE(CONTROL!$C$19, $C$6, 100%, $E$6)</f>
        <v>5.4923000000000002</v>
      </c>
      <c r="J142" s="61">
        <f>3.5929 * CHOOSE(CONTROL!$C$19, $C$6, 100%, $E$6)</f>
        <v>3.5929000000000002</v>
      </c>
      <c r="K142" s="61">
        <f>3.5931 * CHOOSE(CONTROL!$C$19, $C$6, 100%, $E$6)</f>
        <v>3.5931000000000002</v>
      </c>
    </row>
    <row r="143" spans="1:11" ht="15">
      <c r="A143" s="13">
        <v>46419</v>
      </c>
      <c r="B143" s="60">
        <f>3.362 * CHOOSE(CONTROL!$C$19, $C$6, 100%, $E$6)</f>
        <v>3.3620000000000001</v>
      </c>
      <c r="C143" s="60">
        <f>3.362 * CHOOSE(CONTROL!$C$19, $C$6, 100%, $E$6)</f>
        <v>3.3620000000000001</v>
      </c>
      <c r="D143" s="60">
        <f>3.3785 * CHOOSE(CONTROL!$C$19, $C$6, 100%, $E$6)</f>
        <v>3.3784999999999998</v>
      </c>
      <c r="E143" s="61">
        <f>3.5426 * CHOOSE(CONTROL!$C$19, $C$6, 100%, $E$6)</f>
        <v>3.5426000000000002</v>
      </c>
      <c r="F143" s="61">
        <f>3.5426 * CHOOSE(CONTROL!$C$19, $C$6, 100%, $E$6)</f>
        <v>3.5426000000000002</v>
      </c>
      <c r="G143" s="61">
        <f>3.5427 * CHOOSE(CONTROL!$C$19, $C$6, 100%, $E$6)</f>
        <v>3.5427</v>
      </c>
      <c r="H143" s="61">
        <f>5.5036* CHOOSE(CONTROL!$C$19, $C$6, 100%, $E$6)</f>
        <v>5.5035999999999996</v>
      </c>
      <c r="I143" s="61">
        <f>5.5038 * CHOOSE(CONTROL!$C$19, $C$6, 100%, $E$6)</f>
        <v>5.5038</v>
      </c>
      <c r="J143" s="61">
        <f>3.5426 * CHOOSE(CONTROL!$C$19, $C$6, 100%, $E$6)</f>
        <v>3.5426000000000002</v>
      </c>
      <c r="K143" s="61">
        <f>3.5427 * CHOOSE(CONTROL!$C$19, $C$6, 100%, $E$6)</f>
        <v>3.5427</v>
      </c>
    </row>
    <row r="144" spans="1:11" ht="15">
      <c r="A144" s="13">
        <v>46447</v>
      </c>
      <c r="B144" s="60">
        <f>3.359 * CHOOSE(CONTROL!$C$19, $C$6, 100%, $E$6)</f>
        <v>3.359</v>
      </c>
      <c r="C144" s="60">
        <f>3.359 * CHOOSE(CONTROL!$C$19, $C$6, 100%, $E$6)</f>
        <v>3.359</v>
      </c>
      <c r="D144" s="60">
        <f>3.3755 * CHOOSE(CONTROL!$C$19, $C$6, 100%, $E$6)</f>
        <v>3.3755000000000002</v>
      </c>
      <c r="E144" s="61">
        <f>3.5785 * CHOOSE(CONTROL!$C$19, $C$6, 100%, $E$6)</f>
        <v>3.5785</v>
      </c>
      <c r="F144" s="61">
        <f>3.5785 * CHOOSE(CONTROL!$C$19, $C$6, 100%, $E$6)</f>
        <v>3.5785</v>
      </c>
      <c r="G144" s="61">
        <f>3.5787 * CHOOSE(CONTROL!$C$19, $C$6, 100%, $E$6)</f>
        <v>3.5787</v>
      </c>
      <c r="H144" s="61">
        <f>5.515* CHOOSE(CONTROL!$C$19, $C$6, 100%, $E$6)</f>
        <v>5.5149999999999997</v>
      </c>
      <c r="I144" s="61">
        <f>5.5152 * CHOOSE(CONTROL!$C$19, $C$6, 100%, $E$6)</f>
        <v>5.5152000000000001</v>
      </c>
      <c r="J144" s="61">
        <f>3.5785 * CHOOSE(CONTROL!$C$19, $C$6, 100%, $E$6)</f>
        <v>3.5785</v>
      </c>
      <c r="K144" s="61">
        <f>3.5787 * CHOOSE(CONTROL!$C$19, $C$6, 100%, $E$6)</f>
        <v>3.5787</v>
      </c>
    </row>
    <row r="145" spans="1:11" ht="15">
      <c r="A145" s="13">
        <v>46478</v>
      </c>
      <c r="B145" s="60">
        <f>3.356 * CHOOSE(CONTROL!$C$19, $C$6, 100%, $E$6)</f>
        <v>3.3559999999999999</v>
      </c>
      <c r="C145" s="60">
        <f>3.356 * CHOOSE(CONTROL!$C$19, $C$6, 100%, $E$6)</f>
        <v>3.3559999999999999</v>
      </c>
      <c r="D145" s="60">
        <f>3.3725 * CHOOSE(CONTROL!$C$19, $C$6, 100%, $E$6)</f>
        <v>3.3725000000000001</v>
      </c>
      <c r="E145" s="61">
        <f>3.6151 * CHOOSE(CONTROL!$C$19, $C$6, 100%, $E$6)</f>
        <v>3.6151</v>
      </c>
      <c r="F145" s="61">
        <f>3.6151 * CHOOSE(CONTROL!$C$19, $C$6, 100%, $E$6)</f>
        <v>3.6151</v>
      </c>
      <c r="G145" s="61">
        <f>3.6153 * CHOOSE(CONTROL!$C$19, $C$6, 100%, $E$6)</f>
        <v>3.6153</v>
      </c>
      <c r="H145" s="61">
        <f>5.5265* CHOOSE(CONTROL!$C$19, $C$6, 100%, $E$6)</f>
        <v>5.5265000000000004</v>
      </c>
      <c r="I145" s="61">
        <f>5.5267 * CHOOSE(CONTROL!$C$19, $C$6, 100%, $E$6)</f>
        <v>5.5266999999999999</v>
      </c>
      <c r="J145" s="61">
        <f>3.6151 * CHOOSE(CONTROL!$C$19, $C$6, 100%, $E$6)</f>
        <v>3.6151</v>
      </c>
      <c r="K145" s="61">
        <f>3.6153 * CHOOSE(CONTROL!$C$19, $C$6, 100%, $E$6)</f>
        <v>3.6153</v>
      </c>
    </row>
    <row r="146" spans="1:11" ht="15">
      <c r="A146" s="13">
        <v>46508</v>
      </c>
      <c r="B146" s="60">
        <f>3.356 * CHOOSE(CONTROL!$C$19, $C$6, 100%, $E$6)</f>
        <v>3.3559999999999999</v>
      </c>
      <c r="C146" s="60">
        <f>3.356 * CHOOSE(CONTROL!$C$19, $C$6, 100%, $E$6)</f>
        <v>3.3559999999999999</v>
      </c>
      <c r="D146" s="60">
        <f>3.389 * CHOOSE(CONTROL!$C$19, $C$6, 100%, $E$6)</f>
        <v>3.3889999999999998</v>
      </c>
      <c r="E146" s="61">
        <f>3.6304 * CHOOSE(CONTROL!$C$19, $C$6, 100%, $E$6)</f>
        <v>3.6303999999999998</v>
      </c>
      <c r="F146" s="61">
        <f>3.6304 * CHOOSE(CONTROL!$C$19, $C$6, 100%, $E$6)</f>
        <v>3.6303999999999998</v>
      </c>
      <c r="G146" s="61">
        <f>3.6324 * CHOOSE(CONTROL!$C$19, $C$6, 100%, $E$6)</f>
        <v>3.6324000000000001</v>
      </c>
      <c r="H146" s="61">
        <f>5.538* CHOOSE(CONTROL!$C$19, $C$6, 100%, $E$6)</f>
        <v>5.5380000000000003</v>
      </c>
      <c r="I146" s="61">
        <f>5.5401 * CHOOSE(CONTROL!$C$19, $C$6, 100%, $E$6)</f>
        <v>5.5400999999999998</v>
      </c>
      <c r="J146" s="61">
        <f>3.6304 * CHOOSE(CONTROL!$C$19, $C$6, 100%, $E$6)</f>
        <v>3.6303999999999998</v>
      </c>
      <c r="K146" s="61">
        <f>3.6324 * CHOOSE(CONTROL!$C$19, $C$6, 100%, $E$6)</f>
        <v>3.6324000000000001</v>
      </c>
    </row>
    <row r="147" spans="1:11" ht="15">
      <c r="A147" s="13">
        <v>46539</v>
      </c>
      <c r="B147" s="60">
        <f>3.3621 * CHOOSE(CONTROL!$C$19, $C$6, 100%, $E$6)</f>
        <v>3.3620999999999999</v>
      </c>
      <c r="C147" s="60">
        <f>3.3621 * CHOOSE(CONTROL!$C$19, $C$6, 100%, $E$6)</f>
        <v>3.3620999999999999</v>
      </c>
      <c r="D147" s="60">
        <f>3.3951 * CHOOSE(CONTROL!$C$19, $C$6, 100%, $E$6)</f>
        <v>3.3950999999999998</v>
      </c>
      <c r="E147" s="61">
        <f>3.6193 * CHOOSE(CONTROL!$C$19, $C$6, 100%, $E$6)</f>
        <v>3.6193</v>
      </c>
      <c r="F147" s="61">
        <f>3.6193 * CHOOSE(CONTROL!$C$19, $C$6, 100%, $E$6)</f>
        <v>3.6193</v>
      </c>
      <c r="G147" s="61">
        <f>3.6214 * CHOOSE(CONTROL!$C$19, $C$6, 100%, $E$6)</f>
        <v>3.6214</v>
      </c>
      <c r="H147" s="61">
        <f>5.5496* CHOOSE(CONTROL!$C$19, $C$6, 100%, $E$6)</f>
        <v>5.5495999999999999</v>
      </c>
      <c r="I147" s="61">
        <f>5.5516 * CHOOSE(CONTROL!$C$19, $C$6, 100%, $E$6)</f>
        <v>5.5515999999999996</v>
      </c>
      <c r="J147" s="61">
        <f>3.6193 * CHOOSE(CONTROL!$C$19, $C$6, 100%, $E$6)</f>
        <v>3.6193</v>
      </c>
      <c r="K147" s="61">
        <f>3.6214 * CHOOSE(CONTROL!$C$19, $C$6, 100%, $E$6)</f>
        <v>3.6214</v>
      </c>
    </row>
    <row r="148" spans="1:11" ht="15">
      <c r="A148" s="13">
        <v>46569</v>
      </c>
      <c r="B148" s="60">
        <f>3.4138 * CHOOSE(CONTROL!$C$19, $C$6, 100%, $E$6)</f>
        <v>3.4138000000000002</v>
      </c>
      <c r="C148" s="60">
        <f>3.4138 * CHOOSE(CONTROL!$C$19, $C$6, 100%, $E$6)</f>
        <v>3.4138000000000002</v>
      </c>
      <c r="D148" s="60">
        <f>3.4468 * CHOOSE(CONTROL!$C$19, $C$6, 100%, $E$6)</f>
        <v>3.4468000000000001</v>
      </c>
      <c r="E148" s="61">
        <f>3.6808 * CHOOSE(CONTROL!$C$19, $C$6, 100%, $E$6)</f>
        <v>3.6808000000000001</v>
      </c>
      <c r="F148" s="61">
        <f>3.6808 * CHOOSE(CONTROL!$C$19, $C$6, 100%, $E$6)</f>
        <v>3.6808000000000001</v>
      </c>
      <c r="G148" s="61">
        <f>3.6829 * CHOOSE(CONTROL!$C$19, $C$6, 100%, $E$6)</f>
        <v>3.6829000000000001</v>
      </c>
      <c r="H148" s="61">
        <f>5.5611* CHOOSE(CONTROL!$C$19, $C$6, 100%, $E$6)</f>
        <v>5.5610999999999997</v>
      </c>
      <c r="I148" s="61">
        <f>5.5632 * CHOOSE(CONTROL!$C$19, $C$6, 100%, $E$6)</f>
        <v>5.5632000000000001</v>
      </c>
      <c r="J148" s="61">
        <f>3.6808 * CHOOSE(CONTROL!$C$19, $C$6, 100%, $E$6)</f>
        <v>3.6808000000000001</v>
      </c>
      <c r="K148" s="61">
        <f>3.6829 * CHOOSE(CONTROL!$C$19, $C$6, 100%, $E$6)</f>
        <v>3.6829000000000001</v>
      </c>
    </row>
    <row r="149" spans="1:11" ht="15">
      <c r="A149" s="13">
        <v>46600</v>
      </c>
      <c r="B149" s="60">
        <f>3.4205 * CHOOSE(CONTROL!$C$19, $C$6, 100%, $E$6)</f>
        <v>3.4205000000000001</v>
      </c>
      <c r="C149" s="60">
        <f>3.4205 * CHOOSE(CONTROL!$C$19, $C$6, 100%, $E$6)</f>
        <v>3.4205000000000001</v>
      </c>
      <c r="D149" s="60">
        <f>3.4535 * CHOOSE(CONTROL!$C$19, $C$6, 100%, $E$6)</f>
        <v>3.4535</v>
      </c>
      <c r="E149" s="61">
        <f>3.6395 * CHOOSE(CONTROL!$C$19, $C$6, 100%, $E$6)</f>
        <v>3.6395</v>
      </c>
      <c r="F149" s="61">
        <f>3.6395 * CHOOSE(CONTROL!$C$19, $C$6, 100%, $E$6)</f>
        <v>3.6395</v>
      </c>
      <c r="G149" s="61">
        <f>3.6416 * CHOOSE(CONTROL!$C$19, $C$6, 100%, $E$6)</f>
        <v>3.6415999999999999</v>
      </c>
      <c r="H149" s="61">
        <f>5.5727* CHOOSE(CONTROL!$C$19, $C$6, 100%, $E$6)</f>
        <v>5.5727000000000002</v>
      </c>
      <c r="I149" s="61">
        <f>5.5748 * CHOOSE(CONTROL!$C$19, $C$6, 100%, $E$6)</f>
        <v>5.5747999999999998</v>
      </c>
      <c r="J149" s="61">
        <f>3.6395 * CHOOSE(CONTROL!$C$19, $C$6, 100%, $E$6)</f>
        <v>3.6395</v>
      </c>
      <c r="K149" s="61">
        <f>3.6416 * CHOOSE(CONTROL!$C$19, $C$6, 100%, $E$6)</f>
        <v>3.6415999999999999</v>
      </c>
    </row>
    <row r="150" spans="1:11" ht="15">
      <c r="A150" s="13">
        <v>46631</v>
      </c>
      <c r="B150" s="60">
        <f>3.4174 * CHOOSE(CONTROL!$C$19, $C$6, 100%, $E$6)</f>
        <v>3.4174000000000002</v>
      </c>
      <c r="C150" s="60">
        <f>3.4174 * CHOOSE(CONTROL!$C$19, $C$6, 100%, $E$6)</f>
        <v>3.4174000000000002</v>
      </c>
      <c r="D150" s="60">
        <f>3.4504 * CHOOSE(CONTROL!$C$19, $C$6, 100%, $E$6)</f>
        <v>3.4504000000000001</v>
      </c>
      <c r="E150" s="61">
        <f>3.6323 * CHOOSE(CONTROL!$C$19, $C$6, 100%, $E$6)</f>
        <v>3.6322999999999999</v>
      </c>
      <c r="F150" s="61">
        <f>3.6323 * CHOOSE(CONTROL!$C$19, $C$6, 100%, $E$6)</f>
        <v>3.6322999999999999</v>
      </c>
      <c r="G150" s="61">
        <f>3.6343 * CHOOSE(CONTROL!$C$19, $C$6, 100%, $E$6)</f>
        <v>3.6343000000000001</v>
      </c>
      <c r="H150" s="61">
        <f>5.5843* CHOOSE(CONTROL!$C$19, $C$6, 100%, $E$6)</f>
        <v>5.5842999999999998</v>
      </c>
      <c r="I150" s="61">
        <f>5.5864 * CHOOSE(CONTROL!$C$19, $C$6, 100%, $E$6)</f>
        <v>5.5864000000000003</v>
      </c>
      <c r="J150" s="61">
        <f>3.6323 * CHOOSE(CONTROL!$C$19, $C$6, 100%, $E$6)</f>
        <v>3.6322999999999999</v>
      </c>
      <c r="K150" s="61">
        <f>3.6343 * CHOOSE(CONTROL!$C$19, $C$6, 100%, $E$6)</f>
        <v>3.6343000000000001</v>
      </c>
    </row>
    <row r="151" spans="1:11" ht="15">
      <c r="A151" s="13">
        <v>46661</v>
      </c>
      <c r="B151" s="60">
        <f>3.4105 * CHOOSE(CONTROL!$C$19, $C$6, 100%, $E$6)</f>
        <v>3.4104999999999999</v>
      </c>
      <c r="C151" s="60">
        <f>3.4105 * CHOOSE(CONTROL!$C$19, $C$6, 100%, $E$6)</f>
        <v>3.4104999999999999</v>
      </c>
      <c r="D151" s="60">
        <f>3.427 * CHOOSE(CONTROL!$C$19, $C$6, 100%, $E$6)</f>
        <v>3.427</v>
      </c>
      <c r="E151" s="61">
        <f>3.6393 * CHOOSE(CONTROL!$C$19, $C$6, 100%, $E$6)</f>
        <v>3.6393</v>
      </c>
      <c r="F151" s="61">
        <f>3.6393 * CHOOSE(CONTROL!$C$19, $C$6, 100%, $E$6)</f>
        <v>3.6393</v>
      </c>
      <c r="G151" s="61">
        <f>3.6395 * CHOOSE(CONTROL!$C$19, $C$6, 100%, $E$6)</f>
        <v>3.6395</v>
      </c>
      <c r="H151" s="61">
        <f>5.596* CHOOSE(CONTROL!$C$19, $C$6, 100%, $E$6)</f>
        <v>5.5960000000000001</v>
      </c>
      <c r="I151" s="61">
        <f>5.5962 * CHOOSE(CONTROL!$C$19, $C$6, 100%, $E$6)</f>
        <v>5.5961999999999996</v>
      </c>
      <c r="J151" s="61">
        <f>3.6393 * CHOOSE(CONTROL!$C$19, $C$6, 100%, $E$6)</f>
        <v>3.6393</v>
      </c>
      <c r="K151" s="61">
        <f>3.6395 * CHOOSE(CONTROL!$C$19, $C$6, 100%, $E$6)</f>
        <v>3.6395</v>
      </c>
    </row>
    <row r="152" spans="1:11" ht="15">
      <c r="A152" s="13">
        <v>46692</v>
      </c>
      <c r="B152" s="60">
        <f>3.4135 * CHOOSE(CONTROL!$C$19, $C$6, 100%, $E$6)</f>
        <v>3.4135</v>
      </c>
      <c r="C152" s="60">
        <f>3.4135 * CHOOSE(CONTROL!$C$19, $C$6, 100%, $E$6)</f>
        <v>3.4135</v>
      </c>
      <c r="D152" s="60">
        <f>3.43 * CHOOSE(CONTROL!$C$19, $C$6, 100%, $E$6)</f>
        <v>3.43</v>
      </c>
      <c r="E152" s="61">
        <f>3.6516 * CHOOSE(CONTROL!$C$19, $C$6, 100%, $E$6)</f>
        <v>3.6516000000000002</v>
      </c>
      <c r="F152" s="61">
        <f>3.6516 * CHOOSE(CONTROL!$C$19, $C$6, 100%, $E$6)</f>
        <v>3.6516000000000002</v>
      </c>
      <c r="G152" s="61">
        <f>3.6518 * CHOOSE(CONTROL!$C$19, $C$6, 100%, $E$6)</f>
        <v>3.6518000000000002</v>
      </c>
      <c r="H152" s="61">
        <f>5.6076* CHOOSE(CONTROL!$C$19, $C$6, 100%, $E$6)</f>
        <v>5.6075999999999997</v>
      </c>
      <c r="I152" s="61">
        <f>5.6078 * CHOOSE(CONTROL!$C$19, $C$6, 100%, $E$6)</f>
        <v>5.6078000000000001</v>
      </c>
      <c r="J152" s="61">
        <f>3.6516 * CHOOSE(CONTROL!$C$19, $C$6, 100%, $E$6)</f>
        <v>3.6516000000000002</v>
      </c>
      <c r="K152" s="61">
        <f>3.6518 * CHOOSE(CONTROL!$C$19, $C$6, 100%, $E$6)</f>
        <v>3.6518000000000002</v>
      </c>
    </row>
    <row r="153" spans="1:11" ht="15">
      <c r="A153" s="13">
        <v>46722</v>
      </c>
      <c r="B153" s="60">
        <f>3.4135 * CHOOSE(CONTROL!$C$19, $C$6, 100%, $E$6)</f>
        <v>3.4135</v>
      </c>
      <c r="C153" s="60">
        <f>3.4135 * CHOOSE(CONTROL!$C$19, $C$6, 100%, $E$6)</f>
        <v>3.4135</v>
      </c>
      <c r="D153" s="60">
        <f>3.43 * CHOOSE(CONTROL!$C$19, $C$6, 100%, $E$6)</f>
        <v>3.43</v>
      </c>
      <c r="E153" s="61">
        <f>3.6261 * CHOOSE(CONTROL!$C$19, $C$6, 100%, $E$6)</f>
        <v>3.6261000000000001</v>
      </c>
      <c r="F153" s="61">
        <f>3.6261 * CHOOSE(CONTROL!$C$19, $C$6, 100%, $E$6)</f>
        <v>3.6261000000000001</v>
      </c>
      <c r="G153" s="61">
        <f>3.6263 * CHOOSE(CONTROL!$C$19, $C$6, 100%, $E$6)</f>
        <v>3.6263000000000001</v>
      </c>
      <c r="H153" s="61">
        <f>5.6193* CHOOSE(CONTROL!$C$19, $C$6, 100%, $E$6)</f>
        <v>5.6193</v>
      </c>
      <c r="I153" s="61">
        <f>5.6195 * CHOOSE(CONTROL!$C$19, $C$6, 100%, $E$6)</f>
        <v>5.6195000000000004</v>
      </c>
      <c r="J153" s="61">
        <f>3.6261 * CHOOSE(CONTROL!$C$19, $C$6, 100%, $E$6)</f>
        <v>3.6261000000000001</v>
      </c>
      <c r="K153" s="61">
        <f>3.6263 * CHOOSE(CONTROL!$C$19, $C$6, 100%, $E$6)</f>
        <v>3.6263000000000001</v>
      </c>
    </row>
    <row r="154" spans="1:11" ht="15">
      <c r="A154" s="13">
        <v>46753</v>
      </c>
      <c r="B154" s="60">
        <f>3.4451 * CHOOSE(CONTROL!$C$19, $C$6, 100%, $E$6)</f>
        <v>3.4451000000000001</v>
      </c>
      <c r="C154" s="60">
        <f>3.4451 * CHOOSE(CONTROL!$C$19, $C$6, 100%, $E$6)</f>
        <v>3.4451000000000001</v>
      </c>
      <c r="D154" s="60">
        <f>3.4616 * CHOOSE(CONTROL!$C$19, $C$6, 100%, $E$6)</f>
        <v>3.4615999999999998</v>
      </c>
      <c r="E154" s="61">
        <f>3.657 * CHOOSE(CONTROL!$C$19, $C$6, 100%, $E$6)</f>
        <v>3.657</v>
      </c>
      <c r="F154" s="61">
        <f>3.657 * CHOOSE(CONTROL!$C$19, $C$6, 100%, $E$6)</f>
        <v>3.657</v>
      </c>
      <c r="G154" s="61">
        <f>3.6571 * CHOOSE(CONTROL!$C$19, $C$6, 100%, $E$6)</f>
        <v>3.6570999999999998</v>
      </c>
      <c r="H154" s="61">
        <f>5.631* CHOOSE(CONTROL!$C$19, $C$6, 100%, $E$6)</f>
        <v>5.6310000000000002</v>
      </c>
      <c r="I154" s="61">
        <f>5.6312 * CHOOSE(CONTROL!$C$19, $C$6, 100%, $E$6)</f>
        <v>5.6311999999999998</v>
      </c>
      <c r="J154" s="61">
        <f>3.657 * CHOOSE(CONTROL!$C$19, $C$6, 100%, $E$6)</f>
        <v>3.657</v>
      </c>
      <c r="K154" s="61">
        <f>3.6571 * CHOOSE(CONTROL!$C$19, $C$6, 100%, $E$6)</f>
        <v>3.6570999999999998</v>
      </c>
    </row>
    <row r="155" spans="1:11" ht="15">
      <c r="A155" s="13">
        <v>46784</v>
      </c>
      <c r="B155" s="60">
        <f>3.4421 * CHOOSE(CONTROL!$C$19, $C$6, 100%, $E$6)</f>
        <v>3.4420999999999999</v>
      </c>
      <c r="C155" s="60">
        <f>3.4421 * CHOOSE(CONTROL!$C$19, $C$6, 100%, $E$6)</f>
        <v>3.4420999999999999</v>
      </c>
      <c r="D155" s="60">
        <f>3.4586 * CHOOSE(CONTROL!$C$19, $C$6, 100%, $E$6)</f>
        <v>3.4586000000000001</v>
      </c>
      <c r="E155" s="61">
        <f>3.6037 * CHOOSE(CONTROL!$C$19, $C$6, 100%, $E$6)</f>
        <v>3.6036999999999999</v>
      </c>
      <c r="F155" s="61">
        <f>3.6037 * CHOOSE(CONTROL!$C$19, $C$6, 100%, $E$6)</f>
        <v>3.6036999999999999</v>
      </c>
      <c r="G155" s="61">
        <f>3.6039 * CHOOSE(CONTROL!$C$19, $C$6, 100%, $E$6)</f>
        <v>3.6038999999999999</v>
      </c>
      <c r="H155" s="61">
        <f>5.6428* CHOOSE(CONTROL!$C$19, $C$6, 100%, $E$6)</f>
        <v>5.6428000000000003</v>
      </c>
      <c r="I155" s="61">
        <f>5.6429 * CHOOSE(CONTROL!$C$19, $C$6, 100%, $E$6)</f>
        <v>5.6429</v>
      </c>
      <c r="J155" s="61">
        <f>3.6037 * CHOOSE(CONTROL!$C$19, $C$6, 100%, $E$6)</f>
        <v>3.6036999999999999</v>
      </c>
      <c r="K155" s="61">
        <f>3.6039 * CHOOSE(CONTROL!$C$19, $C$6, 100%, $E$6)</f>
        <v>3.6038999999999999</v>
      </c>
    </row>
    <row r="156" spans="1:11" ht="15">
      <c r="A156" s="13">
        <v>46813</v>
      </c>
      <c r="B156" s="60">
        <f>3.439 * CHOOSE(CONTROL!$C$19, $C$6, 100%, $E$6)</f>
        <v>3.4390000000000001</v>
      </c>
      <c r="C156" s="60">
        <f>3.439 * CHOOSE(CONTROL!$C$19, $C$6, 100%, $E$6)</f>
        <v>3.4390000000000001</v>
      </c>
      <c r="D156" s="60">
        <f>3.4555 * CHOOSE(CONTROL!$C$19, $C$6, 100%, $E$6)</f>
        <v>3.4554999999999998</v>
      </c>
      <c r="E156" s="61">
        <f>3.6419 * CHOOSE(CONTROL!$C$19, $C$6, 100%, $E$6)</f>
        <v>3.6419000000000001</v>
      </c>
      <c r="F156" s="61">
        <f>3.6419 * CHOOSE(CONTROL!$C$19, $C$6, 100%, $E$6)</f>
        <v>3.6419000000000001</v>
      </c>
      <c r="G156" s="61">
        <f>3.6421 * CHOOSE(CONTROL!$C$19, $C$6, 100%, $E$6)</f>
        <v>3.6421000000000001</v>
      </c>
      <c r="H156" s="61">
        <f>5.6545* CHOOSE(CONTROL!$C$19, $C$6, 100%, $E$6)</f>
        <v>5.6544999999999996</v>
      </c>
      <c r="I156" s="61">
        <f>5.6547 * CHOOSE(CONTROL!$C$19, $C$6, 100%, $E$6)</f>
        <v>5.6547000000000001</v>
      </c>
      <c r="J156" s="61">
        <f>3.6419 * CHOOSE(CONTROL!$C$19, $C$6, 100%, $E$6)</f>
        <v>3.6419000000000001</v>
      </c>
      <c r="K156" s="61">
        <f>3.6421 * CHOOSE(CONTROL!$C$19, $C$6, 100%, $E$6)</f>
        <v>3.6421000000000001</v>
      </c>
    </row>
    <row r="157" spans="1:11" ht="15">
      <c r="A157" s="13">
        <v>46844</v>
      </c>
      <c r="B157" s="60">
        <f>3.4362 * CHOOSE(CONTROL!$C$19, $C$6, 100%, $E$6)</f>
        <v>3.4361999999999999</v>
      </c>
      <c r="C157" s="60">
        <f>3.4362 * CHOOSE(CONTROL!$C$19, $C$6, 100%, $E$6)</f>
        <v>3.4361999999999999</v>
      </c>
      <c r="D157" s="60">
        <f>3.4527 * CHOOSE(CONTROL!$C$19, $C$6, 100%, $E$6)</f>
        <v>3.4527000000000001</v>
      </c>
      <c r="E157" s="61">
        <f>3.681 * CHOOSE(CONTROL!$C$19, $C$6, 100%, $E$6)</f>
        <v>3.681</v>
      </c>
      <c r="F157" s="61">
        <f>3.681 * CHOOSE(CONTROL!$C$19, $C$6, 100%, $E$6)</f>
        <v>3.681</v>
      </c>
      <c r="G157" s="61">
        <f>3.6811 * CHOOSE(CONTROL!$C$19, $C$6, 100%, $E$6)</f>
        <v>3.6810999999999998</v>
      </c>
      <c r="H157" s="61">
        <f>5.6663* CHOOSE(CONTROL!$C$19, $C$6, 100%, $E$6)</f>
        <v>5.6662999999999997</v>
      </c>
      <c r="I157" s="61">
        <f>5.6665 * CHOOSE(CONTROL!$C$19, $C$6, 100%, $E$6)</f>
        <v>5.6665000000000001</v>
      </c>
      <c r="J157" s="61">
        <f>3.681 * CHOOSE(CONTROL!$C$19, $C$6, 100%, $E$6)</f>
        <v>3.681</v>
      </c>
      <c r="K157" s="61">
        <f>3.6811 * CHOOSE(CONTROL!$C$19, $C$6, 100%, $E$6)</f>
        <v>3.6810999999999998</v>
      </c>
    </row>
    <row r="158" spans="1:11" ht="15">
      <c r="A158" s="13">
        <v>46874</v>
      </c>
      <c r="B158" s="60">
        <f>3.4362 * CHOOSE(CONTROL!$C$19, $C$6, 100%, $E$6)</f>
        <v>3.4361999999999999</v>
      </c>
      <c r="C158" s="60">
        <f>3.4362 * CHOOSE(CONTROL!$C$19, $C$6, 100%, $E$6)</f>
        <v>3.4361999999999999</v>
      </c>
      <c r="D158" s="60">
        <f>3.4692 * CHOOSE(CONTROL!$C$19, $C$6, 100%, $E$6)</f>
        <v>3.4691999999999998</v>
      </c>
      <c r="E158" s="61">
        <f>3.6972 * CHOOSE(CONTROL!$C$19, $C$6, 100%, $E$6)</f>
        <v>3.6972</v>
      </c>
      <c r="F158" s="61">
        <f>3.6972 * CHOOSE(CONTROL!$C$19, $C$6, 100%, $E$6)</f>
        <v>3.6972</v>
      </c>
      <c r="G158" s="61">
        <f>3.6993 * CHOOSE(CONTROL!$C$19, $C$6, 100%, $E$6)</f>
        <v>3.6993</v>
      </c>
      <c r="H158" s="61">
        <f>5.6781* CHOOSE(CONTROL!$C$19, $C$6, 100%, $E$6)</f>
        <v>5.6780999999999997</v>
      </c>
      <c r="I158" s="61">
        <f>5.6801 * CHOOSE(CONTROL!$C$19, $C$6, 100%, $E$6)</f>
        <v>5.6801000000000004</v>
      </c>
      <c r="J158" s="61">
        <f>3.6972 * CHOOSE(CONTROL!$C$19, $C$6, 100%, $E$6)</f>
        <v>3.6972</v>
      </c>
      <c r="K158" s="61">
        <f>3.6993 * CHOOSE(CONTROL!$C$19, $C$6, 100%, $E$6)</f>
        <v>3.6993</v>
      </c>
    </row>
    <row r="159" spans="1:11" ht="15">
      <c r="A159" s="13">
        <v>46905</v>
      </c>
      <c r="B159" s="60">
        <f>3.4423 * CHOOSE(CONTROL!$C$19, $C$6, 100%, $E$6)</f>
        <v>3.4422999999999999</v>
      </c>
      <c r="C159" s="60">
        <f>3.4423 * CHOOSE(CONTROL!$C$19, $C$6, 100%, $E$6)</f>
        <v>3.4422999999999999</v>
      </c>
      <c r="D159" s="60">
        <f>3.4753 * CHOOSE(CONTROL!$C$19, $C$6, 100%, $E$6)</f>
        <v>3.4752999999999998</v>
      </c>
      <c r="E159" s="61">
        <f>3.6852 * CHOOSE(CONTROL!$C$19, $C$6, 100%, $E$6)</f>
        <v>3.6852</v>
      </c>
      <c r="F159" s="61">
        <f>3.6852 * CHOOSE(CONTROL!$C$19, $C$6, 100%, $E$6)</f>
        <v>3.6852</v>
      </c>
      <c r="G159" s="61">
        <f>3.6873 * CHOOSE(CONTROL!$C$19, $C$6, 100%, $E$6)</f>
        <v>3.6873</v>
      </c>
      <c r="H159" s="61">
        <f>5.6899* CHOOSE(CONTROL!$C$19, $C$6, 100%, $E$6)</f>
        <v>5.6898999999999997</v>
      </c>
      <c r="I159" s="61">
        <f>5.692 * CHOOSE(CONTROL!$C$19, $C$6, 100%, $E$6)</f>
        <v>5.6920000000000002</v>
      </c>
      <c r="J159" s="61">
        <f>3.6852 * CHOOSE(CONTROL!$C$19, $C$6, 100%, $E$6)</f>
        <v>3.6852</v>
      </c>
      <c r="K159" s="61">
        <f>3.6873 * CHOOSE(CONTROL!$C$19, $C$6, 100%, $E$6)</f>
        <v>3.6873</v>
      </c>
    </row>
    <row r="160" spans="1:11" ht="15">
      <c r="A160" s="13">
        <v>46935</v>
      </c>
      <c r="B160" s="60">
        <f>3.5022 * CHOOSE(CONTROL!$C$19, $C$6, 100%, $E$6)</f>
        <v>3.5022000000000002</v>
      </c>
      <c r="C160" s="60">
        <f>3.5022 * CHOOSE(CONTROL!$C$19, $C$6, 100%, $E$6)</f>
        <v>3.5022000000000002</v>
      </c>
      <c r="D160" s="60">
        <f>3.5352 * CHOOSE(CONTROL!$C$19, $C$6, 100%, $E$6)</f>
        <v>3.5352000000000001</v>
      </c>
      <c r="E160" s="61">
        <f>3.6679 * CHOOSE(CONTROL!$C$19, $C$6, 100%, $E$6)</f>
        <v>3.6678999999999999</v>
      </c>
      <c r="F160" s="61">
        <f>3.6679 * CHOOSE(CONTROL!$C$19, $C$6, 100%, $E$6)</f>
        <v>3.6678999999999999</v>
      </c>
      <c r="G160" s="61">
        <f>3.6699 * CHOOSE(CONTROL!$C$19, $C$6, 100%, $E$6)</f>
        <v>3.6699000000000002</v>
      </c>
      <c r="H160" s="61">
        <f>5.7018* CHOOSE(CONTROL!$C$19, $C$6, 100%, $E$6)</f>
        <v>5.7018000000000004</v>
      </c>
      <c r="I160" s="61">
        <f>5.7038 * CHOOSE(CONTROL!$C$19, $C$6, 100%, $E$6)</f>
        <v>5.7038000000000002</v>
      </c>
      <c r="J160" s="61">
        <f>3.6679 * CHOOSE(CONTROL!$C$19, $C$6, 100%, $E$6)</f>
        <v>3.6678999999999999</v>
      </c>
      <c r="K160" s="61">
        <f>3.6699 * CHOOSE(CONTROL!$C$19, $C$6, 100%, $E$6)</f>
        <v>3.6699000000000002</v>
      </c>
    </row>
    <row r="161" spans="1:11" ht="15">
      <c r="A161" s="13">
        <v>46966</v>
      </c>
      <c r="B161" s="60">
        <f>3.5089 * CHOOSE(CONTROL!$C$19, $C$6, 100%, $E$6)</f>
        <v>3.5089000000000001</v>
      </c>
      <c r="C161" s="60">
        <f>3.5089 * CHOOSE(CONTROL!$C$19, $C$6, 100%, $E$6)</f>
        <v>3.5089000000000001</v>
      </c>
      <c r="D161" s="60">
        <f>3.5419 * CHOOSE(CONTROL!$C$19, $C$6, 100%, $E$6)</f>
        <v>3.5419</v>
      </c>
      <c r="E161" s="61">
        <f>3.6238 * CHOOSE(CONTROL!$C$19, $C$6, 100%, $E$6)</f>
        <v>3.6238000000000001</v>
      </c>
      <c r="F161" s="61">
        <f>3.6238 * CHOOSE(CONTROL!$C$19, $C$6, 100%, $E$6)</f>
        <v>3.6238000000000001</v>
      </c>
      <c r="G161" s="61">
        <f>3.6258 * CHOOSE(CONTROL!$C$19, $C$6, 100%, $E$6)</f>
        <v>3.6257999999999999</v>
      </c>
      <c r="H161" s="61">
        <f>5.7137* CHOOSE(CONTROL!$C$19, $C$6, 100%, $E$6)</f>
        <v>5.7137000000000002</v>
      </c>
      <c r="I161" s="61">
        <f>5.7157 * CHOOSE(CONTROL!$C$19, $C$6, 100%, $E$6)</f>
        <v>5.7157</v>
      </c>
      <c r="J161" s="61">
        <f>3.6238 * CHOOSE(CONTROL!$C$19, $C$6, 100%, $E$6)</f>
        <v>3.6238000000000001</v>
      </c>
      <c r="K161" s="61">
        <f>3.6258 * CHOOSE(CONTROL!$C$19, $C$6, 100%, $E$6)</f>
        <v>3.6257999999999999</v>
      </c>
    </row>
    <row r="162" spans="1:11" ht="15">
      <c r="A162" s="13">
        <v>46997</v>
      </c>
      <c r="B162" s="60">
        <f>3.5058 * CHOOSE(CONTROL!$C$19, $C$6, 100%, $E$6)</f>
        <v>3.5057999999999998</v>
      </c>
      <c r="C162" s="60">
        <f>3.5058 * CHOOSE(CONTROL!$C$19, $C$6, 100%, $E$6)</f>
        <v>3.5057999999999998</v>
      </c>
      <c r="D162" s="60">
        <f>3.5388 * CHOOSE(CONTROL!$C$19, $C$6, 100%, $E$6)</f>
        <v>3.5388000000000002</v>
      </c>
      <c r="E162" s="61">
        <f>3.6163 * CHOOSE(CONTROL!$C$19, $C$6, 100%, $E$6)</f>
        <v>3.6162999999999998</v>
      </c>
      <c r="F162" s="61">
        <f>3.6163 * CHOOSE(CONTROL!$C$19, $C$6, 100%, $E$6)</f>
        <v>3.6162999999999998</v>
      </c>
      <c r="G162" s="61">
        <f>3.6183 * CHOOSE(CONTROL!$C$19, $C$6, 100%, $E$6)</f>
        <v>3.6183000000000001</v>
      </c>
      <c r="H162" s="61">
        <f>5.7256* CHOOSE(CONTROL!$C$19, $C$6, 100%, $E$6)</f>
        <v>5.7256</v>
      </c>
      <c r="I162" s="61">
        <f>5.7276 * CHOOSE(CONTROL!$C$19, $C$6, 100%, $E$6)</f>
        <v>5.7275999999999998</v>
      </c>
      <c r="J162" s="61">
        <f>3.6163 * CHOOSE(CONTROL!$C$19, $C$6, 100%, $E$6)</f>
        <v>3.6162999999999998</v>
      </c>
      <c r="K162" s="61">
        <f>3.6183 * CHOOSE(CONTROL!$C$19, $C$6, 100%, $E$6)</f>
        <v>3.6183000000000001</v>
      </c>
    </row>
    <row r="163" spans="1:11" ht="15">
      <c r="A163" s="13">
        <v>47027</v>
      </c>
      <c r="B163" s="60">
        <f>3.4992 * CHOOSE(CONTROL!$C$19, $C$6, 100%, $E$6)</f>
        <v>3.4992000000000001</v>
      </c>
      <c r="C163" s="60">
        <f>3.4992 * CHOOSE(CONTROL!$C$19, $C$6, 100%, $E$6)</f>
        <v>3.4992000000000001</v>
      </c>
      <c r="D163" s="60">
        <f>3.5157 * CHOOSE(CONTROL!$C$19, $C$6, 100%, $E$6)</f>
        <v>3.5156999999999998</v>
      </c>
      <c r="E163" s="61">
        <f>3.6245 * CHOOSE(CONTROL!$C$19, $C$6, 100%, $E$6)</f>
        <v>3.6244999999999998</v>
      </c>
      <c r="F163" s="61">
        <f>3.6245 * CHOOSE(CONTROL!$C$19, $C$6, 100%, $E$6)</f>
        <v>3.6244999999999998</v>
      </c>
      <c r="G163" s="61">
        <f>3.6247 * CHOOSE(CONTROL!$C$19, $C$6, 100%, $E$6)</f>
        <v>3.6246999999999998</v>
      </c>
      <c r="H163" s="61">
        <f>5.7375* CHOOSE(CONTROL!$C$19, $C$6, 100%, $E$6)</f>
        <v>5.7374999999999998</v>
      </c>
      <c r="I163" s="61">
        <f>5.7377 * CHOOSE(CONTROL!$C$19, $C$6, 100%, $E$6)</f>
        <v>5.7377000000000002</v>
      </c>
      <c r="J163" s="61">
        <f>3.6245 * CHOOSE(CONTROL!$C$19, $C$6, 100%, $E$6)</f>
        <v>3.6244999999999998</v>
      </c>
      <c r="K163" s="61">
        <f>3.6247 * CHOOSE(CONTROL!$C$19, $C$6, 100%, $E$6)</f>
        <v>3.6246999999999998</v>
      </c>
    </row>
    <row r="164" spans="1:11" ht="15">
      <c r="A164" s="13">
        <v>47058</v>
      </c>
      <c r="B164" s="60">
        <f>3.5022 * CHOOSE(CONTROL!$C$19, $C$6, 100%, $E$6)</f>
        <v>3.5022000000000002</v>
      </c>
      <c r="C164" s="60">
        <f>3.5022 * CHOOSE(CONTROL!$C$19, $C$6, 100%, $E$6)</f>
        <v>3.5022000000000002</v>
      </c>
      <c r="D164" s="60">
        <f>3.5187 * CHOOSE(CONTROL!$C$19, $C$6, 100%, $E$6)</f>
        <v>3.5186999999999999</v>
      </c>
      <c r="E164" s="61">
        <f>3.6375 * CHOOSE(CONTROL!$C$19, $C$6, 100%, $E$6)</f>
        <v>3.6375000000000002</v>
      </c>
      <c r="F164" s="61">
        <f>3.6375 * CHOOSE(CONTROL!$C$19, $C$6, 100%, $E$6)</f>
        <v>3.6375000000000002</v>
      </c>
      <c r="G164" s="61">
        <f>3.6376 * CHOOSE(CONTROL!$C$19, $C$6, 100%, $E$6)</f>
        <v>3.6375999999999999</v>
      </c>
      <c r="H164" s="61">
        <f>5.7494* CHOOSE(CONTROL!$C$19, $C$6, 100%, $E$6)</f>
        <v>5.7493999999999996</v>
      </c>
      <c r="I164" s="61">
        <f>5.7496 * CHOOSE(CONTROL!$C$19, $C$6, 100%, $E$6)</f>
        <v>5.7496</v>
      </c>
      <c r="J164" s="61">
        <f>3.6375 * CHOOSE(CONTROL!$C$19, $C$6, 100%, $E$6)</f>
        <v>3.6375000000000002</v>
      </c>
      <c r="K164" s="61">
        <f>3.6376 * CHOOSE(CONTROL!$C$19, $C$6, 100%, $E$6)</f>
        <v>3.6375999999999999</v>
      </c>
    </row>
    <row r="165" spans="1:11" ht="15">
      <c r="A165" s="13">
        <v>47088</v>
      </c>
      <c r="B165" s="60">
        <f>3.5022 * CHOOSE(CONTROL!$C$19, $C$6, 100%, $E$6)</f>
        <v>3.5022000000000002</v>
      </c>
      <c r="C165" s="60">
        <f>3.5022 * CHOOSE(CONTROL!$C$19, $C$6, 100%, $E$6)</f>
        <v>3.5022000000000002</v>
      </c>
      <c r="D165" s="60">
        <f>3.5187 * CHOOSE(CONTROL!$C$19, $C$6, 100%, $E$6)</f>
        <v>3.5186999999999999</v>
      </c>
      <c r="E165" s="61">
        <f>3.6104 * CHOOSE(CONTROL!$C$19, $C$6, 100%, $E$6)</f>
        <v>3.6103999999999998</v>
      </c>
      <c r="F165" s="61">
        <f>3.6104 * CHOOSE(CONTROL!$C$19, $C$6, 100%, $E$6)</f>
        <v>3.6103999999999998</v>
      </c>
      <c r="G165" s="61">
        <f>3.6106 * CHOOSE(CONTROL!$C$19, $C$6, 100%, $E$6)</f>
        <v>3.6105999999999998</v>
      </c>
      <c r="H165" s="61">
        <f>5.7614* CHOOSE(CONTROL!$C$19, $C$6, 100%, $E$6)</f>
        <v>5.7614000000000001</v>
      </c>
      <c r="I165" s="61">
        <f>5.7616 * CHOOSE(CONTROL!$C$19, $C$6, 100%, $E$6)</f>
        <v>5.7615999999999996</v>
      </c>
      <c r="J165" s="61">
        <f>3.6104 * CHOOSE(CONTROL!$C$19, $C$6, 100%, $E$6)</f>
        <v>3.6103999999999998</v>
      </c>
      <c r="K165" s="61">
        <f>3.6106 * CHOOSE(CONTROL!$C$19, $C$6, 100%, $E$6)</f>
        <v>3.6105999999999998</v>
      </c>
    </row>
    <row r="166" spans="1:11" ht="15">
      <c r="A166" s="13">
        <v>47119</v>
      </c>
      <c r="B166" s="60">
        <f>3.5334 * CHOOSE(CONTROL!$C$19, $C$6, 100%, $E$6)</f>
        <v>3.5333999999999999</v>
      </c>
      <c r="C166" s="60">
        <f>3.5334 * CHOOSE(CONTROL!$C$19, $C$6, 100%, $E$6)</f>
        <v>3.5333999999999999</v>
      </c>
      <c r="D166" s="60">
        <f>3.5499 * CHOOSE(CONTROL!$C$19, $C$6, 100%, $E$6)</f>
        <v>3.5499000000000001</v>
      </c>
      <c r="E166" s="61">
        <f>3.6805 * CHOOSE(CONTROL!$C$19, $C$6, 100%, $E$6)</f>
        <v>3.6804999999999999</v>
      </c>
      <c r="F166" s="61">
        <f>3.6805 * CHOOSE(CONTROL!$C$19, $C$6, 100%, $E$6)</f>
        <v>3.6804999999999999</v>
      </c>
      <c r="G166" s="61">
        <f>3.6806 * CHOOSE(CONTROL!$C$19, $C$6, 100%, $E$6)</f>
        <v>3.6806000000000001</v>
      </c>
      <c r="H166" s="61">
        <f>5.7734* CHOOSE(CONTROL!$C$19, $C$6, 100%, $E$6)</f>
        <v>5.7733999999999996</v>
      </c>
      <c r="I166" s="61">
        <f>5.7736 * CHOOSE(CONTROL!$C$19, $C$6, 100%, $E$6)</f>
        <v>5.7736000000000001</v>
      </c>
      <c r="J166" s="61">
        <f>3.6805 * CHOOSE(CONTROL!$C$19, $C$6, 100%, $E$6)</f>
        <v>3.6804999999999999</v>
      </c>
      <c r="K166" s="61">
        <f>3.6806 * CHOOSE(CONTROL!$C$19, $C$6, 100%, $E$6)</f>
        <v>3.6806000000000001</v>
      </c>
    </row>
    <row r="167" spans="1:11" ht="15">
      <c r="A167" s="13">
        <v>47150</v>
      </c>
      <c r="B167" s="60">
        <f>3.5303 * CHOOSE(CONTROL!$C$19, $C$6, 100%, $E$6)</f>
        <v>3.5303</v>
      </c>
      <c r="C167" s="60">
        <f>3.5303 * CHOOSE(CONTROL!$C$19, $C$6, 100%, $E$6)</f>
        <v>3.5303</v>
      </c>
      <c r="D167" s="60">
        <f>3.5469 * CHOOSE(CONTROL!$C$19, $C$6, 100%, $E$6)</f>
        <v>3.5468999999999999</v>
      </c>
      <c r="E167" s="61">
        <f>3.6258 * CHOOSE(CONTROL!$C$19, $C$6, 100%, $E$6)</f>
        <v>3.6257999999999999</v>
      </c>
      <c r="F167" s="61">
        <f>3.6258 * CHOOSE(CONTROL!$C$19, $C$6, 100%, $E$6)</f>
        <v>3.6257999999999999</v>
      </c>
      <c r="G167" s="61">
        <f>3.626 * CHOOSE(CONTROL!$C$19, $C$6, 100%, $E$6)</f>
        <v>3.6259999999999999</v>
      </c>
      <c r="H167" s="61">
        <f>5.7854* CHOOSE(CONTROL!$C$19, $C$6, 100%, $E$6)</f>
        <v>5.7854000000000001</v>
      </c>
      <c r="I167" s="61">
        <f>5.7856 * CHOOSE(CONTROL!$C$19, $C$6, 100%, $E$6)</f>
        <v>5.7855999999999996</v>
      </c>
      <c r="J167" s="61">
        <f>3.6258 * CHOOSE(CONTROL!$C$19, $C$6, 100%, $E$6)</f>
        <v>3.6257999999999999</v>
      </c>
      <c r="K167" s="61">
        <f>3.626 * CHOOSE(CONTROL!$C$19, $C$6, 100%, $E$6)</f>
        <v>3.6259999999999999</v>
      </c>
    </row>
    <row r="168" spans="1:11" ht="15">
      <c r="A168" s="13">
        <v>47178</v>
      </c>
      <c r="B168" s="60">
        <f>3.5273 * CHOOSE(CONTROL!$C$19, $C$6, 100%, $E$6)</f>
        <v>3.5272999999999999</v>
      </c>
      <c r="C168" s="60">
        <f>3.5273 * CHOOSE(CONTROL!$C$19, $C$6, 100%, $E$6)</f>
        <v>3.5272999999999999</v>
      </c>
      <c r="D168" s="60">
        <f>3.5438 * CHOOSE(CONTROL!$C$19, $C$6, 100%, $E$6)</f>
        <v>3.5438000000000001</v>
      </c>
      <c r="E168" s="61">
        <f>3.6651 * CHOOSE(CONTROL!$C$19, $C$6, 100%, $E$6)</f>
        <v>3.6650999999999998</v>
      </c>
      <c r="F168" s="61">
        <f>3.6651 * CHOOSE(CONTROL!$C$19, $C$6, 100%, $E$6)</f>
        <v>3.6650999999999998</v>
      </c>
      <c r="G168" s="61">
        <f>3.6653 * CHOOSE(CONTROL!$C$19, $C$6, 100%, $E$6)</f>
        <v>3.6652999999999998</v>
      </c>
      <c r="H168" s="61">
        <f>5.7975* CHOOSE(CONTROL!$C$19, $C$6, 100%, $E$6)</f>
        <v>5.7975000000000003</v>
      </c>
      <c r="I168" s="61">
        <f>5.7977 * CHOOSE(CONTROL!$C$19, $C$6, 100%, $E$6)</f>
        <v>5.7976999999999999</v>
      </c>
      <c r="J168" s="61">
        <f>3.6651 * CHOOSE(CONTROL!$C$19, $C$6, 100%, $E$6)</f>
        <v>3.6650999999999998</v>
      </c>
      <c r="K168" s="61">
        <f>3.6653 * CHOOSE(CONTROL!$C$19, $C$6, 100%, $E$6)</f>
        <v>3.6652999999999998</v>
      </c>
    </row>
    <row r="169" spans="1:11" ht="15">
      <c r="A169" s="13">
        <v>47209</v>
      </c>
      <c r="B169" s="60">
        <f>3.5245 * CHOOSE(CONTROL!$C$19, $C$6, 100%, $E$6)</f>
        <v>3.5245000000000002</v>
      </c>
      <c r="C169" s="60">
        <f>3.5245 * CHOOSE(CONTROL!$C$19, $C$6, 100%, $E$6)</f>
        <v>3.5245000000000002</v>
      </c>
      <c r="D169" s="60">
        <f>3.541 * CHOOSE(CONTROL!$C$19, $C$6, 100%, $E$6)</f>
        <v>3.5409999999999999</v>
      </c>
      <c r="E169" s="61">
        <f>3.7054 * CHOOSE(CONTROL!$C$19, $C$6, 100%, $E$6)</f>
        <v>3.7054</v>
      </c>
      <c r="F169" s="61">
        <f>3.7054 * CHOOSE(CONTROL!$C$19, $C$6, 100%, $E$6)</f>
        <v>3.7054</v>
      </c>
      <c r="G169" s="61">
        <f>3.7055 * CHOOSE(CONTROL!$C$19, $C$6, 100%, $E$6)</f>
        <v>3.7054999999999998</v>
      </c>
      <c r="H169" s="61">
        <f>5.8096* CHOOSE(CONTROL!$C$19, $C$6, 100%, $E$6)</f>
        <v>5.8095999999999997</v>
      </c>
      <c r="I169" s="61">
        <f>5.8098 * CHOOSE(CONTROL!$C$19, $C$6, 100%, $E$6)</f>
        <v>5.8098000000000001</v>
      </c>
      <c r="J169" s="61">
        <f>3.7054 * CHOOSE(CONTROL!$C$19, $C$6, 100%, $E$6)</f>
        <v>3.7054</v>
      </c>
      <c r="K169" s="61">
        <f>3.7055 * CHOOSE(CONTROL!$C$19, $C$6, 100%, $E$6)</f>
        <v>3.7054999999999998</v>
      </c>
    </row>
    <row r="170" spans="1:11" ht="15">
      <c r="A170" s="13">
        <v>47239</v>
      </c>
      <c r="B170" s="60">
        <f>3.5245 * CHOOSE(CONTROL!$C$19, $C$6, 100%, $E$6)</f>
        <v>3.5245000000000002</v>
      </c>
      <c r="C170" s="60">
        <f>3.5245 * CHOOSE(CONTROL!$C$19, $C$6, 100%, $E$6)</f>
        <v>3.5245000000000002</v>
      </c>
      <c r="D170" s="60">
        <f>3.5575 * CHOOSE(CONTROL!$C$19, $C$6, 100%, $E$6)</f>
        <v>3.5575000000000001</v>
      </c>
      <c r="E170" s="61">
        <f>3.722 * CHOOSE(CONTROL!$C$19, $C$6, 100%, $E$6)</f>
        <v>3.722</v>
      </c>
      <c r="F170" s="61">
        <f>3.722 * CHOOSE(CONTROL!$C$19, $C$6, 100%, $E$6)</f>
        <v>3.722</v>
      </c>
      <c r="G170" s="61">
        <f>3.7241 * CHOOSE(CONTROL!$C$19, $C$6, 100%, $E$6)</f>
        <v>3.7241</v>
      </c>
      <c r="H170" s="61">
        <f>5.8217* CHOOSE(CONTROL!$C$19, $C$6, 100%, $E$6)</f>
        <v>5.8216999999999999</v>
      </c>
      <c r="I170" s="61">
        <f>5.8237 * CHOOSE(CONTROL!$C$19, $C$6, 100%, $E$6)</f>
        <v>5.8236999999999997</v>
      </c>
      <c r="J170" s="61">
        <f>3.722 * CHOOSE(CONTROL!$C$19, $C$6, 100%, $E$6)</f>
        <v>3.722</v>
      </c>
      <c r="K170" s="61">
        <f>3.7241 * CHOOSE(CONTROL!$C$19, $C$6, 100%, $E$6)</f>
        <v>3.7241</v>
      </c>
    </row>
    <row r="171" spans="1:11" ht="15">
      <c r="A171" s="13">
        <v>47270</v>
      </c>
      <c r="B171" s="60">
        <f>3.5306 * CHOOSE(CONTROL!$C$19, $C$6, 100%, $E$6)</f>
        <v>3.5306000000000002</v>
      </c>
      <c r="C171" s="60">
        <f>3.5306 * CHOOSE(CONTROL!$C$19, $C$6, 100%, $E$6)</f>
        <v>3.5306000000000002</v>
      </c>
      <c r="D171" s="60">
        <f>3.5636 * CHOOSE(CONTROL!$C$19, $C$6, 100%, $E$6)</f>
        <v>3.5636000000000001</v>
      </c>
      <c r="E171" s="61">
        <f>3.7096 * CHOOSE(CONTROL!$C$19, $C$6, 100%, $E$6)</f>
        <v>3.7096</v>
      </c>
      <c r="F171" s="61">
        <f>3.7096 * CHOOSE(CONTROL!$C$19, $C$6, 100%, $E$6)</f>
        <v>3.7096</v>
      </c>
      <c r="G171" s="61">
        <f>3.7116 * CHOOSE(CONTROL!$C$19, $C$6, 100%, $E$6)</f>
        <v>3.7115999999999998</v>
      </c>
      <c r="H171" s="61">
        <f>5.8338* CHOOSE(CONTROL!$C$19, $C$6, 100%, $E$6)</f>
        <v>5.8338000000000001</v>
      </c>
      <c r="I171" s="61">
        <f>5.8359 * CHOOSE(CONTROL!$C$19, $C$6, 100%, $E$6)</f>
        <v>5.8358999999999996</v>
      </c>
      <c r="J171" s="61">
        <f>3.7096 * CHOOSE(CONTROL!$C$19, $C$6, 100%, $E$6)</f>
        <v>3.7096</v>
      </c>
      <c r="K171" s="61">
        <f>3.7116 * CHOOSE(CONTROL!$C$19, $C$6, 100%, $E$6)</f>
        <v>3.7115999999999998</v>
      </c>
    </row>
    <row r="172" spans="1:11" ht="15">
      <c r="A172" s="13">
        <v>47300</v>
      </c>
      <c r="B172" s="60">
        <f>3.5897 * CHOOSE(CONTROL!$C$19, $C$6, 100%, $E$6)</f>
        <v>3.5897000000000001</v>
      </c>
      <c r="C172" s="60">
        <f>3.5897 * CHOOSE(CONTROL!$C$19, $C$6, 100%, $E$6)</f>
        <v>3.5897000000000001</v>
      </c>
      <c r="D172" s="60">
        <f>3.6227 * CHOOSE(CONTROL!$C$19, $C$6, 100%, $E$6)</f>
        <v>3.6227</v>
      </c>
      <c r="E172" s="61">
        <f>3.8261 * CHOOSE(CONTROL!$C$19, $C$6, 100%, $E$6)</f>
        <v>3.8260999999999998</v>
      </c>
      <c r="F172" s="61">
        <f>3.8261 * CHOOSE(CONTROL!$C$19, $C$6, 100%, $E$6)</f>
        <v>3.8260999999999998</v>
      </c>
      <c r="G172" s="61">
        <f>3.8282 * CHOOSE(CONTROL!$C$19, $C$6, 100%, $E$6)</f>
        <v>3.8281999999999998</v>
      </c>
      <c r="H172" s="61">
        <f>5.846* CHOOSE(CONTROL!$C$19, $C$6, 100%, $E$6)</f>
        <v>5.8460000000000001</v>
      </c>
      <c r="I172" s="61">
        <f>5.848 * CHOOSE(CONTROL!$C$19, $C$6, 100%, $E$6)</f>
        <v>5.8479999999999999</v>
      </c>
      <c r="J172" s="61">
        <f>3.8261 * CHOOSE(CONTROL!$C$19, $C$6, 100%, $E$6)</f>
        <v>3.8260999999999998</v>
      </c>
      <c r="K172" s="61">
        <f>3.8282 * CHOOSE(CONTROL!$C$19, $C$6, 100%, $E$6)</f>
        <v>3.8281999999999998</v>
      </c>
    </row>
    <row r="173" spans="1:11" ht="15">
      <c r="A173" s="13">
        <v>47331</v>
      </c>
      <c r="B173" s="60">
        <f>3.5964 * CHOOSE(CONTROL!$C$19, $C$6, 100%, $E$6)</f>
        <v>3.5964</v>
      </c>
      <c r="C173" s="60">
        <f>3.5964 * CHOOSE(CONTROL!$C$19, $C$6, 100%, $E$6)</f>
        <v>3.5964</v>
      </c>
      <c r="D173" s="60">
        <f>3.6294 * CHOOSE(CONTROL!$C$19, $C$6, 100%, $E$6)</f>
        <v>3.6294</v>
      </c>
      <c r="E173" s="61">
        <f>3.7807 * CHOOSE(CONTROL!$C$19, $C$6, 100%, $E$6)</f>
        <v>3.7806999999999999</v>
      </c>
      <c r="F173" s="61">
        <f>3.7807 * CHOOSE(CONTROL!$C$19, $C$6, 100%, $E$6)</f>
        <v>3.7806999999999999</v>
      </c>
      <c r="G173" s="61">
        <f>3.7828 * CHOOSE(CONTROL!$C$19, $C$6, 100%, $E$6)</f>
        <v>3.7827999999999999</v>
      </c>
      <c r="H173" s="61">
        <f>5.8581* CHOOSE(CONTROL!$C$19, $C$6, 100%, $E$6)</f>
        <v>5.8581000000000003</v>
      </c>
      <c r="I173" s="61">
        <f>5.8602 * CHOOSE(CONTROL!$C$19, $C$6, 100%, $E$6)</f>
        <v>5.8601999999999999</v>
      </c>
      <c r="J173" s="61">
        <f>3.7807 * CHOOSE(CONTROL!$C$19, $C$6, 100%, $E$6)</f>
        <v>3.7806999999999999</v>
      </c>
      <c r="K173" s="61">
        <f>3.7828 * CHOOSE(CONTROL!$C$19, $C$6, 100%, $E$6)</f>
        <v>3.7827999999999999</v>
      </c>
    </row>
    <row r="174" spans="1:11" ht="15">
      <c r="A174" s="13">
        <v>47362</v>
      </c>
      <c r="B174" s="60">
        <f>3.5933 * CHOOSE(CONTROL!$C$19, $C$6, 100%, $E$6)</f>
        <v>3.5933000000000002</v>
      </c>
      <c r="C174" s="60">
        <f>3.5933 * CHOOSE(CONTROL!$C$19, $C$6, 100%, $E$6)</f>
        <v>3.5933000000000002</v>
      </c>
      <c r="D174" s="60">
        <f>3.6263 * CHOOSE(CONTROL!$C$19, $C$6, 100%, $E$6)</f>
        <v>3.6263000000000001</v>
      </c>
      <c r="E174" s="61">
        <f>3.773 * CHOOSE(CONTROL!$C$19, $C$6, 100%, $E$6)</f>
        <v>3.7730000000000001</v>
      </c>
      <c r="F174" s="61">
        <f>3.773 * CHOOSE(CONTROL!$C$19, $C$6, 100%, $E$6)</f>
        <v>3.7730000000000001</v>
      </c>
      <c r="G174" s="61">
        <f>3.7751 * CHOOSE(CONTROL!$C$19, $C$6, 100%, $E$6)</f>
        <v>3.7751000000000001</v>
      </c>
      <c r="H174" s="61">
        <f>5.8703* CHOOSE(CONTROL!$C$19, $C$6, 100%, $E$6)</f>
        <v>5.8703000000000003</v>
      </c>
      <c r="I174" s="61">
        <f>5.8724 * CHOOSE(CONTROL!$C$19, $C$6, 100%, $E$6)</f>
        <v>5.8723999999999998</v>
      </c>
      <c r="J174" s="61">
        <f>3.773 * CHOOSE(CONTROL!$C$19, $C$6, 100%, $E$6)</f>
        <v>3.7730000000000001</v>
      </c>
      <c r="K174" s="61">
        <f>3.7751 * CHOOSE(CONTROL!$C$19, $C$6, 100%, $E$6)</f>
        <v>3.7751000000000001</v>
      </c>
    </row>
    <row r="175" spans="1:11" ht="15">
      <c r="A175" s="13">
        <v>47392</v>
      </c>
      <c r="B175" s="60">
        <f>3.587 * CHOOSE(CONTROL!$C$19, $C$6, 100%, $E$6)</f>
        <v>3.5870000000000002</v>
      </c>
      <c r="C175" s="60">
        <f>3.587 * CHOOSE(CONTROL!$C$19, $C$6, 100%, $E$6)</f>
        <v>3.5870000000000002</v>
      </c>
      <c r="D175" s="60">
        <f>3.6035 * CHOOSE(CONTROL!$C$19, $C$6, 100%, $E$6)</f>
        <v>3.6034999999999999</v>
      </c>
      <c r="E175" s="61">
        <f>3.7819 * CHOOSE(CONTROL!$C$19, $C$6, 100%, $E$6)</f>
        <v>3.7818999999999998</v>
      </c>
      <c r="F175" s="61">
        <f>3.7819 * CHOOSE(CONTROL!$C$19, $C$6, 100%, $E$6)</f>
        <v>3.7818999999999998</v>
      </c>
      <c r="G175" s="61">
        <f>3.782 * CHOOSE(CONTROL!$C$19, $C$6, 100%, $E$6)</f>
        <v>3.782</v>
      </c>
      <c r="H175" s="61">
        <f>5.8826* CHOOSE(CONTROL!$C$19, $C$6, 100%, $E$6)</f>
        <v>5.8826000000000001</v>
      </c>
      <c r="I175" s="61">
        <f>5.8828 * CHOOSE(CONTROL!$C$19, $C$6, 100%, $E$6)</f>
        <v>5.8827999999999996</v>
      </c>
      <c r="J175" s="61">
        <f>3.7819 * CHOOSE(CONTROL!$C$19, $C$6, 100%, $E$6)</f>
        <v>3.7818999999999998</v>
      </c>
      <c r="K175" s="61">
        <f>3.782 * CHOOSE(CONTROL!$C$19, $C$6, 100%, $E$6)</f>
        <v>3.782</v>
      </c>
    </row>
    <row r="176" spans="1:11" ht="15">
      <c r="A176" s="13">
        <v>47423</v>
      </c>
      <c r="B176" s="60">
        <f>3.59 * CHOOSE(CONTROL!$C$19, $C$6, 100%, $E$6)</f>
        <v>3.59</v>
      </c>
      <c r="C176" s="60">
        <f>3.59 * CHOOSE(CONTROL!$C$19, $C$6, 100%, $E$6)</f>
        <v>3.59</v>
      </c>
      <c r="D176" s="60">
        <f>3.6065 * CHOOSE(CONTROL!$C$19, $C$6, 100%, $E$6)</f>
        <v>3.6065</v>
      </c>
      <c r="E176" s="61">
        <f>3.7951 * CHOOSE(CONTROL!$C$19, $C$6, 100%, $E$6)</f>
        <v>3.7951000000000001</v>
      </c>
      <c r="F176" s="61">
        <f>3.7951 * CHOOSE(CONTROL!$C$19, $C$6, 100%, $E$6)</f>
        <v>3.7951000000000001</v>
      </c>
      <c r="G176" s="61">
        <f>3.7953 * CHOOSE(CONTROL!$C$19, $C$6, 100%, $E$6)</f>
        <v>3.7953000000000001</v>
      </c>
      <c r="H176" s="61">
        <f>5.8948* CHOOSE(CONTROL!$C$19, $C$6, 100%, $E$6)</f>
        <v>5.8948</v>
      </c>
      <c r="I176" s="61">
        <f>5.895 * CHOOSE(CONTROL!$C$19, $C$6, 100%, $E$6)</f>
        <v>5.8949999999999996</v>
      </c>
      <c r="J176" s="61">
        <f>3.7951 * CHOOSE(CONTROL!$C$19, $C$6, 100%, $E$6)</f>
        <v>3.7951000000000001</v>
      </c>
      <c r="K176" s="61">
        <f>3.7953 * CHOOSE(CONTROL!$C$19, $C$6, 100%, $E$6)</f>
        <v>3.7953000000000001</v>
      </c>
    </row>
    <row r="177" spans="1:11" ht="15">
      <c r="A177" s="13">
        <v>47453</v>
      </c>
      <c r="B177" s="60">
        <f>3.59 * CHOOSE(CONTROL!$C$19, $C$6, 100%, $E$6)</f>
        <v>3.59</v>
      </c>
      <c r="C177" s="60">
        <f>3.59 * CHOOSE(CONTROL!$C$19, $C$6, 100%, $E$6)</f>
        <v>3.59</v>
      </c>
      <c r="D177" s="60">
        <f>3.6065 * CHOOSE(CONTROL!$C$19, $C$6, 100%, $E$6)</f>
        <v>3.6065</v>
      </c>
      <c r="E177" s="61">
        <f>3.7673 * CHOOSE(CONTROL!$C$19, $C$6, 100%, $E$6)</f>
        <v>3.7673000000000001</v>
      </c>
      <c r="F177" s="61">
        <f>3.7673 * CHOOSE(CONTROL!$C$19, $C$6, 100%, $E$6)</f>
        <v>3.7673000000000001</v>
      </c>
      <c r="G177" s="61">
        <f>3.7675 * CHOOSE(CONTROL!$C$19, $C$6, 100%, $E$6)</f>
        <v>3.7675000000000001</v>
      </c>
      <c r="H177" s="61">
        <f>5.9071* CHOOSE(CONTROL!$C$19, $C$6, 100%, $E$6)</f>
        <v>5.9070999999999998</v>
      </c>
      <c r="I177" s="61">
        <f>5.9073 * CHOOSE(CONTROL!$C$19, $C$6, 100%, $E$6)</f>
        <v>5.9073000000000002</v>
      </c>
      <c r="J177" s="61">
        <f>3.7673 * CHOOSE(CONTROL!$C$19, $C$6, 100%, $E$6)</f>
        <v>3.7673000000000001</v>
      </c>
      <c r="K177" s="61">
        <f>3.7675 * CHOOSE(CONTROL!$C$19, $C$6, 100%, $E$6)</f>
        <v>3.7675000000000001</v>
      </c>
    </row>
    <row r="178" spans="1:11" ht="15">
      <c r="A178" s="13">
        <v>47484</v>
      </c>
      <c r="B178" s="60">
        <f>3.6254 * CHOOSE(CONTROL!$C$19, $C$6, 100%, $E$6)</f>
        <v>3.6254</v>
      </c>
      <c r="C178" s="60">
        <f>3.6254 * CHOOSE(CONTROL!$C$19, $C$6, 100%, $E$6)</f>
        <v>3.6254</v>
      </c>
      <c r="D178" s="60">
        <f>3.6419 * CHOOSE(CONTROL!$C$19, $C$6, 100%, $E$6)</f>
        <v>3.6419000000000001</v>
      </c>
      <c r="E178" s="61">
        <f>3.8175 * CHOOSE(CONTROL!$C$19, $C$6, 100%, $E$6)</f>
        <v>3.8174999999999999</v>
      </c>
      <c r="F178" s="61">
        <f>3.8175 * CHOOSE(CONTROL!$C$19, $C$6, 100%, $E$6)</f>
        <v>3.8174999999999999</v>
      </c>
      <c r="G178" s="61">
        <f>3.8177 * CHOOSE(CONTROL!$C$19, $C$6, 100%, $E$6)</f>
        <v>3.8176999999999999</v>
      </c>
      <c r="H178" s="61">
        <f>5.9194* CHOOSE(CONTROL!$C$19, $C$6, 100%, $E$6)</f>
        <v>5.9194000000000004</v>
      </c>
      <c r="I178" s="61">
        <f>5.9196 * CHOOSE(CONTROL!$C$19, $C$6, 100%, $E$6)</f>
        <v>5.9196</v>
      </c>
      <c r="J178" s="61">
        <f>3.8175 * CHOOSE(CONTROL!$C$19, $C$6, 100%, $E$6)</f>
        <v>3.8174999999999999</v>
      </c>
      <c r="K178" s="61">
        <f>3.8177 * CHOOSE(CONTROL!$C$19, $C$6, 100%, $E$6)</f>
        <v>3.8176999999999999</v>
      </c>
    </row>
    <row r="179" spans="1:11" ht="15">
      <c r="A179" s="13">
        <v>47515</v>
      </c>
      <c r="B179" s="60">
        <f>3.6224 * CHOOSE(CONTROL!$C$19, $C$6, 100%, $E$6)</f>
        <v>3.6223999999999998</v>
      </c>
      <c r="C179" s="60">
        <f>3.6224 * CHOOSE(CONTROL!$C$19, $C$6, 100%, $E$6)</f>
        <v>3.6223999999999998</v>
      </c>
      <c r="D179" s="60">
        <f>3.6389 * CHOOSE(CONTROL!$C$19, $C$6, 100%, $E$6)</f>
        <v>3.6389</v>
      </c>
      <c r="E179" s="61">
        <f>3.7611 * CHOOSE(CONTROL!$C$19, $C$6, 100%, $E$6)</f>
        <v>3.7610999999999999</v>
      </c>
      <c r="F179" s="61">
        <f>3.7611 * CHOOSE(CONTROL!$C$19, $C$6, 100%, $E$6)</f>
        <v>3.7610999999999999</v>
      </c>
      <c r="G179" s="61">
        <f>3.7612 * CHOOSE(CONTROL!$C$19, $C$6, 100%, $E$6)</f>
        <v>3.7612000000000001</v>
      </c>
      <c r="H179" s="61">
        <f>5.9318* CHOOSE(CONTROL!$C$19, $C$6, 100%, $E$6)</f>
        <v>5.9318</v>
      </c>
      <c r="I179" s="61">
        <f>5.9319 * CHOOSE(CONTROL!$C$19, $C$6, 100%, $E$6)</f>
        <v>5.9318999999999997</v>
      </c>
      <c r="J179" s="61">
        <f>3.7611 * CHOOSE(CONTROL!$C$19, $C$6, 100%, $E$6)</f>
        <v>3.7610999999999999</v>
      </c>
      <c r="K179" s="61">
        <f>3.7612 * CHOOSE(CONTROL!$C$19, $C$6, 100%, $E$6)</f>
        <v>3.7612000000000001</v>
      </c>
    </row>
    <row r="180" spans="1:11" ht="15">
      <c r="A180" s="13">
        <v>47543</v>
      </c>
      <c r="B180" s="60">
        <f>3.6193 * CHOOSE(CONTROL!$C$19, $C$6, 100%, $E$6)</f>
        <v>3.6193</v>
      </c>
      <c r="C180" s="60">
        <f>3.6193 * CHOOSE(CONTROL!$C$19, $C$6, 100%, $E$6)</f>
        <v>3.6193</v>
      </c>
      <c r="D180" s="60">
        <f>3.6358 * CHOOSE(CONTROL!$C$19, $C$6, 100%, $E$6)</f>
        <v>3.6358000000000001</v>
      </c>
      <c r="E180" s="61">
        <f>3.8018 * CHOOSE(CONTROL!$C$19, $C$6, 100%, $E$6)</f>
        <v>3.8018000000000001</v>
      </c>
      <c r="F180" s="61">
        <f>3.8018 * CHOOSE(CONTROL!$C$19, $C$6, 100%, $E$6)</f>
        <v>3.8018000000000001</v>
      </c>
      <c r="G180" s="61">
        <f>3.802 * CHOOSE(CONTROL!$C$19, $C$6, 100%, $E$6)</f>
        <v>3.802</v>
      </c>
      <c r="H180" s="61">
        <f>5.9441* CHOOSE(CONTROL!$C$19, $C$6, 100%, $E$6)</f>
        <v>5.9440999999999997</v>
      </c>
      <c r="I180" s="61">
        <f>5.9443 * CHOOSE(CONTROL!$C$19, $C$6, 100%, $E$6)</f>
        <v>5.9443000000000001</v>
      </c>
      <c r="J180" s="61">
        <f>3.8018 * CHOOSE(CONTROL!$C$19, $C$6, 100%, $E$6)</f>
        <v>3.8018000000000001</v>
      </c>
      <c r="K180" s="61">
        <f>3.802 * CHOOSE(CONTROL!$C$19, $C$6, 100%, $E$6)</f>
        <v>3.802</v>
      </c>
    </row>
    <row r="181" spans="1:11" ht="15">
      <c r="A181" s="13">
        <v>47574</v>
      </c>
      <c r="B181" s="60">
        <f>3.6166 * CHOOSE(CONTROL!$C$19, $C$6, 100%, $E$6)</f>
        <v>3.6166</v>
      </c>
      <c r="C181" s="60">
        <f>3.6166 * CHOOSE(CONTROL!$C$19, $C$6, 100%, $E$6)</f>
        <v>3.6166</v>
      </c>
      <c r="D181" s="60">
        <f>3.6331 * CHOOSE(CONTROL!$C$19, $C$6, 100%, $E$6)</f>
        <v>3.6331000000000002</v>
      </c>
      <c r="E181" s="61">
        <f>3.8436 * CHOOSE(CONTROL!$C$19, $C$6, 100%, $E$6)</f>
        <v>3.8435999999999999</v>
      </c>
      <c r="F181" s="61">
        <f>3.8436 * CHOOSE(CONTROL!$C$19, $C$6, 100%, $E$6)</f>
        <v>3.8435999999999999</v>
      </c>
      <c r="G181" s="61">
        <f>3.8437 * CHOOSE(CONTROL!$C$19, $C$6, 100%, $E$6)</f>
        <v>3.8437000000000001</v>
      </c>
      <c r="H181" s="61">
        <f>5.9565* CHOOSE(CONTROL!$C$19, $C$6, 100%, $E$6)</f>
        <v>5.9565000000000001</v>
      </c>
      <c r="I181" s="61">
        <f>5.9567 * CHOOSE(CONTROL!$C$19, $C$6, 100%, $E$6)</f>
        <v>5.9566999999999997</v>
      </c>
      <c r="J181" s="61">
        <f>3.8436 * CHOOSE(CONTROL!$C$19, $C$6, 100%, $E$6)</f>
        <v>3.8435999999999999</v>
      </c>
      <c r="K181" s="61">
        <f>3.8437 * CHOOSE(CONTROL!$C$19, $C$6, 100%, $E$6)</f>
        <v>3.8437000000000001</v>
      </c>
    </row>
    <row r="182" spans="1:11" ht="15">
      <c r="A182" s="13">
        <v>47604</v>
      </c>
      <c r="B182" s="60">
        <f>3.6166 * CHOOSE(CONTROL!$C$19, $C$6, 100%, $E$6)</f>
        <v>3.6166</v>
      </c>
      <c r="C182" s="60">
        <f>3.6166 * CHOOSE(CONTROL!$C$19, $C$6, 100%, $E$6)</f>
        <v>3.6166</v>
      </c>
      <c r="D182" s="60">
        <f>3.6496 * CHOOSE(CONTROL!$C$19, $C$6, 100%, $E$6)</f>
        <v>3.6496</v>
      </c>
      <c r="E182" s="61">
        <f>3.8608 * CHOOSE(CONTROL!$C$19, $C$6, 100%, $E$6)</f>
        <v>3.8607999999999998</v>
      </c>
      <c r="F182" s="61">
        <f>3.8608 * CHOOSE(CONTROL!$C$19, $C$6, 100%, $E$6)</f>
        <v>3.8607999999999998</v>
      </c>
      <c r="G182" s="61">
        <f>3.8629 * CHOOSE(CONTROL!$C$19, $C$6, 100%, $E$6)</f>
        <v>3.8628999999999998</v>
      </c>
      <c r="H182" s="61">
        <f>5.9689* CHOOSE(CONTROL!$C$19, $C$6, 100%, $E$6)</f>
        <v>5.9688999999999997</v>
      </c>
      <c r="I182" s="61">
        <f>5.971 * CHOOSE(CONTROL!$C$19, $C$6, 100%, $E$6)</f>
        <v>5.9710000000000001</v>
      </c>
      <c r="J182" s="61">
        <f>3.8608 * CHOOSE(CONTROL!$C$19, $C$6, 100%, $E$6)</f>
        <v>3.8607999999999998</v>
      </c>
      <c r="K182" s="61">
        <f>3.8629 * CHOOSE(CONTROL!$C$19, $C$6, 100%, $E$6)</f>
        <v>3.8628999999999998</v>
      </c>
    </row>
    <row r="183" spans="1:11" ht="15">
      <c r="A183" s="13">
        <v>47635</v>
      </c>
      <c r="B183" s="60">
        <f>3.6227 * CHOOSE(CONTROL!$C$19, $C$6, 100%, $E$6)</f>
        <v>3.6227</v>
      </c>
      <c r="C183" s="60">
        <f>3.6227 * CHOOSE(CONTROL!$C$19, $C$6, 100%, $E$6)</f>
        <v>3.6227</v>
      </c>
      <c r="D183" s="60">
        <f>3.6557 * CHOOSE(CONTROL!$C$19, $C$6, 100%, $E$6)</f>
        <v>3.6556999999999999</v>
      </c>
      <c r="E183" s="61">
        <f>3.8478 * CHOOSE(CONTROL!$C$19, $C$6, 100%, $E$6)</f>
        <v>3.8477999999999999</v>
      </c>
      <c r="F183" s="61">
        <f>3.8478 * CHOOSE(CONTROL!$C$19, $C$6, 100%, $E$6)</f>
        <v>3.8477999999999999</v>
      </c>
      <c r="G183" s="61">
        <f>3.8499 * CHOOSE(CONTROL!$C$19, $C$6, 100%, $E$6)</f>
        <v>3.8498999999999999</v>
      </c>
      <c r="H183" s="61">
        <f>5.9813* CHOOSE(CONTROL!$C$19, $C$6, 100%, $E$6)</f>
        <v>5.9813000000000001</v>
      </c>
      <c r="I183" s="61">
        <f>5.9834 * CHOOSE(CONTROL!$C$19, $C$6, 100%, $E$6)</f>
        <v>5.9833999999999996</v>
      </c>
      <c r="J183" s="61">
        <f>3.8478 * CHOOSE(CONTROL!$C$19, $C$6, 100%, $E$6)</f>
        <v>3.8477999999999999</v>
      </c>
      <c r="K183" s="61">
        <f>3.8499 * CHOOSE(CONTROL!$C$19, $C$6, 100%, $E$6)</f>
        <v>3.8498999999999999</v>
      </c>
    </row>
    <row r="184" spans="1:11" ht="15">
      <c r="A184" s="13">
        <v>47665</v>
      </c>
      <c r="B184" s="60">
        <f>3.6908 * CHOOSE(CONTROL!$C$19, $C$6, 100%, $E$6)</f>
        <v>3.6907999999999999</v>
      </c>
      <c r="C184" s="60">
        <f>3.6908 * CHOOSE(CONTROL!$C$19, $C$6, 100%, $E$6)</f>
        <v>3.6907999999999999</v>
      </c>
      <c r="D184" s="60">
        <f>3.7238 * CHOOSE(CONTROL!$C$19, $C$6, 100%, $E$6)</f>
        <v>3.7238000000000002</v>
      </c>
      <c r="E184" s="61">
        <f>3.9043 * CHOOSE(CONTROL!$C$19, $C$6, 100%, $E$6)</f>
        <v>3.9043000000000001</v>
      </c>
      <c r="F184" s="61">
        <f>3.9043 * CHOOSE(CONTROL!$C$19, $C$6, 100%, $E$6)</f>
        <v>3.9043000000000001</v>
      </c>
      <c r="G184" s="61">
        <f>3.9063 * CHOOSE(CONTROL!$C$19, $C$6, 100%, $E$6)</f>
        <v>3.9062999999999999</v>
      </c>
      <c r="H184" s="61">
        <f>5.9938* CHOOSE(CONTROL!$C$19, $C$6, 100%, $E$6)</f>
        <v>5.9938000000000002</v>
      </c>
      <c r="I184" s="61">
        <f>5.9959 * CHOOSE(CONTROL!$C$19, $C$6, 100%, $E$6)</f>
        <v>5.9958999999999998</v>
      </c>
      <c r="J184" s="61">
        <f>3.9043 * CHOOSE(CONTROL!$C$19, $C$6, 100%, $E$6)</f>
        <v>3.9043000000000001</v>
      </c>
      <c r="K184" s="61">
        <f>3.9063 * CHOOSE(CONTROL!$C$19, $C$6, 100%, $E$6)</f>
        <v>3.9062999999999999</v>
      </c>
    </row>
    <row r="185" spans="1:11" ht="15">
      <c r="A185" s="13">
        <v>47696</v>
      </c>
      <c r="B185" s="60">
        <f>3.6975 * CHOOSE(CONTROL!$C$19, $C$6, 100%, $E$6)</f>
        <v>3.6974999999999998</v>
      </c>
      <c r="C185" s="60">
        <f>3.6975 * CHOOSE(CONTROL!$C$19, $C$6, 100%, $E$6)</f>
        <v>3.6974999999999998</v>
      </c>
      <c r="D185" s="60">
        <f>3.7305 * CHOOSE(CONTROL!$C$19, $C$6, 100%, $E$6)</f>
        <v>3.7305000000000001</v>
      </c>
      <c r="E185" s="61">
        <f>3.8572 * CHOOSE(CONTROL!$C$19, $C$6, 100%, $E$6)</f>
        <v>3.8572000000000002</v>
      </c>
      <c r="F185" s="61">
        <f>3.8572 * CHOOSE(CONTROL!$C$19, $C$6, 100%, $E$6)</f>
        <v>3.8572000000000002</v>
      </c>
      <c r="G185" s="61">
        <f>3.8592 * CHOOSE(CONTROL!$C$19, $C$6, 100%, $E$6)</f>
        <v>3.8592</v>
      </c>
      <c r="H185" s="61">
        <f>6.0063* CHOOSE(CONTROL!$C$19, $C$6, 100%, $E$6)</f>
        <v>6.0063000000000004</v>
      </c>
      <c r="I185" s="61">
        <f>6.0083 * CHOOSE(CONTROL!$C$19, $C$6, 100%, $E$6)</f>
        <v>6.0083000000000002</v>
      </c>
      <c r="J185" s="61">
        <f>3.8572 * CHOOSE(CONTROL!$C$19, $C$6, 100%, $E$6)</f>
        <v>3.8572000000000002</v>
      </c>
      <c r="K185" s="61">
        <f>3.8592 * CHOOSE(CONTROL!$C$19, $C$6, 100%, $E$6)</f>
        <v>3.8592</v>
      </c>
    </row>
    <row r="186" spans="1:11" ht="15">
      <c r="A186" s="13">
        <v>47727</v>
      </c>
      <c r="B186" s="60">
        <f>3.6945 * CHOOSE(CONTROL!$C$19, $C$6, 100%, $E$6)</f>
        <v>3.6945000000000001</v>
      </c>
      <c r="C186" s="60">
        <f>3.6945 * CHOOSE(CONTROL!$C$19, $C$6, 100%, $E$6)</f>
        <v>3.6945000000000001</v>
      </c>
      <c r="D186" s="60">
        <f>3.7275 * CHOOSE(CONTROL!$C$19, $C$6, 100%, $E$6)</f>
        <v>3.7275</v>
      </c>
      <c r="E186" s="61">
        <f>3.8493 * CHOOSE(CONTROL!$C$19, $C$6, 100%, $E$6)</f>
        <v>3.8492999999999999</v>
      </c>
      <c r="F186" s="61">
        <f>3.8493 * CHOOSE(CONTROL!$C$19, $C$6, 100%, $E$6)</f>
        <v>3.8492999999999999</v>
      </c>
      <c r="G186" s="61">
        <f>3.8514 * CHOOSE(CONTROL!$C$19, $C$6, 100%, $E$6)</f>
        <v>3.8513999999999999</v>
      </c>
      <c r="H186" s="61">
        <f>6.0188* CHOOSE(CONTROL!$C$19, $C$6, 100%, $E$6)</f>
        <v>6.0187999999999997</v>
      </c>
      <c r="I186" s="61">
        <f>6.0209 * CHOOSE(CONTROL!$C$19, $C$6, 100%, $E$6)</f>
        <v>6.0209000000000001</v>
      </c>
      <c r="J186" s="61">
        <f>3.8493 * CHOOSE(CONTROL!$C$19, $C$6, 100%, $E$6)</f>
        <v>3.8492999999999999</v>
      </c>
      <c r="K186" s="61">
        <f>3.8514 * CHOOSE(CONTROL!$C$19, $C$6, 100%, $E$6)</f>
        <v>3.8513999999999999</v>
      </c>
    </row>
    <row r="187" spans="1:11" ht="15">
      <c r="A187" s="13">
        <v>47757</v>
      </c>
      <c r="B187" s="60">
        <f>3.6884 * CHOOSE(CONTROL!$C$19, $C$6, 100%, $E$6)</f>
        <v>3.6884000000000001</v>
      </c>
      <c r="C187" s="60">
        <f>3.6884 * CHOOSE(CONTROL!$C$19, $C$6, 100%, $E$6)</f>
        <v>3.6884000000000001</v>
      </c>
      <c r="D187" s="60">
        <f>3.7049 * CHOOSE(CONTROL!$C$19, $C$6, 100%, $E$6)</f>
        <v>3.7048999999999999</v>
      </c>
      <c r="E187" s="61">
        <f>3.8589 * CHOOSE(CONTROL!$C$19, $C$6, 100%, $E$6)</f>
        <v>3.8589000000000002</v>
      </c>
      <c r="F187" s="61">
        <f>3.8589 * CHOOSE(CONTROL!$C$19, $C$6, 100%, $E$6)</f>
        <v>3.8589000000000002</v>
      </c>
      <c r="G187" s="61">
        <f>3.8591 * CHOOSE(CONTROL!$C$19, $C$6, 100%, $E$6)</f>
        <v>3.8591000000000002</v>
      </c>
      <c r="H187" s="61">
        <f>6.0313* CHOOSE(CONTROL!$C$19, $C$6, 100%, $E$6)</f>
        <v>6.0312999999999999</v>
      </c>
      <c r="I187" s="61">
        <f>6.0315 * CHOOSE(CONTROL!$C$19, $C$6, 100%, $E$6)</f>
        <v>6.0315000000000003</v>
      </c>
      <c r="J187" s="61">
        <f>3.8589 * CHOOSE(CONTROL!$C$19, $C$6, 100%, $E$6)</f>
        <v>3.8589000000000002</v>
      </c>
      <c r="K187" s="61">
        <f>3.8591 * CHOOSE(CONTROL!$C$19, $C$6, 100%, $E$6)</f>
        <v>3.8591000000000002</v>
      </c>
    </row>
    <row r="188" spans="1:11" ht="15">
      <c r="A188" s="13">
        <v>47788</v>
      </c>
      <c r="B188" s="60">
        <f>3.6915 * CHOOSE(CONTROL!$C$19, $C$6, 100%, $E$6)</f>
        <v>3.6915</v>
      </c>
      <c r="C188" s="60">
        <f>3.6915 * CHOOSE(CONTROL!$C$19, $C$6, 100%, $E$6)</f>
        <v>3.6915</v>
      </c>
      <c r="D188" s="60">
        <f>3.708 * CHOOSE(CONTROL!$C$19, $C$6, 100%, $E$6)</f>
        <v>3.7080000000000002</v>
      </c>
      <c r="E188" s="61">
        <f>3.8725 * CHOOSE(CONTROL!$C$19, $C$6, 100%, $E$6)</f>
        <v>3.8725000000000001</v>
      </c>
      <c r="F188" s="61">
        <f>3.8725 * CHOOSE(CONTROL!$C$19, $C$6, 100%, $E$6)</f>
        <v>3.8725000000000001</v>
      </c>
      <c r="G188" s="61">
        <f>3.8727 * CHOOSE(CONTROL!$C$19, $C$6, 100%, $E$6)</f>
        <v>3.8727</v>
      </c>
      <c r="H188" s="61">
        <f>6.0439* CHOOSE(CONTROL!$C$19, $C$6, 100%, $E$6)</f>
        <v>6.0438999999999998</v>
      </c>
      <c r="I188" s="61">
        <f>6.0441 * CHOOSE(CONTROL!$C$19, $C$6, 100%, $E$6)</f>
        <v>6.0441000000000003</v>
      </c>
      <c r="J188" s="61">
        <f>3.8725 * CHOOSE(CONTROL!$C$19, $C$6, 100%, $E$6)</f>
        <v>3.8725000000000001</v>
      </c>
      <c r="K188" s="61">
        <f>3.8727 * CHOOSE(CONTROL!$C$19, $C$6, 100%, $E$6)</f>
        <v>3.8727</v>
      </c>
    </row>
    <row r="189" spans="1:11" ht="15">
      <c r="A189" s="13">
        <v>47818</v>
      </c>
      <c r="B189" s="60">
        <f>3.6915 * CHOOSE(CONTROL!$C$19, $C$6, 100%, $E$6)</f>
        <v>3.6915</v>
      </c>
      <c r="C189" s="60">
        <f>3.6915 * CHOOSE(CONTROL!$C$19, $C$6, 100%, $E$6)</f>
        <v>3.6915</v>
      </c>
      <c r="D189" s="60">
        <f>3.708 * CHOOSE(CONTROL!$C$19, $C$6, 100%, $E$6)</f>
        <v>3.7080000000000002</v>
      </c>
      <c r="E189" s="61">
        <f>3.8438 * CHOOSE(CONTROL!$C$19, $C$6, 100%, $E$6)</f>
        <v>3.8437999999999999</v>
      </c>
      <c r="F189" s="61">
        <f>3.8438 * CHOOSE(CONTROL!$C$19, $C$6, 100%, $E$6)</f>
        <v>3.8437999999999999</v>
      </c>
      <c r="G189" s="61">
        <f>3.8439 * CHOOSE(CONTROL!$C$19, $C$6, 100%, $E$6)</f>
        <v>3.8439000000000001</v>
      </c>
      <c r="H189" s="61">
        <f>6.0565* CHOOSE(CONTROL!$C$19, $C$6, 100%, $E$6)</f>
        <v>6.0564999999999998</v>
      </c>
      <c r="I189" s="61">
        <f>6.0567 * CHOOSE(CONTROL!$C$19, $C$6, 100%, $E$6)</f>
        <v>6.0567000000000002</v>
      </c>
      <c r="J189" s="61">
        <f>3.8438 * CHOOSE(CONTROL!$C$19, $C$6, 100%, $E$6)</f>
        <v>3.8437999999999999</v>
      </c>
      <c r="K189" s="61">
        <f>3.8439 * CHOOSE(CONTROL!$C$19, $C$6, 100%, $E$6)</f>
        <v>3.8439000000000001</v>
      </c>
    </row>
    <row r="190" spans="1:11" ht="15">
      <c r="A190" s="13">
        <v>47849</v>
      </c>
      <c r="B190" s="60">
        <f>3.7181 * CHOOSE(CONTROL!$C$19, $C$6, 100%, $E$6)</f>
        <v>3.7181000000000002</v>
      </c>
      <c r="C190" s="60">
        <f>3.7181 * CHOOSE(CONTROL!$C$19, $C$6, 100%, $E$6)</f>
        <v>3.7181000000000002</v>
      </c>
      <c r="D190" s="60">
        <f>3.7346 * CHOOSE(CONTROL!$C$19, $C$6, 100%, $E$6)</f>
        <v>3.7345999999999999</v>
      </c>
      <c r="E190" s="61">
        <f>3.9078 * CHOOSE(CONTROL!$C$19, $C$6, 100%, $E$6)</f>
        <v>3.9077999999999999</v>
      </c>
      <c r="F190" s="61">
        <f>3.9078 * CHOOSE(CONTROL!$C$19, $C$6, 100%, $E$6)</f>
        <v>3.9077999999999999</v>
      </c>
      <c r="G190" s="61">
        <f>3.908 * CHOOSE(CONTROL!$C$19, $C$6, 100%, $E$6)</f>
        <v>3.9079999999999999</v>
      </c>
      <c r="H190" s="61">
        <f>6.0691* CHOOSE(CONTROL!$C$19, $C$6, 100%, $E$6)</f>
        <v>6.0690999999999997</v>
      </c>
      <c r="I190" s="61">
        <f>6.0693 * CHOOSE(CONTROL!$C$19, $C$6, 100%, $E$6)</f>
        <v>6.0693000000000001</v>
      </c>
      <c r="J190" s="61">
        <f>3.9078 * CHOOSE(CONTROL!$C$19, $C$6, 100%, $E$6)</f>
        <v>3.9077999999999999</v>
      </c>
      <c r="K190" s="61">
        <f>3.908 * CHOOSE(CONTROL!$C$19, $C$6, 100%, $E$6)</f>
        <v>3.9079999999999999</v>
      </c>
    </row>
    <row r="191" spans="1:11" ht="15">
      <c r="A191" s="13">
        <v>47880</v>
      </c>
      <c r="B191" s="60">
        <f>3.715 * CHOOSE(CONTROL!$C$19, $C$6, 100%, $E$6)</f>
        <v>3.7149999999999999</v>
      </c>
      <c r="C191" s="60">
        <f>3.715 * CHOOSE(CONTROL!$C$19, $C$6, 100%, $E$6)</f>
        <v>3.7149999999999999</v>
      </c>
      <c r="D191" s="60">
        <f>3.7316 * CHOOSE(CONTROL!$C$19, $C$6, 100%, $E$6)</f>
        <v>3.7315999999999998</v>
      </c>
      <c r="E191" s="61">
        <f>3.8497 * CHOOSE(CONTROL!$C$19, $C$6, 100%, $E$6)</f>
        <v>3.8496999999999999</v>
      </c>
      <c r="F191" s="61">
        <f>3.8497 * CHOOSE(CONTROL!$C$19, $C$6, 100%, $E$6)</f>
        <v>3.8496999999999999</v>
      </c>
      <c r="G191" s="61">
        <f>3.8498 * CHOOSE(CONTROL!$C$19, $C$6, 100%, $E$6)</f>
        <v>3.8498000000000001</v>
      </c>
      <c r="H191" s="61">
        <f>6.0818* CHOOSE(CONTROL!$C$19, $C$6, 100%, $E$6)</f>
        <v>6.0818000000000003</v>
      </c>
      <c r="I191" s="61">
        <f>6.0819 * CHOOSE(CONTROL!$C$19, $C$6, 100%, $E$6)</f>
        <v>6.0819000000000001</v>
      </c>
      <c r="J191" s="61">
        <f>3.8497 * CHOOSE(CONTROL!$C$19, $C$6, 100%, $E$6)</f>
        <v>3.8496999999999999</v>
      </c>
      <c r="K191" s="61">
        <f>3.8498 * CHOOSE(CONTROL!$C$19, $C$6, 100%, $E$6)</f>
        <v>3.8498000000000001</v>
      </c>
    </row>
    <row r="192" spans="1:11" ht="15">
      <c r="A192" s="13">
        <v>47908</v>
      </c>
      <c r="B192" s="60">
        <f>3.712 * CHOOSE(CONTROL!$C$19, $C$6, 100%, $E$6)</f>
        <v>3.7120000000000002</v>
      </c>
      <c r="C192" s="60">
        <f>3.712 * CHOOSE(CONTROL!$C$19, $C$6, 100%, $E$6)</f>
        <v>3.7120000000000002</v>
      </c>
      <c r="D192" s="60">
        <f>3.7285 * CHOOSE(CONTROL!$C$19, $C$6, 100%, $E$6)</f>
        <v>3.7284999999999999</v>
      </c>
      <c r="E192" s="61">
        <f>3.8917 * CHOOSE(CONTROL!$C$19, $C$6, 100%, $E$6)</f>
        <v>3.8917000000000002</v>
      </c>
      <c r="F192" s="61">
        <f>3.8917 * CHOOSE(CONTROL!$C$19, $C$6, 100%, $E$6)</f>
        <v>3.8917000000000002</v>
      </c>
      <c r="G192" s="61">
        <f>3.8919 * CHOOSE(CONTROL!$C$19, $C$6, 100%, $E$6)</f>
        <v>3.8919000000000001</v>
      </c>
      <c r="H192" s="61">
        <f>6.0944* CHOOSE(CONTROL!$C$19, $C$6, 100%, $E$6)</f>
        <v>6.0944000000000003</v>
      </c>
      <c r="I192" s="61">
        <f>6.0946 * CHOOSE(CONTROL!$C$19, $C$6, 100%, $E$6)</f>
        <v>6.0945999999999998</v>
      </c>
      <c r="J192" s="61">
        <f>3.8917 * CHOOSE(CONTROL!$C$19, $C$6, 100%, $E$6)</f>
        <v>3.8917000000000002</v>
      </c>
      <c r="K192" s="61">
        <f>3.8919 * CHOOSE(CONTROL!$C$19, $C$6, 100%, $E$6)</f>
        <v>3.8919000000000001</v>
      </c>
    </row>
    <row r="193" spans="1:11" ht="15">
      <c r="A193" s="13">
        <v>47939</v>
      </c>
      <c r="B193" s="60">
        <f>3.7094 * CHOOSE(CONTROL!$C$19, $C$6, 100%, $E$6)</f>
        <v>3.7094</v>
      </c>
      <c r="C193" s="60">
        <f>3.7094 * CHOOSE(CONTROL!$C$19, $C$6, 100%, $E$6)</f>
        <v>3.7094</v>
      </c>
      <c r="D193" s="60">
        <f>3.7259 * CHOOSE(CONTROL!$C$19, $C$6, 100%, $E$6)</f>
        <v>3.7259000000000002</v>
      </c>
      <c r="E193" s="61">
        <f>3.9349 * CHOOSE(CONTROL!$C$19, $C$6, 100%, $E$6)</f>
        <v>3.9348999999999998</v>
      </c>
      <c r="F193" s="61">
        <f>3.9349 * CHOOSE(CONTROL!$C$19, $C$6, 100%, $E$6)</f>
        <v>3.9348999999999998</v>
      </c>
      <c r="G193" s="61">
        <f>3.9351 * CHOOSE(CONTROL!$C$19, $C$6, 100%, $E$6)</f>
        <v>3.9350999999999998</v>
      </c>
      <c r="H193" s="61">
        <f>6.1071* CHOOSE(CONTROL!$C$19, $C$6, 100%, $E$6)</f>
        <v>6.1071</v>
      </c>
      <c r="I193" s="61">
        <f>6.1073 * CHOOSE(CONTROL!$C$19, $C$6, 100%, $E$6)</f>
        <v>6.1073000000000004</v>
      </c>
      <c r="J193" s="61">
        <f>3.9349 * CHOOSE(CONTROL!$C$19, $C$6, 100%, $E$6)</f>
        <v>3.9348999999999998</v>
      </c>
      <c r="K193" s="61">
        <f>3.9351 * CHOOSE(CONTROL!$C$19, $C$6, 100%, $E$6)</f>
        <v>3.9350999999999998</v>
      </c>
    </row>
    <row r="194" spans="1:11" ht="15">
      <c r="A194" s="13">
        <v>47969</v>
      </c>
      <c r="B194" s="60">
        <f>3.7094 * CHOOSE(CONTROL!$C$19, $C$6, 100%, $E$6)</f>
        <v>3.7094</v>
      </c>
      <c r="C194" s="60">
        <f>3.7094 * CHOOSE(CONTROL!$C$19, $C$6, 100%, $E$6)</f>
        <v>3.7094</v>
      </c>
      <c r="D194" s="60">
        <f>3.7424 * CHOOSE(CONTROL!$C$19, $C$6, 100%, $E$6)</f>
        <v>3.7423999999999999</v>
      </c>
      <c r="E194" s="61">
        <f>3.9527 * CHOOSE(CONTROL!$C$19, $C$6, 100%, $E$6)</f>
        <v>3.9527000000000001</v>
      </c>
      <c r="F194" s="61">
        <f>3.9527 * CHOOSE(CONTROL!$C$19, $C$6, 100%, $E$6)</f>
        <v>3.9527000000000001</v>
      </c>
      <c r="G194" s="61">
        <f>3.9548 * CHOOSE(CONTROL!$C$19, $C$6, 100%, $E$6)</f>
        <v>3.9548000000000001</v>
      </c>
      <c r="H194" s="61">
        <f>6.1198* CHOOSE(CONTROL!$C$19, $C$6, 100%, $E$6)</f>
        <v>6.1197999999999997</v>
      </c>
      <c r="I194" s="61">
        <f>6.1219 * CHOOSE(CONTROL!$C$19, $C$6, 100%, $E$6)</f>
        <v>6.1219000000000001</v>
      </c>
      <c r="J194" s="61">
        <f>3.9527 * CHOOSE(CONTROL!$C$19, $C$6, 100%, $E$6)</f>
        <v>3.9527000000000001</v>
      </c>
      <c r="K194" s="61">
        <f>3.9548 * CHOOSE(CONTROL!$C$19, $C$6, 100%, $E$6)</f>
        <v>3.9548000000000001</v>
      </c>
    </row>
    <row r="195" spans="1:11" ht="15">
      <c r="A195" s="13">
        <v>48000</v>
      </c>
      <c r="B195" s="60">
        <f>3.7155 * CHOOSE(CONTROL!$C$19, $C$6, 100%, $E$6)</f>
        <v>3.7155</v>
      </c>
      <c r="C195" s="60">
        <f>3.7155 * CHOOSE(CONTROL!$C$19, $C$6, 100%, $E$6)</f>
        <v>3.7155</v>
      </c>
      <c r="D195" s="60">
        <f>3.7485 * CHOOSE(CONTROL!$C$19, $C$6, 100%, $E$6)</f>
        <v>3.7484999999999999</v>
      </c>
      <c r="E195" s="61">
        <f>3.9392 * CHOOSE(CONTROL!$C$19, $C$6, 100%, $E$6)</f>
        <v>3.9392</v>
      </c>
      <c r="F195" s="61">
        <f>3.9392 * CHOOSE(CONTROL!$C$19, $C$6, 100%, $E$6)</f>
        <v>3.9392</v>
      </c>
      <c r="G195" s="61">
        <f>3.9412 * CHOOSE(CONTROL!$C$19, $C$6, 100%, $E$6)</f>
        <v>3.9411999999999998</v>
      </c>
      <c r="H195" s="61">
        <f>6.1326* CHOOSE(CONTROL!$C$19, $C$6, 100%, $E$6)</f>
        <v>6.1326000000000001</v>
      </c>
      <c r="I195" s="61">
        <f>6.1347 * CHOOSE(CONTROL!$C$19, $C$6, 100%, $E$6)</f>
        <v>6.1346999999999996</v>
      </c>
      <c r="J195" s="61">
        <f>3.9392 * CHOOSE(CONTROL!$C$19, $C$6, 100%, $E$6)</f>
        <v>3.9392</v>
      </c>
      <c r="K195" s="61">
        <f>3.9412 * CHOOSE(CONTROL!$C$19, $C$6, 100%, $E$6)</f>
        <v>3.9411999999999998</v>
      </c>
    </row>
    <row r="196" spans="1:11" ht="15">
      <c r="A196" s="13">
        <v>48030</v>
      </c>
      <c r="B196" s="60">
        <f>3.7619 * CHOOSE(CONTROL!$C$19, $C$6, 100%, $E$6)</f>
        <v>3.7618999999999998</v>
      </c>
      <c r="C196" s="60">
        <f>3.7619 * CHOOSE(CONTROL!$C$19, $C$6, 100%, $E$6)</f>
        <v>3.7618999999999998</v>
      </c>
      <c r="D196" s="60">
        <f>3.7949 * CHOOSE(CONTROL!$C$19, $C$6, 100%, $E$6)</f>
        <v>3.7949000000000002</v>
      </c>
      <c r="E196" s="61">
        <f>4.0315 * CHOOSE(CONTROL!$C$19, $C$6, 100%, $E$6)</f>
        <v>4.0315000000000003</v>
      </c>
      <c r="F196" s="61">
        <f>4.0315 * CHOOSE(CONTROL!$C$19, $C$6, 100%, $E$6)</f>
        <v>4.0315000000000003</v>
      </c>
      <c r="G196" s="61">
        <f>4.0336 * CHOOSE(CONTROL!$C$19, $C$6, 100%, $E$6)</f>
        <v>4.0335999999999999</v>
      </c>
      <c r="H196" s="61">
        <f>6.1454* CHOOSE(CONTROL!$C$19, $C$6, 100%, $E$6)</f>
        <v>6.1454000000000004</v>
      </c>
      <c r="I196" s="61">
        <f>6.1474 * CHOOSE(CONTROL!$C$19, $C$6, 100%, $E$6)</f>
        <v>6.1474000000000002</v>
      </c>
      <c r="J196" s="61">
        <f>4.0315 * CHOOSE(CONTROL!$C$19, $C$6, 100%, $E$6)</f>
        <v>4.0315000000000003</v>
      </c>
      <c r="K196" s="61">
        <f>4.0336 * CHOOSE(CONTROL!$C$19, $C$6, 100%, $E$6)</f>
        <v>4.0335999999999999</v>
      </c>
    </row>
    <row r="197" spans="1:11" ht="15">
      <c r="A197" s="13">
        <v>48061</v>
      </c>
      <c r="B197" s="60">
        <f>3.7686 * CHOOSE(CONTROL!$C$19, $C$6, 100%, $E$6)</f>
        <v>3.7686000000000002</v>
      </c>
      <c r="C197" s="60">
        <f>3.7686 * CHOOSE(CONTROL!$C$19, $C$6, 100%, $E$6)</f>
        <v>3.7686000000000002</v>
      </c>
      <c r="D197" s="60">
        <f>3.8016 * CHOOSE(CONTROL!$C$19, $C$6, 100%, $E$6)</f>
        <v>3.8016000000000001</v>
      </c>
      <c r="E197" s="61">
        <f>3.9828 * CHOOSE(CONTROL!$C$19, $C$6, 100%, $E$6)</f>
        <v>3.9828000000000001</v>
      </c>
      <c r="F197" s="61">
        <f>3.9828 * CHOOSE(CONTROL!$C$19, $C$6, 100%, $E$6)</f>
        <v>3.9828000000000001</v>
      </c>
      <c r="G197" s="61">
        <f>3.9849 * CHOOSE(CONTROL!$C$19, $C$6, 100%, $E$6)</f>
        <v>3.9849000000000001</v>
      </c>
      <c r="H197" s="61">
        <f>6.1582* CHOOSE(CONTROL!$C$19, $C$6, 100%, $E$6)</f>
        <v>6.1581999999999999</v>
      </c>
      <c r="I197" s="61">
        <f>6.1602 * CHOOSE(CONTROL!$C$19, $C$6, 100%, $E$6)</f>
        <v>6.1601999999999997</v>
      </c>
      <c r="J197" s="61">
        <f>3.9828 * CHOOSE(CONTROL!$C$19, $C$6, 100%, $E$6)</f>
        <v>3.9828000000000001</v>
      </c>
      <c r="K197" s="61">
        <f>3.9849 * CHOOSE(CONTROL!$C$19, $C$6, 100%, $E$6)</f>
        <v>3.9849000000000001</v>
      </c>
    </row>
    <row r="198" spans="1:11" ht="15">
      <c r="A198" s="13">
        <v>48092</v>
      </c>
      <c r="B198" s="60">
        <f>3.7655 * CHOOSE(CONTROL!$C$19, $C$6, 100%, $E$6)</f>
        <v>3.7654999999999998</v>
      </c>
      <c r="C198" s="60">
        <f>3.7655 * CHOOSE(CONTROL!$C$19, $C$6, 100%, $E$6)</f>
        <v>3.7654999999999998</v>
      </c>
      <c r="D198" s="60">
        <f>3.7985 * CHOOSE(CONTROL!$C$19, $C$6, 100%, $E$6)</f>
        <v>3.7985000000000002</v>
      </c>
      <c r="E198" s="61">
        <f>3.9748 * CHOOSE(CONTROL!$C$19, $C$6, 100%, $E$6)</f>
        <v>3.9748000000000001</v>
      </c>
      <c r="F198" s="61">
        <f>3.9748 * CHOOSE(CONTROL!$C$19, $C$6, 100%, $E$6)</f>
        <v>3.9748000000000001</v>
      </c>
      <c r="G198" s="61">
        <f>3.9768 * CHOOSE(CONTROL!$C$19, $C$6, 100%, $E$6)</f>
        <v>3.9767999999999999</v>
      </c>
      <c r="H198" s="61">
        <f>6.171* CHOOSE(CONTROL!$C$19, $C$6, 100%, $E$6)</f>
        <v>6.1710000000000003</v>
      </c>
      <c r="I198" s="61">
        <f>6.1731 * CHOOSE(CONTROL!$C$19, $C$6, 100%, $E$6)</f>
        <v>6.1730999999999998</v>
      </c>
      <c r="J198" s="61">
        <f>3.9748 * CHOOSE(CONTROL!$C$19, $C$6, 100%, $E$6)</f>
        <v>3.9748000000000001</v>
      </c>
      <c r="K198" s="61">
        <f>3.9768 * CHOOSE(CONTROL!$C$19, $C$6, 100%, $E$6)</f>
        <v>3.9767999999999999</v>
      </c>
    </row>
    <row r="199" spans="1:11" ht="15">
      <c r="A199" s="13">
        <v>48122</v>
      </c>
      <c r="B199" s="60">
        <f>3.7598 * CHOOSE(CONTROL!$C$19, $C$6, 100%, $E$6)</f>
        <v>3.7597999999999998</v>
      </c>
      <c r="C199" s="60">
        <f>3.7598 * CHOOSE(CONTROL!$C$19, $C$6, 100%, $E$6)</f>
        <v>3.7597999999999998</v>
      </c>
      <c r="D199" s="60">
        <f>3.7763 * CHOOSE(CONTROL!$C$19, $C$6, 100%, $E$6)</f>
        <v>3.7763</v>
      </c>
      <c r="E199" s="61">
        <f>3.9851 * CHOOSE(CONTROL!$C$19, $C$6, 100%, $E$6)</f>
        <v>3.9851000000000001</v>
      </c>
      <c r="F199" s="61">
        <f>3.9851 * CHOOSE(CONTROL!$C$19, $C$6, 100%, $E$6)</f>
        <v>3.9851000000000001</v>
      </c>
      <c r="G199" s="61">
        <f>3.9852 * CHOOSE(CONTROL!$C$19, $C$6, 100%, $E$6)</f>
        <v>3.9851999999999999</v>
      </c>
      <c r="H199" s="61">
        <f>6.1839* CHOOSE(CONTROL!$C$19, $C$6, 100%, $E$6)</f>
        <v>6.1839000000000004</v>
      </c>
      <c r="I199" s="61">
        <f>6.184 * CHOOSE(CONTROL!$C$19, $C$6, 100%, $E$6)</f>
        <v>6.1840000000000002</v>
      </c>
      <c r="J199" s="61">
        <f>3.9851 * CHOOSE(CONTROL!$C$19, $C$6, 100%, $E$6)</f>
        <v>3.9851000000000001</v>
      </c>
      <c r="K199" s="61">
        <f>3.9852 * CHOOSE(CONTROL!$C$19, $C$6, 100%, $E$6)</f>
        <v>3.9851999999999999</v>
      </c>
    </row>
    <row r="200" spans="1:11" ht="15">
      <c r="A200" s="13">
        <v>48153</v>
      </c>
      <c r="B200" s="60">
        <f>3.7628 * CHOOSE(CONTROL!$C$19, $C$6, 100%, $E$6)</f>
        <v>3.7627999999999999</v>
      </c>
      <c r="C200" s="60">
        <f>3.7628 * CHOOSE(CONTROL!$C$19, $C$6, 100%, $E$6)</f>
        <v>3.7627999999999999</v>
      </c>
      <c r="D200" s="60">
        <f>3.7793 * CHOOSE(CONTROL!$C$19, $C$6, 100%, $E$6)</f>
        <v>3.7793000000000001</v>
      </c>
      <c r="E200" s="61">
        <f>3.9991 * CHOOSE(CONTROL!$C$19, $C$6, 100%, $E$6)</f>
        <v>3.9990999999999999</v>
      </c>
      <c r="F200" s="61">
        <f>3.9991 * CHOOSE(CONTROL!$C$19, $C$6, 100%, $E$6)</f>
        <v>3.9990999999999999</v>
      </c>
      <c r="G200" s="61">
        <f>3.9992 * CHOOSE(CONTROL!$C$19, $C$6, 100%, $E$6)</f>
        <v>3.9992000000000001</v>
      </c>
      <c r="H200" s="61">
        <f>6.1967* CHOOSE(CONTROL!$C$19, $C$6, 100%, $E$6)</f>
        <v>6.1966999999999999</v>
      </c>
      <c r="I200" s="61">
        <f>6.1969 * CHOOSE(CONTROL!$C$19, $C$6, 100%, $E$6)</f>
        <v>6.1969000000000003</v>
      </c>
      <c r="J200" s="61">
        <f>3.9991 * CHOOSE(CONTROL!$C$19, $C$6, 100%, $E$6)</f>
        <v>3.9990999999999999</v>
      </c>
      <c r="K200" s="61">
        <f>3.9992 * CHOOSE(CONTROL!$C$19, $C$6, 100%, $E$6)</f>
        <v>3.9992000000000001</v>
      </c>
    </row>
    <row r="201" spans="1:11" ht="15">
      <c r="A201" s="13">
        <v>48183</v>
      </c>
      <c r="B201" s="60">
        <f>3.7628 * CHOOSE(CONTROL!$C$19, $C$6, 100%, $E$6)</f>
        <v>3.7627999999999999</v>
      </c>
      <c r="C201" s="60">
        <f>3.7628 * CHOOSE(CONTROL!$C$19, $C$6, 100%, $E$6)</f>
        <v>3.7627999999999999</v>
      </c>
      <c r="D201" s="60">
        <f>3.7793 * CHOOSE(CONTROL!$C$19, $C$6, 100%, $E$6)</f>
        <v>3.7793000000000001</v>
      </c>
      <c r="E201" s="61">
        <f>3.9694 * CHOOSE(CONTROL!$C$19, $C$6, 100%, $E$6)</f>
        <v>3.9693999999999998</v>
      </c>
      <c r="F201" s="61">
        <f>3.9694 * CHOOSE(CONTROL!$C$19, $C$6, 100%, $E$6)</f>
        <v>3.9693999999999998</v>
      </c>
      <c r="G201" s="61">
        <f>3.9696 * CHOOSE(CONTROL!$C$19, $C$6, 100%, $E$6)</f>
        <v>3.9695999999999998</v>
      </c>
      <c r="H201" s="61">
        <f>6.2097* CHOOSE(CONTROL!$C$19, $C$6, 100%, $E$6)</f>
        <v>6.2096999999999998</v>
      </c>
      <c r="I201" s="61">
        <f>6.2098 * CHOOSE(CONTROL!$C$19, $C$6, 100%, $E$6)</f>
        <v>6.2098000000000004</v>
      </c>
      <c r="J201" s="61">
        <f>3.9694 * CHOOSE(CONTROL!$C$19, $C$6, 100%, $E$6)</f>
        <v>3.9693999999999998</v>
      </c>
      <c r="K201" s="61">
        <f>3.9696 * CHOOSE(CONTROL!$C$19, $C$6, 100%, $E$6)</f>
        <v>3.9695999999999998</v>
      </c>
    </row>
    <row r="202" spans="1:11" ht="15">
      <c r="A202" s="13">
        <v>48214</v>
      </c>
      <c r="B202" s="60">
        <f>3.7955 * CHOOSE(CONTROL!$C$19, $C$6, 100%, $E$6)</f>
        <v>3.7955000000000001</v>
      </c>
      <c r="C202" s="60">
        <f>3.7955 * CHOOSE(CONTROL!$C$19, $C$6, 100%, $E$6)</f>
        <v>3.7955000000000001</v>
      </c>
      <c r="D202" s="60">
        <f>3.812 * CHOOSE(CONTROL!$C$19, $C$6, 100%, $E$6)</f>
        <v>3.8119999999999998</v>
      </c>
      <c r="E202" s="61">
        <f>4.0264 * CHOOSE(CONTROL!$C$19, $C$6, 100%, $E$6)</f>
        <v>4.0263999999999998</v>
      </c>
      <c r="F202" s="61">
        <f>4.0264 * CHOOSE(CONTROL!$C$19, $C$6, 100%, $E$6)</f>
        <v>4.0263999999999998</v>
      </c>
      <c r="G202" s="61">
        <f>4.0266 * CHOOSE(CONTROL!$C$19, $C$6, 100%, $E$6)</f>
        <v>4.0266000000000002</v>
      </c>
      <c r="H202" s="61">
        <f>6.2226* CHOOSE(CONTROL!$C$19, $C$6, 100%, $E$6)</f>
        <v>6.2225999999999999</v>
      </c>
      <c r="I202" s="61">
        <f>6.2228 * CHOOSE(CONTROL!$C$19, $C$6, 100%, $E$6)</f>
        <v>6.2228000000000003</v>
      </c>
      <c r="J202" s="61">
        <f>4.0264 * CHOOSE(CONTROL!$C$19, $C$6, 100%, $E$6)</f>
        <v>4.0263999999999998</v>
      </c>
      <c r="K202" s="61">
        <f>4.0266 * CHOOSE(CONTROL!$C$19, $C$6, 100%, $E$6)</f>
        <v>4.0266000000000002</v>
      </c>
    </row>
    <row r="203" spans="1:11" ht="15">
      <c r="A203" s="13">
        <v>48245</v>
      </c>
      <c r="B203" s="60">
        <f>3.7924 * CHOOSE(CONTROL!$C$19, $C$6, 100%, $E$6)</f>
        <v>3.7924000000000002</v>
      </c>
      <c r="C203" s="60">
        <f>3.7924 * CHOOSE(CONTROL!$C$19, $C$6, 100%, $E$6)</f>
        <v>3.7924000000000002</v>
      </c>
      <c r="D203" s="60">
        <f>3.8089 * CHOOSE(CONTROL!$C$19, $C$6, 100%, $E$6)</f>
        <v>3.8089</v>
      </c>
      <c r="E203" s="61">
        <f>3.9666 * CHOOSE(CONTROL!$C$19, $C$6, 100%, $E$6)</f>
        <v>3.9666000000000001</v>
      </c>
      <c r="F203" s="61">
        <f>3.9666 * CHOOSE(CONTROL!$C$19, $C$6, 100%, $E$6)</f>
        <v>3.9666000000000001</v>
      </c>
      <c r="G203" s="61">
        <f>3.9668 * CHOOSE(CONTROL!$C$19, $C$6, 100%, $E$6)</f>
        <v>3.9668000000000001</v>
      </c>
      <c r="H203" s="61">
        <f>6.2356* CHOOSE(CONTROL!$C$19, $C$6, 100%, $E$6)</f>
        <v>6.2355999999999998</v>
      </c>
      <c r="I203" s="61">
        <f>6.2357 * CHOOSE(CONTROL!$C$19, $C$6, 100%, $E$6)</f>
        <v>6.2356999999999996</v>
      </c>
      <c r="J203" s="61">
        <f>3.9666 * CHOOSE(CONTROL!$C$19, $C$6, 100%, $E$6)</f>
        <v>3.9666000000000001</v>
      </c>
      <c r="K203" s="61">
        <f>3.9668 * CHOOSE(CONTROL!$C$19, $C$6, 100%, $E$6)</f>
        <v>3.9668000000000001</v>
      </c>
    </row>
    <row r="204" spans="1:11" ht="15">
      <c r="A204" s="13">
        <v>48274</v>
      </c>
      <c r="B204" s="60">
        <f>3.7894 * CHOOSE(CONTROL!$C$19, $C$6, 100%, $E$6)</f>
        <v>3.7894000000000001</v>
      </c>
      <c r="C204" s="60">
        <f>3.7894 * CHOOSE(CONTROL!$C$19, $C$6, 100%, $E$6)</f>
        <v>3.7894000000000001</v>
      </c>
      <c r="D204" s="60">
        <f>3.8059 * CHOOSE(CONTROL!$C$19, $C$6, 100%, $E$6)</f>
        <v>3.8058999999999998</v>
      </c>
      <c r="E204" s="61">
        <f>4.01 * CHOOSE(CONTROL!$C$19, $C$6, 100%, $E$6)</f>
        <v>4.01</v>
      </c>
      <c r="F204" s="61">
        <f>4.01 * CHOOSE(CONTROL!$C$19, $C$6, 100%, $E$6)</f>
        <v>4.01</v>
      </c>
      <c r="G204" s="61">
        <f>4.0101 * CHOOSE(CONTROL!$C$19, $C$6, 100%, $E$6)</f>
        <v>4.0101000000000004</v>
      </c>
      <c r="H204" s="61">
        <f>6.2485* CHOOSE(CONTROL!$C$19, $C$6, 100%, $E$6)</f>
        <v>6.2484999999999999</v>
      </c>
      <c r="I204" s="61">
        <f>6.2487 * CHOOSE(CONTROL!$C$19, $C$6, 100%, $E$6)</f>
        <v>6.2487000000000004</v>
      </c>
      <c r="J204" s="61">
        <f>4.01 * CHOOSE(CONTROL!$C$19, $C$6, 100%, $E$6)</f>
        <v>4.01</v>
      </c>
      <c r="K204" s="61">
        <f>4.0101 * CHOOSE(CONTROL!$C$19, $C$6, 100%, $E$6)</f>
        <v>4.0101000000000004</v>
      </c>
    </row>
    <row r="205" spans="1:11" ht="15">
      <c r="A205" s="13">
        <v>48305</v>
      </c>
      <c r="B205" s="60">
        <f>3.7869 * CHOOSE(CONTROL!$C$19, $C$6, 100%, $E$6)</f>
        <v>3.7869000000000002</v>
      </c>
      <c r="C205" s="60">
        <f>3.7869 * CHOOSE(CONTROL!$C$19, $C$6, 100%, $E$6)</f>
        <v>3.7869000000000002</v>
      </c>
      <c r="D205" s="60">
        <f>3.8034 * CHOOSE(CONTROL!$C$19, $C$6, 100%, $E$6)</f>
        <v>3.8033999999999999</v>
      </c>
      <c r="E205" s="61">
        <f>4.0546 * CHOOSE(CONTROL!$C$19, $C$6, 100%, $E$6)</f>
        <v>4.0545999999999998</v>
      </c>
      <c r="F205" s="61">
        <f>4.0546 * CHOOSE(CONTROL!$C$19, $C$6, 100%, $E$6)</f>
        <v>4.0545999999999998</v>
      </c>
      <c r="G205" s="61">
        <f>4.0548 * CHOOSE(CONTROL!$C$19, $C$6, 100%, $E$6)</f>
        <v>4.0548000000000002</v>
      </c>
      <c r="H205" s="61">
        <f>6.2616* CHOOSE(CONTROL!$C$19, $C$6, 100%, $E$6)</f>
        <v>6.2615999999999996</v>
      </c>
      <c r="I205" s="61">
        <f>6.2617 * CHOOSE(CONTROL!$C$19, $C$6, 100%, $E$6)</f>
        <v>6.2617000000000003</v>
      </c>
      <c r="J205" s="61">
        <f>4.0546 * CHOOSE(CONTROL!$C$19, $C$6, 100%, $E$6)</f>
        <v>4.0545999999999998</v>
      </c>
      <c r="K205" s="61">
        <f>4.0548 * CHOOSE(CONTROL!$C$19, $C$6, 100%, $E$6)</f>
        <v>4.0548000000000002</v>
      </c>
    </row>
    <row r="206" spans="1:11" ht="15">
      <c r="A206" s="13">
        <v>48335</v>
      </c>
      <c r="B206" s="60">
        <f>3.7869 * CHOOSE(CONTROL!$C$19, $C$6, 100%, $E$6)</f>
        <v>3.7869000000000002</v>
      </c>
      <c r="C206" s="60">
        <f>3.7869 * CHOOSE(CONTROL!$C$19, $C$6, 100%, $E$6)</f>
        <v>3.7869000000000002</v>
      </c>
      <c r="D206" s="60">
        <f>3.8199 * CHOOSE(CONTROL!$C$19, $C$6, 100%, $E$6)</f>
        <v>3.8199000000000001</v>
      </c>
      <c r="E206" s="61">
        <f>4.0729 * CHOOSE(CONTROL!$C$19, $C$6, 100%, $E$6)</f>
        <v>4.0728999999999997</v>
      </c>
      <c r="F206" s="61">
        <f>4.0729 * CHOOSE(CONTROL!$C$19, $C$6, 100%, $E$6)</f>
        <v>4.0728999999999997</v>
      </c>
      <c r="G206" s="61">
        <f>4.075 * CHOOSE(CONTROL!$C$19, $C$6, 100%, $E$6)</f>
        <v>4.0750000000000002</v>
      </c>
      <c r="H206" s="61">
        <f>6.2746* CHOOSE(CONTROL!$C$19, $C$6, 100%, $E$6)</f>
        <v>6.2746000000000004</v>
      </c>
      <c r="I206" s="61">
        <f>6.2767 * CHOOSE(CONTROL!$C$19, $C$6, 100%, $E$6)</f>
        <v>6.2766999999999999</v>
      </c>
      <c r="J206" s="61">
        <f>4.0729 * CHOOSE(CONTROL!$C$19, $C$6, 100%, $E$6)</f>
        <v>4.0728999999999997</v>
      </c>
      <c r="K206" s="61">
        <f>4.075 * CHOOSE(CONTROL!$C$19, $C$6, 100%, $E$6)</f>
        <v>4.0750000000000002</v>
      </c>
    </row>
    <row r="207" spans="1:11" ht="15">
      <c r="A207" s="13">
        <v>48366</v>
      </c>
      <c r="B207" s="60">
        <f>3.793 * CHOOSE(CONTROL!$C$19, $C$6, 100%, $E$6)</f>
        <v>3.7930000000000001</v>
      </c>
      <c r="C207" s="60">
        <f>3.793 * CHOOSE(CONTROL!$C$19, $C$6, 100%, $E$6)</f>
        <v>3.7930000000000001</v>
      </c>
      <c r="D207" s="60">
        <f>3.826 * CHOOSE(CONTROL!$C$19, $C$6, 100%, $E$6)</f>
        <v>3.8260000000000001</v>
      </c>
      <c r="E207" s="61">
        <f>4.0588 * CHOOSE(CONTROL!$C$19, $C$6, 100%, $E$6)</f>
        <v>4.0587999999999997</v>
      </c>
      <c r="F207" s="61">
        <f>4.0588 * CHOOSE(CONTROL!$C$19, $C$6, 100%, $E$6)</f>
        <v>4.0587999999999997</v>
      </c>
      <c r="G207" s="61">
        <f>4.0609 * CHOOSE(CONTROL!$C$19, $C$6, 100%, $E$6)</f>
        <v>4.0609000000000002</v>
      </c>
      <c r="H207" s="61">
        <f>6.2877* CHOOSE(CONTROL!$C$19, $C$6, 100%, $E$6)</f>
        <v>6.2877000000000001</v>
      </c>
      <c r="I207" s="61">
        <f>6.2897 * CHOOSE(CONTROL!$C$19, $C$6, 100%, $E$6)</f>
        <v>6.2896999999999998</v>
      </c>
      <c r="J207" s="61">
        <f>4.0588 * CHOOSE(CONTROL!$C$19, $C$6, 100%, $E$6)</f>
        <v>4.0587999999999997</v>
      </c>
      <c r="K207" s="61">
        <f>4.0609 * CHOOSE(CONTROL!$C$19, $C$6, 100%, $E$6)</f>
        <v>4.0609000000000002</v>
      </c>
    </row>
    <row r="208" spans="1:11" ht="15">
      <c r="A208" s="13">
        <v>48396</v>
      </c>
      <c r="B208" s="60">
        <f>3.8532 * CHOOSE(CONTROL!$C$19, $C$6, 100%, $E$6)</f>
        <v>3.8532000000000002</v>
      </c>
      <c r="C208" s="60">
        <f>3.8532 * CHOOSE(CONTROL!$C$19, $C$6, 100%, $E$6)</f>
        <v>3.8532000000000002</v>
      </c>
      <c r="D208" s="60">
        <f>3.8862 * CHOOSE(CONTROL!$C$19, $C$6, 100%, $E$6)</f>
        <v>3.8862000000000001</v>
      </c>
      <c r="E208" s="61">
        <f>4.1344 * CHOOSE(CONTROL!$C$19, $C$6, 100%, $E$6)</f>
        <v>4.1344000000000003</v>
      </c>
      <c r="F208" s="61">
        <f>4.1344 * CHOOSE(CONTROL!$C$19, $C$6, 100%, $E$6)</f>
        <v>4.1344000000000003</v>
      </c>
      <c r="G208" s="61">
        <f>4.1364 * CHOOSE(CONTROL!$C$19, $C$6, 100%, $E$6)</f>
        <v>4.1364000000000001</v>
      </c>
      <c r="H208" s="61">
        <f>6.3008* CHOOSE(CONTROL!$C$19, $C$6, 100%, $E$6)</f>
        <v>6.3007999999999997</v>
      </c>
      <c r="I208" s="61">
        <f>6.3028 * CHOOSE(CONTROL!$C$19, $C$6, 100%, $E$6)</f>
        <v>6.3028000000000004</v>
      </c>
      <c r="J208" s="61">
        <f>4.1344 * CHOOSE(CONTROL!$C$19, $C$6, 100%, $E$6)</f>
        <v>4.1344000000000003</v>
      </c>
      <c r="K208" s="61">
        <f>4.1364 * CHOOSE(CONTROL!$C$19, $C$6, 100%, $E$6)</f>
        <v>4.1364000000000001</v>
      </c>
    </row>
    <row r="209" spans="1:11" ht="15">
      <c r="A209" s="13">
        <v>48427</v>
      </c>
      <c r="B209" s="60">
        <f>3.8599 * CHOOSE(CONTROL!$C$19, $C$6, 100%, $E$6)</f>
        <v>3.8599000000000001</v>
      </c>
      <c r="C209" s="60">
        <f>3.8599 * CHOOSE(CONTROL!$C$19, $C$6, 100%, $E$6)</f>
        <v>3.8599000000000001</v>
      </c>
      <c r="D209" s="60">
        <f>3.8929 * CHOOSE(CONTROL!$C$19, $C$6, 100%, $E$6)</f>
        <v>3.8929</v>
      </c>
      <c r="E209" s="61">
        <f>4.0841 * CHOOSE(CONTROL!$C$19, $C$6, 100%, $E$6)</f>
        <v>4.0841000000000003</v>
      </c>
      <c r="F209" s="61">
        <f>4.0841 * CHOOSE(CONTROL!$C$19, $C$6, 100%, $E$6)</f>
        <v>4.0841000000000003</v>
      </c>
      <c r="G209" s="61">
        <f>4.0861 * CHOOSE(CONTROL!$C$19, $C$6, 100%, $E$6)</f>
        <v>4.0861000000000001</v>
      </c>
      <c r="H209" s="61">
        <f>6.3139* CHOOSE(CONTROL!$C$19, $C$6, 100%, $E$6)</f>
        <v>6.3139000000000003</v>
      </c>
      <c r="I209" s="61">
        <f>6.316 * CHOOSE(CONTROL!$C$19, $C$6, 100%, $E$6)</f>
        <v>6.3159999999999998</v>
      </c>
      <c r="J209" s="61">
        <f>4.0841 * CHOOSE(CONTROL!$C$19, $C$6, 100%, $E$6)</f>
        <v>4.0841000000000003</v>
      </c>
      <c r="K209" s="61">
        <f>4.0861 * CHOOSE(CONTROL!$C$19, $C$6, 100%, $E$6)</f>
        <v>4.0861000000000001</v>
      </c>
    </row>
    <row r="210" spans="1:11" ht="15">
      <c r="A210" s="13">
        <v>48458</v>
      </c>
      <c r="B210" s="60">
        <f>3.8569 * CHOOSE(CONTROL!$C$19, $C$6, 100%, $E$6)</f>
        <v>3.8569</v>
      </c>
      <c r="C210" s="60">
        <f>3.8569 * CHOOSE(CONTROL!$C$19, $C$6, 100%, $E$6)</f>
        <v>3.8569</v>
      </c>
      <c r="D210" s="60">
        <f>3.8899 * CHOOSE(CONTROL!$C$19, $C$6, 100%, $E$6)</f>
        <v>3.8898999999999999</v>
      </c>
      <c r="E210" s="61">
        <f>4.0758 * CHOOSE(CONTROL!$C$19, $C$6, 100%, $E$6)</f>
        <v>4.0758000000000001</v>
      </c>
      <c r="F210" s="61">
        <f>4.0758 * CHOOSE(CONTROL!$C$19, $C$6, 100%, $E$6)</f>
        <v>4.0758000000000001</v>
      </c>
      <c r="G210" s="61">
        <f>4.0779 * CHOOSE(CONTROL!$C$19, $C$6, 100%, $E$6)</f>
        <v>4.0778999999999996</v>
      </c>
      <c r="H210" s="61">
        <f>6.3271* CHOOSE(CONTROL!$C$19, $C$6, 100%, $E$6)</f>
        <v>6.3270999999999997</v>
      </c>
      <c r="I210" s="61">
        <f>6.3291 * CHOOSE(CONTROL!$C$19, $C$6, 100%, $E$6)</f>
        <v>6.3291000000000004</v>
      </c>
      <c r="J210" s="61">
        <f>4.0758 * CHOOSE(CONTROL!$C$19, $C$6, 100%, $E$6)</f>
        <v>4.0758000000000001</v>
      </c>
      <c r="K210" s="61">
        <f>4.0779 * CHOOSE(CONTROL!$C$19, $C$6, 100%, $E$6)</f>
        <v>4.0778999999999996</v>
      </c>
    </row>
    <row r="211" spans="1:11" ht="15">
      <c r="A211" s="13">
        <v>48488</v>
      </c>
      <c r="B211" s="60">
        <f>3.8515 * CHOOSE(CONTROL!$C$19, $C$6, 100%, $E$6)</f>
        <v>3.8515000000000001</v>
      </c>
      <c r="C211" s="60">
        <f>3.8515 * CHOOSE(CONTROL!$C$19, $C$6, 100%, $E$6)</f>
        <v>3.8515000000000001</v>
      </c>
      <c r="D211" s="60">
        <f>3.868 * CHOOSE(CONTROL!$C$19, $C$6, 100%, $E$6)</f>
        <v>3.8679999999999999</v>
      </c>
      <c r="E211" s="61">
        <f>4.0868 * CHOOSE(CONTROL!$C$19, $C$6, 100%, $E$6)</f>
        <v>4.0868000000000002</v>
      </c>
      <c r="F211" s="61">
        <f>4.0868 * CHOOSE(CONTROL!$C$19, $C$6, 100%, $E$6)</f>
        <v>4.0868000000000002</v>
      </c>
      <c r="G211" s="61">
        <f>4.087 * CHOOSE(CONTROL!$C$19, $C$6, 100%, $E$6)</f>
        <v>4.0869999999999997</v>
      </c>
      <c r="H211" s="61">
        <f>6.3402* CHOOSE(CONTROL!$C$19, $C$6, 100%, $E$6)</f>
        <v>6.3402000000000003</v>
      </c>
      <c r="I211" s="61">
        <f>6.3404 * CHOOSE(CONTROL!$C$19, $C$6, 100%, $E$6)</f>
        <v>6.3403999999999998</v>
      </c>
      <c r="J211" s="61">
        <f>4.0868 * CHOOSE(CONTROL!$C$19, $C$6, 100%, $E$6)</f>
        <v>4.0868000000000002</v>
      </c>
      <c r="K211" s="61">
        <f>4.087 * CHOOSE(CONTROL!$C$19, $C$6, 100%, $E$6)</f>
        <v>4.0869999999999997</v>
      </c>
    </row>
    <row r="212" spans="1:11" ht="15">
      <c r="A212" s="13">
        <v>48519</v>
      </c>
      <c r="B212" s="60">
        <f>3.8545 * CHOOSE(CONTROL!$C$19, $C$6, 100%, $E$6)</f>
        <v>3.8544999999999998</v>
      </c>
      <c r="C212" s="60">
        <f>3.8545 * CHOOSE(CONTROL!$C$19, $C$6, 100%, $E$6)</f>
        <v>3.8544999999999998</v>
      </c>
      <c r="D212" s="60">
        <f>3.871 * CHOOSE(CONTROL!$C$19, $C$6, 100%, $E$6)</f>
        <v>3.871</v>
      </c>
      <c r="E212" s="61">
        <f>4.1012 * CHOOSE(CONTROL!$C$19, $C$6, 100%, $E$6)</f>
        <v>4.1012000000000004</v>
      </c>
      <c r="F212" s="61">
        <f>4.1012 * CHOOSE(CONTROL!$C$19, $C$6, 100%, $E$6)</f>
        <v>4.1012000000000004</v>
      </c>
      <c r="G212" s="61">
        <f>4.1014 * CHOOSE(CONTROL!$C$19, $C$6, 100%, $E$6)</f>
        <v>4.1013999999999999</v>
      </c>
      <c r="H212" s="61">
        <f>6.3535* CHOOSE(CONTROL!$C$19, $C$6, 100%, $E$6)</f>
        <v>6.3535000000000004</v>
      </c>
      <c r="I212" s="61">
        <f>6.3536 * CHOOSE(CONTROL!$C$19, $C$6, 100%, $E$6)</f>
        <v>6.3536000000000001</v>
      </c>
      <c r="J212" s="61">
        <f>4.1012 * CHOOSE(CONTROL!$C$19, $C$6, 100%, $E$6)</f>
        <v>4.1012000000000004</v>
      </c>
      <c r="K212" s="61">
        <f>4.1014 * CHOOSE(CONTROL!$C$19, $C$6, 100%, $E$6)</f>
        <v>4.1013999999999999</v>
      </c>
    </row>
    <row r="213" spans="1:11" ht="15">
      <c r="A213" s="13">
        <v>48549</v>
      </c>
      <c r="B213" s="60">
        <f>3.8545 * CHOOSE(CONTROL!$C$19, $C$6, 100%, $E$6)</f>
        <v>3.8544999999999998</v>
      </c>
      <c r="C213" s="60">
        <f>3.8545 * CHOOSE(CONTROL!$C$19, $C$6, 100%, $E$6)</f>
        <v>3.8544999999999998</v>
      </c>
      <c r="D213" s="60">
        <f>3.871 * CHOOSE(CONTROL!$C$19, $C$6, 100%, $E$6)</f>
        <v>3.871</v>
      </c>
      <c r="E213" s="61">
        <f>4.0706 * CHOOSE(CONTROL!$C$19, $C$6, 100%, $E$6)</f>
        <v>4.0705999999999998</v>
      </c>
      <c r="F213" s="61">
        <f>4.0706 * CHOOSE(CONTROL!$C$19, $C$6, 100%, $E$6)</f>
        <v>4.0705999999999998</v>
      </c>
      <c r="G213" s="61">
        <f>4.0708 * CHOOSE(CONTROL!$C$19, $C$6, 100%, $E$6)</f>
        <v>4.0708000000000002</v>
      </c>
      <c r="H213" s="61">
        <f>6.3667* CHOOSE(CONTROL!$C$19, $C$6, 100%, $E$6)</f>
        <v>6.3666999999999998</v>
      </c>
      <c r="I213" s="61">
        <f>6.3669 * CHOOSE(CONTROL!$C$19, $C$6, 100%, $E$6)</f>
        <v>6.3669000000000002</v>
      </c>
      <c r="J213" s="61">
        <f>4.0706 * CHOOSE(CONTROL!$C$19, $C$6, 100%, $E$6)</f>
        <v>4.0705999999999998</v>
      </c>
      <c r="K213" s="61">
        <f>4.0708 * CHOOSE(CONTROL!$C$19, $C$6, 100%, $E$6)</f>
        <v>4.0708000000000002</v>
      </c>
    </row>
    <row r="214" spans="1:11" ht="15">
      <c r="A214" s="13">
        <v>48580</v>
      </c>
      <c r="B214" s="60">
        <f>3.8808 * CHOOSE(CONTROL!$C$19, $C$6, 100%, $E$6)</f>
        <v>3.8807999999999998</v>
      </c>
      <c r="C214" s="60">
        <f>3.8808 * CHOOSE(CONTROL!$C$19, $C$6, 100%, $E$6)</f>
        <v>3.8807999999999998</v>
      </c>
      <c r="D214" s="60">
        <f>3.8973 * CHOOSE(CONTROL!$C$19, $C$6, 100%, $E$6)</f>
        <v>3.8973</v>
      </c>
      <c r="E214" s="61">
        <f>4.1331 * CHOOSE(CONTROL!$C$19, $C$6, 100%, $E$6)</f>
        <v>4.1330999999999998</v>
      </c>
      <c r="F214" s="61">
        <f>4.1331 * CHOOSE(CONTROL!$C$19, $C$6, 100%, $E$6)</f>
        <v>4.1330999999999998</v>
      </c>
      <c r="G214" s="61">
        <f>4.1333 * CHOOSE(CONTROL!$C$19, $C$6, 100%, $E$6)</f>
        <v>4.1333000000000002</v>
      </c>
      <c r="H214" s="61">
        <f>6.38* CHOOSE(CONTROL!$C$19, $C$6, 100%, $E$6)</f>
        <v>6.38</v>
      </c>
      <c r="I214" s="61">
        <f>6.3801 * CHOOSE(CONTROL!$C$19, $C$6, 100%, $E$6)</f>
        <v>6.3800999999999997</v>
      </c>
      <c r="J214" s="61">
        <f>4.1331 * CHOOSE(CONTROL!$C$19, $C$6, 100%, $E$6)</f>
        <v>4.1330999999999998</v>
      </c>
      <c r="K214" s="61">
        <f>4.1333 * CHOOSE(CONTROL!$C$19, $C$6, 100%, $E$6)</f>
        <v>4.1333000000000002</v>
      </c>
    </row>
    <row r="215" spans="1:11" ht="15">
      <c r="A215" s="13">
        <v>48611</v>
      </c>
      <c r="B215" s="60">
        <f>3.8778 * CHOOSE(CONTROL!$C$19, $C$6, 100%, $E$6)</f>
        <v>3.8778000000000001</v>
      </c>
      <c r="C215" s="60">
        <f>3.8778 * CHOOSE(CONTROL!$C$19, $C$6, 100%, $E$6)</f>
        <v>3.8778000000000001</v>
      </c>
      <c r="D215" s="60">
        <f>3.8943 * CHOOSE(CONTROL!$C$19, $C$6, 100%, $E$6)</f>
        <v>3.8942999999999999</v>
      </c>
      <c r="E215" s="61">
        <f>4.0716 * CHOOSE(CONTROL!$C$19, $C$6, 100%, $E$6)</f>
        <v>4.0716000000000001</v>
      </c>
      <c r="F215" s="61">
        <f>4.0716 * CHOOSE(CONTROL!$C$19, $C$6, 100%, $E$6)</f>
        <v>4.0716000000000001</v>
      </c>
      <c r="G215" s="61">
        <f>4.0718 * CHOOSE(CONTROL!$C$19, $C$6, 100%, $E$6)</f>
        <v>4.0717999999999996</v>
      </c>
      <c r="H215" s="61">
        <f>6.3932* CHOOSE(CONTROL!$C$19, $C$6, 100%, $E$6)</f>
        <v>6.3932000000000002</v>
      </c>
      <c r="I215" s="61">
        <f>6.3934 * CHOOSE(CONTROL!$C$19, $C$6, 100%, $E$6)</f>
        <v>6.3933999999999997</v>
      </c>
      <c r="J215" s="61">
        <f>4.0716 * CHOOSE(CONTROL!$C$19, $C$6, 100%, $E$6)</f>
        <v>4.0716000000000001</v>
      </c>
      <c r="K215" s="61">
        <f>4.0718 * CHOOSE(CONTROL!$C$19, $C$6, 100%, $E$6)</f>
        <v>4.0717999999999996</v>
      </c>
    </row>
    <row r="216" spans="1:11" ht="15">
      <c r="A216" s="13">
        <v>48639</v>
      </c>
      <c r="B216" s="60">
        <f>3.8747 * CHOOSE(CONTROL!$C$19, $C$6, 100%, $E$6)</f>
        <v>3.8746999999999998</v>
      </c>
      <c r="C216" s="60">
        <f>3.8747 * CHOOSE(CONTROL!$C$19, $C$6, 100%, $E$6)</f>
        <v>3.8746999999999998</v>
      </c>
      <c r="D216" s="60">
        <f>3.8912 * CHOOSE(CONTROL!$C$19, $C$6, 100%, $E$6)</f>
        <v>3.8912</v>
      </c>
      <c r="E216" s="61">
        <f>4.1163 * CHOOSE(CONTROL!$C$19, $C$6, 100%, $E$6)</f>
        <v>4.1162999999999998</v>
      </c>
      <c r="F216" s="61">
        <f>4.1163 * CHOOSE(CONTROL!$C$19, $C$6, 100%, $E$6)</f>
        <v>4.1162999999999998</v>
      </c>
      <c r="G216" s="61">
        <f>4.1165 * CHOOSE(CONTROL!$C$19, $C$6, 100%, $E$6)</f>
        <v>4.1165000000000003</v>
      </c>
      <c r="H216" s="61">
        <f>6.4066* CHOOSE(CONTROL!$C$19, $C$6, 100%, $E$6)</f>
        <v>6.4066000000000001</v>
      </c>
      <c r="I216" s="61">
        <f>6.4067 * CHOOSE(CONTROL!$C$19, $C$6, 100%, $E$6)</f>
        <v>6.4066999999999998</v>
      </c>
      <c r="J216" s="61">
        <f>4.1163 * CHOOSE(CONTROL!$C$19, $C$6, 100%, $E$6)</f>
        <v>4.1162999999999998</v>
      </c>
      <c r="K216" s="61">
        <f>4.1165 * CHOOSE(CONTROL!$C$19, $C$6, 100%, $E$6)</f>
        <v>4.1165000000000003</v>
      </c>
    </row>
    <row r="217" spans="1:11" ht="15">
      <c r="A217" s="13">
        <v>48670</v>
      </c>
      <c r="B217" s="60">
        <f>3.8723 * CHOOSE(CONTROL!$C$19, $C$6, 100%, $E$6)</f>
        <v>3.8723000000000001</v>
      </c>
      <c r="C217" s="60">
        <f>3.8723 * CHOOSE(CONTROL!$C$19, $C$6, 100%, $E$6)</f>
        <v>3.8723000000000001</v>
      </c>
      <c r="D217" s="60">
        <f>3.8888 * CHOOSE(CONTROL!$C$19, $C$6, 100%, $E$6)</f>
        <v>3.8887999999999998</v>
      </c>
      <c r="E217" s="61">
        <f>4.1624 * CHOOSE(CONTROL!$C$19, $C$6, 100%, $E$6)</f>
        <v>4.1623999999999999</v>
      </c>
      <c r="F217" s="61">
        <f>4.1624 * CHOOSE(CONTROL!$C$19, $C$6, 100%, $E$6)</f>
        <v>4.1623999999999999</v>
      </c>
      <c r="G217" s="61">
        <f>4.1625 * CHOOSE(CONTROL!$C$19, $C$6, 100%, $E$6)</f>
        <v>4.1624999999999996</v>
      </c>
      <c r="H217" s="61">
        <f>6.4199* CHOOSE(CONTROL!$C$19, $C$6, 100%, $E$6)</f>
        <v>6.4199000000000002</v>
      </c>
      <c r="I217" s="61">
        <f>6.4201 * CHOOSE(CONTROL!$C$19, $C$6, 100%, $E$6)</f>
        <v>6.4200999999999997</v>
      </c>
      <c r="J217" s="61">
        <f>4.1624 * CHOOSE(CONTROL!$C$19, $C$6, 100%, $E$6)</f>
        <v>4.1623999999999999</v>
      </c>
      <c r="K217" s="61">
        <f>4.1625 * CHOOSE(CONTROL!$C$19, $C$6, 100%, $E$6)</f>
        <v>4.1624999999999996</v>
      </c>
    </row>
    <row r="218" spans="1:11" ht="15">
      <c r="A218" s="13">
        <v>48700</v>
      </c>
      <c r="B218" s="60">
        <f>3.8723 * CHOOSE(CONTROL!$C$19, $C$6, 100%, $E$6)</f>
        <v>3.8723000000000001</v>
      </c>
      <c r="C218" s="60">
        <f>3.8723 * CHOOSE(CONTROL!$C$19, $C$6, 100%, $E$6)</f>
        <v>3.8723000000000001</v>
      </c>
      <c r="D218" s="60">
        <f>3.9053 * CHOOSE(CONTROL!$C$19, $C$6, 100%, $E$6)</f>
        <v>3.9053</v>
      </c>
      <c r="E218" s="61">
        <f>4.1812 * CHOOSE(CONTROL!$C$19, $C$6, 100%, $E$6)</f>
        <v>4.1811999999999996</v>
      </c>
      <c r="F218" s="61">
        <f>4.1812 * CHOOSE(CONTROL!$C$19, $C$6, 100%, $E$6)</f>
        <v>4.1811999999999996</v>
      </c>
      <c r="G218" s="61">
        <f>4.1833 * CHOOSE(CONTROL!$C$19, $C$6, 100%, $E$6)</f>
        <v>4.1833</v>
      </c>
      <c r="H218" s="61">
        <f>6.4333* CHOOSE(CONTROL!$C$19, $C$6, 100%, $E$6)</f>
        <v>6.4333</v>
      </c>
      <c r="I218" s="61">
        <f>6.4353 * CHOOSE(CONTROL!$C$19, $C$6, 100%, $E$6)</f>
        <v>6.4352999999999998</v>
      </c>
      <c r="J218" s="61">
        <f>4.1812 * CHOOSE(CONTROL!$C$19, $C$6, 100%, $E$6)</f>
        <v>4.1811999999999996</v>
      </c>
      <c r="K218" s="61">
        <f>4.1833 * CHOOSE(CONTROL!$C$19, $C$6, 100%, $E$6)</f>
        <v>4.1833</v>
      </c>
    </row>
    <row r="219" spans="1:11" ht="15">
      <c r="A219" s="13">
        <v>48731</v>
      </c>
      <c r="B219" s="60">
        <f>3.8784 * CHOOSE(CONTROL!$C$19, $C$6, 100%, $E$6)</f>
        <v>3.8784000000000001</v>
      </c>
      <c r="C219" s="60">
        <f>3.8784 * CHOOSE(CONTROL!$C$19, $C$6, 100%, $E$6)</f>
        <v>3.8784000000000001</v>
      </c>
      <c r="D219" s="60">
        <f>3.9114 * CHOOSE(CONTROL!$C$19, $C$6, 100%, $E$6)</f>
        <v>3.9114</v>
      </c>
      <c r="E219" s="61">
        <f>4.1666 * CHOOSE(CONTROL!$C$19, $C$6, 100%, $E$6)</f>
        <v>4.1665999999999999</v>
      </c>
      <c r="F219" s="61">
        <f>4.1666 * CHOOSE(CONTROL!$C$19, $C$6, 100%, $E$6)</f>
        <v>4.1665999999999999</v>
      </c>
      <c r="G219" s="61">
        <f>4.1687 * CHOOSE(CONTROL!$C$19, $C$6, 100%, $E$6)</f>
        <v>4.1687000000000003</v>
      </c>
      <c r="H219" s="61">
        <f>6.4467* CHOOSE(CONTROL!$C$19, $C$6, 100%, $E$6)</f>
        <v>6.4466999999999999</v>
      </c>
      <c r="I219" s="61">
        <f>6.4487 * CHOOSE(CONTROL!$C$19, $C$6, 100%, $E$6)</f>
        <v>6.4486999999999997</v>
      </c>
      <c r="J219" s="61">
        <f>4.1666 * CHOOSE(CONTROL!$C$19, $C$6, 100%, $E$6)</f>
        <v>4.1665999999999999</v>
      </c>
      <c r="K219" s="61">
        <f>4.1687 * CHOOSE(CONTROL!$C$19, $C$6, 100%, $E$6)</f>
        <v>4.1687000000000003</v>
      </c>
    </row>
    <row r="220" spans="1:11" ht="15">
      <c r="A220" s="13">
        <v>48761</v>
      </c>
      <c r="B220" s="60">
        <f>3.9231 * CHOOSE(CONTROL!$C$19, $C$6, 100%, $E$6)</f>
        <v>3.9230999999999998</v>
      </c>
      <c r="C220" s="60">
        <f>3.9231 * CHOOSE(CONTROL!$C$19, $C$6, 100%, $E$6)</f>
        <v>3.9230999999999998</v>
      </c>
      <c r="D220" s="60">
        <f>3.9561 * CHOOSE(CONTROL!$C$19, $C$6, 100%, $E$6)</f>
        <v>3.9561000000000002</v>
      </c>
      <c r="E220" s="61">
        <f>4.2544 * CHOOSE(CONTROL!$C$19, $C$6, 100%, $E$6)</f>
        <v>4.2544000000000004</v>
      </c>
      <c r="F220" s="61">
        <f>4.2544 * CHOOSE(CONTROL!$C$19, $C$6, 100%, $E$6)</f>
        <v>4.2544000000000004</v>
      </c>
      <c r="G220" s="61">
        <f>4.2564 * CHOOSE(CONTROL!$C$19, $C$6, 100%, $E$6)</f>
        <v>4.2564000000000002</v>
      </c>
      <c r="H220" s="61">
        <f>6.4601* CHOOSE(CONTROL!$C$19, $C$6, 100%, $E$6)</f>
        <v>6.4600999999999997</v>
      </c>
      <c r="I220" s="61">
        <f>6.4622 * CHOOSE(CONTROL!$C$19, $C$6, 100%, $E$6)</f>
        <v>6.4622000000000002</v>
      </c>
      <c r="J220" s="61">
        <f>4.2544 * CHOOSE(CONTROL!$C$19, $C$6, 100%, $E$6)</f>
        <v>4.2544000000000004</v>
      </c>
      <c r="K220" s="61">
        <f>4.2564 * CHOOSE(CONTROL!$C$19, $C$6, 100%, $E$6)</f>
        <v>4.2564000000000002</v>
      </c>
    </row>
    <row r="221" spans="1:11" ht="15">
      <c r="A221" s="13">
        <v>48792</v>
      </c>
      <c r="B221" s="60">
        <f>3.9298 * CHOOSE(CONTROL!$C$19, $C$6, 100%, $E$6)</f>
        <v>3.9298000000000002</v>
      </c>
      <c r="C221" s="60">
        <f>3.9298 * CHOOSE(CONTROL!$C$19, $C$6, 100%, $E$6)</f>
        <v>3.9298000000000002</v>
      </c>
      <c r="D221" s="60">
        <f>3.9628 * CHOOSE(CONTROL!$C$19, $C$6, 100%, $E$6)</f>
        <v>3.9628000000000001</v>
      </c>
      <c r="E221" s="61">
        <f>4.2025 * CHOOSE(CONTROL!$C$19, $C$6, 100%, $E$6)</f>
        <v>4.2024999999999997</v>
      </c>
      <c r="F221" s="61">
        <f>4.2025 * CHOOSE(CONTROL!$C$19, $C$6, 100%, $E$6)</f>
        <v>4.2024999999999997</v>
      </c>
      <c r="G221" s="61">
        <f>4.2045 * CHOOSE(CONTROL!$C$19, $C$6, 100%, $E$6)</f>
        <v>4.2045000000000003</v>
      </c>
      <c r="H221" s="61">
        <f>6.4736* CHOOSE(CONTROL!$C$19, $C$6, 100%, $E$6)</f>
        <v>6.4736000000000002</v>
      </c>
      <c r="I221" s="61">
        <f>6.4756 * CHOOSE(CONTROL!$C$19, $C$6, 100%, $E$6)</f>
        <v>6.4756</v>
      </c>
      <c r="J221" s="61">
        <f>4.2025 * CHOOSE(CONTROL!$C$19, $C$6, 100%, $E$6)</f>
        <v>4.2024999999999997</v>
      </c>
      <c r="K221" s="61">
        <f>4.2045 * CHOOSE(CONTROL!$C$19, $C$6, 100%, $E$6)</f>
        <v>4.2045000000000003</v>
      </c>
    </row>
    <row r="222" spans="1:11" ht="15">
      <c r="A222" s="13">
        <v>48823</v>
      </c>
      <c r="B222" s="60">
        <f>3.9268 * CHOOSE(CONTROL!$C$19, $C$6, 100%, $E$6)</f>
        <v>3.9268000000000001</v>
      </c>
      <c r="C222" s="60">
        <f>3.9268 * CHOOSE(CONTROL!$C$19, $C$6, 100%, $E$6)</f>
        <v>3.9268000000000001</v>
      </c>
      <c r="D222" s="60">
        <f>3.9598 * CHOOSE(CONTROL!$C$19, $C$6, 100%, $E$6)</f>
        <v>3.9598</v>
      </c>
      <c r="E222" s="61">
        <f>4.1941 * CHOOSE(CONTROL!$C$19, $C$6, 100%, $E$6)</f>
        <v>4.1940999999999997</v>
      </c>
      <c r="F222" s="61">
        <f>4.1941 * CHOOSE(CONTROL!$C$19, $C$6, 100%, $E$6)</f>
        <v>4.1940999999999997</v>
      </c>
      <c r="G222" s="61">
        <f>4.1961 * CHOOSE(CONTROL!$C$19, $C$6, 100%, $E$6)</f>
        <v>4.1961000000000004</v>
      </c>
      <c r="H222" s="61">
        <f>6.4871* CHOOSE(CONTROL!$C$19, $C$6, 100%, $E$6)</f>
        <v>6.4870999999999999</v>
      </c>
      <c r="I222" s="61">
        <f>6.4891 * CHOOSE(CONTROL!$C$19, $C$6, 100%, $E$6)</f>
        <v>6.4890999999999996</v>
      </c>
      <c r="J222" s="61">
        <f>4.1941 * CHOOSE(CONTROL!$C$19, $C$6, 100%, $E$6)</f>
        <v>4.1940999999999997</v>
      </c>
      <c r="K222" s="61">
        <f>4.1961 * CHOOSE(CONTROL!$C$19, $C$6, 100%, $E$6)</f>
        <v>4.1961000000000004</v>
      </c>
    </row>
    <row r="223" spans="1:11" ht="15">
      <c r="A223" s="13">
        <v>48853</v>
      </c>
      <c r="B223" s="60">
        <f>3.9217 * CHOOSE(CONTROL!$C$19, $C$6, 100%, $E$6)</f>
        <v>3.9217</v>
      </c>
      <c r="C223" s="60">
        <f>3.9217 * CHOOSE(CONTROL!$C$19, $C$6, 100%, $E$6)</f>
        <v>3.9217</v>
      </c>
      <c r="D223" s="60">
        <f>3.9382 * CHOOSE(CONTROL!$C$19, $C$6, 100%, $E$6)</f>
        <v>3.9382000000000001</v>
      </c>
      <c r="E223" s="61">
        <f>4.2058 * CHOOSE(CONTROL!$C$19, $C$6, 100%, $E$6)</f>
        <v>4.2058</v>
      </c>
      <c r="F223" s="61">
        <f>4.2058 * CHOOSE(CONTROL!$C$19, $C$6, 100%, $E$6)</f>
        <v>4.2058</v>
      </c>
      <c r="G223" s="61">
        <f>4.206 * CHOOSE(CONTROL!$C$19, $C$6, 100%, $E$6)</f>
        <v>4.2060000000000004</v>
      </c>
      <c r="H223" s="61">
        <f>6.5006* CHOOSE(CONTROL!$C$19, $C$6, 100%, $E$6)</f>
        <v>6.5006000000000004</v>
      </c>
      <c r="I223" s="61">
        <f>6.5008 * CHOOSE(CONTROL!$C$19, $C$6, 100%, $E$6)</f>
        <v>6.5007999999999999</v>
      </c>
      <c r="J223" s="61">
        <f>4.2058 * CHOOSE(CONTROL!$C$19, $C$6, 100%, $E$6)</f>
        <v>4.2058</v>
      </c>
      <c r="K223" s="61">
        <f>4.206 * CHOOSE(CONTROL!$C$19, $C$6, 100%, $E$6)</f>
        <v>4.2060000000000004</v>
      </c>
    </row>
    <row r="224" spans="1:11" ht="15">
      <c r="A224" s="13">
        <v>48884</v>
      </c>
      <c r="B224" s="60">
        <f>3.9248 * CHOOSE(CONTROL!$C$19, $C$6, 100%, $E$6)</f>
        <v>3.9247999999999998</v>
      </c>
      <c r="C224" s="60">
        <f>3.9248 * CHOOSE(CONTROL!$C$19, $C$6, 100%, $E$6)</f>
        <v>3.9247999999999998</v>
      </c>
      <c r="D224" s="60">
        <f>3.9413 * CHOOSE(CONTROL!$C$19, $C$6, 100%, $E$6)</f>
        <v>3.9413</v>
      </c>
      <c r="E224" s="61">
        <f>4.2205 * CHOOSE(CONTROL!$C$19, $C$6, 100%, $E$6)</f>
        <v>4.2205000000000004</v>
      </c>
      <c r="F224" s="61">
        <f>4.2205 * CHOOSE(CONTROL!$C$19, $C$6, 100%, $E$6)</f>
        <v>4.2205000000000004</v>
      </c>
      <c r="G224" s="61">
        <f>4.2207 * CHOOSE(CONTROL!$C$19, $C$6, 100%, $E$6)</f>
        <v>4.2206999999999999</v>
      </c>
      <c r="H224" s="61">
        <f>6.5141* CHOOSE(CONTROL!$C$19, $C$6, 100%, $E$6)</f>
        <v>6.5141</v>
      </c>
      <c r="I224" s="61">
        <f>6.5143 * CHOOSE(CONTROL!$C$19, $C$6, 100%, $E$6)</f>
        <v>6.5143000000000004</v>
      </c>
      <c r="J224" s="61">
        <f>4.2205 * CHOOSE(CONTROL!$C$19, $C$6, 100%, $E$6)</f>
        <v>4.2205000000000004</v>
      </c>
      <c r="K224" s="61">
        <f>4.2207 * CHOOSE(CONTROL!$C$19, $C$6, 100%, $E$6)</f>
        <v>4.2206999999999999</v>
      </c>
    </row>
    <row r="225" spans="1:11" ht="15">
      <c r="A225" s="13">
        <v>48914</v>
      </c>
      <c r="B225" s="60">
        <f>3.9248 * CHOOSE(CONTROL!$C$19, $C$6, 100%, $E$6)</f>
        <v>3.9247999999999998</v>
      </c>
      <c r="C225" s="60">
        <f>3.9248 * CHOOSE(CONTROL!$C$19, $C$6, 100%, $E$6)</f>
        <v>3.9247999999999998</v>
      </c>
      <c r="D225" s="60">
        <f>3.9413 * CHOOSE(CONTROL!$C$19, $C$6, 100%, $E$6)</f>
        <v>3.9413</v>
      </c>
      <c r="E225" s="61">
        <f>4.189 * CHOOSE(CONTROL!$C$19, $C$6, 100%, $E$6)</f>
        <v>4.1890000000000001</v>
      </c>
      <c r="F225" s="61">
        <f>4.189 * CHOOSE(CONTROL!$C$19, $C$6, 100%, $E$6)</f>
        <v>4.1890000000000001</v>
      </c>
      <c r="G225" s="61">
        <f>4.1892 * CHOOSE(CONTROL!$C$19, $C$6, 100%, $E$6)</f>
        <v>4.1891999999999996</v>
      </c>
      <c r="H225" s="61">
        <f>6.5277* CHOOSE(CONTROL!$C$19, $C$6, 100%, $E$6)</f>
        <v>6.5277000000000003</v>
      </c>
      <c r="I225" s="61">
        <f>6.5279 * CHOOSE(CONTROL!$C$19, $C$6, 100%, $E$6)</f>
        <v>6.5278999999999998</v>
      </c>
      <c r="J225" s="61">
        <f>4.189 * CHOOSE(CONTROL!$C$19, $C$6, 100%, $E$6)</f>
        <v>4.1890000000000001</v>
      </c>
      <c r="K225" s="61">
        <f>4.1892 * CHOOSE(CONTROL!$C$19, $C$6, 100%, $E$6)</f>
        <v>4.1891999999999996</v>
      </c>
    </row>
    <row r="226" spans="1:11" ht="15">
      <c r="A226" s="13">
        <v>48945</v>
      </c>
      <c r="B226" s="60">
        <f>3.9588 * CHOOSE(CONTROL!$C$19, $C$6, 100%, $E$6)</f>
        <v>3.9588000000000001</v>
      </c>
      <c r="C226" s="60">
        <f>3.9588 * CHOOSE(CONTROL!$C$19, $C$6, 100%, $E$6)</f>
        <v>3.9588000000000001</v>
      </c>
      <c r="D226" s="60">
        <f>3.9753 * CHOOSE(CONTROL!$C$19, $C$6, 100%, $E$6)</f>
        <v>3.9752999999999998</v>
      </c>
      <c r="E226" s="61">
        <f>4.2511 * CHOOSE(CONTROL!$C$19, $C$6, 100%, $E$6)</f>
        <v>4.2511000000000001</v>
      </c>
      <c r="F226" s="61">
        <f>4.2511 * CHOOSE(CONTROL!$C$19, $C$6, 100%, $E$6)</f>
        <v>4.2511000000000001</v>
      </c>
      <c r="G226" s="61">
        <f>4.2513 * CHOOSE(CONTROL!$C$19, $C$6, 100%, $E$6)</f>
        <v>4.2512999999999996</v>
      </c>
      <c r="H226" s="61">
        <f>6.5413* CHOOSE(CONTROL!$C$19, $C$6, 100%, $E$6)</f>
        <v>6.5412999999999997</v>
      </c>
      <c r="I226" s="61">
        <f>6.5415 * CHOOSE(CONTROL!$C$19, $C$6, 100%, $E$6)</f>
        <v>6.5415000000000001</v>
      </c>
      <c r="J226" s="61">
        <f>4.2511 * CHOOSE(CONTROL!$C$19, $C$6, 100%, $E$6)</f>
        <v>4.2511000000000001</v>
      </c>
      <c r="K226" s="61">
        <f>4.2513 * CHOOSE(CONTROL!$C$19, $C$6, 100%, $E$6)</f>
        <v>4.2512999999999996</v>
      </c>
    </row>
    <row r="227" spans="1:11" ht="15">
      <c r="A227" s="13">
        <v>48976</v>
      </c>
      <c r="B227" s="60">
        <f>3.9558 * CHOOSE(CONTROL!$C$19, $C$6, 100%, $E$6)</f>
        <v>3.9558</v>
      </c>
      <c r="C227" s="60">
        <f>3.9558 * CHOOSE(CONTROL!$C$19, $C$6, 100%, $E$6)</f>
        <v>3.9558</v>
      </c>
      <c r="D227" s="60">
        <f>3.9723 * CHOOSE(CONTROL!$C$19, $C$6, 100%, $E$6)</f>
        <v>3.9723000000000002</v>
      </c>
      <c r="E227" s="61">
        <f>4.1879 * CHOOSE(CONTROL!$C$19, $C$6, 100%, $E$6)</f>
        <v>4.1879</v>
      </c>
      <c r="F227" s="61">
        <f>4.1879 * CHOOSE(CONTROL!$C$19, $C$6, 100%, $E$6)</f>
        <v>4.1879</v>
      </c>
      <c r="G227" s="61">
        <f>4.188 * CHOOSE(CONTROL!$C$19, $C$6, 100%, $E$6)</f>
        <v>4.1879999999999997</v>
      </c>
      <c r="H227" s="61">
        <f>6.5549* CHOOSE(CONTROL!$C$19, $C$6, 100%, $E$6)</f>
        <v>6.5548999999999999</v>
      </c>
      <c r="I227" s="61">
        <f>6.5551 * CHOOSE(CONTROL!$C$19, $C$6, 100%, $E$6)</f>
        <v>6.5551000000000004</v>
      </c>
      <c r="J227" s="61">
        <f>4.1879 * CHOOSE(CONTROL!$C$19, $C$6, 100%, $E$6)</f>
        <v>4.1879</v>
      </c>
      <c r="K227" s="61">
        <f>4.188 * CHOOSE(CONTROL!$C$19, $C$6, 100%, $E$6)</f>
        <v>4.1879999999999997</v>
      </c>
    </row>
    <row r="228" spans="1:11" ht="15">
      <c r="A228" s="13">
        <v>49004</v>
      </c>
      <c r="B228" s="60">
        <f>3.9527 * CHOOSE(CONTROL!$C$19, $C$6, 100%, $E$6)</f>
        <v>3.9527000000000001</v>
      </c>
      <c r="C228" s="60">
        <f>3.9527 * CHOOSE(CONTROL!$C$19, $C$6, 100%, $E$6)</f>
        <v>3.9527000000000001</v>
      </c>
      <c r="D228" s="60">
        <f>3.9692 * CHOOSE(CONTROL!$C$19, $C$6, 100%, $E$6)</f>
        <v>3.9691999999999998</v>
      </c>
      <c r="E228" s="61">
        <f>4.234 * CHOOSE(CONTROL!$C$19, $C$6, 100%, $E$6)</f>
        <v>4.234</v>
      </c>
      <c r="F228" s="61">
        <f>4.234 * CHOOSE(CONTROL!$C$19, $C$6, 100%, $E$6)</f>
        <v>4.234</v>
      </c>
      <c r="G228" s="61">
        <f>4.2341 * CHOOSE(CONTROL!$C$19, $C$6, 100%, $E$6)</f>
        <v>4.2340999999999998</v>
      </c>
      <c r="H228" s="61">
        <f>6.5686* CHOOSE(CONTROL!$C$19, $C$6, 100%, $E$6)</f>
        <v>6.5686</v>
      </c>
      <c r="I228" s="61">
        <f>6.5688 * CHOOSE(CONTROL!$C$19, $C$6, 100%, $E$6)</f>
        <v>6.5688000000000004</v>
      </c>
      <c r="J228" s="61">
        <f>4.234 * CHOOSE(CONTROL!$C$19, $C$6, 100%, $E$6)</f>
        <v>4.234</v>
      </c>
      <c r="K228" s="61">
        <f>4.2341 * CHOOSE(CONTROL!$C$19, $C$6, 100%, $E$6)</f>
        <v>4.2340999999999998</v>
      </c>
    </row>
    <row r="229" spans="1:11" ht="15">
      <c r="A229" s="13">
        <v>49035</v>
      </c>
      <c r="B229" s="60">
        <f>3.9504 * CHOOSE(CONTROL!$C$19, $C$6, 100%, $E$6)</f>
        <v>3.9504000000000001</v>
      </c>
      <c r="C229" s="60">
        <f>3.9504 * CHOOSE(CONTROL!$C$19, $C$6, 100%, $E$6)</f>
        <v>3.9504000000000001</v>
      </c>
      <c r="D229" s="60">
        <f>3.9669 * CHOOSE(CONTROL!$C$19, $C$6, 100%, $E$6)</f>
        <v>3.9668999999999999</v>
      </c>
      <c r="E229" s="61">
        <f>4.2815 * CHOOSE(CONTROL!$C$19, $C$6, 100%, $E$6)</f>
        <v>4.2815000000000003</v>
      </c>
      <c r="F229" s="61">
        <f>4.2815 * CHOOSE(CONTROL!$C$19, $C$6, 100%, $E$6)</f>
        <v>4.2815000000000003</v>
      </c>
      <c r="G229" s="61">
        <f>4.2817 * CHOOSE(CONTROL!$C$19, $C$6, 100%, $E$6)</f>
        <v>4.2816999999999998</v>
      </c>
      <c r="H229" s="61">
        <f>6.5823* CHOOSE(CONTROL!$C$19, $C$6, 100%, $E$6)</f>
        <v>6.5823</v>
      </c>
      <c r="I229" s="61">
        <f>6.5824 * CHOOSE(CONTROL!$C$19, $C$6, 100%, $E$6)</f>
        <v>6.5823999999999998</v>
      </c>
      <c r="J229" s="61">
        <f>4.2815 * CHOOSE(CONTROL!$C$19, $C$6, 100%, $E$6)</f>
        <v>4.2815000000000003</v>
      </c>
      <c r="K229" s="61">
        <f>4.2817 * CHOOSE(CONTROL!$C$19, $C$6, 100%, $E$6)</f>
        <v>4.2816999999999998</v>
      </c>
    </row>
    <row r="230" spans="1:11" ht="15">
      <c r="A230" s="13">
        <v>49065</v>
      </c>
      <c r="B230" s="60">
        <f>3.9504 * CHOOSE(CONTROL!$C$19, $C$6, 100%, $E$6)</f>
        <v>3.9504000000000001</v>
      </c>
      <c r="C230" s="60">
        <f>3.9504 * CHOOSE(CONTROL!$C$19, $C$6, 100%, $E$6)</f>
        <v>3.9504000000000001</v>
      </c>
      <c r="D230" s="60">
        <f>3.9834 * CHOOSE(CONTROL!$C$19, $C$6, 100%, $E$6)</f>
        <v>3.9834000000000001</v>
      </c>
      <c r="E230" s="61">
        <f>4.3009 * CHOOSE(CONTROL!$C$19, $C$6, 100%, $E$6)</f>
        <v>4.3009000000000004</v>
      </c>
      <c r="F230" s="61">
        <f>4.3009 * CHOOSE(CONTROL!$C$19, $C$6, 100%, $E$6)</f>
        <v>4.3009000000000004</v>
      </c>
      <c r="G230" s="61">
        <f>4.303 * CHOOSE(CONTROL!$C$19, $C$6, 100%, $E$6)</f>
        <v>4.3029999999999999</v>
      </c>
      <c r="H230" s="61">
        <f>6.596* CHOOSE(CONTROL!$C$19, $C$6, 100%, $E$6)</f>
        <v>6.5960000000000001</v>
      </c>
      <c r="I230" s="61">
        <f>6.598 * CHOOSE(CONTROL!$C$19, $C$6, 100%, $E$6)</f>
        <v>6.5979999999999999</v>
      </c>
      <c r="J230" s="61">
        <f>4.3009 * CHOOSE(CONTROL!$C$19, $C$6, 100%, $E$6)</f>
        <v>4.3009000000000004</v>
      </c>
      <c r="K230" s="61">
        <f>4.303 * CHOOSE(CONTROL!$C$19, $C$6, 100%, $E$6)</f>
        <v>4.3029999999999999</v>
      </c>
    </row>
    <row r="231" spans="1:11" ht="15">
      <c r="A231" s="13">
        <v>49096</v>
      </c>
      <c r="B231" s="60">
        <f>3.9565 * CHOOSE(CONTROL!$C$19, $C$6, 100%, $E$6)</f>
        <v>3.9565000000000001</v>
      </c>
      <c r="C231" s="60">
        <f>3.9565 * CHOOSE(CONTROL!$C$19, $C$6, 100%, $E$6)</f>
        <v>3.9565000000000001</v>
      </c>
      <c r="D231" s="60">
        <f>3.9895 * CHOOSE(CONTROL!$C$19, $C$6, 100%, $E$6)</f>
        <v>3.9895</v>
      </c>
      <c r="E231" s="61">
        <f>4.2857 * CHOOSE(CONTROL!$C$19, $C$6, 100%, $E$6)</f>
        <v>4.2857000000000003</v>
      </c>
      <c r="F231" s="61">
        <f>4.2857 * CHOOSE(CONTROL!$C$19, $C$6, 100%, $E$6)</f>
        <v>4.2857000000000003</v>
      </c>
      <c r="G231" s="61">
        <f>4.2878 * CHOOSE(CONTROL!$C$19, $C$6, 100%, $E$6)</f>
        <v>4.2877999999999998</v>
      </c>
      <c r="H231" s="61">
        <f>6.6097* CHOOSE(CONTROL!$C$19, $C$6, 100%, $E$6)</f>
        <v>6.6097000000000001</v>
      </c>
      <c r="I231" s="61">
        <f>6.6118 * CHOOSE(CONTROL!$C$19, $C$6, 100%, $E$6)</f>
        <v>6.6117999999999997</v>
      </c>
      <c r="J231" s="61">
        <f>4.2857 * CHOOSE(CONTROL!$C$19, $C$6, 100%, $E$6)</f>
        <v>4.2857000000000003</v>
      </c>
      <c r="K231" s="61">
        <f>4.2878 * CHOOSE(CONTROL!$C$19, $C$6, 100%, $E$6)</f>
        <v>4.2877999999999998</v>
      </c>
    </row>
    <row r="232" spans="1:11" ht="15">
      <c r="A232" s="13">
        <v>49126</v>
      </c>
      <c r="B232" s="60">
        <f>4.0191 * CHOOSE(CONTROL!$C$19, $C$6, 100%, $E$6)</f>
        <v>4.0190999999999999</v>
      </c>
      <c r="C232" s="60">
        <f>4.0191 * CHOOSE(CONTROL!$C$19, $C$6, 100%, $E$6)</f>
        <v>4.0190999999999999</v>
      </c>
      <c r="D232" s="60">
        <f>4.0521 * CHOOSE(CONTROL!$C$19, $C$6, 100%, $E$6)</f>
        <v>4.0521000000000003</v>
      </c>
      <c r="E232" s="61">
        <f>4.3698 * CHOOSE(CONTROL!$C$19, $C$6, 100%, $E$6)</f>
        <v>4.3697999999999997</v>
      </c>
      <c r="F232" s="61">
        <f>4.3698 * CHOOSE(CONTROL!$C$19, $C$6, 100%, $E$6)</f>
        <v>4.3697999999999997</v>
      </c>
      <c r="G232" s="61">
        <f>4.3719 * CHOOSE(CONTROL!$C$19, $C$6, 100%, $E$6)</f>
        <v>4.3719000000000001</v>
      </c>
      <c r="H232" s="61">
        <f>6.6235* CHOOSE(CONTROL!$C$19, $C$6, 100%, $E$6)</f>
        <v>6.6234999999999999</v>
      </c>
      <c r="I232" s="61">
        <f>6.6255 * CHOOSE(CONTROL!$C$19, $C$6, 100%, $E$6)</f>
        <v>6.6254999999999997</v>
      </c>
      <c r="J232" s="61">
        <f>4.3698 * CHOOSE(CONTROL!$C$19, $C$6, 100%, $E$6)</f>
        <v>4.3697999999999997</v>
      </c>
      <c r="K232" s="61">
        <f>4.3719 * CHOOSE(CONTROL!$C$19, $C$6, 100%, $E$6)</f>
        <v>4.3719000000000001</v>
      </c>
    </row>
    <row r="233" spans="1:11" ht="15">
      <c r="A233" s="13">
        <v>49157</v>
      </c>
      <c r="B233" s="60">
        <f>4.0258 * CHOOSE(CONTROL!$C$19, $C$6, 100%, $E$6)</f>
        <v>4.0258000000000003</v>
      </c>
      <c r="C233" s="60">
        <f>4.0258 * CHOOSE(CONTROL!$C$19, $C$6, 100%, $E$6)</f>
        <v>4.0258000000000003</v>
      </c>
      <c r="D233" s="60">
        <f>4.0588 * CHOOSE(CONTROL!$C$19, $C$6, 100%, $E$6)</f>
        <v>4.0587999999999997</v>
      </c>
      <c r="E233" s="61">
        <f>4.3162 * CHOOSE(CONTROL!$C$19, $C$6, 100%, $E$6)</f>
        <v>4.3162000000000003</v>
      </c>
      <c r="F233" s="61">
        <f>4.3162 * CHOOSE(CONTROL!$C$19, $C$6, 100%, $E$6)</f>
        <v>4.3162000000000003</v>
      </c>
      <c r="G233" s="61">
        <f>4.3183 * CHOOSE(CONTROL!$C$19, $C$6, 100%, $E$6)</f>
        <v>4.3182999999999998</v>
      </c>
      <c r="H233" s="61">
        <f>6.6373* CHOOSE(CONTROL!$C$19, $C$6, 100%, $E$6)</f>
        <v>6.6372999999999998</v>
      </c>
      <c r="I233" s="61">
        <f>6.6393 * CHOOSE(CONTROL!$C$19, $C$6, 100%, $E$6)</f>
        <v>6.6393000000000004</v>
      </c>
      <c r="J233" s="61">
        <f>4.3162 * CHOOSE(CONTROL!$C$19, $C$6, 100%, $E$6)</f>
        <v>4.3162000000000003</v>
      </c>
      <c r="K233" s="61">
        <f>4.3183 * CHOOSE(CONTROL!$C$19, $C$6, 100%, $E$6)</f>
        <v>4.3182999999999998</v>
      </c>
    </row>
    <row r="234" spans="1:11" ht="15">
      <c r="A234" s="13">
        <v>49188</v>
      </c>
      <c r="B234" s="60">
        <f>4.0227 * CHOOSE(CONTROL!$C$19, $C$6, 100%, $E$6)</f>
        <v>4.0227000000000004</v>
      </c>
      <c r="C234" s="60">
        <f>4.0227 * CHOOSE(CONTROL!$C$19, $C$6, 100%, $E$6)</f>
        <v>4.0227000000000004</v>
      </c>
      <c r="D234" s="60">
        <f>4.0557 * CHOOSE(CONTROL!$C$19, $C$6, 100%, $E$6)</f>
        <v>4.0556999999999999</v>
      </c>
      <c r="E234" s="61">
        <f>4.3077 * CHOOSE(CONTROL!$C$19, $C$6, 100%, $E$6)</f>
        <v>4.3076999999999996</v>
      </c>
      <c r="F234" s="61">
        <f>4.3077 * CHOOSE(CONTROL!$C$19, $C$6, 100%, $E$6)</f>
        <v>4.3076999999999996</v>
      </c>
      <c r="G234" s="61">
        <f>4.3097 * CHOOSE(CONTROL!$C$19, $C$6, 100%, $E$6)</f>
        <v>4.3097000000000003</v>
      </c>
      <c r="H234" s="61">
        <f>6.6511* CHOOSE(CONTROL!$C$19, $C$6, 100%, $E$6)</f>
        <v>6.6510999999999996</v>
      </c>
      <c r="I234" s="61">
        <f>6.6532 * CHOOSE(CONTROL!$C$19, $C$6, 100%, $E$6)</f>
        <v>6.6532</v>
      </c>
      <c r="J234" s="61">
        <f>4.3077 * CHOOSE(CONTROL!$C$19, $C$6, 100%, $E$6)</f>
        <v>4.3076999999999996</v>
      </c>
      <c r="K234" s="61">
        <f>4.3097 * CHOOSE(CONTROL!$C$19, $C$6, 100%, $E$6)</f>
        <v>4.3097000000000003</v>
      </c>
    </row>
    <row r="235" spans="1:11" ht="15">
      <c r="A235" s="13">
        <v>49218</v>
      </c>
      <c r="B235" s="60">
        <f>4.0181 * CHOOSE(CONTROL!$C$19, $C$6, 100%, $E$6)</f>
        <v>4.0180999999999996</v>
      </c>
      <c r="C235" s="60">
        <f>4.0181 * CHOOSE(CONTROL!$C$19, $C$6, 100%, $E$6)</f>
        <v>4.0180999999999996</v>
      </c>
      <c r="D235" s="60">
        <f>4.0346 * CHOOSE(CONTROL!$C$19, $C$6, 100%, $E$6)</f>
        <v>4.0346000000000002</v>
      </c>
      <c r="E235" s="61">
        <f>4.3201 * CHOOSE(CONTROL!$C$19, $C$6, 100%, $E$6)</f>
        <v>4.3201000000000001</v>
      </c>
      <c r="F235" s="61">
        <f>4.3201 * CHOOSE(CONTROL!$C$19, $C$6, 100%, $E$6)</f>
        <v>4.3201000000000001</v>
      </c>
      <c r="G235" s="61">
        <f>4.3203 * CHOOSE(CONTROL!$C$19, $C$6, 100%, $E$6)</f>
        <v>4.3202999999999996</v>
      </c>
      <c r="H235" s="61">
        <f>6.665* CHOOSE(CONTROL!$C$19, $C$6, 100%, $E$6)</f>
        <v>6.665</v>
      </c>
      <c r="I235" s="61">
        <f>6.6651 * CHOOSE(CONTROL!$C$19, $C$6, 100%, $E$6)</f>
        <v>6.6650999999999998</v>
      </c>
      <c r="J235" s="61">
        <f>4.3201 * CHOOSE(CONTROL!$C$19, $C$6, 100%, $E$6)</f>
        <v>4.3201000000000001</v>
      </c>
      <c r="K235" s="61">
        <f>4.3203 * CHOOSE(CONTROL!$C$19, $C$6, 100%, $E$6)</f>
        <v>4.3202999999999996</v>
      </c>
    </row>
    <row r="236" spans="1:11" ht="15">
      <c r="A236" s="13">
        <v>49249</v>
      </c>
      <c r="B236" s="60">
        <f>4.0211 * CHOOSE(CONTROL!$C$19, $C$6, 100%, $E$6)</f>
        <v>4.0210999999999997</v>
      </c>
      <c r="C236" s="60">
        <f>4.0211 * CHOOSE(CONTROL!$C$19, $C$6, 100%, $E$6)</f>
        <v>4.0210999999999997</v>
      </c>
      <c r="D236" s="60">
        <f>4.0376 * CHOOSE(CONTROL!$C$19, $C$6, 100%, $E$6)</f>
        <v>4.0376000000000003</v>
      </c>
      <c r="E236" s="61">
        <f>4.3352 * CHOOSE(CONTROL!$C$19, $C$6, 100%, $E$6)</f>
        <v>4.3352000000000004</v>
      </c>
      <c r="F236" s="61">
        <f>4.3352 * CHOOSE(CONTROL!$C$19, $C$6, 100%, $E$6)</f>
        <v>4.3352000000000004</v>
      </c>
      <c r="G236" s="61">
        <f>4.3354 * CHOOSE(CONTROL!$C$19, $C$6, 100%, $E$6)</f>
        <v>4.3353999999999999</v>
      </c>
      <c r="H236" s="61">
        <f>6.6789* CHOOSE(CONTROL!$C$19, $C$6, 100%, $E$6)</f>
        <v>6.6788999999999996</v>
      </c>
      <c r="I236" s="61">
        <f>6.679 * CHOOSE(CONTROL!$C$19, $C$6, 100%, $E$6)</f>
        <v>6.6790000000000003</v>
      </c>
      <c r="J236" s="61">
        <f>4.3352 * CHOOSE(CONTROL!$C$19, $C$6, 100%, $E$6)</f>
        <v>4.3352000000000004</v>
      </c>
      <c r="K236" s="61">
        <f>4.3354 * CHOOSE(CONTROL!$C$19, $C$6, 100%, $E$6)</f>
        <v>4.3353999999999999</v>
      </c>
    </row>
    <row r="237" spans="1:11" ht="15">
      <c r="A237" s="13">
        <v>49279</v>
      </c>
      <c r="B237" s="60">
        <f>4.0211 * CHOOSE(CONTROL!$C$19, $C$6, 100%, $E$6)</f>
        <v>4.0210999999999997</v>
      </c>
      <c r="C237" s="60">
        <f>4.0211 * CHOOSE(CONTROL!$C$19, $C$6, 100%, $E$6)</f>
        <v>4.0210999999999997</v>
      </c>
      <c r="D237" s="60">
        <f>4.0376 * CHOOSE(CONTROL!$C$19, $C$6, 100%, $E$6)</f>
        <v>4.0376000000000003</v>
      </c>
      <c r="E237" s="61">
        <f>4.3028 * CHOOSE(CONTROL!$C$19, $C$6, 100%, $E$6)</f>
        <v>4.3028000000000004</v>
      </c>
      <c r="F237" s="61">
        <f>4.3028 * CHOOSE(CONTROL!$C$19, $C$6, 100%, $E$6)</f>
        <v>4.3028000000000004</v>
      </c>
      <c r="G237" s="61">
        <f>4.303 * CHOOSE(CONTROL!$C$19, $C$6, 100%, $E$6)</f>
        <v>4.3029999999999999</v>
      </c>
      <c r="H237" s="61">
        <f>6.6928* CHOOSE(CONTROL!$C$19, $C$6, 100%, $E$6)</f>
        <v>6.6928000000000001</v>
      </c>
      <c r="I237" s="61">
        <f>6.6929 * CHOOSE(CONTROL!$C$19, $C$6, 100%, $E$6)</f>
        <v>6.6928999999999998</v>
      </c>
      <c r="J237" s="61">
        <f>4.3028 * CHOOSE(CONTROL!$C$19, $C$6, 100%, $E$6)</f>
        <v>4.3028000000000004</v>
      </c>
      <c r="K237" s="61">
        <f>4.303 * CHOOSE(CONTROL!$C$19, $C$6, 100%, $E$6)</f>
        <v>4.3029999999999999</v>
      </c>
    </row>
    <row r="238" spans="1:11" ht="15">
      <c r="A238" s="13">
        <v>49310</v>
      </c>
      <c r="B238" s="60">
        <f>4.0548 * CHOOSE(CONTROL!$C$19, $C$6, 100%, $E$6)</f>
        <v>4.0548000000000002</v>
      </c>
      <c r="C238" s="60">
        <f>4.0548 * CHOOSE(CONTROL!$C$19, $C$6, 100%, $E$6)</f>
        <v>4.0548000000000002</v>
      </c>
      <c r="D238" s="60">
        <f>4.0713 * CHOOSE(CONTROL!$C$19, $C$6, 100%, $E$6)</f>
        <v>4.0712999999999999</v>
      </c>
      <c r="E238" s="61">
        <f>4.3682 * CHOOSE(CONTROL!$C$19, $C$6, 100%, $E$6)</f>
        <v>4.3681999999999999</v>
      </c>
      <c r="F238" s="61">
        <f>4.3682 * CHOOSE(CONTROL!$C$19, $C$6, 100%, $E$6)</f>
        <v>4.3681999999999999</v>
      </c>
      <c r="G238" s="61">
        <f>4.3683 * CHOOSE(CONTROL!$C$19, $C$6, 100%, $E$6)</f>
        <v>4.3682999999999996</v>
      </c>
      <c r="H238" s="61">
        <f>6.7067* CHOOSE(CONTROL!$C$19, $C$6, 100%, $E$6)</f>
        <v>6.7066999999999997</v>
      </c>
      <c r="I238" s="61">
        <f>6.7069 * CHOOSE(CONTROL!$C$19, $C$6, 100%, $E$6)</f>
        <v>6.7069000000000001</v>
      </c>
      <c r="J238" s="61">
        <f>4.3682 * CHOOSE(CONTROL!$C$19, $C$6, 100%, $E$6)</f>
        <v>4.3681999999999999</v>
      </c>
      <c r="K238" s="61">
        <f>4.3683 * CHOOSE(CONTROL!$C$19, $C$6, 100%, $E$6)</f>
        <v>4.3682999999999996</v>
      </c>
    </row>
    <row r="239" spans="1:11" ht="15">
      <c r="A239" s="13">
        <v>49341</v>
      </c>
      <c r="B239" s="60">
        <f>4.0517 * CHOOSE(CONTROL!$C$19, $C$6, 100%, $E$6)</f>
        <v>4.0517000000000003</v>
      </c>
      <c r="C239" s="60">
        <f>4.0517 * CHOOSE(CONTROL!$C$19, $C$6, 100%, $E$6)</f>
        <v>4.0517000000000003</v>
      </c>
      <c r="D239" s="60">
        <f>4.0682 * CHOOSE(CONTROL!$C$19, $C$6, 100%, $E$6)</f>
        <v>4.0682</v>
      </c>
      <c r="E239" s="61">
        <f>4.3031 * CHOOSE(CONTROL!$C$19, $C$6, 100%, $E$6)</f>
        <v>4.3030999999999997</v>
      </c>
      <c r="F239" s="61">
        <f>4.3031 * CHOOSE(CONTROL!$C$19, $C$6, 100%, $E$6)</f>
        <v>4.3030999999999997</v>
      </c>
      <c r="G239" s="61">
        <f>4.3032 * CHOOSE(CONTROL!$C$19, $C$6, 100%, $E$6)</f>
        <v>4.3032000000000004</v>
      </c>
      <c r="H239" s="61">
        <f>6.7207* CHOOSE(CONTROL!$C$19, $C$6, 100%, $E$6)</f>
        <v>6.7206999999999999</v>
      </c>
      <c r="I239" s="61">
        <f>6.7209 * CHOOSE(CONTROL!$C$19, $C$6, 100%, $E$6)</f>
        <v>6.7209000000000003</v>
      </c>
      <c r="J239" s="61">
        <f>4.3031 * CHOOSE(CONTROL!$C$19, $C$6, 100%, $E$6)</f>
        <v>4.3030999999999997</v>
      </c>
      <c r="K239" s="61">
        <f>4.3032 * CHOOSE(CONTROL!$C$19, $C$6, 100%, $E$6)</f>
        <v>4.3032000000000004</v>
      </c>
    </row>
    <row r="240" spans="1:11" ht="15">
      <c r="A240" s="13">
        <v>49369</v>
      </c>
      <c r="B240" s="60">
        <f>4.0487 * CHOOSE(CONTROL!$C$19, $C$6, 100%, $E$6)</f>
        <v>4.0487000000000002</v>
      </c>
      <c r="C240" s="60">
        <f>4.0487 * CHOOSE(CONTROL!$C$19, $C$6, 100%, $E$6)</f>
        <v>4.0487000000000002</v>
      </c>
      <c r="D240" s="60">
        <f>4.0652 * CHOOSE(CONTROL!$C$19, $C$6, 100%, $E$6)</f>
        <v>4.0651999999999999</v>
      </c>
      <c r="E240" s="61">
        <f>4.3506 * CHOOSE(CONTROL!$C$19, $C$6, 100%, $E$6)</f>
        <v>4.3506</v>
      </c>
      <c r="F240" s="61">
        <f>4.3506 * CHOOSE(CONTROL!$C$19, $C$6, 100%, $E$6)</f>
        <v>4.3506</v>
      </c>
      <c r="G240" s="61">
        <f>4.3508 * CHOOSE(CONTROL!$C$19, $C$6, 100%, $E$6)</f>
        <v>4.3507999999999996</v>
      </c>
      <c r="H240" s="61">
        <f>6.7347* CHOOSE(CONTROL!$C$19, $C$6, 100%, $E$6)</f>
        <v>6.7347000000000001</v>
      </c>
      <c r="I240" s="61">
        <f>6.7349 * CHOOSE(CONTROL!$C$19, $C$6, 100%, $E$6)</f>
        <v>6.7348999999999997</v>
      </c>
      <c r="J240" s="61">
        <f>4.3506 * CHOOSE(CONTROL!$C$19, $C$6, 100%, $E$6)</f>
        <v>4.3506</v>
      </c>
      <c r="K240" s="61">
        <f>4.3508 * CHOOSE(CONTROL!$C$19, $C$6, 100%, $E$6)</f>
        <v>4.3507999999999996</v>
      </c>
    </row>
    <row r="241" spans="1:11" ht="15">
      <c r="A241" s="13">
        <v>49400</v>
      </c>
      <c r="B241" s="60">
        <f>4.0465 * CHOOSE(CONTROL!$C$19, $C$6, 100%, $E$6)</f>
        <v>4.0465</v>
      </c>
      <c r="C241" s="60">
        <f>4.0465 * CHOOSE(CONTROL!$C$19, $C$6, 100%, $E$6)</f>
        <v>4.0465</v>
      </c>
      <c r="D241" s="60">
        <f>4.063 * CHOOSE(CONTROL!$C$19, $C$6, 100%, $E$6)</f>
        <v>4.0629999999999997</v>
      </c>
      <c r="E241" s="61">
        <f>4.3997 * CHOOSE(CONTROL!$C$19, $C$6, 100%, $E$6)</f>
        <v>4.3997000000000002</v>
      </c>
      <c r="F241" s="61">
        <f>4.3997 * CHOOSE(CONTROL!$C$19, $C$6, 100%, $E$6)</f>
        <v>4.3997000000000002</v>
      </c>
      <c r="G241" s="61">
        <f>4.3999 * CHOOSE(CONTROL!$C$19, $C$6, 100%, $E$6)</f>
        <v>4.3998999999999997</v>
      </c>
      <c r="H241" s="61">
        <f>6.7487* CHOOSE(CONTROL!$C$19, $C$6, 100%, $E$6)</f>
        <v>6.7487000000000004</v>
      </c>
      <c r="I241" s="61">
        <f>6.7489 * CHOOSE(CONTROL!$C$19, $C$6, 100%, $E$6)</f>
        <v>6.7488999999999999</v>
      </c>
      <c r="J241" s="61">
        <f>4.3997 * CHOOSE(CONTROL!$C$19, $C$6, 100%, $E$6)</f>
        <v>4.3997000000000002</v>
      </c>
      <c r="K241" s="61">
        <f>4.3999 * CHOOSE(CONTROL!$C$19, $C$6, 100%, $E$6)</f>
        <v>4.3998999999999997</v>
      </c>
    </row>
    <row r="242" spans="1:11" ht="15">
      <c r="A242" s="13">
        <v>49430</v>
      </c>
      <c r="B242" s="60">
        <f>4.0465 * CHOOSE(CONTROL!$C$19, $C$6, 100%, $E$6)</f>
        <v>4.0465</v>
      </c>
      <c r="C242" s="60">
        <f>4.0465 * CHOOSE(CONTROL!$C$19, $C$6, 100%, $E$6)</f>
        <v>4.0465</v>
      </c>
      <c r="D242" s="60">
        <f>4.0795 * CHOOSE(CONTROL!$C$19, $C$6, 100%, $E$6)</f>
        <v>4.0795000000000003</v>
      </c>
      <c r="E242" s="61">
        <f>4.4197 * CHOOSE(CONTROL!$C$19, $C$6, 100%, $E$6)</f>
        <v>4.4196999999999997</v>
      </c>
      <c r="F242" s="61">
        <f>4.4197 * CHOOSE(CONTROL!$C$19, $C$6, 100%, $E$6)</f>
        <v>4.4196999999999997</v>
      </c>
      <c r="G242" s="61">
        <f>4.4217 * CHOOSE(CONTROL!$C$19, $C$6, 100%, $E$6)</f>
        <v>4.4217000000000004</v>
      </c>
      <c r="H242" s="61">
        <f>6.7628* CHOOSE(CONTROL!$C$19, $C$6, 100%, $E$6)</f>
        <v>6.7628000000000004</v>
      </c>
      <c r="I242" s="61">
        <f>6.7648 * CHOOSE(CONTROL!$C$19, $C$6, 100%, $E$6)</f>
        <v>6.7648000000000001</v>
      </c>
      <c r="J242" s="61">
        <f>4.4197 * CHOOSE(CONTROL!$C$19, $C$6, 100%, $E$6)</f>
        <v>4.4196999999999997</v>
      </c>
      <c r="K242" s="61">
        <f>4.4217 * CHOOSE(CONTROL!$C$19, $C$6, 100%, $E$6)</f>
        <v>4.4217000000000004</v>
      </c>
    </row>
    <row r="243" spans="1:11" ht="15">
      <c r="A243" s="13">
        <v>49461</v>
      </c>
      <c r="B243" s="60">
        <f>4.0525 * CHOOSE(CONTROL!$C$19, $C$6, 100%, $E$6)</f>
        <v>4.0525000000000002</v>
      </c>
      <c r="C243" s="60">
        <f>4.0525 * CHOOSE(CONTROL!$C$19, $C$6, 100%, $E$6)</f>
        <v>4.0525000000000002</v>
      </c>
      <c r="D243" s="60">
        <f>4.0855 * CHOOSE(CONTROL!$C$19, $C$6, 100%, $E$6)</f>
        <v>4.0854999999999997</v>
      </c>
      <c r="E243" s="61">
        <f>4.4039 * CHOOSE(CONTROL!$C$19, $C$6, 100%, $E$6)</f>
        <v>4.4039000000000001</v>
      </c>
      <c r="F243" s="61">
        <f>4.4039 * CHOOSE(CONTROL!$C$19, $C$6, 100%, $E$6)</f>
        <v>4.4039000000000001</v>
      </c>
      <c r="G243" s="61">
        <f>4.406 * CHOOSE(CONTROL!$C$19, $C$6, 100%, $E$6)</f>
        <v>4.4059999999999997</v>
      </c>
      <c r="H243" s="61">
        <f>6.7769* CHOOSE(CONTROL!$C$19, $C$6, 100%, $E$6)</f>
        <v>6.7769000000000004</v>
      </c>
      <c r="I243" s="61">
        <f>6.7789 * CHOOSE(CONTROL!$C$19, $C$6, 100%, $E$6)</f>
        <v>6.7789000000000001</v>
      </c>
      <c r="J243" s="61">
        <f>4.4039 * CHOOSE(CONTROL!$C$19, $C$6, 100%, $E$6)</f>
        <v>4.4039000000000001</v>
      </c>
      <c r="K243" s="61">
        <f>4.406 * CHOOSE(CONTROL!$C$19, $C$6, 100%, $E$6)</f>
        <v>4.4059999999999997</v>
      </c>
    </row>
    <row r="244" spans="1:11" ht="15">
      <c r="A244" s="13">
        <v>49491</v>
      </c>
      <c r="B244" s="60">
        <f>4.1138 * CHOOSE(CONTROL!$C$19, $C$6, 100%, $E$6)</f>
        <v>4.1138000000000003</v>
      </c>
      <c r="C244" s="60">
        <f>4.1138 * CHOOSE(CONTROL!$C$19, $C$6, 100%, $E$6)</f>
        <v>4.1138000000000003</v>
      </c>
      <c r="D244" s="60">
        <f>4.1468 * CHOOSE(CONTROL!$C$19, $C$6, 100%, $E$6)</f>
        <v>4.1467999999999998</v>
      </c>
      <c r="E244" s="61">
        <f>4.4932 * CHOOSE(CONTROL!$C$19, $C$6, 100%, $E$6)</f>
        <v>4.4931999999999999</v>
      </c>
      <c r="F244" s="61">
        <f>4.4932 * CHOOSE(CONTROL!$C$19, $C$6, 100%, $E$6)</f>
        <v>4.4931999999999999</v>
      </c>
      <c r="G244" s="61">
        <f>4.4952 * CHOOSE(CONTROL!$C$19, $C$6, 100%, $E$6)</f>
        <v>4.4951999999999996</v>
      </c>
      <c r="H244" s="61">
        <f>6.791* CHOOSE(CONTROL!$C$19, $C$6, 100%, $E$6)</f>
        <v>6.7910000000000004</v>
      </c>
      <c r="I244" s="61">
        <f>6.793 * CHOOSE(CONTROL!$C$19, $C$6, 100%, $E$6)</f>
        <v>6.7930000000000001</v>
      </c>
      <c r="J244" s="61">
        <f>4.4932 * CHOOSE(CONTROL!$C$19, $C$6, 100%, $E$6)</f>
        <v>4.4931999999999999</v>
      </c>
      <c r="K244" s="61">
        <f>4.4952 * CHOOSE(CONTROL!$C$19, $C$6, 100%, $E$6)</f>
        <v>4.4951999999999996</v>
      </c>
    </row>
    <row r="245" spans="1:11" ht="15">
      <c r="A245" s="13">
        <v>49522</v>
      </c>
      <c r="B245" s="60">
        <f>4.1205 * CHOOSE(CONTROL!$C$19, $C$6, 100%, $E$6)</f>
        <v>4.1204999999999998</v>
      </c>
      <c r="C245" s="60">
        <f>4.1205 * CHOOSE(CONTROL!$C$19, $C$6, 100%, $E$6)</f>
        <v>4.1204999999999998</v>
      </c>
      <c r="D245" s="60">
        <f>4.1535 * CHOOSE(CONTROL!$C$19, $C$6, 100%, $E$6)</f>
        <v>4.1535000000000002</v>
      </c>
      <c r="E245" s="61">
        <f>4.4378 * CHOOSE(CONTROL!$C$19, $C$6, 100%, $E$6)</f>
        <v>4.4378000000000002</v>
      </c>
      <c r="F245" s="61">
        <f>4.4378 * CHOOSE(CONTROL!$C$19, $C$6, 100%, $E$6)</f>
        <v>4.4378000000000002</v>
      </c>
      <c r="G245" s="61">
        <f>4.4399 * CHOOSE(CONTROL!$C$19, $C$6, 100%, $E$6)</f>
        <v>4.4398999999999997</v>
      </c>
      <c r="H245" s="61">
        <f>6.8051* CHOOSE(CONTROL!$C$19, $C$6, 100%, $E$6)</f>
        <v>6.8051000000000004</v>
      </c>
      <c r="I245" s="61">
        <f>6.8072 * CHOOSE(CONTROL!$C$19, $C$6, 100%, $E$6)</f>
        <v>6.8071999999999999</v>
      </c>
      <c r="J245" s="61">
        <f>4.4378 * CHOOSE(CONTROL!$C$19, $C$6, 100%, $E$6)</f>
        <v>4.4378000000000002</v>
      </c>
      <c r="K245" s="61">
        <f>4.4399 * CHOOSE(CONTROL!$C$19, $C$6, 100%, $E$6)</f>
        <v>4.4398999999999997</v>
      </c>
    </row>
    <row r="246" spans="1:11" ht="15">
      <c r="A246" s="13">
        <v>49553</v>
      </c>
      <c r="B246" s="60">
        <f>4.1174 * CHOOSE(CONTROL!$C$19, $C$6, 100%, $E$6)</f>
        <v>4.1173999999999999</v>
      </c>
      <c r="C246" s="60">
        <f>4.1174 * CHOOSE(CONTROL!$C$19, $C$6, 100%, $E$6)</f>
        <v>4.1173999999999999</v>
      </c>
      <c r="D246" s="60">
        <f>4.1504 * CHOOSE(CONTROL!$C$19, $C$6, 100%, $E$6)</f>
        <v>4.1504000000000003</v>
      </c>
      <c r="E246" s="61">
        <f>4.4291 * CHOOSE(CONTROL!$C$19, $C$6, 100%, $E$6)</f>
        <v>4.4291</v>
      </c>
      <c r="F246" s="61">
        <f>4.4291 * CHOOSE(CONTROL!$C$19, $C$6, 100%, $E$6)</f>
        <v>4.4291</v>
      </c>
      <c r="G246" s="61">
        <f>4.4311 * CHOOSE(CONTROL!$C$19, $C$6, 100%, $E$6)</f>
        <v>4.4310999999999998</v>
      </c>
      <c r="H246" s="61">
        <f>6.8193* CHOOSE(CONTROL!$C$19, $C$6, 100%, $E$6)</f>
        <v>6.8193000000000001</v>
      </c>
      <c r="I246" s="61">
        <f>6.8214 * CHOOSE(CONTROL!$C$19, $C$6, 100%, $E$6)</f>
        <v>6.8213999999999997</v>
      </c>
      <c r="J246" s="61">
        <f>4.4291 * CHOOSE(CONTROL!$C$19, $C$6, 100%, $E$6)</f>
        <v>4.4291</v>
      </c>
      <c r="K246" s="61">
        <f>4.4311 * CHOOSE(CONTROL!$C$19, $C$6, 100%, $E$6)</f>
        <v>4.4310999999999998</v>
      </c>
    </row>
    <row r="247" spans="1:11" ht="15">
      <c r="A247" s="13">
        <v>49583</v>
      </c>
      <c r="B247" s="60">
        <f>4.1131 * CHOOSE(CONTROL!$C$19, $C$6, 100%, $E$6)</f>
        <v>4.1131000000000002</v>
      </c>
      <c r="C247" s="60">
        <f>4.1131 * CHOOSE(CONTROL!$C$19, $C$6, 100%, $E$6)</f>
        <v>4.1131000000000002</v>
      </c>
      <c r="D247" s="60">
        <f>4.1296 * CHOOSE(CONTROL!$C$19, $C$6, 100%, $E$6)</f>
        <v>4.1295999999999999</v>
      </c>
      <c r="E247" s="61">
        <f>4.4423 * CHOOSE(CONTROL!$C$19, $C$6, 100%, $E$6)</f>
        <v>4.4423000000000004</v>
      </c>
      <c r="F247" s="61">
        <f>4.4423 * CHOOSE(CONTROL!$C$19, $C$6, 100%, $E$6)</f>
        <v>4.4423000000000004</v>
      </c>
      <c r="G247" s="61">
        <f>4.4425 * CHOOSE(CONTROL!$C$19, $C$6, 100%, $E$6)</f>
        <v>4.4424999999999999</v>
      </c>
      <c r="H247" s="61">
        <f>6.8335* CHOOSE(CONTROL!$C$19, $C$6, 100%, $E$6)</f>
        <v>6.8334999999999999</v>
      </c>
      <c r="I247" s="61">
        <f>6.8337 * CHOOSE(CONTROL!$C$19, $C$6, 100%, $E$6)</f>
        <v>6.8337000000000003</v>
      </c>
      <c r="J247" s="61">
        <f>4.4423 * CHOOSE(CONTROL!$C$19, $C$6, 100%, $E$6)</f>
        <v>4.4423000000000004</v>
      </c>
      <c r="K247" s="61">
        <f>4.4425 * CHOOSE(CONTROL!$C$19, $C$6, 100%, $E$6)</f>
        <v>4.4424999999999999</v>
      </c>
    </row>
    <row r="248" spans="1:11" ht="15">
      <c r="A248" s="13">
        <v>49614</v>
      </c>
      <c r="B248" s="60">
        <f>4.1162 * CHOOSE(CONTROL!$C$19, $C$6, 100%, $E$6)</f>
        <v>4.1162000000000001</v>
      </c>
      <c r="C248" s="60">
        <f>4.1162 * CHOOSE(CONTROL!$C$19, $C$6, 100%, $E$6)</f>
        <v>4.1162000000000001</v>
      </c>
      <c r="D248" s="60">
        <f>4.1327 * CHOOSE(CONTROL!$C$19, $C$6, 100%, $E$6)</f>
        <v>4.1326999999999998</v>
      </c>
      <c r="E248" s="61">
        <f>4.4578 * CHOOSE(CONTROL!$C$19, $C$6, 100%, $E$6)</f>
        <v>4.4577999999999998</v>
      </c>
      <c r="F248" s="61">
        <f>4.4578 * CHOOSE(CONTROL!$C$19, $C$6, 100%, $E$6)</f>
        <v>4.4577999999999998</v>
      </c>
      <c r="G248" s="61">
        <f>4.4579 * CHOOSE(CONTROL!$C$19, $C$6, 100%, $E$6)</f>
        <v>4.4579000000000004</v>
      </c>
      <c r="H248" s="61">
        <f>6.8478* CHOOSE(CONTROL!$C$19, $C$6, 100%, $E$6)</f>
        <v>6.8478000000000003</v>
      </c>
      <c r="I248" s="61">
        <f>6.8479 * CHOOSE(CONTROL!$C$19, $C$6, 100%, $E$6)</f>
        <v>6.8479000000000001</v>
      </c>
      <c r="J248" s="61">
        <f>4.4578 * CHOOSE(CONTROL!$C$19, $C$6, 100%, $E$6)</f>
        <v>4.4577999999999998</v>
      </c>
      <c r="K248" s="61">
        <f>4.4579 * CHOOSE(CONTROL!$C$19, $C$6, 100%, $E$6)</f>
        <v>4.4579000000000004</v>
      </c>
    </row>
    <row r="249" spans="1:11" ht="15">
      <c r="A249" s="13">
        <v>49644</v>
      </c>
      <c r="B249" s="60">
        <f>4.1162 * CHOOSE(CONTROL!$C$19, $C$6, 100%, $E$6)</f>
        <v>4.1162000000000001</v>
      </c>
      <c r="C249" s="60">
        <f>4.1162 * CHOOSE(CONTROL!$C$19, $C$6, 100%, $E$6)</f>
        <v>4.1162000000000001</v>
      </c>
      <c r="D249" s="60">
        <f>4.1327 * CHOOSE(CONTROL!$C$19, $C$6, 100%, $E$6)</f>
        <v>4.1326999999999998</v>
      </c>
      <c r="E249" s="61">
        <f>4.4244 * CHOOSE(CONTROL!$C$19, $C$6, 100%, $E$6)</f>
        <v>4.4244000000000003</v>
      </c>
      <c r="F249" s="61">
        <f>4.4244 * CHOOSE(CONTROL!$C$19, $C$6, 100%, $E$6)</f>
        <v>4.4244000000000003</v>
      </c>
      <c r="G249" s="61">
        <f>4.4246 * CHOOSE(CONTROL!$C$19, $C$6, 100%, $E$6)</f>
        <v>4.4245999999999999</v>
      </c>
      <c r="H249" s="61">
        <f>6.862* CHOOSE(CONTROL!$C$19, $C$6, 100%, $E$6)</f>
        <v>6.8620000000000001</v>
      </c>
      <c r="I249" s="61">
        <f>6.8622 * CHOOSE(CONTROL!$C$19, $C$6, 100%, $E$6)</f>
        <v>6.8621999999999996</v>
      </c>
      <c r="J249" s="61">
        <f>4.4244 * CHOOSE(CONTROL!$C$19, $C$6, 100%, $E$6)</f>
        <v>4.4244000000000003</v>
      </c>
      <c r="K249" s="61">
        <f>4.4246 * CHOOSE(CONTROL!$C$19, $C$6, 100%, $E$6)</f>
        <v>4.4245999999999999</v>
      </c>
    </row>
    <row r="250" spans="1:11" ht="15">
      <c r="A250" s="13">
        <v>49675</v>
      </c>
      <c r="B250" s="60">
        <f>4.1517 * CHOOSE(CONTROL!$C$19, $C$6, 100%, $E$6)</f>
        <v>4.1516999999999999</v>
      </c>
      <c r="C250" s="60">
        <f>4.1517 * CHOOSE(CONTROL!$C$19, $C$6, 100%, $E$6)</f>
        <v>4.1516999999999999</v>
      </c>
      <c r="D250" s="60">
        <f>4.1682 * CHOOSE(CONTROL!$C$19, $C$6, 100%, $E$6)</f>
        <v>4.1681999999999997</v>
      </c>
      <c r="E250" s="61">
        <f>4.4874 * CHOOSE(CONTROL!$C$19, $C$6, 100%, $E$6)</f>
        <v>4.4874000000000001</v>
      </c>
      <c r="F250" s="61">
        <f>4.4874 * CHOOSE(CONTROL!$C$19, $C$6, 100%, $E$6)</f>
        <v>4.4874000000000001</v>
      </c>
      <c r="G250" s="61">
        <f>4.4876 * CHOOSE(CONTROL!$C$19, $C$6, 100%, $E$6)</f>
        <v>4.4875999999999996</v>
      </c>
      <c r="H250" s="61">
        <f>6.8763* CHOOSE(CONTROL!$C$19, $C$6, 100%, $E$6)</f>
        <v>6.8762999999999996</v>
      </c>
      <c r="I250" s="61">
        <f>6.8765 * CHOOSE(CONTROL!$C$19, $C$6, 100%, $E$6)</f>
        <v>6.8765000000000001</v>
      </c>
      <c r="J250" s="61">
        <f>4.4874 * CHOOSE(CONTROL!$C$19, $C$6, 100%, $E$6)</f>
        <v>4.4874000000000001</v>
      </c>
      <c r="K250" s="61">
        <f>4.4876 * CHOOSE(CONTROL!$C$19, $C$6, 100%, $E$6)</f>
        <v>4.4875999999999996</v>
      </c>
    </row>
    <row r="251" spans="1:11" ht="15">
      <c r="A251" s="13">
        <v>49706</v>
      </c>
      <c r="B251" s="60">
        <f>4.1486 * CHOOSE(CONTROL!$C$19, $C$6, 100%, $E$6)</f>
        <v>4.1486000000000001</v>
      </c>
      <c r="C251" s="60">
        <f>4.1486 * CHOOSE(CONTROL!$C$19, $C$6, 100%, $E$6)</f>
        <v>4.1486000000000001</v>
      </c>
      <c r="D251" s="60">
        <f>4.1651 * CHOOSE(CONTROL!$C$19, $C$6, 100%, $E$6)</f>
        <v>4.1650999999999998</v>
      </c>
      <c r="E251" s="61">
        <f>4.4208 * CHOOSE(CONTROL!$C$19, $C$6, 100%, $E$6)</f>
        <v>4.4207999999999998</v>
      </c>
      <c r="F251" s="61">
        <f>4.4208 * CHOOSE(CONTROL!$C$19, $C$6, 100%, $E$6)</f>
        <v>4.4207999999999998</v>
      </c>
      <c r="G251" s="61">
        <f>4.4209 * CHOOSE(CONTROL!$C$19, $C$6, 100%, $E$6)</f>
        <v>4.4208999999999996</v>
      </c>
      <c r="H251" s="61">
        <f>6.8906* CHOOSE(CONTROL!$C$19, $C$6, 100%, $E$6)</f>
        <v>6.8906000000000001</v>
      </c>
      <c r="I251" s="61">
        <f>6.8908 * CHOOSE(CONTROL!$C$19, $C$6, 100%, $E$6)</f>
        <v>6.8907999999999996</v>
      </c>
      <c r="J251" s="61">
        <f>4.4208 * CHOOSE(CONTROL!$C$19, $C$6, 100%, $E$6)</f>
        <v>4.4207999999999998</v>
      </c>
      <c r="K251" s="61">
        <f>4.4209 * CHOOSE(CONTROL!$C$19, $C$6, 100%, $E$6)</f>
        <v>4.4208999999999996</v>
      </c>
    </row>
    <row r="252" spans="1:11" ht="15">
      <c r="A252" s="13">
        <v>49735</v>
      </c>
      <c r="B252" s="60">
        <f>4.1456 * CHOOSE(CONTROL!$C$19, $C$6, 100%, $E$6)</f>
        <v>4.1456</v>
      </c>
      <c r="C252" s="60">
        <f>4.1456 * CHOOSE(CONTROL!$C$19, $C$6, 100%, $E$6)</f>
        <v>4.1456</v>
      </c>
      <c r="D252" s="60">
        <f>4.1621 * CHOOSE(CONTROL!$C$19, $C$6, 100%, $E$6)</f>
        <v>4.1620999999999997</v>
      </c>
      <c r="E252" s="61">
        <f>4.4695 * CHOOSE(CONTROL!$C$19, $C$6, 100%, $E$6)</f>
        <v>4.4695</v>
      </c>
      <c r="F252" s="61">
        <f>4.4695 * CHOOSE(CONTROL!$C$19, $C$6, 100%, $E$6)</f>
        <v>4.4695</v>
      </c>
      <c r="G252" s="61">
        <f>4.4697 * CHOOSE(CONTROL!$C$19, $C$6, 100%, $E$6)</f>
        <v>4.4696999999999996</v>
      </c>
      <c r="H252" s="61">
        <f>6.905* CHOOSE(CONTROL!$C$19, $C$6, 100%, $E$6)</f>
        <v>6.9050000000000002</v>
      </c>
      <c r="I252" s="61">
        <f>6.9052 * CHOOSE(CONTROL!$C$19, $C$6, 100%, $E$6)</f>
        <v>6.9051999999999998</v>
      </c>
      <c r="J252" s="61">
        <f>4.4695 * CHOOSE(CONTROL!$C$19, $C$6, 100%, $E$6)</f>
        <v>4.4695</v>
      </c>
      <c r="K252" s="61">
        <f>4.4697 * CHOOSE(CONTROL!$C$19, $C$6, 100%, $E$6)</f>
        <v>4.4696999999999996</v>
      </c>
    </row>
    <row r="253" spans="1:11" ht="15">
      <c r="A253" s="13">
        <v>49766</v>
      </c>
      <c r="B253" s="60">
        <f>4.1434 * CHOOSE(CONTROL!$C$19, $C$6, 100%, $E$6)</f>
        <v>4.1433999999999997</v>
      </c>
      <c r="C253" s="60">
        <f>4.1434 * CHOOSE(CONTROL!$C$19, $C$6, 100%, $E$6)</f>
        <v>4.1433999999999997</v>
      </c>
      <c r="D253" s="60">
        <f>4.1599 * CHOOSE(CONTROL!$C$19, $C$6, 100%, $E$6)</f>
        <v>4.1599000000000004</v>
      </c>
      <c r="E253" s="61">
        <f>4.52 * CHOOSE(CONTROL!$C$19, $C$6, 100%, $E$6)</f>
        <v>4.5199999999999996</v>
      </c>
      <c r="F253" s="61">
        <f>4.52 * CHOOSE(CONTROL!$C$19, $C$6, 100%, $E$6)</f>
        <v>4.5199999999999996</v>
      </c>
      <c r="G253" s="61">
        <f>4.5201 * CHOOSE(CONTROL!$C$19, $C$6, 100%, $E$6)</f>
        <v>4.5201000000000002</v>
      </c>
      <c r="H253" s="61">
        <f>6.9194* CHOOSE(CONTROL!$C$19, $C$6, 100%, $E$6)</f>
        <v>6.9194000000000004</v>
      </c>
      <c r="I253" s="61">
        <f>6.9196 * CHOOSE(CONTROL!$C$19, $C$6, 100%, $E$6)</f>
        <v>6.9196</v>
      </c>
      <c r="J253" s="61">
        <f>4.52 * CHOOSE(CONTROL!$C$19, $C$6, 100%, $E$6)</f>
        <v>4.5199999999999996</v>
      </c>
      <c r="K253" s="61">
        <f>4.5201 * CHOOSE(CONTROL!$C$19, $C$6, 100%, $E$6)</f>
        <v>4.5201000000000002</v>
      </c>
    </row>
    <row r="254" spans="1:11" ht="15">
      <c r="A254" s="13">
        <v>49796</v>
      </c>
      <c r="B254" s="60">
        <f>4.1434 * CHOOSE(CONTROL!$C$19, $C$6, 100%, $E$6)</f>
        <v>4.1433999999999997</v>
      </c>
      <c r="C254" s="60">
        <f>4.1434 * CHOOSE(CONTROL!$C$19, $C$6, 100%, $E$6)</f>
        <v>4.1433999999999997</v>
      </c>
      <c r="D254" s="60">
        <f>4.1764 * CHOOSE(CONTROL!$C$19, $C$6, 100%, $E$6)</f>
        <v>4.1764000000000001</v>
      </c>
      <c r="E254" s="61">
        <f>4.5405 * CHOOSE(CONTROL!$C$19, $C$6, 100%, $E$6)</f>
        <v>4.5404999999999998</v>
      </c>
      <c r="F254" s="61">
        <f>4.5405 * CHOOSE(CONTROL!$C$19, $C$6, 100%, $E$6)</f>
        <v>4.5404999999999998</v>
      </c>
      <c r="G254" s="61">
        <f>4.5425 * CHOOSE(CONTROL!$C$19, $C$6, 100%, $E$6)</f>
        <v>4.5425000000000004</v>
      </c>
      <c r="H254" s="61">
        <f>6.9338* CHOOSE(CONTROL!$C$19, $C$6, 100%, $E$6)</f>
        <v>6.9337999999999997</v>
      </c>
      <c r="I254" s="61">
        <f>6.9358 * CHOOSE(CONTROL!$C$19, $C$6, 100%, $E$6)</f>
        <v>6.9358000000000004</v>
      </c>
      <c r="J254" s="61">
        <f>4.5405 * CHOOSE(CONTROL!$C$19, $C$6, 100%, $E$6)</f>
        <v>4.5404999999999998</v>
      </c>
      <c r="K254" s="61">
        <f>4.5425 * CHOOSE(CONTROL!$C$19, $C$6, 100%, $E$6)</f>
        <v>4.5425000000000004</v>
      </c>
    </row>
    <row r="255" spans="1:11" ht="15">
      <c r="A255" s="13">
        <v>49827</v>
      </c>
      <c r="B255" s="60">
        <f>4.1495 * CHOOSE(CONTROL!$C$19, $C$6, 100%, $E$6)</f>
        <v>4.1494999999999997</v>
      </c>
      <c r="C255" s="60">
        <f>4.1495 * CHOOSE(CONTROL!$C$19, $C$6, 100%, $E$6)</f>
        <v>4.1494999999999997</v>
      </c>
      <c r="D255" s="60">
        <f>4.1825 * CHOOSE(CONTROL!$C$19, $C$6, 100%, $E$6)</f>
        <v>4.1825000000000001</v>
      </c>
      <c r="E255" s="61">
        <f>4.5242 * CHOOSE(CONTROL!$C$19, $C$6, 100%, $E$6)</f>
        <v>4.5242000000000004</v>
      </c>
      <c r="F255" s="61">
        <f>4.5242 * CHOOSE(CONTROL!$C$19, $C$6, 100%, $E$6)</f>
        <v>4.5242000000000004</v>
      </c>
      <c r="G255" s="61">
        <f>4.5262 * CHOOSE(CONTROL!$C$19, $C$6, 100%, $E$6)</f>
        <v>4.5262000000000002</v>
      </c>
      <c r="H255" s="61">
        <f>6.9482* CHOOSE(CONTROL!$C$19, $C$6, 100%, $E$6)</f>
        <v>6.9481999999999999</v>
      </c>
      <c r="I255" s="61">
        <f>6.9503 * CHOOSE(CONTROL!$C$19, $C$6, 100%, $E$6)</f>
        <v>6.9503000000000004</v>
      </c>
      <c r="J255" s="61">
        <f>4.5242 * CHOOSE(CONTROL!$C$19, $C$6, 100%, $E$6)</f>
        <v>4.5242000000000004</v>
      </c>
      <c r="K255" s="61">
        <f>4.5262 * CHOOSE(CONTROL!$C$19, $C$6, 100%, $E$6)</f>
        <v>4.5262000000000002</v>
      </c>
    </row>
    <row r="256" spans="1:11" ht="15">
      <c r="A256" s="13">
        <v>49857</v>
      </c>
      <c r="B256" s="60">
        <f>4.2149 * CHOOSE(CONTROL!$C$19, $C$6, 100%, $E$6)</f>
        <v>4.2149000000000001</v>
      </c>
      <c r="C256" s="60">
        <f>4.2149 * CHOOSE(CONTROL!$C$19, $C$6, 100%, $E$6)</f>
        <v>4.2149000000000001</v>
      </c>
      <c r="D256" s="60">
        <f>4.248 * CHOOSE(CONTROL!$C$19, $C$6, 100%, $E$6)</f>
        <v>4.2480000000000002</v>
      </c>
      <c r="E256" s="61">
        <f>4.6138 * CHOOSE(CONTROL!$C$19, $C$6, 100%, $E$6)</f>
        <v>4.6138000000000003</v>
      </c>
      <c r="F256" s="61">
        <f>4.6138 * CHOOSE(CONTROL!$C$19, $C$6, 100%, $E$6)</f>
        <v>4.6138000000000003</v>
      </c>
      <c r="G256" s="61">
        <f>4.6159 * CHOOSE(CONTROL!$C$19, $C$6, 100%, $E$6)</f>
        <v>4.6158999999999999</v>
      </c>
      <c r="H256" s="61">
        <f>6.9627* CHOOSE(CONTROL!$C$19, $C$6, 100%, $E$6)</f>
        <v>6.9626999999999999</v>
      </c>
      <c r="I256" s="61">
        <f>6.9648 * CHOOSE(CONTROL!$C$19, $C$6, 100%, $E$6)</f>
        <v>6.9648000000000003</v>
      </c>
      <c r="J256" s="61">
        <f>4.6138 * CHOOSE(CONTROL!$C$19, $C$6, 100%, $E$6)</f>
        <v>4.6138000000000003</v>
      </c>
      <c r="K256" s="61">
        <f>4.6159 * CHOOSE(CONTROL!$C$19, $C$6, 100%, $E$6)</f>
        <v>4.6158999999999999</v>
      </c>
    </row>
    <row r="257" spans="1:11" ht="15">
      <c r="A257" s="13">
        <v>49888</v>
      </c>
      <c r="B257" s="60">
        <f>4.2216 * CHOOSE(CONTROL!$C$19, $C$6, 100%, $E$6)</f>
        <v>4.2215999999999996</v>
      </c>
      <c r="C257" s="60">
        <f>4.2216 * CHOOSE(CONTROL!$C$19, $C$6, 100%, $E$6)</f>
        <v>4.2215999999999996</v>
      </c>
      <c r="D257" s="60">
        <f>4.2546 * CHOOSE(CONTROL!$C$19, $C$6, 100%, $E$6)</f>
        <v>4.2545999999999999</v>
      </c>
      <c r="E257" s="61">
        <f>4.557 * CHOOSE(CONTROL!$C$19, $C$6, 100%, $E$6)</f>
        <v>4.5570000000000004</v>
      </c>
      <c r="F257" s="61">
        <f>4.557 * CHOOSE(CONTROL!$C$19, $C$6, 100%, $E$6)</f>
        <v>4.5570000000000004</v>
      </c>
      <c r="G257" s="61">
        <f>4.559 * CHOOSE(CONTROL!$C$19, $C$6, 100%, $E$6)</f>
        <v>4.5590000000000002</v>
      </c>
      <c r="H257" s="61">
        <f>6.9772* CHOOSE(CONTROL!$C$19, $C$6, 100%, $E$6)</f>
        <v>6.9771999999999998</v>
      </c>
      <c r="I257" s="61">
        <f>6.9793 * CHOOSE(CONTROL!$C$19, $C$6, 100%, $E$6)</f>
        <v>6.9793000000000003</v>
      </c>
      <c r="J257" s="61">
        <f>4.557 * CHOOSE(CONTROL!$C$19, $C$6, 100%, $E$6)</f>
        <v>4.5570000000000004</v>
      </c>
      <c r="K257" s="61">
        <f>4.559 * CHOOSE(CONTROL!$C$19, $C$6, 100%, $E$6)</f>
        <v>4.5590000000000002</v>
      </c>
    </row>
    <row r="258" spans="1:11" ht="15">
      <c r="A258" s="13">
        <v>49919</v>
      </c>
      <c r="B258" s="60">
        <f>4.2186 * CHOOSE(CONTROL!$C$19, $C$6, 100%, $E$6)</f>
        <v>4.2186000000000003</v>
      </c>
      <c r="C258" s="60">
        <f>4.2186 * CHOOSE(CONTROL!$C$19, $C$6, 100%, $E$6)</f>
        <v>4.2186000000000003</v>
      </c>
      <c r="D258" s="60">
        <f>4.2516 * CHOOSE(CONTROL!$C$19, $C$6, 100%, $E$6)</f>
        <v>4.2515999999999998</v>
      </c>
      <c r="E258" s="61">
        <f>4.548 * CHOOSE(CONTROL!$C$19, $C$6, 100%, $E$6)</f>
        <v>4.548</v>
      </c>
      <c r="F258" s="61">
        <f>4.548 * CHOOSE(CONTROL!$C$19, $C$6, 100%, $E$6)</f>
        <v>4.548</v>
      </c>
      <c r="G258" s="61">
        <f>4.5501 * CHOOSE(CONTROL!$C$19, $C$6, 100%, $E$6)</f>
        <v>4.5500999999999996</v>
      </c>
      <c r="H258" s="61">
        <f>6.9918* CHOOSE(CONTROL!$C$19, $C$6, 100%, $E$6)</f>
        <v>6.9917999999999996</v>
      </c>
      <c r="I258" s="61">
        <f>6.9938 * CHOOSE(CONTROL!$C$19, $C$6, 100%, $E$6)</f>
        <v>6.9938000000000002</v>
      </c>
      <c r="J258" s="61">
        <f>4.548 * CHOOSE(CONTROL!$C$19, $C$6, 100%, $E$6)</f>
        <v>4.548</v>
      </c>
      <c r="K258" s="61">
        <f>4.5501 * CHOOSE(CONTROL!$C$19, $C$6, 100%, $E$6)</f>
        <v>4.5500999999999996</v>
      </c>
    </row>
    <row r="259" spans="1:11" ht="15">
      <c r="A259" s="13">
        <v>49949</v>
      </c>
      <c r="B259" s="60">
        <f>4.2146 * CHOOSE(CONTROL!$C$19, $C$6, 100%, $E$6)</f>
        <v>4.2145999999999999</v>
      </c>
      <c r="C259" s="60">
        <f>4.2146 * CHOOSE(CONTROL!$C$19, $C$6, 100%, $E$6)</f>
        <v>4.2145999999999999</v>
      </c>
      <c r="D259" s="60">
        <f>4.2311 * CHOOSE(CONTROL!$C$19, $C$6, 100%, $E$6)</f>
        <v>4.2310999999999996</v>
      </c>
      <c r="E259" s="61">
        <f>4.5619 * CHOOSE(CONTROL!$C$19, $C$6, 100%, $E$6)</f>
        <v>4.5618999999999996</v>
      </c>
      <c r="F259" s="61">
        <f>4.5619 * CHOOSE(CONTROL!$C$19, $C$6, 100%, $E$6)</f>
        <v>4.5618999999999996</v>
      </c>
      <c r="G259" s="61">
        <f>4.5621 * CHOOSE(CONTROL!$C$19, $C$6, 100%, $E$6)</f>
        <v>4.5621</v>
      </c>
      <c r="H259" s="61">
        <f>7.0063* CHOOSE(CONTROL!$C$19, $C$6, 100%, $E$6)</f>
        <v>7.0063000000000004</v>
      </c>
      <c r="I259" s="61">
        <f>7.0065 * CHOOSE(CONTROL!$C$19, $C$6, 100%, $E$6)</f>
        <v>7.0065</v>
      </c>
      <c r="J259" s="61">
        <f>4.5619 * CHOOSE(CONTROL!$C$19, $C$6, 100%, $E$6)</f>
        <v>4.5618999999999996</v>
      </c>
      <c r="K259" s="61">
        <f>4.5621 * CHOOSE(CONTROL!$C$19, $C$6, 100%, $E$6)</f>
        <v>4.5621</v>
      </c>
    </row>
    <row r="260" spans="1:11" ht="15">
      <c r="A260" s="13">
        <v>49980</v>
      </c>
      <c r="B260" s="60">
        <f>4.2177 * CHOOSE(CONTROL!$C$19, $C$6, 100%, $E$6)</f>
        <v>4.2176999999999998</v>
      </c>
      <c r="C260" s="60">
        <f>4.2177 * CHOOSE(CONTROL!$C$19, $C$6, 100%, $E$6)</f>
        <v>4.2176999999999998</v>
      </c>
      <c r="D260" s="60">
        <f>4.2342 * CHOOSE(CONTROL!$C$19, $C$6, 100%, $E$6)</f>
        <v>4.2342000000000004</v>
      </c>
      <c r="E260" s="61">
        <f>4.5777 * CHOOSE(CONTROL!$C$19, $C$6, 100%, $E$6)</f>
        <v>4.5777000000000001</v>
      </c>
      <c r="F260" s="61">
        <f>4.5777 * CHOOSE(CONTROL!$C$19, $C$6, 100%, $E$6)</f>
        <v>4.5777000000000001</v>
      </c>
      <c r="G260" s="61">
        <f>4.5779 * CHOOSE(CONTROL!$C$19, $C$6, 100%, $E$6)</f>
        <v>4.5778999999999996</v>
      </c>
      <c r="H260" s="61">
        <f>7.0209* CHOOSE(CONTROL!$C$19, $C$6, 100%, $E$6)</f>
        <v>7.0209000000000001</v>
      </c>
      <c r="I260" s="61">
        <f>7.0211 * CHOOSE(CONTROL!$C$19, $C$6, 100%, $E$6)</f>
        <v>7.0210999999999997</v>
      </c>
      <c r="J260" s="61">
        <f>4.5777 * CHOOSE(CONTROL!$C$19, $C$6, 100%, $E$6)</f>
        <v>4.5777000000000001</v>
      </c>
      <c r="K260" s="61">
        <f>4.5779 * CHOOSE(CONTROL!$C$19, $C$6, 100%, $E$6)</f>
        <v>4.5778999999999996</v>
      </c>
    </row>
    <row r="261" spans="1:11" ht="15">
      <c r="A261" s="13">
        <v>50010</v>
      </c>
      <c r="B261" s="60">
        <f>4.2177 * CHOOSE(CONTROL!$C$19, $C$6, 100%, $E$6)</f>
        <v>4.2176999999999998</v>
      </c>
      <c r="C261" s="60">
        <f>4.2177 * CHOOSE(CONTROL!$C$19, $C$6, 100%, $E$6)</f>
        <v>4.2176999999999998</v>
      </c>
      <c r="D261" s="60">
        <f>4.2342 * CHOOSE(CONTROL!$C$19, $C$6, 100%, $E$6)</f>
        <v>4.2342000000000004</v>
      </c>
      <c r="E261" s="61">
        <f>4.5436 * CHOOSE(CONTROL!$C$19, $C$6, 100%, $E$6)</f>
        <v>4.5435999999999996</v>
      </c>
      <c r="F261" s="61">
        <f>4.5436 * CHOOSE(CONTROL!$C$19, $C$6, 100%, $E$6)</f>
        <v>4.5435999999999996</v>
      </c>
      <c r="G261" s="61">
        <f>4.5437 * CHOOSE(CONTROL!$C$19, $C$6, 100%, $E$6)</f>
        <v>4.5437000000000003</v>
      </c>
      <c r="H261" s="61">
        <f>7.0355* CHOOSE(CONTROL!$C$19, $C$6, 100%, $E$6)</f>
        <v>7.0354999999999999</v>
      </c>
      <c r="I261" s="61">
        <f>7.0357 * CHOOSE(CONTROL!$C$19, $C$6, 100%, $E$6)</f>
        <v>7.0357000000000003</v>
      </c>
      <c r="J261" s="61">
        <f>4.5436 * CHOOSE(CONTROL!$C$19, $C$6, 100%, $E$6)</f>
        <v>4.5435999999999996</v>
      </c>
      <c r="K261" s="61">
        <f>4.5437 * CHOOSE(CONTROL!$C$19, $C$6, 100%, $E$6)</f>
        <v>4.5437000000000003</v>
      </c>
    </row>
    <row r="262" spans="1:11" ht="15">
      <c r="A262" s="13">
        <v>50041</v>
      </c>
      <c r="B262" s="60">
        <f>4.2529 * CHOOSE(CONTROL!$C$19, $C$6, 100%, $E$6)</f>
        <v>4.2529000000000003</v>
      </c>
      <c r="C262" s="60">
        <f>4.2529 * CHOOSE(CONTROL!$C$19, $C$6, 100%, $E$6)</f>
        <v>4.2529000000000003</v>
      </c>
      <c r="D262" s="60">
        <f>4.2694 * CHOOSE(CONTROL!$C$19, $C$6, 100%, $E$6)</f>
        <v>4.2694000000000001</v>
      </c>
      <c r="E262" s="61">
        <f>4.6099 * CHOOSE(CONTROL!$C$19, $C$6, 100%, $E$6)</f>
        <v>4.6098999999999997</v>
      </c>
      <c r="F262" s="61">
        <f>4.6099 * CHOOSE(CONTROL!$C$19, $C$6, 100%, $E$6)</f>
        <v>4.6098999999999997</v>
      </c>
      <c r="G262" s="61">
        <f>4.6101 * CHOOSE(CONTROL!$C$19, $C$6, 100%, $E$6)</f>
        <v>4.6101000000000001</v>
      </c>
      <c r="H262" s="61">
        <f>7.0502* CHOOSE(CONTROL!$C$19, $C$6, 100%, $E$6)</f>
        <v>7.0502000000000002</v>
      </c>
      <c r="I262" s="61">
        <f>7.0504 * CHOOSE(CONTROL!$C$19, $C$6, 100%, $E$6)</f>
        <v>7.0503999999999998</v>
      </c>
      <c r="J262" s="61">
        <f>4.6099 * CHOOSE(CONTROL!$C$19, $C$6, 100%, $E$6)</f>
        <v>4.6098999999999997</v>
      </c>
      <c r="K262" s="61">
        <f>4.6101 * CHOOSE(CONTROL!$C$19, $C$6, 100%, $E$6)</f>
        <v>4.6101000000000001</v>
      </c>
    </row>
    <row r="263" spans="1:11" ht="15">
      <c r="A263" s="13">
        <v>50072</v>
      </c>
      <c r="B263" s="60">
        <f>4.2499 * CHOOSE(CONTROL!$C$19, $C$6, 100%, $E$6)</f>
        <v>4.2499000000000002</v>
      </c>
      <c r="C263" s="60">
        <f>4.2499 * CHOOSE(CONTROL!$C$19, $C$6, 100%, $E$6)</f>
        <v>4.2499000000000002</v>
      </c>
      <c r="D263" s="60">
        <f>4.2664 * CHOOSE(CONTROL!$C$19, $C$6, 100%, $E$6)</f>
        <v>4.2664</v>
      </c>
      <c r="E263" s="61">
        <f>4.5415 * CHOOSE(CONTROL!$C$19, $C$6, 100%, $E$6)</f>
        <v>4.5415000000000001</v>
      </c>
      <c r="F263" s="61">
        <f>4.5415 * CHOOSE(CONTROL!$C$19, $C$6, 100%, $E$6)</f>
        <v>4.5415000000000001</v>
      </c>
      <c r="G263" s="61">
        <f>4.5416 * CHOOSE(CONTROL!$C$19, $C$6, 100%, $E$6)</f>
        <v>4.5415999999999999</v>
      </c>
      <c r="H263" s="61">
        <f>7.0649* CHOOSE(CONTROL!$C$19, $C$6, 100%, $E$6)</f>
        <v>7.0648999999999997</v>
      </c>
      <c r="I263" s="61">
        <f>7.0651 * CHOOSE(CONTROL!$C$19, $C$6, 100%, $E$6)</f>
        <v>7.0651000000000002</v>
      </c>
      <c r="J263" s="61">
        <f>4.5415 * CHOOSE(CONTROL!$C$19, $C$6, 100%, $E$6)</f>
        <v>4.5415000000000001</v>
      </c>
      <c r="K263" s="61">
        <f>4.5416 * CHOOSE(CONTROL!$C$19, $C$6, 100%, $E$6)</f>
        <v>4.5415999999999999</v>
      </c>
    </row>
    <row r="264" spans="1:11" ht="15">
      <c r="A264" s="13">
        <v>50100</v>
      </c>
      <c r="B264" s="60">
        <f>4.2468 * CHOOSE(CONTROL!$C$19, $C$6, 100%, $E$6)</f>
        <v>4.2468000000000004</v>
      </c>
      <c r="C264" s="60">
        <f>4.2468 * CHOOSE(CONTROL!$C$19, $C$6, 100%, $E$6)</f>
        <v>4.2468000000000004</v>
      </c>
      <c r="D264" s="60">
        <f>4.2633 * CHOOSE(CONTROL!$C$19, $C$6, 100%, $E$6)</f>
        <v>4.2633000000000001</v>
      </c>
      <c r="E264" s="61">
        <f>4.5916 * CHOOSE(CONTROL!$C$19, $C$6, 100%, $E$6)</f>
        <v>4.5915999999999997</v>
      </c>
      <c r="F264" s="61">
        <f>4.5916 * CHOOSE(CONTROL!$C$19, $C$6, 100%, $E$6)</f>
        <v>4.5915999999999997</v>
      </c>
      <c r="G264" s="61">
        <f>4.5918 * CHOOSE(CONTROL!$C$19, $C$6, 100%, $E$6)</f>
        <v>4.5918000000000001</v>
      </c>
      <c r="H264" s="61">
        <f>7.0796* CHOOSE(CONTROL!$C$19, $C$6, 100%, $E$6)</f>
        <v>7.0796000000000001</v>
      </c>
      <c r="I264" s="61">
        <f>7.0798 * CHOOSE(CONTROL!$C$19, $C$6, 100%, $E$6)</f>
        <v>7.0797999999999996</v>
      </c>
      <c r="J264" s="61">
        <f>4.5916 * CHOOSE(CONTROL!$C$19, $C$6, 100%, $E$6)</f>
        <v>4.5915999999999997</v>
      </c>
      <c r="K264" s="61">
        <f>4.5918 * CHOOSE(CONTROL!$C$19, $C$6, 100%, $E$6)</f>
        <v>4.5918000000000001</v>
      </c>
    </row>
    <row r="265" spans="1:11" ht="15">
      <c r="A265" s="13">
        <v>50131</v>
      </c>
      <c r="B265" s="60">
        <f>4.2448 * CHOOSE(CONTROL!$C$19, $C$6, 100%, $E$6)</f>
        <v>4.2447999999999997</v>
      </c>
      <c r="C265" s="60">
        <f>4.2448 * CHOOSE(CONTROL!$C$19, $C$6, 100%, $E$6)</f>
        <v>4.2447999999999997</v>
      </c>
      <c r="D265" s="60">
        <f>4.2613 * CHOOSE(CONTROL!$C$19, $C$6, 100%, $E$6)</f>
        <v>4.2613000000000003</v>
      </c>
      <c r="E265" s="61">
        <f>4.6435 * CHOOSE(CONTROL!$C$19, $C$6, 100%, $E$6)</f>
        <v>4.6435000000000004</v>
      </c>
      <c r="F265" s="61">
        <f>4.6435 * CHOOSE(CONTROL!$C$19, $C$6, 100%, $E$6)</f>
        <v>4.6435000000000004</v>
      </c>
      <c r="G265" s="61">
        <f>4.6437 * CHOOSE(CONTROL!$C$19, $C$6, 100%, $E$6)</f>
        <v>4.6436999999999999</v>
      </c>
      <c r="H265" s="61">
        <f>7.0944* CHOOSE(CONTROL!$C$19, $C$6, 100%, $E$6)</f>
        <v>7.0944000000000003</v>
      </c>
      <c r="I265" s="61">
        <f>7.0945 * CHOOSE(CONTROL!$C$19, $C$6, 100%, $E$6)</f>
        <v>7.0945</v>
      </c>
      <c r="J265" s="61">
        <f>4.6435 * CHOOSE(CONTROL!$C$19, $C$6, 100%, $E$6)</f>
        <v>4.6435000000000004</v>
      </c>
      <c r="K265" s="61">
        <f>4.6437 * CHOOSE(CONTROL!$C$19, $C$6, 100%, $E$6)</f>
        <v>4.6436999999999999</v>
      </c>
    </row>
    <row r="266" spans="1:11" ht="15">
      <c r="A266" s="13">
        <v>50161</v>
      </c>
      <c r="B266" s="60">
        <f>4.2448 * CHOOSE(CONTROL!$C$19, $C$6, 100%, $E$6)</f>
        <v>4.2447999999999997</v>
      </c>
      <c r="C266" s="60">
        <f>4.2448 * CHOOSE(CONTROL!$C$19, $C$6, 100%, $E$6)</f>
        <v>4.2447999999999997</v>
      </c>
      <c r="D266" s="60">
        <f>4.2778 * CHOOSE(CONTROL!$C$19, $C$6, 100%, $E$6)</f>
        <v>4.2778</v>
      </c>
      <c r="E266" s="61">
        <f>4.6646 * CHOOSE(CONTROL!$C$19, $C$6, 100%, $E$6)</f>
        <v>4.6646000000000001</v>
      </c>
      <c r="F266" s="61">
        <f>4.6646 * CHOOSE(CONTROL!$C$19, $C$6, 100%, $E$6)</f>
        <v>4.6646000000000001</v>
      </c>
      <c r="G266" s="61">
        <f>4.6666 * CHOOSE(CONTROL!$C$19, $C$6, 100%, $E$6)</f>
        <v>4.6665999999999999</v>
      </c>
      <c r="H266" s="61">
        <f>7.1091* CHOOSE(CONTROL!$C$19, $C$6, 100%, $E$6)</f>
        <v>7.1090999999999998</v>
      </c>
      <c r="I266" s="61">
        <f>7.1112 * CHOOSE(CONTROL!$C$19, $C$6, 100%, $E$6)</f>
        <v>7.1112000000000002</v>
      </c>
      <c r="J266" s="61">
        <f>4.6646 * CHOOSE(CONTROL!$C$19, $C$6, 100%, $E$6)</f>
        <v>4.6646000000000001</v>
      </c>
      <c r="K266" s="61">
        <f>4.6666 * CHOOSE(CONTROL!$C$19, $C$6, 100%, $E$6)</f>
        <v>4.6665999999999999</v>
      </c>
    </row>
    <row r="267" spans="1:11" ht="15">
      <c r="A267" s="13">
        <v>50192</v>
      </c>
      <c r="B267" s="60">
        <f>4.2509 * CHOOSE(CONTROL!$C$19, $C$6, 100%, $E$6)</f>
        <v>4.2508999999999997</v>
      </c>
      <c r="C267" s="60">
        <f>4.2509 * CHOOSE(CONTROL!$C$19, $C$6, 100%, $E$6)</f>
        <v>4.2508999999999997</v>
      </c>
      <c r="D267" s="60">
        <f>4.2839 * CHOOSE(CONTROL!$C$19, $C$6, 100%, $E$6)</f>
        <v>4.2839</v>
      </c>
      <c r="E267" s="61">
        <f>4.6477 * CHOOSE(CONTROL!$C$19, $C$6, 100%, $E$6)</f>
        <v>4.6477000000000004</v>
      </c>
      <c r="F267" s="61">
        <f>4.6477 * CHOOSE(CONTROL!$C$19, $C$6, 100%, $E$6)</f>
        <v>4.6477000000000004</v>
      </c>
      <c r="G267" s="61">
        <f>4.6498 * CHOOSE(CONTROL!$C$19, $C$6, 100%, $E$6)</f>
        <v>4.6497999999999999</v>
      </c>
      <c r="H267" s="61">
        <f>7.124* CHOOSE(CONTROL!$C$19, $C$6, 100%, $E$6)</f>
        <v>7.1239999999999997</v>
      </c>
      <c r="I267" s="61">
        <f>7.126 * CHOOSE(CONTROL!$C$19, $C$6, 100%, $E$6)</f>
        <v>7.1260000000000003</v>
      </c>
      <c r="J267" s="61">
        <f>4.6477 * CHOOSE(CONTROL!$C$19, $C$6, 100%, $E$6)</f>
        <v>4.6477000000000004</v>
      </c>
      <c r="K267" s="61">
        <f>4.6498 * CHOOSE(CONTROL!$C$19, $C$6, 100%, $E$6)</f>
        <v>4.6497999999999999</v>
      </c>
    </row>
    <row r="268" spans="1:11" ht="15">
      <c r="A268" s="13">
        <v>50222</v>
      </c>
      <c r="B268" s="60">
        <f>4.315 * CHOOSE(CONTROL!$C$19, $C$6, 100%, $E$6)</f>
        <v>4.3150000000000004</v>
      </c>
      <c r="C268" s="60">
        <f>4.315 * CHOOSE(CONTROL!$C$19, $C$6, 100%, $E$6)</f>
        <v>4.3150000000000004</v>
      </c>
      <c r="D268" s="60">
        <f>4.348 * CHOOSE(CONTROL!$C$19, $C$6, 100%, $E$6)</f>
        <v>4.3479999999999999</v>
      </c>
      <c r="E268" s="61">
        <f>4.7404 * CHOOSE(CONTROL!$C$19, $C$6, 100%, $E$6)</f>
        <v>4.7404000000000002</v>
      </c>
      <c r="F268" s="61">
        <f>4.7404 * CHOOSE(CONTROL!$C$19, $C$6, 100%, $E$6)</f>
        <v>4.7404000000000002</v>
      </c>
      <c r="G268" s="61">
        <f>4.7425 * CHOOSE(CONTROL!$C$19, $C$6, 100%, $E$6)</f>
        <v>4.7424999999999997</v>
      </c>
      <c r="H268" s="61">
        <f>7.1388* CHOOSE(CONTROL!$C$19, $C$6, 100%, $E$6)</f>
        <v>7.1387999999999998</v>
      </c>
      <c r="I268" s="61">
        <f>7.1408 * CHOOSE(CONTROL!$C$19, $C$6, 100%, $E$6)</f>
        <v>7.1407999999999996</v>
      </c>
      <c r="J268" s="61">
        <f>4.7404 * CHOOSE(CONTROL!$C$19, $C$6, 100%, $E$6)</f>
        <v>4.7404000000000002</v>
      </c>
      <c r="K268" s="61">
        <f>4.7425 * CHOOSE(CONTROL!$C$19, $C$6, 100%, $E$6)</f>
        <v>4.7424999999999997</v>
      </c>
    </row>
    <row r="269" spans="1:11" ht="15">
      <c r="A269" s="13">
        <v>50253</v>
      </c>
      <c r="B269" s="60">
        <f>4.3217 * CHOOSE(CONTROL!$C$19, $C$6, 100%, $E$6)</f>
        <v>4.3216999999999999</v>
      </c>
      <c r="C269" s="60">
        <f>4.3217 * CHOOSE(CONTROL!$C$19, $C$6, 100%, $E$6)</f>
        <v>4.3216999999999999</v>
      </c>
      <c r="D269" s="60">
        <f>4.3547 * CHOOSE(CONTROL!$C$19, $C$6, 100%, $E$6)</f>
        <v>4.3547000000000002</v>
      </c>
      <c r="E269" s="61">
        <f>4.6819 * CHOOSE(CONTROL!$C$19, $C$6, 100%, $E$6)</f>
        <v>4.6818999999999997</v>
      </c>
      <c r="F269" s="61">
        <f>4.6819 * CHOOSE(CONTROL!$C$19, $C$6, 100%, $E$6)</f>
        <v>4.6818999999999997</v>
      </c>
      <c r="G269" s="61">
        <f>4.684 * CHOOSE(CONTROL!$C$19, $C$6, 100%, $E$6)</f>
        <v>4.6840000000000002</v>
      </c>
      <c r="H269" s="61">
        <f>7.1537* CHOOSE(CONTROL!$C$19, $C$6, 100%, $E$6)</f>
        <v>7.1536999999999997</v>
      </c>
      <c r="I269" s="61">
        <f>7.1557 * CHOOSE(CONTROL!$C$19, $C$6, 100%, $E$6)</f>
        <v>7.1557000000000004</v>
      </c>
      <c r="J269" s="61">
        <f>4.6819 * CHOOSE(CONTROL!$C$19, $C$6, 100%, $E$6)</f>
        <v>4.6818999999999997</v>
      </c>
      <c r="K269" s="61">
        <f>4.684 * CHOOSE(CONTROL!$C$19, $C$6, 100%, $E$6)</f>
        <v>4.6840000000000002</v>
      </c>
    </row>
    <row r="270" spans="1:11" ht="15">
      <c r="A270" s="13">
        <v>50284</v>
      </c>
      <c r="B270" s="60">
        <f>4.3187 * CHOOSE(CONTROL!$C$19, $C$6, 100%, $E$6)</f>
        <v>4.3186999999999998</v>
      </c>
      <c r="C270" s="60">
        <f>4.3187 * CHOOSE(CONTROL!$C$19, $C$6, 100%, $E$6)</f>
        <v>4.3186999999999998</v>
      </c>
      <c r="D270" s="60">
        <f>4.3517 * CHOOSE(CONTROL!$C$19, $C$6, 100%, $E$6)</f>
        <v>4.3517000000000001</v>
      </c>
      <c r="E270" s="61">
        <f>4.6728 * CHOOSE(CONTROL!$C$19, $C$6, 100%, $E$6)</f>
        <v>4.6727999999999996</v>
      </c>
      <c r="F270" s="61">
        <f>4.6728 * CHOOSE(CONTROL!$C$19, $C$6, 100%, $E$6)</f>
        <v>4.6727999999999996</v>
      </c>
      <c r="G270" s="61">
        <f>4.6749 * CHOOSE(CONTROL!$C$19, $C$6, 100%, $E$6)</f>
        <v>4.6749000000000001</v>
      </c>
      <c r="H270" s="61">
        <f>7.1686* CHOOSE(CONTROL!$C$19, $C$6, 100%, $E$6)</f>
        <v>7.1685999999999996</v>
      </c>
      <c r="I270" s="61">
        <f>7.1706 * CHOOSE(CONTROL!$C$19, $C$6, 100%, $E$6)</f>
        <v>7.1706000000000003</v>
      </c>
      <c r="J270" s="61">
        <f>4.6728 * CHOOSE(CONTROL!$C$19, $C$6, 100%, $E$6)</f>
        <v>4.6727999999999996</v>
      </c>
      <c r="K270" s="61">
        <f>4.6749 * CHOOSE(CONTROL!$C$19, $C$6, 100%, $E$6)</f>
        <v>4.6749000000000001</v>
      </c>
    </row>
    <row r="271" spans="1:11" ht="15">
      <c r="A271" s="13">
        <v>50314</v>
      </c>
      <c r="B271" s="60">
        <f>4.3151 * CHOOSE(CONTROL!$C$19, $C$6, 100%, $E$6)</f>
        <v>4.3151000000000002</v>
      </c>
      <c r="C271" s="60">
        <f>4.3151 * CHOOSE(CONTROL!$C$19, $C$6, 100%, $E$6)</f>
        <v>4.3151000000000002</v>
      </c>
      <c r="D271" s="60">
        <f>4.3316 * CHOOSE(CONTROL!$C$19, $C$6, 100%, $E$6)</f>
        <v>4.3315999999999999</v>
      </c>
      <c r="E271" s="61">
        <f>4.6875 * CHOOSE(CONTROL!$C$19, $C$6, 100%, $E$6)</f>
        <v>4.6875</v>
      </c>
      <c r="F271" s="61">
        <f>4.6875 * CHOOSE(CONTROL!$C$19, $C$6, 100%, $E$6)</f>
        <v>4.6875</v>
      </c>
      <c r="G271" s="61">
        <f>4.6876 * CHOOSE(CONTROL!$C$19, $C$6, 100%, $E$6)</f>
        <v>4.6875999999999998</v>
      </c>
      <c r="H271" s="61">
        <f>7.1835* CHOOSE(CONTROL!$C$19, $C$6, 100%, $E$6)</f>
        <v>7.1835000000000004</v>
      </c>
      <c r="I271" s="61">
        <f>7.1837 * CHOOSE(CONTROL!$C$19, $C$6, 100%, $E$6)</f>
        <v>7.1837</v>
      </c>
      <c r="J271" s="61">
        <f>4.6875 * CHOOSE(CONTROL!$C$19, $C$6, 100%, $E$6)</f>
        <v>4.6875</v>
      </c>
      <c r="K271" s="61">
        <f>4.6876 * CHOOSE(CONTROL!$C$19, $C$6, 100%, $E$6)</f>
        <v>4.6875999999999998</v>
      </c>
    </row>
    <row r="272" spans="1:11" ht="15">
      <c r="A272" s="13">
        <v>50345</v>
      </c>
      <c r="B272" s="60">
        <f>4.3181 * CHOOSE(CONTROL!$C$19, $C$6, 100%, $E$6)</f>
        <v>4.3181000000000003</v>
      </c>
      <c r="C272" s="60">
        <f>4.3181 * CHOOSE(CONTROL!$C$19, $C$6, 100%, $E$6)</f>
        <v>4.3181000000000003</v>
      </c>
      <c r="D272" s="60">
        <f>4.3346 * CHOOSE(CONTROL!$C$19, $C$6, 100%, $E$6)</f>
        <v>4.3346</v>
      </c>
      <c r="E272" s="61">
        <f>4.7036 * CHOOSE(CONTROL!$C$19, $C$6, 100%, $E$6)</f>
        <v>4.7035999999999998</v>
      </c>
      <c r="F272" s="61">
        <f>4.7036 * CHOOSE(CONTROL!$C$19, $C$6, 100%, $E$6)</f>
        <v>4.7035999999999998</v>
      </c>
      <c r="G272" s="61">
        <f>4.7038 * CHOOSE(CONTROL!$C$19, $C$6, 100%, $E$6)</f>
        <v>4.7038000000000002</v>
      </c>
      <c r="H272" s="61">
        <f>7.1985* CHOOSE(CONTROL!$C$19, $C$6, 100%, $E$6)</f>
        <v>7.1985000000000001</v>
      </c>
      <c r="I272" s="61">
        <f>7.1986 * CHOOSE(CONTROL!$C$19, $C$6, 100%, $E$6)</f>
        <v>7.1985999999999999</v>
      </c>
      <c r="J272" s="61">
        <f>4.7036 * CHOOSE(CONTROL!$C$19, $C$6, 100%, $E$6)</f>
        <v>4.7035999999999998</v>
      </c>
      <c r="K272" s="61">
        <f>4.7038 * CHOOSE(CONTROL!$C$19, $C$6, 100%, $E$6)</f>
        <v>4.7038000000000002</v>
      </c>
    </row>
    <row r="273" spans="1:11" ht="15">
      <c r="A273" s="13">
        <v>50375</v>
      </c>
      <c r="B273" s="60">
        <f>4.3181 * CHOOSE(CONTROL!$C$19, $C$6, 100%, $E$6)</f>
        <v>4.3181000000000003</v>
      </c>
      <c r="C273" s="60">
        <f>4.3181 * CHOOSE(CONTROL!$C$19, $C$6, 100%, $E$6)</f>
        <v>4.3181000000000003</v>
      </c>
      <c r="D273" s="60">
        <f>4.3346 * CHOOSE(CONTROL!$C$19, $C$6, 100%, $E$6)</f>
        <v>4.3346</v>
      </c>
      <c r="E273" s="61">
        <f>4.6685 * CHOOSE(CONTROL!$C$19, $C$6, 100%, $E$6)</f>
        <v>4.6684999999999999</v>
      </c>
      <c r="F273" s="61">
        <f>4.6685 * CHOOSE(CONTROL!$C$19, $C$6, 100%, $E$6)</f>
        <v>4.6684999999999999</v>
      </c>
      <c r="G273" s="61">
        <f>4.6687 * CHOOSE(CONTROL!$C$19, $C$6, 100%, $E$6)</f>
        <v>4.6687000000000003</v>
      </c>
      <c r="H273" s="61">
        <f>7.2135* CHOOSE(CONTROL!$C$19, $C$6, 100%, $E$6)</f>
        <v>7.2134999999999998</v>
      </c>
      <c r="I273" s="61">
        <f>7.2136 * CHOOSE(CONTROL!$C$19, $C$6, 100%, $E$6)</f>
        <v>7.2135999999999996</v>
      </c>
      <c r="J273" s="61">
        <f>4.6685 * CHOOSE(CONTROL!$C$19, $C$6, 100%, $E$6)</f>
        <v>4.6684999999999999</v>
      </c>
      <c r="K273" s="61">
        <f>4.6687 * CHOOSE(CONTROL!$C$19, $C$6, 100%, $E$6)</f>
        <v>4.6687000000000003</v>
      </c>
    </row>
    <row r="274" spans="1:11" ht="15">
      <c r="A274" s="13">
        <v>50406</v>
      </c>
      <c r="B274" s="60">
        <f>4.3559 * CHOOSE(CONTROL!$C$19, $C$6, 100%, $E$6)</f>
        <v>4.3559000000000001</v>
      </c>
      <c r="C274" s="60">
        <f>4.3559 * CHOOSE(CONTROL!$C$19, $C$6, 100%, $E$6)</f>
        <v>4.3559000000000001</v>
      </c>
      <c r="D274" s="60">
        <f>4.3724 * CHOOSE(CONTROL!$C$19, $C$6, 100%, $E$6)</f>
        <v>4.3723999999999998</v>
      </c>
      <c r="E274" s="61">
        <f>4.7413 * CHOOSE(CONTROL!$C$19, $C$6, 100%, $E$6)</f>
        <v>4.7412999999999998</v>
      </c>
      <c r="F274" s="61">
        <f>4.7413 * CHOOSE(CONTROL!$C$19, $C$6, 100%, $E$6)</f>
        <v>4.7412999999999998</v>
      </c>
      <c r="G274" s="61">
        <f>4.7415 * CHOOSE(CONTROL!$C$19, $C$6, 100%, $E$6)</f>
        <v>4.7415000000000003</v>
      </c>
      <c r="H274" s="61">
        <f>7.2285* CHOOSE(CONTROL!$C$19, $C$6, 100%, $E$6)</f>
        <v>7.2285000000000004</v>
      </c>
      <c r="I274" s="61">
        <f>7.2287 * CHOOSE(CONTROL!$C$19, $C$6, 100%, $E$6)</f>
        <v>7.2286999999999999</v>
      </c>
      <c r="J274" s="61">
        <f>4.7413 * CHOOSE(CONTROL!$C$19, $C$6, 100%, $E$6)</f>
        <v>4.7412999999999998</v>
      </c>
      <c r="K274" s="61">
        <f>4.7415 * CHOOSE(CONTROL!$C$19, $C$6, 100%, $E$6)</f>
        <v>4.7415000000000003</v>
      </c>
    </row>
    <row r="275" spans="1:11" ht="15">
      <c r="A275" s="13">
        <v>50437</v>
      </c>
      <c r="B275" s="60">
        <f>4.3528 * CHOOSE(CONTROL!$C$19, $C$6, 100%, $E$6)</f>
        <v>4.3528000000000002</v>
      </c>
      <c r="C275" s="60">
        <f>4.3528 * CHOOSE(CONTROL!$C$19, $C$6, 100%, $E$6)</f>
        <v>4.3528000000000002</v>
      </c>
      <c r="D275" s="60">
        <f>4.3693 * CHOOSE(CONTROL!$C$19, $C$6, 100%, $E$6)</f>
        <v>4.3693</v>
      </c>
      <c r="E275" s="61">
        <f>4.6706 * CHOOSE(CONTROL!$C$19, $C$6, 100%, $E$6)</f>
        <v>4.6706000000000003</v>
      </c>
      <c r="F275" s="61">
        <f>4.6706 * CHOOSE(CONTROL!$C$19, $C$6, 100%, $E$6)</f>
        <v>4.6706000000000003</v>
      </c>
      <c r="G275" s="61">
        <f>4.6708 * CHOOSE(CONTROL!$C$19, $C$6, 100%, $E$6)</f>
        <v>4.6707999999999998</v>
      </c>
      <c r="H275" s="61">
        <f>7.2436* CHOOSE(CONTROL!$C$19, $C$6, 100%, $E$6)</f>
        <v>7.2435999999999998</v>
      </c>
      <c r="I275" s="61">
        <f>7.2437 * CHOOSE(CONTROL!$C$19, $C$6, 100%, $E$6)</f>
        <v>7.2436999999999996</v>
      </c>
      <c r="J275" s="61">
        <f>4.6706 * CHOOSE(CONTROL!$C$19, $C$6, 100%, $E$6)</f>
        <v>4.6706000000000003</v>
      </c>
      <c r="K275" s="61">
        <f>4.6708 * CHOOSE(CONTROL!$C$19, $C$6, 100%, $E$6)</f>
        <v>4.6707999999999998</v>
      </c>
    </row>
    <row r="276" spans="1:11" ht="15">
      <c r="A276" s="13">
        <v>50465</v>
      </c>
      <c r="B276" s="60">
        <f>4.3498 * CHOOSE(CONTROL!$C$19, $C$6, 100%, $E$6)</f>
        <v>4.3498000000000001</v>
      </c>
      <c r="C276" s="60">
        <f>4.3498 * CHOOSE(CONTROL!$C$19, $C$6, 100%, $E$6)</f>
        <v>4.3498000000000001</v>
      </c>
      <c r="D276" s="60">
        <f>4.3663 * CHOOSE(CONTROL!$C$19, $C$6, 100%, $E$6)</f>
        <v>4.3662999999999998</v>
      </c>
      <c r="E276" s="61">
        <f>4.7225 * CHOOSE(CONTROL!$C$19, $C$6, 100%, $E$6)</f>
        <v>4.7225000000000001</v>
      </c>
      <c r="F276" s="61">
        <f>4.7225 * CHOOSE(CONTROL!$C$19, $C$6, 100%, $E$6)</f>
        <v>4.7225000000000001</v>
      </c>
      <c r="G276" s="61">
        <f>4.7227 * CHOOSE(CONTROL!$C$19, $C$6, 100%, $E$6)</f>
        <v>4.7226999999999997</v>
      </c>
      <c r="H276" s="61">
        <f>7.2586* CHOOSE(CONTROL!$C$19, $C$6, 100%, $E$6)</f>
        <v>7.2586000000000004</v>
      </c>
      <c r="I276" s="61">
        <f>7.2588 * CHOOSE(CONTROL!$C$19, $C$6, 100%, $E$6)</f>
        <v>7.2587999999999999</v>
      </c>
      <c r="J276" s="61">
        <f>4.7225 * CHOOSE(CONTROL!$C$19, $C$6, 100%, $E$6)</f>
        <v>4.7225000000000001</v>
      </c>
      <c r="K276" s="61">
        <f>4.7227 * CHOOSE(CONTROL!$C$19, $C$6, 100%, $E$6)</f>
        <v>4.7226999999999997</v>
      </c>
    </row>
    <row r="277" spans="1:11" ht="15">
      <c r="A277" s="13">
        <v>50496</v>
      </c>
      <c r="B277" s="60">
        <f>4.3478 * CHOOSE(CONTROL!$C$19, $C$6, 100%, $E$6)</f>
        <v>4.3478000000000003</v>
      </c>
      <c r="C277" s="60">
        <f>4.3478 * CHOOSE(CONTROL!$C$19, $C$6, 100%, $E$6)</f>
        <v>4.3478000000000003</v>
      </c>
      <c r="D277" s="60">
        <f>4.3643 * CHOOSE(CONTROL!$C$19, $C$6, 100%, $E$6)</f>
        <v>4.3643000000000001</v>
      </c>
      <c r="E277" s="61">
        <f>4.7763 * CHOOSE(CONTROL!$C$19, $C$6, 100%, $E$6)</f>
        <v>4.7763</v>
      </c>
      <c r="F277" s="61">
        <f>4.7763 * CHOOSE(CONTROL!$C$19, $C$6, 100%, $E$6)</f>
        <v>4.7763</v>
      </c>
      <c r="G277" s="61">
        <f>4.7765 * CHOOSE(CONTROL!$C$19, $C$6, 100%, $E$6)</f>
        <v>4.7765000000000004</v>
      </c>
      <c r="H277" s="61">
        <f>7.2738* CHOOSE(CONTROL!$C$19, $C$6, 100%, $E$6)</f>
        <v>7.2737999999999996</v>
      </c>
      <c r="I277" s="61">
        <f>7.2739 * CHOOSE(CONTROL!$C$19, $C$6, 100%, $E$6)</f>
        <v>7.2739000000000003</v>
      </c>
      <c r="J277" s="61">
        <f>4.7763 * CHOOSE(CONTROL!$C$19, $C$6, 100%, $E$6)</f>
        <v>4.7763</v>
      </c>
      <c r="K277" s="61">
        <f>4.7765 * CHOOSE(CONTROL!$C$19, $C$6, 100%, $E$6)</f>
        <v>4.7765000000000004</v>
      </c>
    </row>
    <row r="278" spans="1:11" ht="15">
      <c r="A278" s="13">
        <v>50526</v>
      </c>
      <c r="B278" s="60">
        <f>4.3478 * CHOOSE(CONTROL!$C$19, $C$6, 100%, $E$6)</f>
        <v>4.3478000000000003</v>
      </c>
      <c r="C278" s="60">
        <f>4.3478 * CHOOSE(CONTROL!$C$19, $C$6, 100%, $E$6)</f>
        <v>4.3478000000000003</v>
      </c>
      <c r="D278" s="60">
        <f>4.3808 * CHOOSE(CONTROL!$C$19, $C$6, 100%, $E$6)</f>
        <v>4.3807999999999998</v>
      </c>
      <c r="E278" s="61">
        <f>4.7981 * CHOOSE(CONTROL!$C$19, $C$6, 100%, $E$6)</f>
        <v>4.7980999999999998</v>
      </c>
      <c r="F278" s="61">
        <f>4.7981 * CHOOSE(CONTROL!$C$19, $C$6, 100%, $E$6)</f>
        <v>4.7980999999999998</v>
      </c>
      <c r="G278" s="61">
        <f>4.8002 * CHOOSE(CONTROL!$C$19, $C$6, 100%, $E$6)</f>
        <v>4.8002000000000002</v>
      </c>
      <c r="H278" s="61">
        <f>7.2889* CHOOSE(CONTROL!$C$19, $C$6, 100%, $E$6)</f>
        <v>7.2888999999999999</v>
      </c>
      <c r="I278" s="61">
        <f>7.291 * CHOOSE(CONTROL!$C$19, $C$6, 100%, $E$6)</f>
        <v>7.2910000000000004</v>
      </c>
      <c r="J278" s="61">
        <f>4.7981 * CHOOSE(CONTROL!$C$19, $C$6, 100%, $E$6)</f>
        <v>4.7980999999999998</v>
      </c>
      <c r="K278" s="61">
        <f>4.8002 * CHOOSE(CONTROL!$C$19, $C$6, 100%, $E$6)</f>
        <v>4.8002000000000002</v>
      </c>
    </row>
    <row r="279" spans="1:11" ht="15">
      <c r="A279" s="13">
        <v>50557</v>
      </c>
      <c r="B279" s="60">
        <f>4.3539 * CHOOSE(CONTROL!$C$19, $C$6, 100%, $E$6)</f>
        <v>4.3539000000000003</v>
      </c>
      <c r="C279" s="60">
        <f>4.3539 * CHOOSE(CONTROL!$C$19, $C$6, 100%, $E$6)</f>
        <v>4.3539000000000003</v>
      </c>
      <c r="D279" s="60">
        <f>4.3869 * CHOOSE(CONTROL!$C$19, $C$6, 100%, $E$6)</f>
        <v>4.3868999999999998</v>
      </c>
      <c r="E279" s="61">
        <f>4.7806 * CHOOSE(CONTROL!$C$19, $C$6, 100%, $E$6)</f>
        <v>4.7805999999999997</v>
      </c>
      <c r="F279" s="61">
        <f>4.7806 * CHOOSE(CONTROL!$C$19, $C$6, 100%, $E$6)</f>
        <v>4.7805999999999997</v>
      </c>
      <c r="G279" s="61">
        <f>4.7826 * CHOOSE(CONTROL!$C$19, $C$6, 100%, $E$6)</f>
        <v>4.7826000000000004</v>
      </c>
      <c r="H279" s="61">
        <f>7.3041* CHOOSE(CONTROL!$C$19, $C$6, 100%, $E$6)</f>
        <v>7.3041</v>
      </c>
      <c r="I279" s="61">
        <f>7.3062 * CHOOSE(CONTROL!$C$19, $C$6, 100%, $E$6)</f>
        <v>7.3061999999999996</v>
      </c>
      <c r="J279" s="61">
        <f>4.7806 * CHOOSE(CONTROL!$C$19, $C$6, 100%, $E$6)</f>
        <v>4.7805999999999997</v>
      </c>
      <c r="K279" s="61">
        <f>4.7826 * CHOOSE(CONTROL!$C$19, $C$6, 100%, $E$6)</f>
        <v>4.7826000000000004</v>
      </c>
    </row>
    <row r="280" spans="1:11" ht="15">
      <c r="A280" s="13">
        <v>50587</v>
      </c>
      <c r="B280" s="60">
        <f>4.4232 * CHOOSE(CONTROL!$C$19, $C$6, 100%, $E$6)</f>
        <v>4.4231999999999996</v>
      </c>
      <c r="C280" s="60">
        <f>4.4232 * CHOOSE(CONTROL!$C$19, $C$6, 100%, $E$6)</f>
        <v>4.4231999999999996</v>
      </c>
      <c r="D280" s="60">
        <f>4.4562 * CHOOSE(CONTROL!$C$19, $C$6, 100%, $E$6)</f>
        <v>4.4561999999999999</v>
      </c>
      <c r="E280" s="61">
        <f>4.875 * CHOOSE(CONTROL!$C$19, $C$6, 100%, $E$6)</f>
        <v>4.875</v>
      </c>
      <c r="F280" s="61">
        <f>4.875 * CHOOSE(CONTROL!$C$19, $C$6, 100%, $E$6)</f>
        <v>4.875</v>
      </c>
      <c r="G280" s="61">
        <f>4.877 * CHOOSE(CONTROL!$C$19, $C$6, 100%, $E$6)</f>
        <v>4.8769999999999998</v>
      </c>
      <c r="H280" s="61">
        <f>7.3193* CHOOSE(CONTROL!$C$19, $C$6, 100%, $E$6)</f>
        <v>7.3193000000000001</v>
      </c>
      <c r="I280" s="61">
        <f>7.3214 * CHOOSE(CONTROL!$C$19, $C$6, 100%, $E$6)</f>
        <v>7.3213999999999997</v>
      </c>
      <c r="J280" s="61">
        <f>4.875 * CHOOSE(CONTROL!$C$19, $C$6, 100%, $E$6)</f>
        <v>4.875</v>
      </c>
      <c r="K280" s="61">
        <f>4.877 * CHOOSE(CONTROL!$C$19, $C$6, 100%, $E$6)</f>
        <v>4.8769999999999998</v>
      </c>
    </row>
    <row r="281" spans="1:11" ht="15">
      <c r="A281" s="13">
        <v>50618</v>
      </c>
      <c r="B281" s="60">
        <f>4.4299 * CHOOSE(CONTROL!$C$19, $C$6, 100%, $E$6)</f>
        <v>4.4298999999999999</v>
      </c>
      <c r="C281" s="60">
        <f>4.4299 * CHOOSE(CONTROL!$C$19, $C$6, 100%, $E$6)</f>
        <v>4.4298999999999999</v>
      </c>
      <c r="D281" s="60">
        <f>4.4629 * CHOOSE(CONTROL!$C$19, $C$6, 100%, $E$6)</f>
        <v>4.4629000000000003</v>
      </c>
      <c r="E281" s="61">
        <f>4.8143 * CHOOSE(CONTROL!$C$19, $C$6, 100%, $E$6)</f>
        <v>4.8143000000000002</v>
      </c>
      <c r="F281" s="61">
        <f>4.8143 * CHOOSE(CONTROL!$C$19, $C$6, 100%, $E$6)</f>
        <v>4.8143000000000002</v>
      </c>
      <c r="G281" s="61">
        <f>4.8164 * CHOOSE(CONTROL!$C$19, $C$6, 100%, $E$6)</f>
        <v>4.8163999999999998</v>
      </c>
      <c r="H281" s="61">
        <f>7.3346* CHOOSE(CONTROL!$C$19, $C$6, 100%, $E$6)</f>
        <v>7.3346</v>
      </c>
      <c r="I281" s="61">
        <f>7.3366 * CHOOSE(CONTROL!$C$19, $C$6, 100%, $E$6)</f>
        <v>7.3365999999999998</v>
      </c>
      <c r="J281" s="61">
        <f>4.8143 * CHOOSE(CONTROL!$C$19, $C$6, 100%, $E$6)</f>
        <v>4.8143000000000002</v>
      </c>
      <c r="K281" s="61">
        <f>4.8164 * CHOOSE(CONTROL!$C$19, $C$6, 100%, $E$6)</f>
        <v>4.8163999999999998</v>
      </c>
    </row>
    <row r="282" spans="1:11" ht="15">
      <c r="A282" s="13">
        <v>50649</v>
      </c>
      <c r="B282" s="60">
        <f>4.4269 * CHOOSE(CONTROL!$C$19, $C$6, 100%, $E$6)</f>
        <v>4.4268999999999998</v>
      </c>
      <c r="C282" s="60">
        <f>4.4269 * CHOOSE(CONTROL!$C$19, $C$6, 100%, $E$6)</f>
        <v>4.4268999999999998</v>
      </c>
      <c r="D282" s="60">
        <f>4.4599 * CHOOSE(CONTROL!$C$19, $C$6, 100%, $E$6)</f>
        <v>4.4599000000000002</v>
      </c>
      <c r="E282" s="61">
        <f>4.805 * CHOOSE(CONTROL!$C$19, $C$6, 100%, $E$6)</f>
        <v>4.8049999999999997</v>
      </c>
      <c r="F282" s="61">
        <f>4.805 * CHOOSE(CONTROL!$C$19, $C$6, 100%, $E$6)</f>
        <v>4.8049999999999997</v>
      </c>
      <c r="G282" s="61">
        <f>4.807 * CHOOSE(CONTROL!$C$19, $C$6, 100%, $E$6)</f>
        <v>4.8070000000000004</v>
      </c>
      <c r="H282" s="61">
        <f>7.3499* CHOOSE(CONTROL!$C$19, $C$6, 100%, $E$6)</f>
        <v>7.3498999999999999</v>
      </c>
      <c r="I282" s="61">
        <f>7.3519 * CHOOSE(CONTROL!$C$19, $C$6, 100%, $E$6)</f>
        <v>7.3518999999999997</v>
      </c>
      <c r="J282" s="61">
        <f>4.805 * CHOOSE(CONTROL!$C$19, $C$6, 100%, $E$6)</f>
        <v>4.8049999999999997</v>
      </c>
      <c r="K282" s="61">
        <f>4.807 * CHOOSE(CONTROL!$C$19, $C$6, 100%, $E$6)</f>
        <v>4.8070000000000004</v>
      </c>
    </row>
    <row r="283" spans="1:11" ht="15">
      <c r="A283" s="13">
        <v>50679</v>
      </c>
      <c r="B283" s="60">
        <f>4.4237 * CHOOSE(CONTROL!$C$19, $C$6, 100%, $E$6)</f>
        <v>4.4237000000000002</v>
      </c>
      <c r="C283" s="60">
        <f>4.4237 * CHOOSE(CONTROL!$C$19, $C$6, 100%, $E$6)</f>
        <v>4.4237000000000002</v>
      </c>
      <c r="D283" s="60">
        <f>4.4402 * CHOOSE(CONTROL!$C$19, $C$6, 100%, $E$6)</f>
        <v>4.4401999999999999</v>
      </c>
      <c r="E283" s="61">
        <f>4.8206 * CHOOSE(CONTROL!$C$19, $C$6, 100%, $E$6)</f>
        <v>4.8205999999999998</v>
      </c>
      <c r="F283" s="61">
        <f>4.8206 * CHOOSE(CONTROL!$C$19, $C$6, 100%, $E$6)</f>
        <v>4.8205999999999998</v>
      </c>
      <c r="G283" s="61">
        <f>4.8207 * CHOOSE(CONTROL!$C$19, $C$6, 100%, $E$6)</f>
        <v>4.8207000000000004</v>
      </c>
      <c r="H283" s="61">
        <f>7.3652* CHOOSE(CONTROL!$C$19, $C$6, 100%, $E$6)</f>
        <v>7.3651999999999997</v>
      </c>
      <c r="I283" s="61">
        <f>7.3653 * CHOOSE(CONTROL!$C$19, $C$6, 100%, $E$6)</f>
        <v>7.3653000000000004</v>
      </c>
      <c r="J283" s="61">
        <f>4.8206 * CHOOSE(CONTROL!$C$19, $C$6, 100%, $E$6)</f>
        <v>4.8205999999999998</v>
      </c>
      <c r="K283" s="61">
        <f>4.8207 * CHOOSE(CONTROL!$C$19, $C$6, 100%, $E$6)</f>
        <v>4.8207000000000004</v>
      </c>
    </row>
    <row r="284" spans="1:11" ht="15">
      <c r="A284" s="13">
        <v>50710</v>
      </c>
      <c r="B284" s="60">
        <f>4.4267 * CHOOSE(CONTROL!$C$19, $C$6, 100%, $E$6)</f>
        <v>4.4267000000000003</v>
      </c>
      <c r="C284" s="60">
        <f>4.4267 * CHOOSE(CONTROL!$C$19, $C$6, 100%, $E$6)</f>
        <v>4.4267000000000003</v>
      </c>
      <c r="D284" s="60">
        <f>4.4432 * CHOOSE(CONTROL!$C$19, $C$6, 100%, $E$6)</f>
        <v>4.4432</v>
      </c>
      <c r="E284" s="61">
        <f>4.8372 * CHOOSE(CONTROL!$C$19, $C$6, 100%, $E$6)</f>
        <v>4.8372000000000002</v>
      </c>
      <c r="F284" s="61">
        <f>4.8372 * CHOOSE(CONTROL!$C$19, $C$6, 100%, $E$6)</f>
        <v>4.8372000000000002</v>
      </c>
      <c r="G284" s="61">
        <f>4.8374 * CHOOSE(CONTROL!$C$19, $C$6, 100%, $E$6)</f>
        <v>4.8373999999999997</v>
      </c>
      <c r="H284" s="61">
        <f>7.3805* CHOOSE(CONTROL!$C$19, $C$6, 100%, $E$6)</f>
        <v>7.3804999999999996</v>
      </c>
      <c r="I284" s="61">
        <f>7.3807 * CHOOSE(CONTROL!$C$19, $C$6, 100%, $E$6)</f>
        <v>7.3807</v>
      </c>
      <c r="J284" s="61">
        <f>4.8372 * CHOOSE(CONTROL!$C$19, $C$6, 100%, $E$6)</f>
        <v>4.8372000000000002</v>
      </c>
      <c r="K284" s="61">
        <f>4.8374 * CHOOSE(CONTROL!$C$19, $C$6, 100%, $E$6)</f>
        <v>4.8373999999999997</v>
      </c>
    </row>
    <row r="285" spans="1:11" ht="15">
      <c r="A285" s="13">
        <v>50740</v>
      </c>
      <c r="B285" s="60">
        <f>4.4267 * CHOOSE(CONTROL!$C$19, $C$6, 100%, $E$6)</f>
        <v>4.4267000000000003</v>
      </c>
      <c r="C285" s="60">
        <f>4.4267 * CHOOSE(CONTROL!$C$19, $C$6, 100%, $E$6)</f>
        <v>4.4267000000000003</v>
      </c>
      <c r="D285" s="60">
        <f>4.4432 * CHOOSE(CONTROL!$C$19, $C$6, 100%, $E$6)</f>
        <v>4.4432</v>
      </c>
      <c r="E285" s="61">
        <f>4.8206 * CHOOSE(CONTROL!$C$19, $C$6, 100%, $E$6)</f>
        <v>4.8205999999999998</v>
      </c>
      <c r="F285" s="61">
        <f>4.8206 * CHOOSE(CONTROL!$C$19, $C$6, 100%, $E$6)</f>
        <v>4.8205999999999998</v>
      </c>
      <c r="G285" s="61">
        <f>4.8208 * CHOOSE(CONTROL!$C$19, $C$6, 100%, $E$6)</f>
        <v>4.8208000000000002</v>
      </c>
      <c r="H285" s="61">
        <f>7.3959* CHOOSE(CONTROL!$C$19, $C$6, 100%, $E$6)</f>
        <v>7.3959000000000001</v>
      </c>
      <c r="I285" s="61">
        <f>7.3961 * CHOOSE(CONTROL!$C$19, $C$6, 100%, $E$6)</f>
        <v>7.3960999999999997</v>
      </c>
      <c r="J285" s="61">
        <f>4.8206 * CHOOSE(CONTROL!$C$19, $C$6, 100%, $E$6)</f>
        <v>4.8205999999999998</v>
      </c>
      <c r="K285" s="61">
        <f>4.8208 * CHOOSE(CONTROL!$C$19, $C$6, 100%, $E$6)</f>
        <v>4.8208000000000002</v>
      </c>
    </row>
    <row r="286" spans="1:11" ht="15">
      <c r="A286" s="13">
        <v>50771</v>
      </c>
      <c r="B286" s="60">
        <f>4.464 * CHOOSE(CONTROL!$C$19, $C$6, 100%, $E$6)</f>
        <v>4.4640000000000004</v>
      </c>
      <c r="C286" s="60">
        <f>4.464 * CHOOSE(CONTROL!$C$19, $C$6, 100%, $E$6)</f>
        <v>4.4640000000000004</v>
      </c>
      <c r="D286" s="60">
        <f>4.4805 * CHOOSE(CONTROL!$C$19, $C$6, 100%, $E$6)</f>
        <v>4.4805000000000001</v>
      </c>
      <c r="E286" s="61">
        <f>4.8715 * CHOOSE(CONTROL!$C$19, $C$6, 100%, $E$6)</f>
        <v>4.8715000000000002</v>
      </c>
      <c r="F286" s="61">
        <f>4.8715 * CHOOSE(CONTROL!$C$19, $C$6, 100%, $E$6)</f>
        <v>4.8715000000000002</v>
      </c>
      <c r="G286" s="61">
        <f>4.8717 * CHOOSE(CONTROL!$C$19, $C$6, 100%, $E$6)</f>
        <v>4.8716999999999997</v>
      </c>
      <c r="H286" s="61">
        <f>7.4113* CHOOSE(CONTROL!$C$19, $C$6, 100%, $E$6)</f>
        <v>7.4112999999999998</v>
      </c>
      <c r="I286" s="61">
        <f>7.4115 * CHOOSE(CONTROL!$C$19, $C$6, 100%, $E$6)</f>
        <v>7.4115000000000002</v>
      </c>
      <c r="J286" s="61">
        <f>4.8715 * CHOOSE(CONTROL!$C$19, $C$6, 100%, $E$6)</f>
        <v>4.8715000000000002</v>
      </c>
      <c r="K286" s="61">
        <f>4.8717 * CHOOSE(CONTROL!$C$19, $C$6, 100%, $E$6)</f>
        <v>4.8716999999999997</v>
      </c>
    </row>
    <row r="287" spans="1:11" ht="15">
      <c r="A287" s="13">
        <v>50802</v>
      </c>
      <c r="B287" s="60">
        <f>4.461 * CHOOSE(CONTROL!$C$19, $C$6, 100%, $E$6)</f>
        <v>4.4610000000000003</v>
      </c>
      <c r="C287" s="60">
        <f>4.461 * CHOOSE(CONTROL!$C$19, $C$6, 100%, $E$6)</f>
        <v>4.4610000000000003</v>
      </c>
      <c r="D287" s="60">
        <f>4.4775 * CHOOSE(CONTROL!$C$19, $C$6, 100%, $E$6)</f>
        <v>4.4775</v>
      </c>
      <c r="E287" s="61">
        <f>4.7989 * CHOOSE(CONTROL!$C$19, $C$6, 100%, $E$6)</f>
        <v>4.7988999999999997</v>
      </c>
      <c r="F287" s="61">
        <f>4.7989 * CHOOSE(CONTROL!$C$19, $C$6, 100%, $E$6)</f>
        <v>4.7988999999999997</v>
      </c>
      <c r="G287" s="61">
        <f>4.7991 * CHOOSE(CONTROL!$C$19, $C$6, 100%, $E$6)</f>
        <v>4.7991000000000001</v>
      </c>
      <c r="H287" s="61">
        <f>7.4267* CHOOSE(CONTROL!$C$19, $C$6, 100%, $E$6)</f>
        <v>7.4267000000000003</v>
      </c>
      <c r="I287" s="61">
        <f>7.4269 * CHOOSE(CONTROL!$C$19, $C$6, 100%, $E$6)</f>
        <v>7.4268999999999998</v>
      </c>
      <c r="J287" s="61">
        <f>4.7989 * CHOOSE(CONTROL!$C$19, $C$6, 100%, $E$6)</f>
        <v>4.7988999999999997</v>
      </c>
      <c r="K287" s="61">
        <f>4.7991 * CHOOSE(CONTROL!$C$19, $C$6, 100%, $E$6)</f>
        <v>4.7991000000000001</v>
      </c>
    </row>
    <row r="288" spans="1:11" ht="15">
      <c r="A288" s="13">
        <v>50830</v>
      </c>
      <c r="B288" s="60">
        <f>4.458 * CHOOSE(CONTROL!$C$19, $C$6, 100%, $E$6)</f>
        <v>4.4580000000000002</v>
      </c>
      <c r="C288" s="60">
        <f>4.458 * CHOOSE(CONTROL!$C$19, $C$6, 100%, $E$6)</f>
        <v>4.4580000000000002</v>
      </c>
      <c r="D288" s="60">
        <f>4.4745 * CHOOSE(CONTROL!$C$19, $C$6, 100%, $E$6)</f>
        <v>4.4744999999999999</v>
      </c>
      <c r="E288" s="61">
        <f>4.8524 * CHOOSE(CONTROL!$C$19, $C$6, 100%, $E$6)</f>
        <v>4.8524000000000003</v>
      </c>
      <c r="F288" s="61">
        <f>4.8524 * CHOOSE(CONTROL!$C$19, $C$6, 100%, $E$6)</f>
        <v>4.8524000000000003</v>
      </c>
      <c r="G288" s="61">
        <f>4.8525 * CHOOSE(CONTROL!$C$19, $C$6, 100%, $E$6)</f>
        <v>4.8525</v>
      </c>
      <c r="H288" s="61">
        <f>7.4422* CHOOSE(CONTROL!$C$19, $C$6, 100%, $E$6)</f>
        <v>7.4421999999999997</v>
      </c>
      <c r="I288" s="61">
        <f>7.4424 * CHOOSE(CONTROL!$C$19, $C$6, 100%, $E$6)</f>
        <v>7.4424000000000001</v>
      </c>
      <c r="J288" s="61">
        <f>4.8524 * CHOOSE(CONTROL!$C$19, $C$6, 100%, $E$6)</f>
        <v>4.8524000000000003</v>
      </c>
      <c r="K288" s="61">
        <f>4.8525 * CHOOSE(CONTROL!$C$19, $C$6, 100%, $E$6)</f>
        <v>4.8525</v>
      </c>
    </row>
    <row r="289" spans="1:11" ht="15">
      <c r="A289" s="13">
        <v>50861</v>
      </c>
      <c r="B289" s="60">
        <f>4.4561 * CHOOSE(CONTROL!$C$19, $C$6, 100%, $E$6)</f>
        <v>4.4561000000000002</v>
      </c>
      <c r="C289" s="60">
        <f>4.4561 * CHOOSE(CONTROL!$C$19, $C$6, 100%, $E$6)</f>
        <v>4.4561000000000002</v>
      </c>
      <c r="D289" s="60">
        <f>4.4726 * CHOOSE(CONTROL!$C$19, $C$6, 100%, $E$6)</f>
        <v>4.4725999999999999</v>
      </c>
      <c r="E289" s="61">
        <f>4.9078 * CHOOSE(CONTROL!$C$19, $C$6, 100%, $E$6)</f>
        <v>4.9077999999999999</v>
      </c>
      <c r="F289" s="61">
        <f>4.9078 * CHOOSE(CONTROL!$C$19, $C$6, 100%, $E$6)</f>
        <v>4.9077999999999999</v>
      </c>
      <c r="G289" s="61">
        <f>4.908 * CHOOSE(CONTROL!$C$19, $C$6, 100%, $E$6)</f>
        <v>4.9080000000000004</v>
      </c>
      <c r="H289" s="61">
        <f>7.4577* CHOOSE(CONTROL!$C$19, $C$6, 100%, $E$6)</f>
        <v>7.4577</v>
      </c>
      <c r="I289" s="61">
        <f>7.4579 * CHOOSE(CONTROL!$C$19, $C$6, 100%, $E$6)</f>
        <v>7.4579000000000004</v>
      </c>
      <c r="J289" s="61">
        <f>4.9078 * CHOOSE(CONTROL!$C$19, $C$6, 100%, $E$6)</f>
        <v>4.9077999999999999</v>
      </c>
      <c r="K289" s="61">
        <f>4.908 * CHOOSE(CONTROL!$C$19, $C$6, 100%, $E$6)</f>
        <v>4.9080000000000004</v>
      </c>
    </row>
    <row r="290" spans="1:11" ht="15">
      <c r="A290" s="13">
        <v>50891</v>
      </c>
      <c r="B290" s="60">
        <f>4.4561 * CHOOSE(CONTROL!$C$19, $C$6, 100%, $E$6)</f>
        <v>4.4561000000000002</v>
      </c>
      <c r="C290" s="60">
        <f>4.4561 * CHOOSE(CONTROL!$C$19, $C$6, 100%, $E$6)</f>
        <v>4.4561000000000002</v>
      </c>
      <c r="D290" s="60">
        <f>4.4891 * CHOOSE(CONTROL!$C$19, $C$6, 100%, $E$6)</f>
        <v>4.4890999999999996</v>
      </c>
      <c r="E290" s="61">
        <f>4.9302 * CHOOSE(CONTROL!$C$19, $C$6, 100%, $E$6)</f>
        <v>4.9302000000000001</v>
      </c>
      <c r="F290" s="61">
        <f>4.9302 * CHOOSE(CONTROL!$C$19, $C$6, 100%, $E$6)</f>
        <v>4.9302000000000001</v>
      </c>
      <c r="G290" s="61">
        <f>4.9322 * CHOOSE(CONTROL!$C$19, $C$6, 100%, $E$6)</f>
        <v>4.9321999999999999</v>
      </c>
      <c r="H290" s="61">
        <f>7.4732* CHOOSE(CONTROL!$C$19, $C$6, 100%, $E$6)</f>
        <v>7.4732000000000003</v>
      </c>
      <c r="I290" s="61">
        <f>7.4753 * CHOOSE(CONTROL!$C$19, $C$6, 100%, $E$6)</f>
        <v>7.4752999999999998</v>
      </c>
      <c r="J290" s="61">
        <f>4.9302 * CHOOSE(CONTROL!$C$19, $C$6, 100%, $E$6)</f>
        <v>4.9302000000000001</v>
      </c>
      <c r="K290" s="61">
        <f>4.9322 * CHOOSE(CONTROL!$C$19, $C$6, 100%, $E$6)</f>
        <v>4.9321999999999999</v>
      </c>
    </row>
    <row r="291" spans="1:11" ht="15">
      <c r="A291" s="13">
        <v>50922</v>
      </c>
      <c r="B291" s="60">
        <f>4.4622 * CHOOSE(CONTROL!$C$19, $C$6, 100%, $E$6)</f>
        <v>4.4622000000000002</v>
      </c>
      <c r="C291" s="60">
        <f>4.4622 * CHOOSE(CONTROL!$C$19, $C$6, 100%, $E$6)</f>
        <v>4.4622000000000002</v>
      </c>
      <c r="D291" s="60">
        <f>4.4952 * CHOOSE(CONTROL!$C$19, $C$6, 100%, $E$6)</f>
        <v>4.4951999999999996</v>
      </c>
      <c r="E291" s="61">
        <f>4.912 * CHOOSE(CONTROL!$C$19, $C$6, 100%, $E$6)</f>
        <v>4.9119999999999999</v>
      </c>
      <c r="F291" s="61">
        <f>4.912 * CHOOSE(CONTROL!$C$19, $C$6, 100%, $E$6)</f>
        <v>4.9119999999999999</v>
      </c>
      <c r="G291" s="61">
        <f>4.9141 * CHOOSE(CONTROL!$C$19, $C$6, 100%, $E$6)</f>
        <v>4.9141000000000004</v>
      </c>
      <c r="H291" s="61">
        <f>7.4888* CHOOSE(CONTROL!$C$19, $C$6, 100%, $E$6)</f>
        <v>7.4888000000000003</v>
      </c>
      <c r="I291" s="61">
        <f>7.4909 * CHOOSE(CONTROL!$C$19, $C$6, 100%, $E$6)</f>
        <v>7.4908999999999999</v>
      </c>
      <c r="J291" s="61">
        <f>4.912 * CHOOSE(CONTROL!$C$19, $C$6, 100%, $E$6)</f>
        <v>4.9119999999999999</v>
      </c>
      <c r="K291" s="61">
        <f>4.9141 * CHOOSE(CONTROL!$C$19, $C$6, 100%, $E$6)</f>
        <v>4.9141000000000004</v>
      </c>
    </row>
    <row r="292" spans="1:11" ht="15">
      <c r="A292" s="13">
        <v>50952</v>
      </c>
      <c r="B292" s="60">
        <f>4.53 * CHOOSE(CONTROL!$C$19, $C$6, 100%, $E$6)</f>
        <v>4.53</v>
      </c>
      <c r="C292" s="60">
        <f>4.53 * CHOOSE(CONTROL!$C$19, $C$6, 100%, $E$6)</f>
        <v>4.53</v>
      </c>
      <c r="D292" s="60">
        <f>4.5631 * CHOOSE(CONTROL!$C$19, $C$6, 100%, $E$6)</f>
        <v>4.5631000000000004</v>
      </c>
      <c r="E292" s="61">
        <f>5.009 * CHOOSE(CONTROL!$C$19, $C$6, 100%, $E$6)</f>
        <v>5.0090000000000003</v>
      </c>
      <c r="F292" s="61">
        <f>5.009 * CHOOSE(CONTROL!$C$19, $C$6, 100%, $E$6)</f>
        <v>5.0090000000000003</v>
      </c>
      <c r="G292" s="61">
        <f>5.011 * CHOOSE(CONTROL!$C$19, $C$6, 100%, $E$6)</f>
        <v>5.0110000000000001</v>
      </c>
      <c r="H292" s="61">
        <f>7.5044* CHOOSE(CONTROL!$C$19, $C$6, 100%, $E$6)</f>
        <v>7.5044000000000004</v>
      </c>
      <c r="I292" s="61">
        <f>7.5065 * CHOOSE(CONTROL!$C$19, $C$6, 100%, $E$6)</f>
        <v>7.5065</v>
      </c>
      <c r="J292" s="61">
        <f>5.009 * CHOOSE(CONTROL!$C$19, $C$6, 100%, $E$6)</f>
        <v>5.0090000000000003</v>
      </c>
      <c r="K292" s="61">
        <f>5.011 * CHOOSE(CONTROL!$C$19, $C$6, 100%, $E$6)</f>
        <v>5.0110000000000001</v>
      </c>
    </row>
    <row r="293" spans="1:11" ht="15">
      <c r="A293" s="13">
        <v>50983</v>
      </c>
      <c r="B293" s="60">
        <f>4.5367 * CHOOSE(CONTROL!$C$19, $C$6, 100%, $E$6)</f>
        <v>4.5366999999999997</v>
      </c>
      <c r="C293" s="60">
        <f>4.5367 * CHOOSE(CONTROL!$C$19, $C$6, 100%, $E$6)</f>
        <v>4.5366999999999997</v>
      </c>
      <c r="D293" s="60">
        <f>4.5697 * CHOOSE(CONTROL!$C$19, $C$6, 100%, $E$6)</f>
        <v>4.5697000000000001</v>
      </c>
      <c r="E293" s="61">
        <f>4.9465 * CHOOSE(CONTROL!$C$19, $C$6, 100%, $E$6)</f>
        <v>4.9465000000000003</v>
      </c>
      <c r="F293" s="61">
        <f>4.9465 * CHOOSE(CONTROL!$C$19, $C$6, 100%, $E$6)</f>
        <v>4.9465000000000003</v>
      </c>
      <c r="G293" s="61">
        <f>4.9486 * CHOOSE(CONTROL!$C$19, $C$6, 100%, $E$6)</f>
        <v>4.9485999999999999</v>
      </c>
      <c r="H293" s="61">
        <f>7.5201* CHOOSE(CONTROL!$C$19, $C$6, 100%, $E$6)</f>
        <v>7.5201000000000002</v>
      </c>
      <c r="I293" s="61">
        <f>7.5221 * CHOOSE(CONTROL!$C$19, $C$6, 100%, $E$6)</f>
        <v>7.5221</v>
      </c>
      <c r="J293" s="61">
        <f>4.9465 * CHOOSE(CONTROL!$C$19, $C$6, 100%, $E$6)</f>
        <v>4.9465000000000003</v>
      </c>
      <c r="K293" s="61">
        <f>4.9486 * CHOOSE(CONTROL!$C$19, $C$6, 100%, $E$6)</f>
        <v>4.9485999999999999</v>
      </c>
    </row>
    <row r="294" spans="1:11" ht="15">
      <c r="A294" s="13">
        <v>51014</v>
      </c>
      <c r="B294" s="60">
        <f>4.5337 * CHOOSE(CONTROL!$C$19, $C$6, 100%, $E$6)</f>
        <v>4.5336999999999996</v>
      </c>
      <c r="C294" s="60">
        <f>4.5337 * CHOOSE(CONTROL!$C$19, $C$6, 100%, $E$6)</f>
        <v>4.5336999999999996</v>
      </c>
      <c r="D294" s="60">
        <f>4.5667 * CHOOSE(CONTROL!$C$19, $C$6, 100%, $E$6)</f>
        <v>4.5667</v>
      </c>
      <c r="E294" s="61">
        <f>4.9369 * CHOOSE(CONTROL!$C$19, $C$6, 100%, $E$6)</f>
        <v>4.9368999999999996</v>
      </c>
      <c r="F294" s="61">
        <f>4.9369 * CHOOSE(CONTROL!$C$19, $C$6, 100%, $E$6)</f>
        <v>4.9368999999999996</v>
      </c>
      <c r="G294" s="61">
        <f>4.939 * CHOOSE(CONTROL!$C$19, $C$6, 100%, $E$6)</f>
        <v>4.9390000000000001</v>
      </c>
      <c r="H294" s="61">
        <f>7.5357* CHOOSE(CONTROL!$C$19, $C$6, 100%, $E$6)</f>
        <v>7.5357000000000003</v>
      </c>
      <c r="I294" s="61">
        <f>7.5378 * CHOOSE(CONTROL!$C$19, $C$6, 100%, $E$6)</f>
        <v>7.5377999999999998</v>
      </c>
      <c r="J294" s="61">
        <f>4.9369 * CHOOSE(CONTROL!$C$19, $C$6, 100%, $E$6)</f>
        <v>4.9368999999999996</v>
      </c>
      <c r="K294" s="61">
        <f>4.939 * CHOOSE(CONTROL!$C$19, $C$6, 100%, $E$6)</f>
        <v>4.9390000000000001</v>
      </c>
    </row>
    <row r="295" spans="1:11" ht="15">
      <c r="A295" s="13">
        <v>51044</v>
      </c>
      <c r="B295" s="60">
        <f>4.5309 * CHOOSE(CONTROL!$C$19, $C$6, 100%, $E$6)</f>
        <v>4.5308999999999999</v>
      </c>
      <c r="C295" s="60">
        <f>4.5309 * CHOOSE(CONTROL!$C$19, $C$6, 100%, $E$6)</f>
        <v>4.5308999999999999</v>
      </c>
      <c r="D295" s="60">
        <f>4.5474 * CHOOSE(CONTROL!$C$19, $C$6, 100%, $E$6)</f>
        <v>4.5473999999999997</v>
      </c>
      <c r="E295" s="61">
        <f>4.9534 * CHOOSE(CONTROL!$C$19, $C$6, 100%, $E$6)</f>
        <v>4.9534000000000002</v>
      </c>
      <c r="F295" s="61">
        <f>4.9534 * CHOOSE(CONTROL!$C$19, $C$6, 100%, $E$6)</f>
        <v>4.9534000000000002</v>
      </c>
      <c r="G295" s="61">
        <f>4.9535 * CHOOSE(CONTROL!$C$19, $C$6, 100%, $E$6)</f>
        <v>4.9535</v>
      </c>
      <c r="H295" s="61">
        <f>7.5514* CHOOSE(CONTROL!$C$19, $C$6, 100%, $E$6)</f>
        <v>7.5514000000000001</v>
      </c>
      <c r="I295" s="61">
        <f>7.5516 * CHOOSE(CONTROL!$C$19, $C$6, 100%, $E$6)</f>
        <v>7.5515999999999996</v>
      </c>
      <c r="J295" s="61">
        <f>4.9534 * CHOOSE(CONTROL!$C$19, $C$6, 100%, $E$6)</f>
        <v>4.9534000000000002</v>
      </c>
      <c r="K295" s="61">
        <f>4.9535 * CHOOSE(CONTROL!$C$19, $C$6, 100%, $E$6)</f>
        <v>4.9535</v>
      </c>
    </row>
    <row r="296" spans="1:11" ht="15">
      <c r="A296" s="13">
        <v>51075</v>
      </c>
      <c r="B296" s="60">
        <f>4.534 * CHOOSE(CONTROL!$C$19, $C$6, 100%, $E$6)</f>
        <v>4.5339999999999998</v>
      </c>
      <c r="C296" s="60">
        <f>4.534 * CHOOSE(CONTROL!$C$19, $C$6, 100%, $E$6)</f>
        <v>4.5339999999999998</v>
      </c>
      <c r="D296" s="60">
        <f>4.5505 * CHOOSE(CONTROL!$C$19, $C$6, 100%, $E$6)</f>
        <v>4.5505000000000004</v>
      </c>
      <c r="E296" s="61">
        <f>4.9704 * CHOOSE(CONTROL!$C$19, $C$6, 100%, $E$6)</f>
        <v>4.9703999999999997</v>
      </c>
      <c r="F296" s="61">
        <f>4.9704 * CHOOSE(CONTROL!$C$19, $C$6, 100%, $E$6)</f>
        <v>4.9703999999999997</v>
      </c>
      <c r="G296" s="61">
        <f>4.9706 * CHOOSE(CONTROL!$C$19, $C$6, 100%, $E$6)</f>
        <v>4.9706000000000001</v>
      </c>
      <c r="H296" s="61">
        <f>7.5671* CHOOSE(CONTROL!$C$19, $C$6, 100%, $E$6)</f>
        <v>7.5670999999999999</v>
      </c>
      <c r="I296" s="61">
        <f>7.5673 * CHOOSE(CONTROL!$C$19, $C$6, 100%, $E$6)</f>
        <v>7.5673000000000004</v>
      </c>
      <c r="J296" s="61">
        <f>4.9704 * CHOOSE(CONTROL!$C$19, $C$6, 100%, $E$6)</f>
        <v>4.9703999999999997</v>
      </c>
      <c r="K296" s="61">
        <f>4.9706 * CHOOSE(CONTROL!$C$19, $C$6, 100%, $E$6)</f>
        <v>4.9706000000000001</v>
      </c>
    </row>
    <row r="297" spans="1:11" ht="15">
      <c r="A297" s="13">
        <v>51105</v>
      </c>
      <c r="B297" s="60">
        <f>4.534 * CHOOSE(CONTROL!$C$19, $C$6, 100%, $E$6)</f>
        <v>4.5339999999999998</v>
      </c>
      <c r="C297" s="60">
        <f>4.534 * CHOOSE(CONTROL!$C$19, $C$6, 100%, $E$6)</f>
        <v>4.5339999999999998</v>
      </c>
      <c r="D297" s="60">
        <f>4.5505 * CHOOSE(CONTROL!$C$19, $C$6, 100%, $E$6)</f>
        <v>4.5505000000000004</v>
      </c>
      <c r="E297" s="61">
        <f>4.9331 * CHOOSE(CONTROL!$C$19, $C$6, 100%, $E$6)</f>
        <v>4.9330999999999996</v>
      </c>
      <c r="F297" s="61">
        <f>4.9331 * CHOOSE(CONTROL!$C$19, $C$6, 100%, $E$6)</f>
        <v>4.9330999999999996</v>
      </c>
      <c r="G297" s="61">
        <f>4.9333 * CHOOSE(CONTROL!$C$19, $C$6, 100%, $E$6)</f>
        <v>4.9333</v>
      </c>
      <c r="H297" s="61">
        <f>7.5829* CHOOSE(CONTROL!$C$19, $C$6, 100%, $E$6)</f>
        <v>7.5829000000000004</v>
      </c>
      <c r="I297" s="61">
        <f>7.5831 * CHOOSE(CONTROL!$C$19, $C$6, 100%, $E$6)</f>
        <v>7.5831</v>
      </c>
      <c r="J297" s="61">
        <f>4.9331 * CHOOSE(CONTROL!$C$19, $C$6, 100%, $E$6)</f>
        <v>4.9330999999999996</v>
      </c>
      <c r="K297" s="61">
        <f>4.9333 * CHOOSE(CONTROL!$C$19, $C$6, 100%, $E$6)</f>
        <v>4.9333</v>
      </c>
    </row>
    <row r="298" spans="1:11" ht="15">
      <c r="A298" s="13">
        <v>51136</v>
      </c>
      <c r="B298" s="60">
        <f>4.5746 * CHOOSE(CONTROL!$C$19, $C$6, 100%, $E$6)</f>
        <v>4.5746000000000002</v>
      </c>
      <c r="C298" s="60">
        <f>4.5746 * CHOOSE(CONTROL!$C$19, $C$6, 100%, $E$6)</f>
        <v>4.5746000000000002</v>
      </c>
      <c r="D298" s="60">
        <f>4.5911 * CHOOSE(CONTROL!$C$19, $C$6, 100%, $E$6)</f>
        <v>4.5911</v>
      </c>
      <c r="E298" s="61">
        <f>5.0083 * CHOOSE(CONTROL!$C$19, $C$6, 100%, $E$6)</f>
        <v>5.0083000000000002</v>
      </c>
      <c r="F298" s="61">
        <f>5.0083 * CHOOSE(CONTROL!$C$19, $C$6, 100%, $E$6)</f>
        <v>5.0083000000000002</v>
      </c>
      <c r="G298" s="61">
        <f>5.0085 * CHOOSE(CONTROL!$C$19, $C$6, 100%, $E$6)</f>
        <v>5.0084999999999997</v>
      </c>
      <c r="H298" s="61">
        <f>7.5987* CHOOSE(CONTROL!$C$19, $C$6, 100%, $E$6)</f>
        <v>7.5987</v>
      </c>
      <c r="I298" s="61">
        <f>7.5989 * CHOOSE(CONTROL!$C$19, $C$6, 100%, $E$6)</f>
        <v>7.5989000000000004</v>
      </c>
      <c r="J298" s="61">
        <f>5.0083 * CHOOSE(CONTROL!$C$19, $C$6, 100%, $E$6)</f>
        <v>5.0083000000000002</v>
      </c>
      <c r="K298" s="61">
        <f>5.0085 * CHOOSE(CONTROL!$C$19, $C$6, 100%, $E$6)</f>
        <v>5.0084999999999997</v>
      </c>
    </row>
    <row r="299" spans="1:11" ht="15">
      <c r="A299" s="13">
        <v>51167</v>
      </c>
      <c r="B299" s="60">
        <f>4.5716 * CHOOSE(CONTROL!$C$19, $C$6, 100%, $E$6)</f>
        <v>4.5716000000000001</v>
      </c>
      <c r="C299" s="60">
        <f>4.5716 * CHOOSE(CONTROL!$C$19, $C$6, 100%, $E$6)</f>
        <v>4.5716000000000001</v>
      </c>
      <c r="D299" s="60">
        <f>4.5881 * CHOOSE(CONTROL!$C$19, $C$6, 100%, $E$6)</f>
        <v>4.5880999999999998</v>
      </c>
      <c r="E299" s="61">
        <f>4.9335 * CHOOSE(CONTROL!$C$19, $C$6, 100%, $E$6)</f>
        <v>4.9335000000000004</v>
      </c>
      <c r="F299" s="61">
        <f>4.9335 * CHOOSE(CONTROL!$C$19, $C$6, 100%, $E$6)</f>
        <v>4.9335000000000004</v>
      </c>
      <c r="G299" s="61">
        <f>4.9336 * CHOOSE(CONTROL!$C$19, $C$6, 100%, $E$6)</f>
        <v>4.9336000000000002</v>
      </c>
      <c r="H299" s="61">
        <f>7.6145* CHOOSE(CONTROL!$C$19, $C$6, 100%, $E$6)</f>
        <v>7.6144999999999996</v>
      </c>
      <c r="I299" s="61">
        <f>7.6147 * CHOOSE(CONTROL!$C$19, $C$6, 100%, $E$6)</f>
        <v>7.6147</v>
      </c>
      <c r="J299" s="61">
        <f>4.9335 * CHOOSE(CONTROL!$C$19, $C$6, 100%, $E$6)</f>
        <v>4.9335000000000004</v>
      </c>
      <c r="K299" s="61">
        <f>4.9336 * CHOOSE(CONTROL!$C$19, $C$6, 100%, $E$6)</f>
        <v>4.9336000000000002</v>
      </c>
    </row>
    <row r="300" spans="1:11" ht="15">
      <c r="A300" s="13">
        <v>51196</v>
      </c>
      <c r="B300" s="60">
        <f>4.5685 * CHOOSE(CONTROL!$C$19, $C$6, 100%, $E$6)</f>
        <v>4.5685000000000002</v>
      </c>
      <c r="C300" s="60">
        <f>4.5685 * CHOOSE(CONTROL!$C$19, $C$6, 100%, $E$6)</f>
        <v>4.5685000000000002</v>
      </c>
      <c r="D300" s="60">
        <f>4.585 * CHOOSE(CONTROL!$C$19, $C$6, 100%, $E$6)</f>
        <v>4.585</v>
      </c>
      <c r="E300" s="61">
        <f>4.9887 * CHOOSE(CONTROL!$C$19, $C$6, 100%, $E$6)</f>
        <v>4.9886999999999997</v>
      </c>
      <c r="F300" s="61">
        <f>4.9887 * CHOOSE(CONTROL!$C$19, $C$6, 100%, $E$6)</f>
        <v>4.9886999999999997</v>
      </c>
      <c r="G300" s="61">
        <f>4.9888 * CHOOSE(CONTROL!$C$19, $C$6, 100%, $E$6)</f>
        <v>4.9888000000000003</v>
      </c>
      <c r="H300" s="61">
        <f>7.6304* CHOOSE(CONTROL!$C$19, $C$6, 100%, $E$6)</f>
        <v>7.6303999999999998</v>
      </c>
      <c r="I300" s="61">
        <f>7.6306 * CHOOSE(CONTROL!$C$19, $C$6, 100%, $E$6)</f>
        <v>7.6306000000000003</v>
      </c>
      <c r="J300" s="61">
        <f>4.9887 * CHOOSE(CONTROL!$C$19, $C$6, 100%, $E$6)</f>
        <v>4.9886999999999997</v>
      </c>
      <c r="K300" s="61">
        <f>4.9888 * CHOOSE(CONTROL!$C$19, $C$6, 100%, $E$6)</f>
        <v>4.9888000000000003</v>
      </c>
    </row>
    <row r="301" spans="1:11" ht="15">
      <c r="A301" s="13">
        <v>51227</v>
      </c>
      <c r="B301" s="60">
        <f>4.5668 * CHOOSE(CONTROL!$C$19, $C$6, 100%, $E$6)</f>
        <v>4.5667999999999997</v>
      </c>
      <c r="C301" s="60">
        <f>4.5668 * CHOOSE(CONTROL!$C$19, $C$6, 100%, $E$6)</f>
        <v>4.5667999999999997</v>
      </c>
      <c r="D301" s="60">
        <f>4.5833 * CHOOSE(CONTROL!$C$19, $C$6, 100%, $E$6)</f>
        <v>4.5833000000000004</v>
      </c>
      <c r="E301" s="61">
        <f>5.046 * CHOOSE(CONTROL!$C$19, $C$6, 100%, $E$6)</f>
        <v>5.0460000000000003</v>
      </c>
      <c r="F301" s="61">
        <f>5.046 * CHOOSE(CONTROL!$C$19, $C$6, 100%, $E$6)</f>
        <v>5.0460000000000003</v>
      </c>
      <c r="G301" s="61">
        <f>5.0462 * CHOOSE(CONTROL!$C$19, $C$6, 100%, $E$6)</f>
        <v>5.0461999999999998</v>
      </c>
      <c r="H301" s="61">
        <f>7.6463* CHOOSE(CONTROL!$C$19, $C$6, 100%, $E$6)</f>
        <v>7.6463000000000001</v>
      </c>
      <c r="I301" s="61">
        <f>7.6465 * CHOOSE(CONTROL!$C$19, $C$6, 100%, $E$6)</f>
        <v>7.6464999999999996</v>
      </c>
      <c r="J301" s="61">
        <f>5.046 * CHOOSE(CONTROL!$C$19, $C$6, 100%, $E$6)</f>
        <v>5.0460000000000003</v>
      </c>
      <c r="K301" s="61">
        <f>5.0462 * CHOOSE(CONTROL!$C$19, $C$6, 100%, $E$6)</f>
        <v>5.0461999999999998</v>
      </c>
    </row>
    <row r="302" spans="1:11" ht="15">
      <c r="A302" s="13">
        <v>51257</v>
      </c>
      <c r="B302" s="60">
        <f>4.5668 * CHOOSE(CONTROL!$C$19, $C$6, 100%, $E$6)</f>
        <v>4.5667999999999997</v>
      </c>
      <c r="C302" s="60">
        <f>4.5668 * CHOOSE(CONTROL!$C$19, $C$6, 100%, $E$6)</f>
        <v>4.5667999999999997</v>
      </c>
      <c r="D302" s="60">
        <f>4.5998 * CHOOSE(CONTROL!$C$19, $C$6, 100%, $E$6)</f>
        <v>4.5998000000000001</v>
      </c>
      <c r="E302" s="61">
        <f>5.0691 * CHOOSE(CONTROL!$C$19, $C$6, 100%, $E$6)</f>
        <v>5.0690999999999997</v>
      </c>
      <c r="F302" s="61">
        <f>5.0691 * CHOOSE(CONTROL!$C$19, $C$6, 100%, $E$6)</f>
        <v>5.0690999999999997</v>
      </c>
      <c r="G302" s="61">
        <f>5.0711 * CHOOSE(CONTROL!$C$19, $C$6, 100%, $E$6)</f>
        <v>5.0711000000000004</v>
      </c>
      <c r="H302" s="61">
        <f>7.6622* CHOOSE(CONTROL!$C$19, $C$6, 100%, $E$6)</f>
        <v>7.6622000000000003</v>
      </c>
      <c r="I302" s="61">
        <f>7.6643 * CHOOSE(CONTROL!$C$19, $C$6, 100%, $E$6)</f>
        <v>7.6642999999999999</v>
      </c>
      <c r="J302" s="61">
        <f>5.0691 * CHOOSE(CONTROL!$C$19, $C$6, 100%, $E$6)</f>
        <v>5.0690999999999997</v>
      </c>
      <c r="K302" s="61">
        <f>5.0711 * CHOOSE(CONTROL!$C$19, $C$6, 100%, $E$6)</f>
        <v>5.0711000000000004</v>
      </c>
    </row>
    <row r="303" spans="1:11" ht="15">
      <c r="A303" s="13">
        <v>51288</v>
      </c>
      <c r="B303" s="60">
        <f>4.5729 * CHOOSE(CONTROL!$C$19, $C$6, 100%, $E$6)</f>
        <v>4.5728999999999997</v>
      </c>
      <c r="C303" s="60">
        <f>4.5729 * CHOOSE(CONTROL!$C$19, $C$6, 100%, $E$6)</f>
        <v>4.5728999999999997</v>
      </c>
      <c r="D303" s="60">
        <f>4.6059 * CHOOSE(CONTROL!$C$19, $C$6, 100%, $E$6)</f>
        <v>4.6059000000000001</v>
      </c>
      <c r="E303" s="61">
        <f>5.0502 * CHOOSE(CONTROL!$C$19, $C$6, 100%, $E$6)</f>
        <v>5.0502000000000002</v>
      </c>
      <c r="F303" s="61">
        <f>5.0502 * CHOOSE(CONTROL!$C$19, $C$6, 100%, $E$6)</f>
        <v>5.0502000000000002</v>
      </c>
      <c r="G303" s="61">
        <f>5.0523 * CHOOSE(CONTROL!$C$19, $C$6, 100%, $E$6)</f>
        <v>5.0522999999999998</v>
      </c>
      <c r="H303" s="61">
        <f>7.6782* CHOOSE(CONTROL!$C$19, $C$6, 100%, $E$6)</f>
        <v>7.6782000000000004</v>
      </c>
      <c r="I303" s="61">
        <f>7.6802 * CHOOSE(CONTROL!$C$19, $C$6, 100%, $E$6)</f>
        <v>7.6802000000000001</v>
      </c>
      <c r="J303" s="61">
        <f>5.0502 * CHOOSE(CONTROL!$C$19, $C$6, 100%, $E$6)</f>
        <v>5.0502000000000002</v>
      </c>
      <c r="K303" s="61">
        <f>5.0523 * CHOOSE(CONTROL!$C$19, $C$6, 100%, $E$6)</f>
        <v>5.0522999999999998</v>
      </c>
    </row>
    <row r="304" spans="1:11" ht="15">
      <c r="A304" s="13">
        <v>51318</v>
      </c>
      <c r="B304" s="60">
        <f>4.6474 * CHOOSE(CONTROL!$C$19, $C$6, 100%, $E$6)</f>
        <v>4.6474000000000002</v>
      </c>
      <c r="C304" s="60">
        <f>4.6474 * CHOOSE(CONTROL!$C$19, $C$6, 100%, $E$6)</f>
        <v>4.6474000000000002</v>
      </c>
      <c r="D304" s="60">
        <f>4.6804 * CHOOSE(CONTROL!$C$19, $C$6, 100%, $E$6)</f>
        <v>4.6803999999999997</v>
      </c>
      <c r="E304" s="61">
        <f>5.1494 * CHOOSE(CONTROL!$C$19, $C$6, 100%, $E$6)</f>
        <v>5.1494</v>
      </c>
      <c r="F304" s="61">
        <f>5.1494 * CHOOSE(CONTROL!$C$19, $C$6, 100%, $E$6)</f>
        <v>5.1494</v>
      </c>
      <c r="G304" s="61">
        <f>5.1514 * CHOOSE(CONTROL!$C$19, $C$6, 100%, $E$6)</f>
        <v>5.1513999999999998</v>
      </c>
      <c r="H304" s="61">
        <f>7.6942* CHOOSE(CONTROL!$C$19, $C$6, 100%, $E$6)</f>
        <v>7.6942000000000004</v>
      </c>
      <c r="I304" s="61">
        <f>7.6962 * CHOOSE(CONTROL!$C$19, $C$6, 100%, $E$6)</f>
        <v>7.6962000000000002</v>
      </c>
      <c r="J304" s="61">
        <f>5.1494 * CHOOSE(CONTROL!$C$19, $C$6, 100%, $E$6)</f>
        <v>5.1494</v>
      </c>
      <c r="K304" s="61">
        <f>5.1514 * CHOOSE(CONTROL!$C$19, $C$6, 100%, $E$6)</f>
        <v>5.1513999999999998</v>
      </c>
    </row>
    <row r="305" spans="1:11" ht="15">
      <c r="A305" s="13">
        <v>51349</v>
      </c>
      <c r="B305" s="60">
        <f>4.6541 * CHOOSE(CONTROL!$C$19, $C$6, 100%, $E$6)</f>
        <v>4.6540999999999997</v>
      </c>
      <c r="C305" s="60">
        <f>4.6541 * CHOOSE(CONTROL!$C$19, $C$6, 100%, $E$6)</f>
        <v>4.6540999999999997</v>
      </c>
      <c r="D305" s="60">
        <f>4.6871 * CHOOSE(CONTROL!$C$19, $C$6, 100%, $E$6)</f>
        <v>4.6871</v>
      </c>
      <c r="E305" s="61">
        <f>5.0848 * CHOOSE(CONTROL!$C$19, $C$6, 100%, $E$6)</f>
        <v>5.0848000000000004</v>
      </c>
      <c r="F305" s="61">
        <f>5.0848 * CHOOSE(CONTROL!$C$19, $C$6, 100%, $E$6)</f>
        <v>5.0848000000000004</v>
      </c>
      <c r="G305" s="61">
        <f>5.0868 * CHOOSE(CONTROL!$C$19, $C$6, 100%, $E$6)</f>
        <v>5.0868000000000002</v>
      </c>
      <c r="H305" s="61">
        <f>7.7102* CHOOSE(CONTROL!$C$19, $C$6, 100%, $E$6)</f>
        <v>7.7102000000000004</v>
      </c>
      <c r="I305" s="61">
        <f>7.7123 * CHOOSE(CONTROL!$C$19, $C$6, 100%, $E$6)</f>
        <v>7.7122999999999999</v>
      </c>
      <c r="J305" s="61">
        <f>5.0848 * CHOOSE(CONTROL!$C$19, $C$6, 100%, $E$6)</f>
        <v>5.0848000000000004</v>
      </c>
      <c r="K305" s="61">
        <f>5.0868 * CHOOSE(CONTROL!$C$19, $C$6, 100%, $E$6)</f>
        <v>5.0868000000000002</v>
      </c>
    </row>
    <row r="306" spans="1:11" ht="15">
      <c r="A306" s="13">
        <v>51380</v>
      </c>
      <c r="B306" s="60">
        <f>4.651 * CHOOSE(CONTROL!$C$19, $C$6, 100%, $E$6)</f>
        <v>4.6509999999999998</v>
      </c>
      <c r="C306" s="60">
        <f>4.651 * CHOOSE(CONTROL!$C$19, $C$6, 100%, $E$6)</f>
        <v>4.6509999999999998</v>
      </c>
      <c r="D306" s="60">
        <f>4.684 * CHOOSE(CONTROL!$C$19, $C$6, 100%, $E$6)</f>
        <v>4.6840000000000002</v>
      </c>
      <c r="E306" s="61">
        <f>5.0749 * CHOOSE(CONTROL!$C$19, $C$6, 100%, $E$6)</f>
        <v>5.0749000000000004</v>
      </c>
      <c r="F306" s="61">
        <f>5.0749 * CHOOSE(CONTROL!$C$19, $C$6, 100%, $E$6)</f>
        <v>5.0749000000000004</v>
      </c>
      <c r="G306" s="61">
        <f>5.077 * CHOOSE(CONTROL!$C$19, $C$6, 100%, $E$6)</f>
        <v>5.077</v>
      </c>
      <c r="H306" s="61">
        <f>7.7263* CHOOSE(CONTROL!$C$19, $C$6, 100%, $E$6)</f>
        <v>7.7263000000000002</v>
      </c>
      <c r="I306" s="61">
        <f>7.7283 * CHOOSE(CONTROL!$C$19, $C$6, 100%, $E$6)</f>
        <v>7.7282999999999999</v>
      </c>
      <c r="J306" s="61">
        <f>5.0749 * CHOOSE(CONTROL!$C$19, $C$6, 100%, $E$6)</f>
        <v>5.0749000000000004</v>
      </c>
      <c r="K306" s="61">
        <f>5.077 * CHOOSE(CONTROL!$C$19, $C$6, 100%, $E$6)</f>
        <v>5.077</v>
      </c>
    </row>
    <row r="307" spans="1:11" ht="15">
      <c r="A307" s="13">
        <v>51410</v>
      </c>
      <c r="B307" s="60">
        <f>4.6487 * CHOOSE(CONTROL!$C$19, $C$6, 100%, $E$6)</f>
        <v>4.6486999999999998</v>
      </c>
      <c r="C307" s="60">
        <f>4.6487 * CHOOSE(CONTROL!$C$19, $C$6, 100%, $E$6)</f>
        <v>4.6486999999999998</v>
      </c>
      <c r="D307" s="60">
        <f>4.6652 * CHOOSE(CONTROL!$C$19, $C$6, 100%, $E$6)</f>
        <v>4.6651999999999996</v>
      </c>
      <c r="E307" s="61">
        <f>5.0923 * CHOOSE(CONTROL!$C$19, $C$6, 100%, $E$6)</f>
        <v>5.0922999999999998</v>
      </c>
      <c r="F307" s="61">
        <f>5.0923 * CHOOSE(CONTROL!$C$19, $C$6, 100%, $E$6)</f>
        <v>5.0922999999999998</v>
      </c>
      <c r="G307" s="61">
        <f>5.0925 * CHOOSE(CONTROL!$C$19, $C$6, 100%, $E$6)</f>
        <v>5.0925000000000002</v>
      </c>
      <c r="H307" s="61">
        <f>7.7424* CHOOSE(CONTROL!$C$19, $C$6, 100%, $E$6)</f>
        <v>7.7423999999999999</v>
      </c>
      <c r="I307" s="61">
        <f>7.7426 * CHOOSE(CONTROL!$C$19, $C$6, 100%, $E$6)</f>
        <v>7.7426000000000004</v>
      </c>
      <c r="J307" s="61">
        <f>5.0923 * CHOOSE(CONTROL!$C$19, $C$6, 100%, $E$6)</f>
        <v>5.0922999999999998</v>
      </c>
      <c r="K307" s="61">
        <f>5.0925 * CHOOSE(CONTROL!$C$19, $C$6, 100%, $E$6)</f>
        <v>5.0925000000000002</v>
      </c>
    </row>
    <row r="308" spans="1:11" ht="15">
      <c r="A308" s="13">
        <v>51441</v>
      </c>
      <c r="B308" s="60">
        <f>4.6517 * CHOOSE(CONTROL!$C$19, $C$6, 100%, $E$6)</f>
        <v>4.6516999999999999</v>
      </c>
      <c r="C308" s="60">
        <f>4.6517 * CHOOSE(CONTROL!$C$19, $C$6, 100%, $E$6)</f>
        <v>4.6516999999999999</v>
      </c>
      <c r="D308" s="60">
        <f>4.6682 * CHOOSE(CONTROL!$C$19, $C$6, 100%, $E$6)</f>
        <v>4.6681999999999997</v>
      </c>
      <c r="E308" s="61">
        <f>5.1098 * CHOOSE(CONTROL!$C$19, $C$6, 100%, $E$6)</f>
        <v>5.1097999999999999</v>
      </c>
      <c r="F308" s="61">
        <f>5.1098 * CHOOSE(CONTROL!$C$19, $C$6, 100%, $E$6)</f>
        <v>5.1097999999999999</v>
      </c>
      <c r="G308" s="61">
        <f>5.11 * CHOOSE(CONTROL!$C$19, $C$6, 100%, $E$6)</f>
        <v>5.1100000000000003</v>
      </c>
      <c r="H308" s="61">
        <f>7.7585* CHOOSE(CONTROL!$C$19, $C$6, 100%, $E$6)</f>
        <v>7.7584999999999997</v>
      </c>
      <c r="I308" s="61">
        <f>7.7587 * CHOOSE(CONTROL!$C$19, $C$6, 100%, $E$6)</f>
        <v>7.7587000000000002</v>
      </c>
      <c r="J308" s="61">
        <f>5.1098 * CHOOSE(CONTROL!$C$19, $C$6, 100%, $E$6)</f>
        <v>5.1097999999999999</v>
      </c>
      <c r="K308" s="61">
        <f>5.11 * CHOOSE(CONTROL!$C$19, $C$6, 100%, $E$6)</f>
        <v>5.1100000000000003</v>
      </c>
    </row>
    <row r="309" spans="1:11" ht="15">
      <c r="A309" s="13">
        <v>51471</v>
      </c>
      <c r="B309" s="60">
        <f>4.6517 * CHOOSE(CONTROL!$C$19, $C$6, 100%, $E$6)</f>
        <v>4.6516999999999999</v>
      </c>
      <c r="C309" s="60">
        <f>4.6517 * CHOOSE(CONTROL!$C$19, $C$6, 100%, $E$6)</f>
        <v>4.6516999999999999</v>
      </c>
      <c r="D309" s="60">
        <f>4.6682 * CHOOSE(CONTROL!$C$19, $C$6, 100%, $E$6)</f>
        <v>4.6681999999999997</v>
      </c>
      <c r="E309" s="61">
        <f>5.0713 * CHOOSE(CONTROL!$C$19, $C$6, 100%, $E$6)</f>
        <v>5.0712999999999999</v>
      </c>
      <c r="F309" s="61">
        <f>5.0713 * CHOOSE(CONTROL!$C$19, $C$6, 100%, $E$6)</f>
        <v>5.0712999999999999</v>
      </c>
      <c r="G309" s="61">
        <f>5.0715 * CHOOSE(CONTROL!$C$19, $C$6, 100%, $E$6)</f>
        <v>5.0715000000000003</v>
      </c>
      <c r="H309" s="61">
        <f>7.7747* CHOOSE(CONTROL!$C$19, $C$6, 100%, $E$6)</f>
        <v>7.7747000000000002</v>
      </c>
      <c r="I309" s="61">
        <f>7.7749 * CHOOSE(CONTROL!$C$19, $C$6, 100%, $E$6)</f>
        <v>7.7748999999999997</v>
      </c>
      <c r="J309" s="61">
        <f>5.0713 * CHOOSE(CONTROL!$C$19, $C$6, 100%, $E$6)</f>
        <v>5.0712999999999999</v>
      </c>
      <c r="K309" s="61">
        <f>5.0715 * CHOOSE(CONTROL!$C$19, $C$6, 100%, $E$6)</f>
        <v>5.0715000000000003</v>
      </c>
    </row>
    <row r="310" spans="1:11" ht="15">
      <c r="A310" s="13">
        <v>51502</v>
      </c>
      <c r="B310" s="60">
        <f>4.692 * CHOOSE(CONTROL!$C$19, $C$6, 100%, $E$6)</f>
        <v>4.6920000000000002</v>
      </c>
      <c r="C310" s="60">
        <f>4.692 * CHOOSE(CONTROL!$C$19, $C$6, 100%, $E$6)</f>
        <v>4.6920000000000002</v>
      </c>
      <c r="D310" s="60">
        <f>4.7085 * CHOOSE(CONTROL!$C$19, $C$6, 100%, $E$6)</f>
        <v>4.7084999999999999</v>
      </c>
      <c r="E310" s="61">
        <f>5.1487 * CHOOSE(CONTROL!$C$19, $C$6, 100%, $E$6)</f>
        <v>5.1486999999999998</v>
      </c>
      <c r="F310" s="61">
        <f>5.1487 * CHOOSE(CONTROL!$C$19, $C$6, 100%, $E$6)</f>
        <v>5.1486999999999998</v>
      </c>
      <c r="G310" s="61">
        <f>5.1489 * CHOOSE(CONTROL!$C$19, $C$6, 100%, $E$6)</f>
        <v>5.1489000000000003</v>
      </c>
      <c r="H310" s="61">
        <f>7.7909* CHOOSE(CONTROL!$C$19, $C$6, 100%, $E$6)</f>
        <v>7.7908999999999997</v>
      </c>
      <c r="I310" s="61">
        <f>7.791 * CHOOSE(CONTROL!$C$19, $C$6, 100%, $E$6)</f>
        <v>7.7910000000000004</v>
      </c>
      <c r="J310" s="61">
        <f>5.1487 * CHOOSE(CONTROL!$C$19, $C$6, 100%, $E$6)</f>
        <v>5.1486999999999998</v>
      </c>
      <c r="K310" s="61">
        <f>5.1489 * CHOOSE(CONTROL!$C$19, $C$6, 100%, $E$6)</f>
        <v>5.1489000000000003</v>
      </c>
    </row>
    <row r="311" spans="1:11" ht="15">
      <c r="A311" s="13">
        <v>51533</v>
      </c>
      <c r="B311" s="60">
        <f>4.689 * CHOOSE(CONTROL!$C$19, $C$6, 100%, $E$6)</f>
        <v>4.6890000000000001</v>
      </c>
      <c r="C311" s="60">
        <f>4.689 * CHOOSE(CONTROL!$C$19, $C$6, 100%, $E$6)</f>
        <v>4.6890000000000001</v>
      </c>
      <c r="D311" s="60">
        <f>4.7055 * CHOOSE(CONTROL!$C$19, $C$6, 100%, $E$6)</f>
        <v>4.7054999999999998</v>
      </c>
      <c r="E311" s="61">
        <f>5.0716 * CHOOSE(CONTROL!$C$19, $C$6, 100%, $E$6)</f>
        <v>5.0716000000000001</v>
      </c>
      <c r="F311" s="61">
        <f>5.0716 * CHOOSE(CONTROL!$C$19, $C$6, 100%, $E$6)</f>
        <v>5.0716000000000001</v>
      </c>
      <c r="G311" s="61">
        <f>5.0718 * CHOOSE(CONTROL!$C$19, $C$6, 100%, $E$6)</f>
        <v>5.0717999999999996</v>
      </c>
      <c r="H311" s="61">
        <f>7.8071* CHOOSE(CONTROL!$C$19, $C$6, 100%, $E$6)</f>
        <v>7.8071000000000002</v>
      </c>
      <c r="I311" s="61">
        <f>7.8073 * CHOOSE(CONTROL!$C$19, $C$6, 100%, $E$6)</f>
        <v>7.8072999999999997</v>
      </c>
      <c r="J311" s="61">
        <f>5.0716 * CHOOSE(CONTROL!$C$19, $C$6, 100%, $E$6)</f>
        <v>5.0716000000000001</v>
      </c>
      <c r="K311" s="61">
        <f>5.0718 * CHOOSE(CONTROL!$C$19, $C$6, 100%, $E$6)</f>
        <v>5.0717999999999996</v>
      </c>
    </row>
    <row r="312" spans="1:11" ht="15">
      <c r="A312" s="13">
        <v>51561</v>
      </c>
      <c r="B312" s="60">
        <f>4.6859 * CHOOSE(CONTROL!$C$19, $C$6, 100%, $E$6)</f>
        <v>4.6859000000000002</v>
      </c>
      <c r="C312" s="60">
        <f>4.6859 * CHOOSE(CONTROL!$C$19, $C$6, 100%, $E$6)</f>
        <v>4.6859000000000002</v>
      </c>
      <c r="D312" s="60">
        <f>4.7024 * CHOOSE(CONTROL!$C$19, $C$6, 100%, $E$6)</f>
        <v>4.7023999999999999</v>
      </c>
      <c r="E312" s="61">
        <f>5.1286 * CHOOSE(CONTROL!$C$19, $C$6, 100%, $E$6)</f>
        <v>5.1285999999999996</v>
      </c>
      <c r="F312" s="61">
        <f>5.1286 * CHOOSE(CONTROL!$C$19, $C$6, 100%, $E$6)</f>
        <v>5.1285999999999996</v>
      </c>
      <c r="G312" s="61">
        <f>5.1288 * CHOOSE(CONTROL!$C$19, $C$6, 100%, $E$6)</f>
        <v>5.1288</v>
      </c>
      <c r="H312" s="61">
        <f>7.8234* CHOOSE(CONTROL!$C$19, $C$6, 100%, $E$6)</f>
        <v>7.8234000000000004</v>
      </c>
      <c r="I312" s="61">
        <f>7.8235 * CHOOSE(CONTROL!$C$19, $C$6, 100%, $E$6)</f>
        <v>7.8235000000000001</v>
      </c>
      <c r="J312" s="61">
        <f>5.1286 * CHOOSE(CONTROL!$C$19, $C$6, 100%, $E$6)</f>
        <v>5.1285999999999996</v>
      </c>
      <c r="K312" s="61">
        <f>5.1288 * CHOOSE(CONTROL!$C$19, $C$6, 100%, $E$6)</f>
        <v>5.1288</v>
      </c>
    </row>
    <row r="313" spans="1:11" ht="15">
      <c r="A313" s="13">
        <v>51592</v>
      </c>
      <c r="B313" s="60">
        <f>4.6843 * CHOOSE(CONTROL!$C$19, $C$6, 100%, $E$6)</f>
        <v>4.6843000000000004</v>
      </c>
      <c r="C313" s="60">
        <f>4.6843 * CHOOSE(CONTROL!$C$19, $C$6, 100%, $E$6)</f>
        <v>4.6843000000000004</v>
      </c>
      <c r="D313" s="60">
        <f>4.7008 * CHOOSE(CONTROL!$C$19, $C$6, 100%, $E$6)</f>
        <v>4.7008000000000001</v>
      </c>
      <c r="E313" s="61">
        <f>5.1879 * CHOOSE(CONTROL!$C$19, $C$6, 100%, $E$6)</f>
        <v>5.1879</v>
      </c>
      <c r="F313" s="61">
        <f>5.1879 * CHOOSE(CONTROL!$C$19, $C$6, 100%, $E$6)</f>
        <v>5.1879</v>
      </c>
      <c r="G313" s="61">
        <f>5.1881 * CHOOSE(CONTROL!$C$19, $C$6, 100%, $E$6)</f>
        <v>5.1881000000000004</v>
      </c>
      <c r="H313" s="61">
        <f>7.8397* CHOOSE(CONTROL!$C$19, $C$6, 100%, $E$6)</f>
        <v>7.8396999999999997</v>
      </c>
      <c r="I313" s="61">
        <f>7.8398 * CHOOSE(CONTROL!$C$19, $C$6, 100%, $E$6)</f>
        <v>7.8398000000000003</v>
      </c>
      <c r="J313" s="61">
        <f>5.1879 * CHOOSE(CONTROL!$C$19, $C$6, 100%, $E$6)</f>
        <v>5.1879</v>
      </c>
      <c r="K313" s="61">
        <f>5.1881 * CHOOSE(CONTROL!$C$19, $C$6, 100%, $E$6)</f>
        <v>5.1881000000000004</v>
      </c>
    </row>
    <row r="314" spans="1:11" ht="15">
      <c r="A314" s="13">
        <v>51622</v>
      </c>
      <c r="B314" s="60">
        <f>4.6843 * CHOOSE(CONTROL!$C$19, $C$6, 100%, $E$6)</f>
        <v>4.6843000000000004</v>
      </c>
      <c r="C314" s="60">
        <f>4.6843 * CHOOSE(CONTROL!$C$19, $C$6, 100%, $E$6)</f>
        <v>4.6843000000000004</v>
      </c>
      <c r="D314" s="60">
        <f>4.7173 * CHOOSE(CONTROL!$C$19, $C$6, 100%, $E$6)</f>
        <v>4.7172999999999998</v>
      </c>
      <c r="E314" s="61">
        <f>5.2117 * CHOOSE(CONTROL!$C$19, $C$6, 100%, $E$6)</f>
        <v>5.2117000000000004</v>
      </c>
      <c r="F314" s="61">
        <f>5.2117 * CHOOSE(CONTROL!$C$19, $C$6, 100%, $E$6)</f>
        <v>5.2117000000000004</v>
      </c>
      <c r="G314" s="61">
        <f>5.2138 * CHOOSE(CONTROL!$C$19, $C$6, 100%, $E$6)</f>
        <v>5.2138</v>
      </c>
      <c r="H314" s="61">
        <f>7.856* CHOOSE(CONTROL!$C$19, $C$6, 100%, $E$6)</f>
        <v>7.8559999999999999</v>
      </c>
      <c r="I314" s="61">
        <f>7.8581 * CHOOSE(CONTROL!$C$19, $C$6, 100%, $E$6)</f>
        <v>7.8581000000000003</v>
      </c>
      <c r="J314" s="61">
        <f>5.2117 * CHOOSE(CONTROL!$C$19, $C$6, 100%, $E$6)</f>
        <v>5.2117000000000004</v>
      </c>
      <c r="K314" s="61">
        <f>5.2138 * CHOOSE(CONTROL!$C$19, $C$6, 100%, $E$6)</f>
        <v>5.2138</v>
      </c>
    </row>
    <row r="315" spans="1:11" ht="15">
      <c r="A315" s="13">
        <v>51653</v>
      </c>
      <c r="B315" s="60">
        <f>4.6904 * CHOOSE(CONTROL!$C$19, $C$6, 100%, $E$6)</f>
        <v>4.6904000000000003</v>
      </c>
      <c r="C315" s="60">
        <f>4.6904 * CHOOSE(CONTROL!$C$19, $C$6, 100%, $E$6)</f>
        <v>4.6904000000000003</v>
      </c>
      <c r="D315" s="60">
        <f>4.7234 * CHOOSE(CONTROL!$C$19, $C$6, 100%, $E$6)</f>
        <v>4.7233999999999998</v>
      </c>
      <c r="E315" s="61">
        <f>5.1921 * CHOOSE(CONTROL!$C$19, $C$6, 100%, $E$6)</f>
        <v>5.1920999999999999</v>
      </c>
      <c r="F315" s="61">
        <f>5.1921 * CHOOSE(CONTROL!$C$19, $C$6, 100%, $E$6)</f>
        <v>5.1920999999999999</v>
      </c>
      <c r="G315" s="61">
        <f>5.1942 * CHOOSE(CONTROL!$C$19, $C$6, 100%, $E$6)</f>
        <v>5.1942000000000004</v>
      </c>
      <c r="H315" s="61">
        <f>7.8724* CHOOSE(CONTROL!$C$19, $C$6, 100%, $E$6)</f>
        <v>7.8723999999999998</v>
      </c>
      <c r="I315" s="61">
        <f>7.8744 * CHOOSE(CONTROL!$C$19, $C$6, 100%, $E$6)</f>
        <v>7.8743999999999996</v>
      </c>
      <c r="J315" s="61">
        <f>5.1921 * CHOOSE(CONTROL!$C$19, $C$6, 100%, $E$6)</f>
        <v>5.1920999999999999</v>
      </c>
      <c r="K315" s="61">
        <f>5.1942 * CHOOSE(CONTROL!$C$19, $C$6, 100%, $E$6)</f>
        <v>5.1942000000000004</v>
      </c>
    </row>
    <row r="316" spans="1:11" ht="15">
      <c r="A316" s="13">
        <v>51683</v>
      </c>
      <c r="B316" s="60">
        <f>4.7637 * CHOOSE(CONTROL!$C$19, $C$6, 100%, $E$6)</f>
        <v>4.7637</v>
      </c>
      <c r="C316" s="60">
        <f>4.7637 * CHOOSE(CONTROL!$C$19, $C$6, 100%, $E$6)</f>
        <v>4.7637</v>
      </c>
      <c r="D316" s="60">
        <f>4.7967 * CHOOSE(CONTROL!$C$19, $C$6, 100%, $E$6)</f>
        <v>4.7967000000000004</v>
      </c>
      <c r="E316" s="61">
        <f>5.2939 * CHOOSE(CONTROL!$C$19, $C$6, 100%, $E$6)</f>
        <v>5.2938999999999998</v>
      </c>
      <c r="F316" s="61">
        <f>5.2939 * CHOOSE(CONTROL!$C$19, $C$6, 100%, $E$6)</f>
        <v>5.2938999999999998</v>
      </c>
      <c r="G316" s="61">
        <f>5.2959 * CHOOSE(CONTROL!$C$19, $C$6, 100%, $E$6)</f>
        <v>5.2958999999999996</v>
      </c>
      <c r="H316" s="61">
        <f>7.8888* CHOOSE(CONTROL!$C$19, $C$6, 100%, $E$6)</f>
        <v>7.8887999999999998</v>
      </c>
      <c r="I316" s="61">
        <f>7.8908 * CHOOSE(CONTROL!$C$19, $C$6, 100%, $E$6)</f>
        <v>7.8907999999999996</v>
      </c>
      <c r="J316" s="61">
        <f>5.2939 * CHOOSE(CONTROL!$C$19, $C$6, 100%, $E$6)</f>
        <v>5.2938999999999998</v>
      </c>
      <c r="K316" s="61">
        <f>5.2959 * CHOOSE(CONTROL!$C$19, $C$6, 100%, $E$6)</f>
        <v>5.2958999999999996</v>
      </c>
    </row>
    <row r="317" spans="1:11" ht="15">
      <c r="A317" s="13">
        <v>51714</v>
      </c>
      <c r="B317" s="60">
        <f>4.7704 * CHOOSE(CONTROL!$C$19, $C$6, 100%, $E$6)</f>
        <v>4.7704000000000004</v>
      </c>
      <c r="C317" s="60">
        <f>4.7704 * CHOOSE(CONTROL!$C$19, $C$6, 100%, $E$6)</f>
        <v>4.7704000000000004</v>
      </c>
      <c r="D317" s="60">
        <f>4.8034 * CHOOSE(CONTROL!$C$19, $C$6, 100%, $E$6)</f>
        <v>4.8033999999999999</v>
      </c>
      <c r="E317" s="61">
        <f>5.2271 * CHOOSE(CONTROL!$C$19, $C$6, 100%, $E$6)</f>
        <v>5.2271000000000001</v>
      </c>
      <c r="F317" s="61">
        <f>5.2271 * CHOOSE(CONTROL!$C$19, $C$6, 100%, $E$6)</f>
        <v>5.2271000000000001</v>
      </c>
      <c r="G317" s="61">
        <f>5.2291 * CHOOSE(CONTROL!$C$19, $C$6, 100%, $E$6)</f>
        <v>5.2290999999999999</v>
      </c>
      <c r="H317" s="61">
        <f>7.9052* CHOOSE(CONTROL!$C$19, $C$6, 100%, $E$6)</f>
        <v>7.9051999999999998</v>
      </c>
      <c r="I317" s="61">
        <f>7.9073 * CHOOSE(CONTROL!$C$19, $C$6, 100%, $E$6)</f>
        <v>7.9073000000000002</v>
      </c>
      <c r="J317" s="61">
        <f>5.2271 * CHOOSE(CONTROL!$C$19, $C$6, 100%, $E$6)</f>
        <v>5.2271000000000001</v>
      </c>
      <c r="K317" s="61">
        <f>5.2291 * CHOOSE(CONTROL!$C$19, $C$6, 100%, $E$6)</f>
        <v>5.2290999999999999</v>
      </c>
    </row>
    <row r="318" spans="1:11" ht="15">
      <c r="A318" s="13">
        <v>51745</v>
      </c>
      <c r="B318" s="60">
        <f>4.7673 * CHOOSE(CONTROL!$C$19, $C$6, 100%, $E$6)</f>
        <v>4.7672999999999996</v>
      </c>
      <c r="C318" s="60">
        <f>4.7673 * CHOOSE(CONTROL!$C$19, $C$6, 100%, $E$6)</f>
        <v>4.7672999999999996</v>
      </c>
      <c r="D318" s="60">
        <f>4.8003 * CHOOSE(CONTROL!$C$19, $C$6, 100%, $E$6)</f>
        <v>4.8003</v>
      </c>
      <c r="E318" s="61">
        <f>5.217 * CHOOSE(CONTROL!$C$19, $C$6, 100%, $E$6)</f>
        <v>5.2169999999999996</v>
      </c>
      <c r="F318" s="61">
        <f>5.217 * CHOOSE(CONTROL!$C$19, $C$6, 100%, $E$6)</f>
        <v>5.2169999999999996</v>
      </c>
      <c r="G318" s="61">
        <f>5.2191 * CHOOSE(CONTROL!$C$19, $C$6, 100%, $E$6)</f>
        <v>5.2191000000000001</v>
      </c>
      <c r="H318" s="61">
        <f>7.9217* CHOOSE(CONTROL!$C$19, $C$6, 100%, $E$6)</f>
        <v>7.9217000000000004</v>
      </c>
      <c r="I318" s="61">
        <f>7.9237 * CHOOSE(CONTROL!$C$19, $C$6, 100%, $E$6)</f>
        <v>7.9237000000000002</v>
      </c>
      <c r="J318" s="61">
        <f>5.217 * CHOOSE(CONTROL!$C$19, $C$6, 100%, $E$6)</f>
        <v>5.2169999999999996</v>
      </c>
      <c r="K318" s="61">
        <f>5.2191 * CHOOSE(CONTROL!$C$19, $C$6, 100%, $E$6)</f>
        <v>5.2191000000000001</v>
      </c>
    </row>
    <row r="319" spans="1:11" ht="15">
      <c r="A319" s="13">
        <v>51775</v>
      </c>
      <c r="B319" s="60">
        <f>4.7654 * CHOOSE(CONTROL!$C$19, $C$6, 100%, $E$6)</f>
        <v>4.7653999999999996</v>
      </c>
      <c r="C319" s="60">
        <f>4.7654 * CHOOSE(CONTROL!$C$19, $C$6, 100%, $E$6)</f>
        <v>4.7653999999999996</v>
      </c>
      <c r="D319" s="60">
        <f>4.7819 * CHOOSE(CONTROL!$C$19, $C$6, 100%, $E$6)</f>
        <v>4.7819000000000003</v>
      </c>
      <c r="E319" s="61">
        <f>5.2354 * CHOOSE(CONTROL!$C$19, $C$6, 100%, $E$6)</f>
        <v>5.2354000000000003</v>
      </c>
      <c r="F319" s="61">
        <f>5.2354 * CHOOSE(CONTROL!$C$19, $C$6, 100%, $E$6)</f>
        <v>5.2354000000000003</v>
      </c>
      <c r="G319" s="61">
        <f>5.2355 * CHOOSE(CONTROL!$C$19, $C$6, 100%, $E$6)</f>
        <v>5.2355</v>
      </c>
      <c r="H319" s="61">
        <f>7.9382* CHOOSE(CONTROL!$C$19, $C$6, 100%, $E$6)</f>
        <v>7.9382000000000001</v>
      </c>
      <c r="I319" s="61">
        <f>7.9384 * CHOOSE(CONTROL!$C$19, $C$6, 100%, $E$6)</f>
        <v>7.9383999999999997</v>
      </c>
      <c r="J319" s="61">
        <f>5.2354 * CHOOSE(CONTROL!$C$19, $C$6, 100%, $E$6)</f>
        <v>5.2354000000000003</v>
      </c>
      <c r="K319" s="61">
        <f>5.2355 * CHOOSE(CONTROL!$C$19, $C$6, 100%, $E$6)</f>
        <v>5.2355</v>
      </c>
    </row>
    <row r="320" spans="1:11" ht="15">
      <c r="A320" s="13">
        <v>51806</v>
      </c>
      <c r="B320" s="60">
        <f>4.7685 * CHOOSE(CONTROL!$C$19, $C$6, 100%, $E$6)</f>
        <v>4.7685000000000004</v>
      </c>
      <c r="C320" s="60">
        <f>4.7685 * CHOOSE(CONTROL!$C$19, $C$6, 100%, $E$6)</f>
        <v>4.7685000000000004</v>
      </c>
      <c r="D320" s="60">
        <f>4.785 * CHOOSE(CONTROL!$C$19, $C$6, 100%, $E$6)</f>
        <v>4.7850000000000001</v>
      </c>
      <c r="E320" s="61">
        <f>5.2534 * CHOOSE(CONTROL!$C$19, $C$6, 100%, $E$6)</f>
        <v>5.2534000000000001</v>
      </c>
      <c r="F320" s="61">
        <f>5.2534 * CHOOSE(CONTROL!$C$19, $C$6, 100%, $E$6)</f>
        <v>5.2534000000000001</v>
      </c>
      <c r="G320" s="61">
        <f>5.2535 * CHOOSE(CONTROL!$C$19, $C$6, 100%, $E$6)</f>
        <v>5.2534999999999998</v>
      </c>
      <c r="H320" s="61">
        <f>7.9547* CHOOSE(CONTROL!$C$19, $C$6, 100%, $E$6)</f>
        <v>7.9546999999999999</v>
      </c>
      <c r="I320" s="61">
        <f>7.9549 * CHOOSE(CONTROL!$C$19, $C$6, 100%, $E$6)</f>
        <v>7.9549000000000003</v>
      </c>
      <c r="J320" s="61">
        <f>5.2534 * CHOOSE(CONTROL!$C$19, $C$6, 100%, $E$6)</f>
        <v>5.2534000000000001</v>
      </c>
      <c r="K320" s="61">
        <f>5.2535 * CHOOSE(CONTROL!$C$19, $C$6, 100%, $E$6)</f>
        <v>5.2534999999999998</v>
      </c>
    </row>
    <row r="321" spans="1:11" ht="15">
      <c r="A321" s="13">
        <v>51836</v>
      </c>
      <c r="B321" s="60">
        <f>4.7685 * CHOOSE(CONTROL!$C$19, $C$6, 100%, $E$6)</f>
        <v>4.7685000000000004</v>
      </c>
      <c r="C321" s="60">
        <f>4.7685 * CHOOSE(CONTROL!$C$19, $C$6, 100%, $E$6)</f>
        <v>4.7685000000000004</v>
      </c>
      <c r="D321" s="60">
        <f>4.785 * CHOOSE(CONTROL!$C$19, $C$6, 100%, $E$6)</f>
        <v>4.7850000000000001</v>
      </c>
      <c r="E321" s="61">
        <f>5.2137 * CHOOSE(CONTROL!$C$19, $C$6, 100%, $E$6)</f>
        <v>5.2137000000000002</v>
      </c>
      <c r="F321" s="61">
        <f>5.2137 * CHOOSE(CONTROL!$C$19, $C$6, 100%, $E$6)</f>
        <v>5.2137000000000002</v>
      </c>
      <c r="G321" s="61">
        <f>5.2138 * CHOOSE(CONTROL!$C$19, $C$6, 100%, $E$6)</f>
        <v>5.2138</v>
      </c>
      <c r="H321" s="61">
        <f>7.9713* CHOOSE(CONTROL!$C$19, $C$6, 100%, $E$6)</f>
        <v>7.9713000000000003</v>
      </c>
      <c r="I321" s="61">
        <f>7.9715 * CHOOSE(CONTROL!$C$19, $C$6, 100%, $E$6)</f>
        <v>7.9714999999999998</v>
      </c>
      <c r="J321" s="61">
        <f>5.2137 * CHOOSE(CONTROL!$C$19, $C$6, 100%, $E$6)</f>
        <v>5.2137000000000002</v>
      </c>
      <c r="K321" s="61">
        <f>5.2138 * CHOOSE(CONTROL!$C$19, $C$6, 100%, $E$6)</f>
        <v>5.2138</v>
      </c>
    </row>
    <row r="322" spans="1:11" ht="15">
      <c r="A322" s="13">
        <v>51867</v>
      </c>
      <c r="B322" s="60">
        <f>4.8103 * CHOOSE(CONTROL!$C$19, $C$6, 100%, $E$6)</f>
        <v>4.8102999999999998</v>
      </c>
      <c r="C322" s="60">
        <f>4.8103 * CHOOSE(CONTROL!$C$19, $C$6, 100%, $E$6)</f>
        <v>4.8102999999999998</v>
      </c>
      <c r="D322" s="60">
        <f>4.8268 * CHOOSE(CONTROL!$C$19, $C$6, 100%, $E$6)</f>
        <v>4.8268000000000004</v>
      </c>
      <c r="E322" s="61">
        <f>5.2932 * CHOOSE(CONTROL!$C$19, $C$6, 100%, $E$6)</f>
        <v>5.2931999999999997</v>
      </c>
      <c r="F322" s="61">
        <f>5.2932 * CHOOSE(CONTROL!$C$19, $C$6, 100%, $E$6)</f>
        <v>5.2931999999999997</v>
      </c>
      <c r="G322" s="61">
        <f>5.2934 * CHOOSE(CONTROL!$C$19, $C$6, 100%, $E$6)</f>
        <v>5.2934000000000001</v>
      </c>
      <c r="H322" s="61">
        <f>7.9879* CHOOSE(CONTROL!$C$19, $C$6, 100%, $E$6)</f>
        <v>7.9878999999999998</v>
      </c>
      <c r="I322" s="61">
        <f>7.9881 * CHOOSE(CONTROL!$C$19, $C$6, 100%, $E$6)</f>
        <v>7.9881000000000002</v>
      </c>
      <c r="J322" s="61">
        <f>5.2932 * CHOOSE(CONTROL!$C$19, $C$6, 100%, $E$6)</f>
        <v>5.2931999999999997</v>
      </c>
      <c r="K322" s="61">
        <f>5.2934 * CHOOSE(CONTROL!$C$19, $C$6, 100%, $E$6)</f>
        <v>5.2934000000000001</v>
      </c>
    </row>
    <row r="323" spans="1:11" ht="15">
      <c r="A323" s="13">
        <v>51898</v>
      </c>
      <c r="B323" s="60">
        <f>4.8073 * CHOOSE(CONTROL!$C$19, $C$6, 100%, $E$6)</f>
        <v>4.8072999999999997</v>
      </c>
      <c r="C323" s="60">
        <f>4.8073 * CHOOSE(CONTROL!$C$19, $C$6, 100%, $E$6)</f>
        <v>4.8072999999999997</v>
      </c>
      <c r="D323" s="60">
        <f>4.8238 * CHOOSE(CONTROL!$C$19, $C$6, 100%, $E$6)</f>
        <v>4.8238000000000003</v>
      </c>
      <c r="E323" s="61">
        <f>5.2137 * CHOOSE(CONTROL!$C$19, $C$6, 100%, $E$6)</f>
        <v>5.2137000000000002</v>
      </c>
      <c r="F323" s="61">
        <f>5.2137 * CHOOSE(CONTROL!$C$19, $C$6, 100%, $E$6)</f>
        <v>5.2137000000000002</v>
      </c>
      <c r="G323" s="61">
        <f>5.2139 * CHOOSE(CONTROL!$C$19, $C$6, 100%, $E$6)</f>
        <v>5.2138999999999998</v>
      </c>
      <c r="H323" s="61">
        <f>8.0045* CHOOSE(CONTROL!$C$19, $C$6, 100%, $E$6)</f>
        <v>8.0045000000000002</v>
      </c>
      <c r="I323" s="61">
        <f>8.0047 * CHOOSE(CONTROL!$C$19, $C$6, 100%, $E$6)</f>
        <v>8.0046999999999997</v>
      </c>
      <c r="J323" s="61">
        <f>5.2137 * CHOOSE(CONTROL!$C$19, $C$6, 100%, $E$6)</f>
        <v>5.2137000000000002</v>
      </c>
      <c r="K323" s="61">
        <f>5.2139 * CHOOSE(CONTROL!$C$19, $C$6, 100%, $E$6)</f>
        <v>5.2138999999999998</v>
      </c>
    </row>
    <row r="324" spans="1:11" ht="15">
      <c r="A324" s="13">
        <v>51926</v>
      </c>
      <c r="B324" s="60">
        <f>4.8042 * CHOOSE(CONTROL!$C$19, $C$6, 100%, $E$6)</f>
        <v>4.8041999999999998</v>
      </c>
      <c r="C324" s="60">
        <f>4.8042 * CHOOSE(CONTROL!$C$19, $C$6, 100%, $E$6)</f>
        <v>4.8041999999999998</v>
      </c>
      <c r="D324" s="60">
        <f>4.8207 * CHOOSE(CONTROL!$C$19, $C$6, 100%, $E$6)</f>
        <v>4.8207000000000004</v>
      </c>
      <c r="E324" s="61">
        <f>5.2726 * CHOOSE(CONTROL!$C$19, $C$6, 100%, $E$6)</f>
        <v>5.2725999999999997</v>
      </c>
      <c r="F324" s="61">
        <f>5.2726 * CHOOSE(CONTROL!$C$19, $C$6, 100%, $E$6)</f>
        <v>5.2725999999999997</v>
      </c>
      <c r="G324" s="61">
        <f>5.2728 * CHOOSE(CONTROL!$C$19, $C$6, 100%, $E$6)</f>
        <v>5.2728000000000002</v>
      </c>
      <c r="H324" s="61">
        <f>8.0212* CHOOSE(CONTROL!$C$19, $C$6, 100%, $E$6)</f>
        <v>8.0212000000000003</v>
      </c>
      <c r="I324" s="61">
        <f>8.0214 * CHOOSE(CONTROL!$C$19, $C$6, 100%, $E$6)</f>
        <v>8.0213999999999999</v>
      </c>
      <c r="J324" s="61">
        <f>5.2726 * CHOOSE(CONTROL!$C$19, $C$6, 100%, $E$6)</f>
        <v>5.2725999999999997</v>
      </c>
      <c r="K324" s="61">
        <f>5.2728 * CHOOSE(CONTROL!$C$19, $C$6, 100%, $E$6)</f>
        <v>5.2728000000000002</v>
      </c>
    </row>
    <row r="325" spans="1:11" ht="15">
      <c r="A325" s="13">
        <v>51957</v>
      </c>
      <c r="B325" s="60">
        <f>4.8027 * CHOOSE(CONTROL!$C$19, $C$6, 100%, $E$6)</f>
        <v>4.8026999999999997</v>
      </c>
      <c r="C325" s="60">
        <f>4.8027 * CHOOSE(CONTROL!$C$19, $C$6, 100%, $E$6)</f>
        <v>4.8026999999999997</v>
      </c>
      <c r="D325" s="60">
        <f>4.8192 * CHOOSE(CONTROL!$C$19, $C$6, 100%, $E$6)</f>
        <v>4.8192000000000004</v>
      </c>
      <c r="E325" s="61">
        <f>5.3339 * CHOOSE(CONTROL!$C$19, $C$6, 100%, $E$6)</f>
        <v>5.3338999999999999</v>
      </c>
      <c r="F325" s="61">
        <f>5.3339 * CHOOSE(CONTROL!$C$19, $C$6, 100%, $E$6)</f>
        <v>5.3338999999999999</v>
      </c>
      <c r="G325" s="61">
        <f>5.3341 * CHOOSE(CONTROL!$C$19, $C$6, 100%, $E$6)</f>
        <v>5.3341000000000003</v>
      </c>
      <c r="H325" s="61">
        <f>8.0379* CHOOSE(CONTROL!$C$19, $C$6, 100%, $E$6)</f>
        <v>8.0379000000000005</v>
      </c>
      <c r="I325" s="61">
        <f>8.0381 * CHOOSE(CONTROL!$C$19, $C$6, 100%, $E$6)</f>
        <v>8.0381</v>
      </c>
      <c r="J325" s="61">
        <f>5.3339 * CHOOSE(CONTROL!$C$19, $C$6, 100%, $E$6)</f>
        <v>5.3338999999999999</v>
      </c>
      <c r="K325" s="61">
        <f>5.3341 * CHOOSE(CONTROL!$C$19, $C$6, 100%, $E$6)</f>
        <v>5.3341000000000003</v>
      </c>
    </row>
    <row r="326" spans="1:11" ht="15">
      <c r="A326" s="13">
        <v>51987</v>
      </c>
      <c r="B326" s="60">
        <f>4.8027 * CHOOSE(CONTROL!$C$19, $C$6, 100%, $E$6)</f>
        <v>4.8026999999999997</v>
      </c>
      <c r="C326" s="60">
        <f>4.8027 * CHOOSE(CONTROL!$C$19, $C$6, 100%, $E$6)</f>
        <v>4.8026999999999997</v>
      </c>
      <c r="D326" s="60">
        <f>4.8357 * CHOOSE(CONTROL!$C$19, $C$6, 100%, $E$6)</f>
        <v>4.8357000000000001</v>
      </c>
      <c r="E326" s="61">
        <f>5.3585 * CHOOSE(CONTROL!$C$19, $C$6, 100%, $E$6)</f>
        <v>5.3585000000000003</v>
      </c>
      <c r="F326" s="61">
        <f>5.3585 * CHOOSE(CONTROL!$C$19, $C$6, 100%, $E$6)</f>
        <v>5.3585000000000003</v>
      </c>
      <c r="G326" s="61">
        <f>5.3606 * CHOOSE(CONTROL!$C$19, $C$6, 100%, $E$6)</f>
        <v>5.3605999999999998</v>
      </c>
      <c r="H326" s="61">
        <f>8.0547* CHOOSE(CONTROL!$C$19, $C$6, 100%, $E$6)</f>
        <v>8.0547000000000004</v>
      </c>
      <c r="I326" s="61">
        <f>8.0567 * CHOOSE(CONTROL!$C$19, $C$6, 100%, $E$6)</f>
        <v>8.0566999999999993</v>
      </c>
      <c r="J326" s="61">
        <f>5.3585 * CHOOSE(CONTROL!$C$19, $C$6, 100%, $E$6)</f>
        <v>5.3585000000000003</v>
      </c>
      <c r="K326" s="61">
        <f>5.3606 * CHOOSE(CONTROL!$C$19, $C$6, 100%, $E$6)</f>
        <v>5.3605999999999998</v>
      </c>
    </row>
    <row r="327" spans="1:11" ht="15">
      <c r="A327" s="13">
        <v>52018</v>
      </c>
      <c r="B327" s="60">
        <f>4.8088 * CHOOSE(CONTROL!$C$19, $C$6, 100%, $E$6)</f>
        <v>4.8087999999999997</v>
      </c>
      <c r="C327" s="60">
        <f>4.8088 * CHOOSE(CONTROL!$C$19, $C$6, 100%, $E$6)</f>
        <v>4.8087999999999997</v>
      </c>
      <c r="D327" s="60">
        <f>4.8418 * CHOOSE(CONTROL!$C$19, $C$6, 100%, $E$6)</f>
        <v>4.8418000000000001</v>
      </c>
      <c r="E327" s="61">
        <f>5.3382 * CHOOSE(CONTROL!$C$19, $C$6, 100%, $E$6)</f>
        <v>5.3381999999999996</v>
      </c>
      <c r="F327" s="61">
        <f>5.3382 * CHOOSE(CONTROL!$C$19, $C$6, 100%, $E$6)</f>
        <v>5.3381999999999996</v>
      </c>
      <c r="G327" s="61">
        <f>5.3402 * CHOOSE(CONTROL!$C$19, $C$6, 100%, $E$6)</f>
        <v>5.3402000000000003</v>
      </c>
      <c r="H327" s="61">
        <f>8.0714* CHOOSE(CONTROL!$C$19, $C$6, 100%, $E$6)</f>
        <v>8.0714000000000006</v>
      </c>
      <c r="I327" s="61">
        <f>8.0735 * CHOOSE(CONTROL!$C$19, $C$6, 100%, $E$6)</f>
        <v>8.0734999999999992</v>
      </c>
      <c r="J327" s="61">
        <f>5.3382 * CHOOSE(CONTROL!$C$19, $C$6, 100%, $E$6)</f>
        <v>5.3381999999999996</v>
      </c>
      <c r="K327" s="61">
        <f>5.3402 * CHOOSE(CONTROL!$C$19, $C$6, 100%, $E$6)</f>
        <v>5.3402000000000003</v>
      </c>
    </row>
    <row r="328" spans="1:11" ht="15">
      <c r="A328" s="13">
        <v>52048</v>
      </c>
      <c r="B328" s="60">
        <f>4.885 * CHOOSE(CONTROL!$C$19, $C$6, 100%, $E$6)</f>
        <v>4.8849999999999998</v>
      </c>
      <c r="C328" s="60">
        <f>4.885 * CHOOSE(CONTROL!$C$19, $C$6, 100%, $E$6)</f>
        <v>4.8849999999999998</v>
      </c>
      <c r="D328" s="60">
        <f>4.918 * CHOOSE(CONTROL!$C$19, $C$6, 100%, $E$6)</f>
        <v>4.9180000000000001</v>
      </c>
      <c r="E328" s="61">
        <f>5.4424 * CHOOSE(CONTROL!$C$19, $C$6, 100%, $E$6)</f>
        <v>5.4424000000000001</v>
      </c>
      <c r="F328" s="61">
        <f>5.4424 * CHOOSE(CONTROL!$C$19, $C$6, 100%, $E$6)</f>
        <v>5.4424000000000001</v>
      </c>
      <c r="G328" s="61">
        <f>5.4444 * CHOOSE(CONTROL!$C$19, $C$6, 100%, $E$6)</f>
        <v>5.4443999999999999</v>
      </c>
      <c r="H328" s="61">
        <f>8.0883* CHOOSE(CONTROL!$C$19, $C$6, 100%, $E$6)</f>
        <v>8.0883000000000003</v>
      </c>
      <c r="I328" s="61">
        <f>8.0903 * CHOOSE(CONTROL!$C$19, $C$6, 100%, $E$6)</f>
        <v>8.0902999999999992</v>
      </c>
      <c r="J328" s="61">
        <f>5.4424 * CHOOSE(CONTROL!$C$19, $C$6, 100%, $E$6)</f>
        <v>5.4424000000000001</v>
      </c>
      <c r="K328" s="61">
        <f>5.4444 * CHOOSE(CONTROL!$C$19, $C$6, 100%, $E$6)</f>
        <v>5.4443999999999999</v>
      </c>
    </row>
    <row r="329" spans="1:11" ht="15">
      <c r="A329" s="13">
        <v>52079</v>
      </c>
      <c r="B329" s="60">
        <f>4.8917 * CHOOSE(CONTROL!$C$19, $C$6, 100%, $E$6)</f>
        <v>4.8917000000000002</v>
      </c>
      <c r="C329" s="60">
        <f>4.8917 * CHOOSE(CONTROL!$C$19, $C$6, 100%, $E$6)</f>
        <v>4.8917000000000002</v>
      </c>
      <c r="D329" s="60">
        <f>4.9247 * CHOOSE(CONTROL!$C$19, $C$6, 100%, $E$6)</f>
        <v>4.9246999999999996</v>
      </c>
      <c r="E329" s="61">
        <f>5.3733 * CHOOSE(CONTROL!$C$19, $C$6, 100%, $E$6)</f>
        <v>5.3733000000000004</v>
      </c>
      <c r="F329" s="61">
        <f>5.3733 * CHOOSE(CONTROL!$C$19, $C$6, 100%, $E$6)</f>
        <v>5.3733000000000004</v>
      </c>
      <c r="G329" s="61">
        <f>5.3754 * CHOOSE(CONTROL!$C$19, $C$6, 100%, $E$6)</f>
        <v>5.3754</v>
      </c>
      <c r="H329" s="61">
        <f>8.1051* CHOOSE(CONTROL!$C$19, $C$6, 100%, $E$6)</f>
        <v>8.1051000000000002</v>
      </c>
      <c r="I329" s="61">
        <f>8.1072 * CHOOSE(CONTROL!$C$19, $C$6, 100%, $E$6)</f>
        <v>8.1072000000000006</v>
      </c>
      <c r="J329" s="61">
        <f>5.3733 * CHOOSE(CONTROL!$C$19, $C$6, 100%, $E$6)</f>
        <v>5.3733000000000004</v>
      </c>
      <c r="K329" s="61">
        <f>5.3754 * CHOOSE(CONTROL!$C$19, $C$6, 100%, $E$6)</f>
        <v>5.3754</v>
      </c>
    </row>
    <row r="330" spans="1:11" ht="15">
      <c r="A330" s="13">
        <v>52110</v>
      </c>
      <c r="B330" s="60">
        <f>4.8886 * CHOOSE(CONTROL!$C$19, $C$6, 100%, $E$6)</f>
        <v>4.8886000000000003</v>
      </c>
      <c r="C330" s="60">
        <f>4.8886 * CHOOSE(CONTROL!$C$19, $C$6, 100%, $E$6)</f>
        <v>4.8886000000000003</v>
      </c>
      <c r="D330" s="60">
        <f>4.9216 * CHOOSE(CONTROL!$C$19, $C$6, 100%, $E$6)</f>
        <v>4.9215999999999998</v>
      </c>
      <c r="E330" s="61">
        <f>5.363 * CHOOSE(CONTROL!$C$19, $C$6, 100%, $E$6)</f>
        <v>5.3630000000000004</v>
      </c>
      <c r="F330" s="61">
        <f>5.363 * CHOOSE(CONTROL!$C$19, $C$6, 100%, $E$6)</f>
        <v>5.3630000000000004</v>
      </c>
      <c r="G330" s="61">
        <f>5.365 * CHOOSE(CONTROL!$C$19, $C$6, 100%, $E$6)</f>
        <v>5.3650000000000002</v>
      </c>
      <c r="H330" s="61">
        <f>8.122* CHOOSE(CONTROL!$C$19, $C$6, 100%, $E$6)</f>
        <v>8.1219999999999999</v>
      </c>
      <c r="I330" s="61">
        <f>8.124 * CHOOSE(CONTROL!$C$19, $C$6, 100%, $E$6)</f>
        <v>8.1240000000000006</v>
      </c>
      <c r="J330" s="61">
        <f>5.363 * CHOOSE(CONTROL!$C$19, $C$6, 100%, $E$6)</f>
        <v>5.3630000000000004</v>
      </c>
      <c r="K330" s="61">
        <f>5.365 * CHOOSE(CONTROL!$C$19, $C$6, 100%, $E$6)</f>
        <v>5.3650000000000002</v>
      </c>
    </row>
    <row r="331" spans="1:11" ht="15">
      <c r="A331" s="13">
        <v>52140</v>
      </c>
      <c r="B331" s="60">
        <f>4.8872 * CHOOSE(CONTROL!$C$19, $C$6, 100%, $E$6)</f>
        <v>4.8872</v>
      </c>
      <c r="C331" s="60">
        <f>4.8872 * CHOOSE(CONTROL!$C$19, $C$6, 100%, $E$6)</f>
        <v>4.8872</v>
      </c>
      <c r="D331" s="60">
        <f>4.9037 * CHOOSE(CONTROL!$C$19, $C$6, 100%, $E$6)</f>
        <v>4.9036999999999997</v>
      </c>
      <c r="E331" s="61">
        <f>5.3823 * CHOOSE(CONTROL!$C$19, $C$6, 100%, $E$6)</f>
        <v>5.3822999999999999</v>
      </c>
      <c r="F331" s="61">
        <f>5.3823 * CHOOSE(CONTROL!$C$19, $C$6, 100%, $E$6)</f>
        <v>5.3822999999999999</v>
      </c>
      <c r="G331" s="61">
        <f>5.3825 * CHOOSE(CONTROL!$C$19, $C$6, 100%, $E$6)</f>
        <v>5.3825000000000003</v>
      </c>
      <c r="H331" s="61">
        <f>8.1389* CHOOSE(CONTROL!$C$19, $C$6, 100%, $E$6)</f>
        <v>8.1388999999999996</v>
      </c>
      <c r="I331" s="61">
        <f>8.1391 * CHOOSE(CONTROL!$C$19, $C$6, 100%, $E$6)</f>
        <v>8.1390999999999991</v>
      </c>
      <c r="J331" s="61">
        <f>5.3823 * CHOOSE(CONTROL!$C$19, $C$6, 100%, $E$6)</f>
        <v>5.3822999999999999</v>
      </c>
      <c r="K331" s="61">
        <f>5.3825 * CHOOSE(CONTROL!$C$19, $C$6, 100%, $E$6)</f>
        <v>5.3825000000000003</v>
      </c>
    </row>
    <row r="332" spans="1:11" ht="15">
      <c r="A332" s="13">
        <v>52171</v>
      </c>
      <c r="B332" s="60">
        <f>4.8902 * CHOOSE(CONTROL!$C$19, $C$6, 100%, $E$6)</f>
        <v>4.8902000000000001</v>
      </c>
      <c r="C332" s="60">
        <f>4.8902 * CHOOSE(CONTROL!$C$19, $C$6, 100%, $E$6)</f>
        <v>4.8902000000000001</v>
      </c>
      <c r="D332" s="60">
        <f>4.9067 * CHOOSE(CONTROL!$C$19, $C$6, 100%, $E$6)</f>
        <v>4.9066999999999998</v>
      </c>
      <c r="E332" s="61">
        <f>5.4009 * CHOOSE(CONTROL!$C$19, $C$6, 100%, $E$6)</f>
        <v>5.4009</v>
      </c>
      <c r="F332" s="61">
        <f>5.4009 * CHOOSE(CONTROL!$C$19, $C$6, 100%, $E$6)</f>
        <v>5.4009</v>
      </c>
      <c r="G332" s="61">
        <f>5.401 * CHOOSE(CONTROL!$C$19, $C$6, 100%, $E$6)</f>
        <v>5.4009999999999998</v>
      </c>
      <c r="H332" s="61">
        <f>8.1559* CHOOSE(CONTROL!$C$19, $C$6, 100%, $E$6)</f>
        <v>8.1559000000000008</v>
      </c>
      <c r="I332" s="61">
        <f>8.1561 * CHOOSE(CONTROL!$C$19, $C$6, 100%, $E$6)</f>
        <v>8.1561000000000003</v>
      </c>
      <c r="J332" s="61">
        <f>5.4009 * CHOOSE(CONTROL!$C$19, $C$6, 100%, $E$6)</f>
        <v>5.4009</v>
      </c>
      <c r="K332" s="61">
        <f>5.401 * CHOOSE(CONTROL!$C$19, $C$6, 100%, $E$6)</f>
        <v>5.4009999999999998</v>
      </c>
    </row>
    <row r="333" spans="1:11" ht="15">
      <c r="A333" s="13">
        <v>52201</v>
      </c>
      <c r="B333" s="60">
        <f>4.8902 * CHOOSE(CONTROL!$C$19, $C$6, 100%, $E$6)</f>
        <v>4.8902000000000001</v>
      </c>
      <c r="C333" s="60">
        <f>4.8902 * CHOOSE(CONTROL!$C$19, $C$6, 100%, $E$6)</f>
        <v>4.8902000000000001</v>
      </c>
      <c r="D333" s="60">
        <f>4.9067 * CHOOSE(CONTROL!$C$19, $C$6, 100%, $E$6)</f>
        <v>4.9066999999999998</v>
      </c>
      <c r="E333" s="61">
        <f>5.3599 * CHOOSE(CONTROL!$C$19, $C$6, 100%, $E$6)</f>
        <v>5.3598999999999997</v>
      </c>
      <c r="F333" s="61">
        <f>5.3599 * CHOOSE(CONTROL!$C$19, $C$6, 100%, $E$6)</f>
        <v>5.3598999999999997</v>
      </c>
      <c r="G333" s="61">
        <f>5.3601 * CHOOSE(CONTROL!$C$19, $C$6, 100%, $E$6)</f>
        <v>5.3601000000000001</v>
      </c>
      <c r="H333" s="61">
        <f>8.1729* CHOOSE(CONTROL!$C$19, $C$6, 100%, $E$6)</f>
        <v>8.1729000000000003</v>
      </c>
      <c r="I333" s="61">
        <f>8.173 * CHOOSE(CONTROL!$C$19, $C$6, 100%, $E$6)</f>
        <v>8.173</v>
      </c>
      <c r="J333" s="61">
        <f>5.3599 * CHOOSE(CONTROL!$C$19, $C$6, 100%, $E$6)</f>
        <v>5.3598999999999997</v>
      </c>
      <c r="K333" s="61">
        <f>5.3601 * CHOOSE(CONTROL!$C$19, $C$6, 100%, $E$6)</f>
        <v>5.3601000000000001</v>
      </c>
    </row>
    <row r="334" spans="1:11" ht="15">
      <c r="A334" s="13">
        <v>52232</v>
      </c>
      <c r="B334" s="60">
        <f>4.9327 * CHOOSE(CONTROL!$C$19, $C$6, 100%, $E$6)</f>
        <v>4.9326999999999996</v>
      </c>
      <c r="C334" s="60">
        <f>4.9327 * CHOOSE(CONTROL!$C$19, $C$6, 100%, $E$6)</f>
        <v>4.9326999999999996</v>
      </c>
      <c r="D334" s="60">
        <f>4.9492 * CHOOSE(CONTROL!$C$19, $C$6, 100%, $E$6)</f>
        <v>4.9492000000000003</v>
      </c>
      <c r="E334" s="61">
        <f>5.4417 * CHOOSE(CONTROL!$C$19, $C$6, 100%, $E$6)</f>
        <v>5.4417</v>
      </c>
      <c r="F334" s="61">
        <f>5.4417 * CHOOSE(CONTROL!$C$19, $C$6, 100%, $E$6)</f>
        <v>5.4417</v>
      </c>
      <c r="G334" s="61">
        <f>5.4419 * CHOOSE(CONTROL!$C$19, $C$6, 100%, $E$6)</f>
        <v>5.4419000000000004</v>
      </c>
      <c r="H334" s="61">
        <f>8.1899* CHOOSE(CONTROL!$C$19, $C$6, 100%, $E$6)</f>
        <v>8.1898999999999997</v>
      </c>
      <c r="I334" s="61">
        <f>8.1901 * CHOOSE(CONTROL!$C$19, $C$6, 100%, $E$6)</f>
        <v>8.1900999999999993</v>
      </c>
      <c r="J334" s="61">
        <f>5.4417 * CHOOSE(CONTROL!$C$19, $C$6, 100%, $E$6)</f>
        <v>5.4417</v>
      </c>
      <c r="K334" s="61">
        <f>5.4419 * CHOOSE(CONTROL!$C$19, $C$6, 100%, $E$6)</f>
        <v>5.4419000000000004</v>
      </c>
    </row>
    <row r="335" spans="1:11" ht="15">
      <c r="A335" s="13">
        <v>52263</v>
      </c>
      <c r="B335" s="60">
        <f>4.9296 * CHOOSE(CONTROL!$C$19, $C$6, 100%, $E$6)</f>
        <v>4.9295999999999998</v>
      </c>
      <c r="C335" s="60">
        <f>4.9296 * CHOOSE(CONTROL!$C$19, $C$6, 100%, $E$6)</f>
        <v>4.9295999999999998</v>
      </c>
      <c r="D335" s="60">
        <f>4.9461 * CHOOSE(CONTROL!$C$19, $C$6, 100%, $E$6)</f>
        <v>4.9461000000000004</v>
      </c>
      <c r="E335" s="61">
        <f>5.3597 * CHOOSE(CONTROL!$C$19, $C$6, 100%, $E$6)</f>
        <v>5.3597000000000001</v>
      </c>
      <c r="F335" s="61">
        <f>5.3597 * CHOOSE(CONTROL!$C$19, $C$6, 100%, $E$6)</f>
        <v>5.3597000000000001</v>
      </c>
      <c r="G335" s="61">
        <f>5.3599 * CHOOSE(CONTROL!$C$19, $C$6, 100%, $E$6)</f>
        <v>5.3598999999999997</v>
      </c>
      <c r="H335" s="61">
        <f>8.207* CHOOSE(CONTROL!$C$19, $C$6, 100%, $E$6)</f>
        <v>8.2070000000000007</v>
      </c>
      <c r="I335" s="61">
        <f>8.2071 * CHOOSE(CONTROL!$C$19, $C$6, 100%, $E$6)</f>
        <v>8.2071000000000005</v>
      </c>
      <c r="J335" s="61">
        <f>5.3597 * CHOOSE(CONTROL!$C$19, $C$6, 100%, $E$6)</f>
        <v>5.3597000000000001</v>
      </c>
      <c r="K335" s="61">
        <f>5.3599 * CHOOSE(CONTROL!$C$19, $C$6, 100%, $E$6)</f>
        <v>5.3598999999999997</v>
      </c>
    </row>
    <row r="336" spans="1:11" ht="15">
      <c r="A336" s="13">
        <v>52291</v>
      </c>
      <c r="B336" s="60">
        <f>4.9266 * CHOOSE(CONTROL!$C$19, $C$6, 100%, $E$6)</f>
        <v>4.9265999999999996</v>
      </c>
      <c r="C336" s="60">
        <f>4.9266 * CHOOSE(CONTROL!$C$19, $C$6, 100%, $E$6)</f>
        <v>4.9265999999999996</v>
      </c>
      <c r="D336" s="60">
        <f>4.9431 * CHOOSE(CONTROL!$C$19, $C$6, 100%, $E$6)</f>
        <v>4.9431000000000003</v>
      </c>
      <c r="E336" s="61">
        <f>5.4206 * CHOOSE(CONTROL!$C$19, $C$6, 100%, $E$6)</f>
        <v>5.4206000000000003</v>
      </c>
      <c r="F336" s="61">
        <f>5.4206 * CHOOSE(CONTROL!$C$19, $C$6, 100%, $E$6)</f>
        <v>5.4206000000000003</v>
      </c>
      <c r="G336" s="61">
        <f>5.4208 * CHOOSE(CONTROL!$C$19, $C$6, 100%, $E$6)</f>
        <v>5.4207999999999998</v>
      </c>
      <c r="H336" s="61">
        <f>8.2241* CHOOSE(CONTROL!$C$19, $C$6, 100%, $E$6)</f>
        <v>8.2241</v>
      </c>
      <c r="I336" s="61">
        <f>8.2242 * CHOOSE(CONTROL!$C$19, $C$6, 100%, $E$6)</f>
        <v>8.2241999999999997</v>
      </c>
      <c r="J336" s="61">
        <f>5.4206 * CHOOSE(CONTROL!$C$19, $C$6, 100%, $E$6)</f>
        <v>5.4206000000000003</v>
      </c>
      <c r="K336" s="61">
        <f>5.4208 * CHOOSE(CONTROL!$C$19, $C$6, 100%, $E$6)</f>
        <v>5.4207999999999998</v>
      </c>
    </row>
    <row r="337" spans="1:11" ht="15">
      <c r="A337" s="13">
        <v>52322</v>
      </c>
      <c r="B337" s="60">
        <f>4.9252 * CHOOSE(CONTROL!$C$19, $C$6, 100%, $E$6)</f>
        <v>4.9252000000000002</v>
      </c>
      <c r="C337" s="60">
        <f>4.9252 * CHOOSE(CONTROL!$C$19, $C$6, 100%, $E$6)</f>
        <v>4.9252000000000002</v>
      </c>
      <c r="D337" s="60">
        <f>4.9417 * CHOOSE(CONTROL!$C$19, $C$6, 100%, $E$6)</f>
        <v>4.9417</v>
      </c>
      <c r="E337" s="61">
        <f>5.484 * CHOOSE(CONTROL!$C$19, $C$6, 100%, $E$6)</f>
        <v>5.484</v>
      </c>
      <c r="F337" s="61">
        <f>5.484 * CHOOSE(CONTROL!$C$19, $C$6, 100%, $E$6)</f>
        <v>5.484</v>
      </c>
      <c r="G337" s="61">
        <f>5.4842 * CHOOSE(CONTROL!$C$19, $C$6, 100%, $E$6)</f>
        <v>5.4842000000000004</v>
      </c>
      <c r="H337" s="61">
        <f>8.2412* CHOOSE(CONTROL!$C$19, $C$6, 100%, $E$6)</f>
        <v>8.2411999999999992</v>
      </c>
      <c r="I337" s="61">
        <f>8.2414 * CHOOSE(CONTROL!$C$19, $C$6, 100%, $E$6)</f>
        <v>8.2414000000000005</v>
      </c>
      <c r="J337" s="61">
        <f>5.484 * CHOOSE(CONTROL!$C$19, $C$6, 100%, $E$6)</f>
        <v>5.484</v>
      </c>
      <c r="K337" s="61">
        <f>5.4842 * CHOOSE(CONTROL!$C$19, $C$6, 100%, $E$6)</f>
        <v>5.4842000000000004</v>
      </c>
    </row>
    <row r="338" spans="1:11" ht="15">
      <c r="A338" s="13">
        <v>52352</v>
      </c>
      <c r="B338" s="60">
        <f>4.9252 * CHOOSE(CONTROL!$C$19, $C$6, 100%, $E$6)</f>
        <v>4.9252000000000002</v>
      </c>
      <c r="C338" s="60">
        <f>4.9252 * CHOOSE(CONTROL!$C$19, $C$6, 100%, $E$6)</f>
        <v>4.9252000000000002</v>
      </c>
      <c r="D338" s="60">
        <f>4.9582 * CHOOSE(CONTROL!$C$19, $C$6, 100%, $E$6)</f>
        <v>4.9581999999999997</v>
      </c>
      <c r="E338" s="61">
        <f>5.5094 * CHOOSE(CONTROL!$C$19, $C$6, 100%, $E$6)</f>
        <v>5.5094000000000003</v>
      </c>
      <c r="F338" s="61">
        <f>5.5094 * CHOOSE(CONTROL!$C$19, $C$6, 100%, $E$6)</f>
        <v>5.5094000000000003</v>
      </c>
      <c r="G338" s="61">
        <f>5.5114 * CHOOSE(CONTROL!$C$19, $C$6, 100%, $E$6)</f>
        <v>5.5114000000000001</v>
      </c>
      <c r="H338" s="61">
        <f>8.2584* CHOOSE(CONTROL!$C$19, $C$6, 100%, $E$6)</f>
        <v>8.2584</v>
      </c>
      <c r="I338" s="61">
        <f>8.2604 * CHOOSE(CONTROL!$C$19, $C$6, 100%, $E$6)</f>
        <v>8.2604000000000006</v>
      </c>
      <c r="J338" s="61">
        <f>5.5094 * CHOOSE(CONTROL!$C$19, $C$6, 100%, $E$6)</f>
        <v>5.5094000000000003</v>
      </c>
      <c r="K338" s="61">
        <f>5.5114 * CHOOSE(CONTROL!$C$19, $C$6, 100%, $E$6)</f>
        <v>5.5114000000000001</v>
      </c>
    </row>
    <row r="339" spans="1:11" ht="15">
      <c r="A339" s="13">
        <v>52383</v>
      </c>
      <c r="B339" s="60">
        <f>4.9313 * CHOOSE(CONTROL!$C$19, $C$6, 100%, $E$6)</f>
        <v>4.9313000000000002</v>
      </c>
      <c r="C339" s="60">
        <f>4.9313 * CHOOSE(CONTROL!$C$19, $C$6, 100%, $E$6)</f>
        <v>4.9313000000000002</v>
      </c>
      <c r="D339" s="60">
        <f>4.9643 * CHOOSE(CONTROL!$C$19, $C$6, 100%, $E$6)</f>
        <v>4.9642999999999997</v>
      </c>
      <c r="E339" s="61">
        <f>5.4882 * CHOOSE(CONTROL!$C$19, $C$6, 100%, $E$6)</f>
        <v>5.4882</v>
      </c>
      <c r="F339" s="61">
        <f>5.4882 * CHOOSE(CONTROL!$C$19, $C$6, 100%, $E$6)</f>
        <v>5.4882</v>
      </c>
      <c r="G339" s="61">
        <f>5.4903 * CHOOSE(CONTROL!$C$19, $C$6, 100%, $E$6)</f>
        <v>5.4903000000000004</v>
      </c>
      <c r="H339" s="61">
        <f>8.2756* CHOOSE(CONTROL!$C$19, $C$6, 100%, $E$6)</f>
        <v>8.2756000000000007</v>
      </c>
      <c r="I339" s="61">
        <f>8.2776 * CHOOSE(CONTROL!$C$19, $C$6, 100%, $E$6)</f>
        <v>8.2775999999999996</v>
      </c>
      <c r="J339" s="61">
        <f>5.4882 * CHOOSE(CONTROL!$C$19, $C$6, 100%, $E$6)</f>
        <v>5.4882</v>
      </c>
      <c r="K339" s="61">
        <f>5.4903 * CHOOSE(CONTROL!$C$19, $C$6, 100%, $E$6)</f>
        <v>5.4903000000000004</v>
      </c>
    </row>
    <row r="340" spans="1:11" ht="15">
      <c r="A340" s="13">
        <v>52413</v>
      </c>
      <c r="B340" s="60">
        <f>5.0083 * CHOOSE(CONTROL!$C$19, $C$6, 100%, $E$6)</f>
        <v>5.0083000000000002</v>
      </c>
      <c r="C340" s="60">
        <f>5.0083 * CHOOSE(CONTROL!$C$19, $C$6, 100%, $E$6)</f>
        <v>5.0083000000000002</v>
      </c>
      <c r="D340" s="60">
        <f>5.0413 * CHOOSE(CONTROL!$C$19, $C$6, 100%, $E$6)</f>
        <v>5.0412999999999997</v>
      </c>
      <c r="E340" s="61">
        <f>5.5951 * CHOOSE(CONTROL!$C$19, $C$6, 100%, $E$6)</f>
        <v>5.5951000000000004</v>
      </c>
      <c r="F340" s="61">
        <f>5.5951 * CHOOSE(CONTROL!$C$19, $C$6, 100%, $E$6)</f>
        <v>5.5951000000000004</v>
      </c>
      <c r="G340" s="61">
        <f>5.5972 * CHOOSE(CONTROL!$C$19, $C$6, 100%, $E$6)</f>
        <v>5.5972</v>
      </c>
      <c r="H340" s="61">
        <f>8.2928* CHOOSE(CONTROL!$C$19, $C$6, 100%, $E$6)</f>
        <v>8.2927999999999997</v>
      </c>
      <c r="I340" s="61">
        <f>8.2949 * CHOOSE(CONTROL!$C$19, $C$6, 100%, $E$6)</f>
        <v>8.2949000000000002</v>
      </c>
      <c r="J340" s="61">
        <f>5.5951 * CHOOSE(CONTROL!$C$19, $C$6, 100%, $E$6)</f>
        <v>5.5951000000000004</v>
      </c>
      <c r="K340" s="61">
        <f>5.5972 * CHOOSE(CONTROL!$C$19, $C$6, 100%, $E$6)</f>
        <v>5.5972</v>
      </c>
    </row>
    <row r="341" spans="1:11" ht="15">
      <c r="A341" s="13">
        <v>52444</v>
      </c>
      <c r="B341" s="60">
        <f>5.015 * CHOOSE(CONTROL!$C$19, $C$6, 100%, $E$6)</f>
        <v>5.0149999999999997</v>
      </c>
      <c r="C341" s="60">
        <f>5.015 * CHOOSE(CONTROL!$C$19, $C$6, 100%, $E$6)</f>
        <v>5.0149999999999997</v>
      </c>
      <c r="D341" s="60">
        <f>5.048 * CHOOSE(CONTROL!$C$19, $C$6, 100%, $E$6)</f>
        <v>5.048</v>
      </c>
      <c r="E341" s="61">
        <f>5.5237 * CHOOSE(CONTROL!$C$19, $C$6, 100%, $E$6)</f>
        <v>5.5236999999999998</v>
      </c>
      <c r="F341" s="61">
        <f>5.5237 * CHOOSE(CONTROL!$C$19, $C$6, 100%, $E$6)</f>
        <v>5.5236999999999998</v>
      </c>
      <c r="G341" s="61">
        <f>5.5257 * CHOOSE(CONTROL!$C$19, $C$6, 100%, $E$6)</f>
        <v>5.5256999999999996</v>
      </c>
      <c r="H341" s="61">
        <f>8.3101* CHOOSE(CONTROL!$C$19, $C$6, 100%, $E$6)</f>
        <v>8.3101000000000003</v>
      </c>
      <c r="I341" s="61">
        <f>8.3121 * CHOOSE(CONTROL!$C$19, $C$6, 100%, $E$6)</f>
        <v>8.3120999999999992</v>
      </c>
      <c r="J341" s="61">
        <f>5.5237 * CHOOSE(CONTROL!$C$19, $C$6, 100%, $E$6)</f>
        <v>5.5236999999999998</v>
      </c>
      <c r="K341" s="61">
        <f>5.5257 * CHOOSE(CONTROL!$C$19, $C$6, 100%, $E$6)</f>
        <v>5.5256999999999996</v>
      </c>
    </row>
    <row r="342" spans="1:11" ht="15">
      <c r="A342" s="13">
        <v>52475</v>
      </c>
      <c r="B342" s="60">
        <f>5.012 * CHOOSE(CONTROL!$C$19, $C$6, 100%, $E$6)</f>
        <v>5.0119999999999996</v>
      </c>
      <c r="C342" s="60">
        <f>5.012 * CHOOSE(CONTROL!$C$19, $C$6, 100%, $E$6)</f>
        <v>5.0119999999999996</v>
      </c>
      <c r="D342" s="60">
        <f>5.045 * CHOOSE(CONTROL!$C$19, $C$6, 100%, $E$6)</f>
        <v>5.0449999999999999</v>
      </c>
      <c r="E342" s="61">
        <f>5.5131 * CHOOSE(CONTROL!$C$19, $C$6, 100%, $E$6)</f>
        <v>5.5130999999999997</v>
      </c>
      <c r="F342" s="61">
        <f>5.5131 * CHOOSE(CONTROL!$C$19, $C$6, 100%, $E$6)</f>
        <v>5.5130999999999997</v>
      </c>
      <c r="G342" s="61">
        <f>5.5152 * CHOOSE(CONTROL!$C$19, $C$6, 100%, $E$6)</f>
        <v>5.5152000000000001</v>
      </c>
      <c r="H342" s="61">
        <f>8.3274* CHOOSE(CONTROL!$C$19, $C$6, 100%, $E$6)</f>
        <v>8.3274000000000008</v>
      </c>
      <c r="I342" s="61">
        <f>8.3294 * CHOOSE(CONTROL!$C$19, $C$6, 100%, $E$6)</f>
        <v>8.3293999999999997</v>
      </c>
      <c r="J342" s="61">
        <f>5.5131 * CHOOSE(CONTROL!$C$19, $C$6, 100%, $E$6)</f>
        <v>5.5130999999999997</v>
      </c>
      <c r="K342" s="61">
        <f>5.5152 * CHOOSE(CONTROL!$C$19, $C$6, 100%, $E$6)</f>
        <v>5.5152000000000001</v>
      </c>
    </row>
    <row r="343" spans="1:11" ht="15">
      <c r="A343" s="13">
        <v>52505</v>
      </c>
      <c r="B343" s="60">
        <f>5.011 * CHOOSE(CONTROL!$C$19, $C$6, 100%, $E$6)</f>
        <v>5.0110000000000001</v>
      </c>
      <c r="C343" s="60">
        <f>5.011 * CHOOSE(CONTROL!$C$19, $C$6, 100%, $E$6)</f>
        <v>5.0110000000000001</v>
      </c>
      <c r="D343" s="60">
        <f>5.0275 * CHOOSE(CONTROL!$C$19, $C$6, 100%, $E$6)</f>
        <v>5.0274999999999999</v>
      </c>
      <c r="E343" s="61">
        <f>5.5335 * CHOOSE(CONTROL!$C$19, $C$6, 100%, $E$6)</f>
        <v>5.5335000000000001</v>
      </c>
      <c r="F343" s="61">
        <f>5.5335 * CHOOSE(CONTROL!$C$19, $C$6, 100%, $E$6)</f>
        <v>5.5335000000000001</v>
      </c>
      <c r="G343" s="61">
        <f>5.5337 * CHOOSE(CONTROL!$C$19, $C$6, 100%, $E$6)</f>
        <v>5.5336999999999996</v>
      </c>
      <c r="H343" s="61">
        <f>8.3447* CHOOSE(CONTROL!$C$19, $C$6, 100%, $E$6)</f>
        <v>8.3446999999999996</v>
      </c>
      <c r="I343" s="61">
        <f>8.3449 * CHOOSE(CONTROL!$C$19, $C$6, 100%, $E$6)</f>
        <v>8.3449000000000009</v>
      </c>
      <c r="J343" s="61">
        <f>5.5335 * CHOOSE(CONTROL!$C$19, $C$6, 100%, $E$6)</f>
        <v>5.5335000000000001</v>
      </c>
      <c r="K343" s="61">
        <f>5.5337 * CHOOSE(CONTROL!$C$19, $C$6, 100%, $E$6)</f>
        <v>5.5336999999999996</v>
      </c>
    </row>
    <row r="344" spans="1:11" ht="15">
      <c r="A344" s="13">
        <v>52536</v>
      </c>
      <c r="B344" s="60">
        <f>5.014 * CHOOSE(CONTROL!$C$19, $C$6, 100%, $E$6)</f>
        <v>5.0140000000000002</v>
      </c>
      <c r="C344" s="60">
        <f>5.014 * CHOOSE(CONTROL!$C$19, $C$6, 100%, $E$6)</f>
        <v>5.0140000000000002</v>
      </c>
      <c r="D344" s="60">
        <f>5.0305 * CHOOSE(CONTROL!$C$19, $C$6, 100%, $E$6)</f>
        <v>5.0305</v>
      </c>
      <c r="E344" s="61">
        <f>5.5525 * CHOOSE(CONTROL!$C$19, $C$6, 100%, $E$6)</f>
        <v>5.5525000000000002</v>
      </c>
      <c r="F344" s="61">
        <f>5.5525 * CHOOSE(CONTROL!$C$19, $C$6, 100%, $E$6)</f>
        <v>5.5525000000000002</v>
      </c>
      <c r="G344" s="61">
        <f>5.5527 * CHOOSE(CONTROL!$C$19, $C$6, 100%, $E$6)</f>
        <v>5.5526999999999997</v>
      </c>
      <c r="H344" s="61">
        <f>8.3621* CHOOSE(CONTROL!$C$19, $C$6, 100%, $E$6)</f>
        <v>8.3620999999999999</v>
      </c>
      <c r="I344" s="61">
        <f>8.3623 * CHOOSE(CONTROL!$C$19, $C$6, 100%, $E$6)</f>
        <v>8.3622999999999994</v>
      </c>
      <c r="J344" s="61">
        <f>5.5525 * CHOOSE(CONTROL!$C$19, $C$6, 100%, $E$6)</f>
        <v>5.5525000000000002</v>
      </c>
      <c r="K344" s="61">
        <f>5.5527 * CHOOSE(CONTROL!$C$19, $C$6, 100%, $E$6)</f>
        <v>5.5526999999999997</v>
      </c>
    </row>
    <row r="345" spans="1:11" ht="15">
      <c r="A345" s="13">
        <v>52566</v>
      </c>
      <c r="B345" s="60">
        <f>5.014 * CHOOSE(CONTROL!$C$19, $C$6, 100%, $E$6)</f>
        <v>5.0140000000000002</v>
      </c>
      <c r="C345" s="60">
        <f>5.014 * CHOOSE(CONTROL!$C$19, $C$6, 100%, $E$6)</f>
        <v>5.0140000000000002</v>
      </c>
      <c r="D345" s="60">
        <f>5.0305 * CHOOSE(CONTROL!$C$19, $C$6, 100%, $E$6)</f>
        <v>5.0305</v>
      </c>
      <c r="E345" s="61">
        <f>5.5103 * CHOOSE(CONTROL!$C$19, $C$6, 100%, $E$6)</f>
        <v>5.5103</v>
      </c>
      <c r="F345" s="61">
        <f>5.5103 * CHOOSE(CONTROL!$C$19, $C$6, 100%, $E$6)</f>
        <v>5.5103</v>
      </c>
      <c r="G345" s="61">
        <f>5.5105 * CHOOSE(CONTROL!$C$19, $C$6, 100%, $E$6)</f>
        <v>5.5105000000000004</v>
      </c>
      <c r="H345" s="61">
        <f>8.3795* CHOOSE(CONTROL!$C$19, $C$6, 100%, $E$6)</f>
        <v>8.3795000000000002</v>
      </c>
      <c r="I345" s="61">
        <f>8.3797 * CHOOSE(CONTROL!$C$19, $C$6, 100%, $E$6)</f>
        <v>8.3796999999999997</v>
      </c>
      <c r="J345" s="61">
        <f>5.5103 * CHOOSE(CONTROL!$C$19, $C$6, 100%, $E$6)</f>
        <v>5.5103</v>
      </c>
      <c r="K345" s="61">
        <f>5.5105 * CHOOSE(CONTROL!$C$19, $C$6, 100%, $E$6)</f>
        <v>5.5105000000000004</v>
      </c>
    </row>
    <row r="346" spans="1:11" ht="15">
      <c r="A346" s="13">
        <v>52597</v>
      </c>
      <c r="B346" s="60">
        <f>5.0576 * CHOOSE(CONTROL!$C$19, $C$6, 100%, $E$6)</f>
        <v>5.0575999999999999</v>
      </c>
      <c r="C346" s="60">
        <f>5.0576 * CHOOSE(CONTROL!$C$19, $C$6, 100%, $E$6)</f>
        <v>5.0575999999999999</v>
      </c>
      <c r="D346" s="60">
        <f>5.0741 * CHOOSE(CONTROL!$C$19, $C$6, 100%, $E$6)</f>
        <v>5.0740999999999996</v>
      </c>
      <c r="E346" s="61">
        <f>5.5945 * CHOOSE(CONTROL!$C$19, $C$6, 100%, $E$6)</f>
        <v>5.5945</v>
      </c>
      <c r="F346" s="61">
        <f>5.5945 * CHOOSE(CONTROL!$C$19, $C$6, 100%, $E$6)</f>
        <v>5.5945</v>
      </c>
      <c r="G346" s="61">
        <f>5.5946 * CHOOSE(CONTROL!$C$19, $C$6, 100%, $E$6)</f>
        <v>5.5945999999999998</v>
      </c>
      <c r="H346" s="61">
        <f>8.397* CHOOSE(CONTROL!$C$19, $C$6, 100%, $E$6)</f>
        <v>8.3970000000000002</v>
      </c>
      <c r="I346" s="61">
        <f>8.3972 * CHOOSE(CONTROL!$C$19, $C$6, 100%, $E$6)</f>
        <v>8.3971999999999998</v>
      </c>
      <c r="J346" s="61">
        <f>5.5945 * CHOOSE(CONTROL!$C$19, $C$6, 100%, $E$6)</f>
        <v>5.5945</v>
      </c>
      <c r="K346" s="61">
        <f>5.5946 * CHOOSE(CONTROL!$C$19, $C$6, 100%, $E$6)</f>
        <v>5.5945999999999998</v>
      </c>
    </row>
    <row r="347" spans="1:11" ht="15">
      <c r="A347" s="13">
        <v>52628</v>
      </c>
      <c r="B347" s="60">
        <f>5.0546 * CHOOSE(CONTROL!$C$19, $C$6, 100%, $E$6)</f>
        <v>5.0545999999999998</v>
      </c>
      <c r="C347" s="60">
        <f>5.0546 * CHOOSE(CONTROL!$C$19, $C$6, 100%, $E$6)</f>
        <v>5.0545999999999998</v>
      </c>
      <c r="D347" s="60">
        <f>5.0711 * CHOOSE(CONTROL!$C$19, $C$6, 100%, $E$6)</f>
        <v>5.0711000000000004</v>
      </c>
      <c r="E347" s="61">
        <f>5.5099 * CHOOSE(CONTROL!$C$19, $C$6, 100%, $E$6)</f>
        <v>5.5099</v>
      </c>
      <c r="F347" s="61">
        <f>5.5099 * CHOOSE(CONTROL!$C$19, $C$6, 100%, $E$6)</f>
        <v>5.5099</v>
      </c>
      <c r="G347" s="61">
        <f>5.5101 * CHOOSE(CONTROL!$C$19, $C$6, 100%, $E$6)</f>
        <v>5.5101000000000004</v>
      </c>
      <c r="H347" s="61">
        <f>8.4145* CHOOSE(CONTROL!$C$19, $C$6, 100%, $E$6)</f>
        <v>8.4145000000000003</v>
      </c>
      <c r="I347" s="61">
        <f>8.4147 * CHOOSE(CONTROL!$C$19, $C$6, 100%, $E$6)</f>
        <v>8.4146999999999998</v>
      </c>
      <c r="J347" s="61">
        <f>5.5099 * CHOOSE(CONTROL!$C$19, $C$6, 100%, $E$6)</f>
        <v>5.5099</v>
      </c>
      <c r="K347" s="61">
        <f>5.5101 * CHOOSE(CONTROL!$C$19, $C$6, 100%, $E$6)</f>
        <v>5.5101000000000004</v>
      </c>
    </row>
    <row r="348" spans="1:11" ht="15">
      <c r="A348" s="13">
        <v>52657</v>
      </c>
      <c r="B348" s="60">
        <f>5.0515 * CHOOSE(CONTROL!$C$19, $C$6, 100%, $E$6)</f>
        <v>5.0514999999999999</v>
      </c>
      <c r="C348" s="60">
        <f>5.0515 * CHOOSE(CONTROL!$C$19, $C$6, 100%, $E$6)</f>
        <v>5.0514999999999999</v>
      </c>
      <c r="D348" s="60">
        <f>5.068 * CHOOSE(CONTROL!$C$19, $C$6, 100%, $E$6)</f>
        <v>5.0679999999999996</v>
      </c>
      <c r="E348" s="61">
        <f>5.5728 * CHOOSE(CONTROL!$C$19, $C$6, 100%, $E$6)</f>
        <v>5.5728</v>
      </c>
      <c r="F348" s="61">
        <f>5.5728 * CHOOSE(CONTROL!$C$19, $C$6, 100%, $E$6)</f>
        <v>5.5728</v>
      </c>
      <c r="G348" s="61">
        <f>5.573 * CHOOSE(CONTROL!$C$19, $C$6, 100%, $E$6)</f>
        <v>5.5730000000000004</v>
      </c>
      <c r="H348" s="61">
        <f>8.432* CHOOSE(CONTROL!$C$19, $C$6, 100%, $E$6)</f>
        <v>8.4320000000000004</v>
      </c>
      <c r="I348" s="61">
        <f>8.4322 * CHOOSE(CONTROL!$C$19, $C$6, 100%, $E$6)</f>
        <v>8.4321999999999999</v>
      </c>
      <c r="J348" s="61">
        <f>5.5728 * CHOOSE(CONTROL!$C$19, $C$6, 100%, $E$6)</f>
        <v>5.5728</v>
      </c>
      <c r="K348" s="61">
        <f>5.573 * CHOOSE(CONTROL!$C$19, $C$6, 100%, $E$6)</f>
        <v>5.5730000000000004</v>
      </c>
    </row>
    <row r="349" spans="1:11" ht="15">
      <c r="A349" s="13">
        <v>52688</v>
      </c>
      <c r="B349" s="60">
        <f>5.0502 * CHOOSE(CONTROL!$C$19, $C$6, 100%, $E$6)</f>
        <v>5.0502000000000002</v>
      </c>
      <c r="C349" s="60">
        <f>5.0502 * CHOOSE(CONTROL!$C$19, $C$6, 100%, $E$6)</f>
        <v>5.0502000000000002</v>
      </c>
      <c r="D349" s="60">
        <f>5.0667 * CHOOSE(CONTROL!$C$19, $C$6, 100%, $E$6)</f>
        <v>5.0667</v>
      </c>
      <c r="E349" s="61">
        <f>5.6383 * CHOOSE(CONTROL!$C$19, $C$6, 100%, $E$6)</f>
        <v>5.6383000000000001</v>
      </c>
      <c r="F349" s="61">
        <f>5.6383 * CHOOSE(CONTROL!$C$19, $C$6, 100%, $E$6)</f>
        <v>5.6383000000000001</v>
      </c>
      <c r="G349" s="61">
        <f>5.6385 * CHOOSE(CONTROL!$C$19, $C$6, 100%, $E$6)</f>
        <v>5.6384999999999996</v>
      </c>
      <c r="H349" s="61">
        <f>8.4496* CHOOSE(CONTROL!$C$19, $C$6, 100%, $E$6)</f>
        <v>8.4496000000000002</v>
      </c>
      <c r="I349" s="61">
        <f>8.4498 * CHOOSE(CONTROL!$C$19, $C$6, 100%, $E$6)</f>
        <v>8.4497999999999998</v>
      </c>
      <c r="J349" s="61">
        <f>5.6383 * CHOOSE(CONTROL!$C$19, $C$6, 100%, $E$6)</f>
        <v>5.6383000000000001</v>
      </c>
      <c r="K349" s="61">
        <f>5.6385 * CHOOSE(CONTROL!$C$19, $C$6, 100%, $E$6)</f>
        <v>5.6384999999999996</v>
      </c>
    </row>
    <row r="350" spans="1:11" ht="15">
      <c r="A350" s="13">
        <v>52718</v>
      </c>
      <c r="B350" s="60">
        <f>5.0502 * CHOOSE(CONTROL!$C$19, $C$6, 100%, $E$6)</f>
        <v>5.0502000000000002</v>
      </c>
      <c r="C350" s="60">
        <f>5.0502 * CHOOSE(CONTROL!$C$19, $C$6, 100%, $E$6)</f>
        <v>5.0502000000000002</v>
      </c>
      <c r="D350" s="60">
        <f>5.0832 * CHOOSE(CONTROL!$C$19, $C$6, 100%, $E$6)</f>
        <v>5.0831999999999997</v>
      </c>
      <c r="E350" s="61">
        <f>5.6645 * CHOOSE(CONTROL!$C$19, $C$6, 100%, $E$6)</f>
        <v>5.6645000000000003</v>
      </c>
      <c r="F350" s="61">
        <f>5.6645 * CHOOSE(CONTROL!$C$19, $C$6, 100%, $E$6)</f>
        <v>5.6645000000000003</v>
      </c>
      <c r="G350" s="61">
        <f>5.6665 * CHOOSE(CONTROL!$C$19, $C$6, 100%, $E$6)</f>
        <v>5.6665000000000001</v>
      </c>
      <c r="H350" s="61">
        <f>8.4672* CHOOSE(CONTROL!$C$19, $C$6, 100%, $E$6)</f>
        <v>8.4672000000000001</v>
      </c>
      <c r="I350" s="61">
        <f>8.4692 * CHOOSE(CONTROL!$C$19, $C$6, 100%, $E$6)</f>
        <v>8.4692000000000007</v>
      </c>
      <c r="J350" s="61">
        <f>5.6645 * CHOOSE(CONTROL!$C$19, $C$6, 100%, $E$6)</f>
        <v>5.6645000000000003</v>
      </c>
      <c r="K350" s="61">
        <f>5.6665 * CHOOSE(CONTROL!$C$19, $C$6, 100%, $E$6)</f>
        <v>5.6665000000000001</v>
      </c>
    </row>
    <row r="351" spans="1:11" ht="15">
      <c r="A351" s="13">
        <v>52749</v>
      </c>
      <c r="B351" s="60">
        <f>5.0563 * CHOOSE(CONTROL!$C$19, $C$6, 100%, $E$6)</f>
        <v>5.0563000000000002</v>
      </c>
      <c r="C351" s="60">
        <f>5.0563 * CHOOSE(CONTROL!$C$19, $C$6, 100%, $E$6)</f>
        <v>5.0563000000000002</v>
      </c>
      <c r="D351" s="60">
        <f>5.0893 * CHOOSE(CONTROL!$C$19, $C$6, 100%, $E$6)</f>
        <v>5.0892999999999997</v>
      </c>
      <c r="E351" s="61">
        <f>5.6426 * CHOOSE(CONTROL!$C$19, $C$6, 100%, $E$6)</f>
        <v>5.6425999999999998</v>
      </c>
      <c r="F351" s="61">
        <f>5.6426 * CHOOSE(CONTROL!$C$19, $C$6, 100%, $E$6)</f>
        <v>5.6425999999999998</v>
      </c>
      <c r="G351" s="61">
        <f>5.6446 * CHOOSE(CONTROL!$C$19, $C$6, 100%, $E$6)</f>
        <v>5.6445999999999996</v>
      </c>
      <c r="H351" s="61">
        <f>8.4848* CHOOSE(CONTROL!$C$19, $C$6, 100%, $E$6)</f>
        <v>8.4847999999999999</v>
      </c>
      <c r="I351" s="61">
        <f>8.4869 * CHOOSE(CONTROL!$C$19, $C$6, 100%, $E$6)</f>
        <v>8.4869000000000003</v>
      </c>
      <c r="J351" s="61">
        <f>5.6426 * CHOOSE(CONTROL!$C$19, $C$6, 100%, $E$6)</f>
        <v>5.6425999999999998</v>
      </c>
      <c r="K351" s="61">
        <f>5.6446 * CHOOSE(CONTROL!$C$19, $C$6, 100%, $E$6)</f>
        <v>5.6445999999999996</v>
      </c>
    </row>
    <row r="352" spans="1:11" ht="15">
      <c r="A352" s="13">
        <v>52779</v>
      </c>
      <c r="B352" s="60">
        <f>5.1354 * CHOOSE(CONTROL!$C$19, $C$6, 100%, $E$6)</f>
        <v>5.1353999999999997</v>
      </c>
      <c r="C352" s="60">
        <f>5.1354 * CHOOSE(CONTROL!$C$19, $C$6, 100%, $E$6)</f>
        <v>5.1353999999999997</v>
      </c>
      <c r="D352" s="60">
        <f>5.1684 * CHOOSE(CONTROL!$C$19, $C$6, 100%, $E$6)</f>
        <v>5.1684000000000001</v>
      </c>
      <c r="E352" s="61">
        <f>5.7521 * CHOOSE(CONTROL!$C$19, $C$6, 100%, $E$6)</f>
        <v>5.7521000000000004</v>
      </c>
      <c r="F352" s="61">
        <f>5.7521 * CHOOSE(CONTROL!$C$19, $C$6, 100%, $E$6)</f>
        <v>5.7521000000000004</v>
      </c>
      <c r="G352" s="61">
        <f>5.7542 * CHOOSE(CONTROL!$C$19, $C$6, 100%, $E$6)</f>
        <v>5.7542</v>
      </c>
      <c r="H352" s="61">
        <f>8.5025* CHOOSE(CONTROL!$C$19, $C$6, 100%, $E$6)</f>
        <v>8.5024999999999995</v>
      </c>
      <c r="I352" s="61">
        <f>8.5046 * CHOOSE(CONTROL!$C$19, $C$6, 100%, $E$6)</f>
        <v>8.5045999999999999</v>
      </c>
      <c r="J352" s="61">
        <f>5.7521 * CHOOSE(CONTROL!$C$19, $C$6, 100%, $E$6)</f>
        <v>5.7521000000000004</v>
      </c>
      <c r="K352" s="61">
        <f>5.7542 * CHOOSE(CONTROL!$C$19, $C$6, 100%, $E$6)</f>
        <v>5.7542</v>
      </c>
    </row>
    <row r="353" spans="1:11" ht="15">
      <c r="A353" s="13">
        <v>52810</v>
      </c>
      <c r="B353" s="60">
        <f>5.142 * CHOOSE(CONTROL!$C$19, $C$6, 100%, $E$6)</f>
        <v>5.1420000000000003</v>
      </c>
      <c r="C353" s="60">
        <f>5.142 * CHOOSE(CONTROL!$C$19, $C$6, 100%, $E$6)</f>
        <v>5.1420000000000003</v>
      </c>
      <c r="D353" s="60">
        <f>5.175 * CHOOSE(CONTROL!$C$19, $C$6, 100%, $E$6)</f>
        <v>5.1749999999999998</v>
      </c>
      <c r="E353" s="61">
        <f>5.6783 * CHOOSE(CONTROL!$C$19, $C$6, 100%, $E$6)</f>
        <v>5.6783000000000001</v>
      </c>
      <c r="F353" s="61">
        <f>5.6783 * CHOOSE(CONTROL!$C$19, $C$6, 100%, $E$6)</f>
        <v>5.6783000000000001</v>
      </c>
      <c r="G353" s="61">
        <f>5.6803 * CHOOSE(CONTROL!$C$19, $C$6, 100%, $E$6)</f>
        <v>5.6802999999999999</v>
      </c>
      <c r="H353" s="61">
        <f>8.5202* CHOOSE(CONTROL!$C$19, $C$6, 100%, $E$6)</f>
        <v>8.5202000000000009</v>
      </c>
      <c r="I353" s="61">
        <f>8.5223 * CHOOSE(CONTROL!$C$19, $C$6, 100%, $E$6)</f>
        <v>8.5222999999999995</v>
      </c>
      <c r="J353" s="61">
        <f>5.6783 * CHOOSE(CONTROL!$C$19, $C$6, 100%, $E$6)</f>
        <v>5.6783000000000001</v>
      </c>
      <c r="K353" s="61">
        <f>5.6803 * CHOOSE(CONTROL!$C$19, $C$6, 100%, $E$6)</f>
        <v>5.6802999999999999</v>
      </c>
    </row>
    <row r="354" spans="1:11" ht="15">
      <c r="A354" s="13">
        <v>52841</v>
      </c>
      <c r="B354" s="60">
        <f>5.139 * CHOOSE(CONTROL!$C$19, $C$6, 100%, $E$6)</f>
        <v>5.1390000000000002</v>
      </c>
      <c r="C354" s="60">
        <f>5.139 * CHOOSE(CONTROL!$C$19, $C$6, 100%, $E$6)</f>
        <v>5.1390000000000002</v>
      </c>
      <c r="D354" s="60">
        <f>5.172 * CHOOSE(CONTROL!$C$19, $C$6, 100%, $E$6)</f>
        <v>5.1719999999999997</v>
      </c>
      <c r="E354" s="61">
        <f>5.6674 * CHOOSE(CONTROL!$C$19, $C$6, 100%, $E$6)</f>
        <v>5.6673999999999998</v>
      </c>
      <c r="F354" s="61">
        <f>5.6674 * CHOOSE(CONTROL!$C$19, $C$6, 100%, $E$6)</f>
        <v>5.6673999999999998</v>
      </c>
      <c r="G354" s="61">
        <f>5.6695 * CHOOSE(CONTROL!$C$19, $C$6, 100%, $E$6)</f>
        <v>5.6695000000000002</v>
      </c>
      <c r="H354" s="61">
        <f>8.538* CHOOSE(CONTROL!$C$19, $C$6, 100%, $E$6)</f>
        <v>8.5380000000000003</v>
      </c>
      <c r="I354" s="61">
        <f>8.54 * CHOOSE(CONTROL!$C$19, $C$6, 100%, $E$6)</f>
        <v>8.5399999999999991</v>
      </c>
      <c r="J354" s="61">
        <f>5.6674 * CHOOSE(CONTROL!$C$19, $C$6, 100%, $E$6)</f>
        <v>5.6673999999999998</v>
      </c>
      <c r="K354" s="61">
        <f>5.6695 * CHOOSE(CONTROL!$C$19, $C$6, 100%, $E$6)</f>
        <v>5.6695000000000002</v>
      </c>
    </row>
    <row r="355" spans="1:11" ht="15">
      <c r="A355" s="13">
        <v>52871</v>
      </c>
      <c r="B355" s="60">
        <f>5.1385 * CHOOSE(CONTROL!$C$19, $C$6, 100%, $E$6)</f>
        <v>5.1384999999999996</v>
      </c>
      <c r="C355" s="60">
        <f>5.1385 * CHOOSE(CONTROL!$C$19, $C$6, 100%, $E$6)</f>
        <v>5.1384999999999996</v>
      </c>
      <c r="D355" s="60">
        <f>5.155 * CHOOSE(CONTROL!$C$19, $C$6, 100%, $E$6)</f>
        <v>5.1550000000000002</v>
      </c>
      <c r="E355" s="61">
        <f>5.6889 * CHOOSE(CONTROL!$C$19, $C$6, 100%, $E$6)</f>
        <v>5.6889000000000003</v>
      </c>
      <c r="F355" s="61">
        <f>5.6889 * CHOOSE(CONTROL!$C$19, $C$6, 100%, $E$6)</f>
        <v>5.6889000000000003</v>
      </c>
      <c r="G355" s="61">
        <f>5.6891 * CHOOSE(CONTROL!$C$19, $C$6, 100%, $E$6)</f>
        <v>5.6890999999999998</v>
      </c>
      <c r="H355" s="61">
        <f>8.5558* CHOOSE(CONTROL!$C$19, $C$6, 100%, $E$6)</f>
        <v>8.5557999999999996</v>
      </c>
      <c r="I355" s="61">
        <f>8.5559 * CHOOSE(CONTROL!$C$19, $C$6, 100%, $E$6)</f>
        <v>8.5558999999999994</v>
      </c>
      <c r="J355" s="61">
        <f>5.6889 * CHOOSE(CONTROL!$C$19, $C$6, 100%, $E$6)</f>
        <v>5.6889000000000003</v>
      </c>
      <c r="K355" s="61">
        <f>5.6891 * CHOOSE(CONTROL!$C$19, $C$6, 100%, $E$6)</f>
        <v>5.6890999999999998</v>
      </c>
    </row>
    <row r="356" spans="1:11" ht="15">
      <c r="A356" s="13">
        <v>52902</v>
      </c>
      <c r="B356" s="60">
        <f>5.1415 * CHOOSE(CONTROL!$C$19, $C$6, 100%, $E$6)</f>
        <v>5.1414999999999997</v>
      </c>
      <c r="C356" s="60">
        <f>5.1415 * CHOOSE(CONTROL!$C$19, $C$6, 100%, $E$6)</f>
        <v>5.1414999999999997</v>
      </c>
      <c r="D356" s="60">
        <f>5.158 * CHOOSE(CONTROL!$C$19, $C$6, 100%, $E$6)</f>
        <v>5.1580000000000004</v>
      </c>
      <c r="E356" s="61">
        <f>5.7085 * CHOOSE(CONTROL!$C$19, $C$6, 100%, $E$6)</f>
        <v>5.7084999999999999</v>
      </c>
      <c r="F356" s="61">
        <f>5.7085 * CHOOSE(CONTROL!$C$19, $C$6, 100%, $E$6)</f>
        <v>5.7084999999999999</v>
      </c>
      <c r="G356" s="61">
        <f>5.7087 * CHOOSE(CONTROL!$C$19, $C$6, 100%, $E$6)</f>
        <v>5.7087000000000003</v>
      </c>
      <c r="H356" s="61">
        <f>8.5736* CHOOSE(CONTROL!$C$19, $C$6, 100%, $E$6)</f>
        <v>8.5736000000000008</v>
      </c>
      <c r="I356" s="61">
        <f>8.5738 * CHOOSE(CONTROL!$C$19, $C$6, 100%, $E$6)</f>
        <v>8.5738000000000003</v>
      </c>
      <c r="J356" s="61">
        <f>5.7085 * CHOOSE(CONTROL!$C$19, $C$6, 100%, $E$6)</f>
        <v>5.7084999999999999</v>
      </c>
      <c r="K356" s="61">
        <f>5.7087 * CHOOSE(CONTROL!$C$19, $C$6, 100%, $E$6)</f>
        <v>5.7087000000000003</v>
      </c>
    </row>
    <row r="357" spans="1:11" ht="15">
      <c r="A357" s="13">
        <v>52932</v>
      </c>
      <c r="B357" s="60">
        <f>5.1415 * CHOOSE(CONTROL!$C$19, $C$6, 100%, $E$6)</f>
        <v>5.1414999999999997</v>
      </c>
      <c r="C357" s="60">
        <f>5.1415 * CHOOSE(CONTROL!$C$19, $C$6, 100%, $E$6)</f>
        <v>5.1414999999999997</v>
      </c>
      <c r="D357" s="60">
        <f>5.158 * CHOOSE(CONTROL!$C$19, $C$6, 100%, $E$6)</f>
        <v>5.1580000000000004</v>
      </c>
      <c r="E357" s="61">
        <f>5.6649 * CHOOSE(CONTROL!$C$19, $C$6, 100%, $E$6)</f>
        <v>5.6649000000000003</v>
      </c>
      <c r="F357" s="61">
        <f>5.6649 * CHOOSE(CONTROL!$C$19, $C$6, 100%, $E$6)</f>
        <v>5.6649000000000003</v>
      </c>
      <c r="G357" s="61">
        <f>5.665 * CHOOSE(CONTROL!$C$19, $C$6, 100%, $E$6)</f>
        <v>5.665</v>
      </c>
      <c r="H357" s="61">
        <f>8.5915* CHOOSE(CONTROL!$C$19, $C$6, 100%, $E$6)</f>
        <v>8.5914999999999999</v>
      </c>
      <c r="I357" s="61">
        <f>8.5916 * CHOOSE(CONTROL!$C$19, $C$6, 100%, $E$6)</f>
        <v>8.5915999999999997</v>
      </c>
      <c r="J357" s="61">
        <f>5.6649 * CHOOSE(CONTROL!$C$19, $C$6, 100%, $E$6)</f>
        <v>5.6649000000000003</v>
      </c>
      <c r="K357" s="61">
        <f>5.665 * CHOOSE(CONTROL!$C$19, $C$6, 100%, $E$6)</f>
        <v>5.665</v>
      </c>
    </row>
    <row r="358" spans="1:11" ht="15">
      <c r="A358" s="13">
        <v>52963</v>
      </c>
      <c r="B358" s="60">
        <f>5.186 * CHOOSE(CONTROL!$C$19, $C$6, 100%, $E$6)</f>
        <v>5.1859999999999999</v>
      </c>
      <c r="C358" s="60">
        <f>5.186 * CHOOSE(CONTROL!$C$19, $C$6, 100%, $E$6)</f>
        <v>5.1859999999999999</v>
      </c>
      <c r="D358" s="60">
        <f>5.2025 * CHOOSE(CONTROL!$C$19, $C$6, 100%, $E$6)</f>
        <v>5.2024999999999997</v>
      </c>
      <c r="E358" s="61">
        <f>5.7515 * CHOOSE(CONTROL!$C$19, $C$6, 100%, $E$6)</f>
        <v>5.7515000000000001</v>
      </c>
      <c r="F358" s="61">
        <f>5.7515 * CHOOSE(CONTROL!$C$19, $C$6, 100%, $E$6)</f>
        <v>5.7515000000000001</v>
      </c>
      <c r="G358" s="61">
        <f>5.7516 * CHOOSE(CONTROL!$C$19, $C$6, 100%, $E$6)</f>
        <v>5.7515999999999998</v>
      </c>
      <c r="H358" s="61">
        <f>8.6093* CHOOSE(CONTROL!$C$19, $C$6, 100%, $E$6)</f>
        <v>8.6092999999999993</v>
      </c>
      <c r="I358" s="61">
        <f>8.6095 * CHOOSE(CONTROL!$C$19, $C$6, 100%, $E$6)</f>
        <v>8.6095000000000006</v>
      </c>
      <c r="J358" s="61">
        <f>5.7515 * CHOOSE(CONTROL!$C$19, $C$6, 100%, $E$6)</f>
        <v>5.7515000000000001</v>
      </c>
      <c r="K358" s="61">
        <f>5.7516 * CHOOSE(CONTROL!$C$19, $C$6, 100%, $E$6)</f>
        <v>5.7515999999999998</v>
      </c>
    </row>
    <row r="359" spans="1:11" ht="15">
      <c r="A359" s="13">
        <v>52994</v>
      </c>
      <c r="B359" s="60">
        <f>5.183 * CHOOSE(CONTROL!$C$19, $C$6, 100%, $E$6)</f>
        <v>5.1829999999999998</v>
      </c>
      <c r="C359" s="60">
        <f>5.183 * CHOOSE(CONTROL!$C$19, $C$6, 100%, $E$6)</f>
        <v>5.1829999999999998</v>
      </c>
      <c r="D359" s="60">
        <f>5.1995 * CHOOSE(CONTROL!$C$19, $C$6, 100%, $E$6)</f>
        <v>5.1994999999999996</v>
      </c>
      <c r="E359" s="61">
        <f>5.6643 * CHOOSE(CONTROL!$C$19, $C$6, 100%, $E$6)</f>
        <v>5.6642999999999999</v>
      </c>
      <c r="F359" s="61">
        <f>5.6643 * CHOOSE(CONTROL!$C$19, $C$6, 100%, $E$6)</f>
        <v>5.6642999999999999</v>
      </c>
      <c r="G359" s="61">
        <f>5.6645 * CHOOSE(CONTROL!$C$19, $C$6, 100%, $E$6)</f>
        <v>5.6645000000000003</v>
      </c>
      <c r="H359" s="61">
        <f>8.6273* CHOOSE(CONTROL!$C$19, $C$6, 100%, $E$6)</f>
        <v>8.6273</v>
      </c>
      <c r="I359" s="61">
        <f>8.6275 * CHOOSE(CONTROL!$C$19, $C$6, 100%, $E$6)</f>
        <v>8.6274999999999995</v>
      </c>
      <c r="J359" s="61">
        <f>5.6643 * CHOOSE(CONTROL!$C$19, $C$6, 100%, $E$6)</f>
        <v>5.6642999999999999</v>
      </c>
      <c r="K359" s="61">
        <f>5.6645 * CHOOSE(CONTROL!$C$19, $C$6, 100%, $E$6)</f>
        <v>5.6645000000000003</v>
      </c>
    </row>
    <row r="360" spans="1:11" ht="15">
      <c r="A360" s="13">
        <v>53022</v>
      </c>
      <c r="B360" s="60">
        <f>5.1799 * CHOOSE(CONTROL!$C$19, $C$6, 100%, $E$6)</f>
        <v>5.1798999999999999</v>
      </c>
      <c r="C360" s="60">
        <f>5.1799 * CHOOSE(CONTROL!$C$19, $C$6, 100%, $E$6)</f>
        <v>5.1798999999999999</v>
      </c>
      <c r="D360" s="60">
        <f>5.1964 * CHOOSE(CONTROL!$C$19, $C$6, 100%, $E$6)</f>
        <v>5.1963999999999997</v>
      </c>
      <c r="E360" s="61">
        <f>5.7292 * CHOOSE(CONTROL!$C$19, $C$6, 100%, $E$6)</f>
        <v>5.7291999999999996</v>
      </c>
      <c r="F360" s="61">
        <f>5.7292 * CHOOSE(CONTROL!$C$19, $C$6, 100%, $E$6)</f>
        <v>5.7291999999999996</v>
      </c>
      <c r="G360" s="61">
        <f>5.7294 * CHOOSE(CONTROL!$C$19, $C$6, 100%, $E$6)</f>
        <v>5.7294</v>
      </c>
      <c r="H360" s="61">
        <f>8.6453* CHOOSE(CONTROL!$C$19, $C$6, 100%, $E$6)</f>
        <v>8.6453000000000007</v>
      </c>
      <c r="I360" s="61">
        <f>8.6454 * CHOOSE(CONTROL!$C$19, $C$6, 100%, $E$6)</f>
        <v>8.6454000000000004</v>
      </c>
      <c r="J360" s="61">
        <f>5.7292 * CHOOSE(CONTROL!$C$19, $C$6, 100%, $E$6)</f>
        <v>5.7291999999999996</v>
      </c>
      <c r="K360" s="61">
        <f>5.7294 * CHOOSE(CONTROL!$C$19, $C$6, 100%, $E$6)</f>
        <v>5.7294</v>
      </c>
    </row>
    <row r="361" spans="1:11" ht="15">
      <c r="A361" s="13">
        <v>53053</v>
      </c>
      <c r="B361" s="60">
        <f>5.1788 * CHOOSE(CONTROL!$C$19, $C$6, 100%, $E$6)</f>
        <v>5.1787999999999998</v>
      </c>
      <c r="C361" s="60">
        <f>5.1788 * CHOOSE(CONTROL!$C$19, $C$6, 100%, $E$6)</f>
        <v>5.1787999999999998</v>
      </c>
      <c r="D361" s="60">
        <f>5.1953 * CHOOSE(CONTROL!$C$19, $C$6, 100%, $E$6)</f>
        <v>5.1952999999999996</v>
      </c>
      <c r="E361" s="61">
        <f>5.797 * CHOOSE(CONTROL!$C$19, $C$6, 100%, $E$6)</f>
        <v>5.7969999999999997</v>
      </c>
      <c r="F361" s="61">
        <f>5.797 * CHOOSE(CONTROL!$C$19, $C$6, 100%, $E$6)</f>
        <v>5.7969999999999997</v>
      </c>
      <c r="G361" s="61">
        <f>5.7972 * CHOOSE(CONTROL!$C$19, $C$6, 100%, $E$6)</f>
        <v>5.7972000000000001</v>
      </c>
      <c r="H361" s="61">
        <f>8.6633* CHOOSE(CONTROL!$C$19, $C$6, 100%, $E$6)</f>
        <v>8.6632999999999996</v>
      </c>
      <c r="I361" s="61">
        <f>8.6634 * CHOOSE(CONTROL!$C$19, $C$6, 100%, $E$6)</f>
        <v>8.6633999999999993</v>
      </c>
      <c r="J361" s="61">
        <f>5.797 * CHOOSE(CONTROL!$C$19, $C$6, 100%, $E$6)</f>
        <v>5.7969999999999997</v>
      </c>
      <c r="K361" s="61">
        <f>5.7972 * CHOOSE(CONTROL!$C$19, $C$6, 100%, $E$6)</f>
        <v>5.7972000000000001</v>
      </c>
    </row>
    <row r="362" spans="1:11" ht="15">
      <c r="A362" s="13">
        <v>53083</v>
      </c>
      <c r="B362" s="60">
        <f>5.1788 * CHOOSE(CONTROL!$C$19, $C$6, 100%, $E$6)</f>
        <v>5.1787999999999998</v>
      </c>
      <c r="C362" s="60">
        <f>5.1788 * CHOOSE(CONTROL!$C$19, $C$6, 100%, $E$6)</f>
        <v>5.1787999999999998</v>
      </c>
      <c r="D362" s="60">
        <f>5.2118 * CHOOSE(CONTROL!$C$19, $C$6, 100%, $E$6)</f>
        <v>5.2118000000000002</v>
      </c>
      <c r="E362" s="61">
        <f>5.824 * CHOOSE(CONTROL!$C$19, $C$6, 100%, $E$6)</f>
        <v>5.8239999999999998</v>
      </c>
      <c r="F362" s="61">
        <f>5.824 * CHOOSE(CONTROL!$C$19, $C$6, 100%, $E$6)</f>
        <v>5.8239999999999998</v>
      </c>
      <c r="G362" s="61">
        <f>5.826 * CHOOSE(CONTROL!$C$19, $C$6, 100%, $E$6)</f>
        <v>5.8259999999999996</v>
      </c>
      <c r="H362" s="61">
        <f>8.6813* CHOOSE(CONTROL!$C$19, $C$6, 100%, $E$6)</f>
        <v>8.6813000000000002</v>
      </c>
      <c r="I362" s="61">
        <f>8.6834 * CHOOSE(CONTROL!$C$19, $C$6, 100%, $E$6)</f>
        <v>8.6834000000000007</v>
      </c>
      <c r="J362" s="61">
        <f>5.824 * CHOOSE(CONTROL!$C$19, $C$6, 100%, $E$6)</f>
        <v>5.8239999999999998</v>
      </c>
      <c r="K362" s="61">
        <f>5.826 * CHOOSE(CONTROL!$C$19, $C$6, 100%, $E$6)</f>
        <v>5.8259999999999996</v>
      </c>
    </row>
    <row r="363" spans="1:11" ht="15">
      <c r="A363" s="13">
        <v>53114</v>
      </c>
      <c r="B363" s="60">
        <f>5.1848 * CHOOSE(CONTROL!$C$19, $C$6, 100%, $E$6)</f>
        <v>5.1848000000000001</v>
      </c>
      <c r="C363" s="60">
        <f>5.1848 * CHOOSE(CONTROL!$C$19, $C$6, 100%, $E$6)</f>
        <v>5.1848000000000001</v>
      </c>
      <c r="D363" s="60">
        <f>5.2179 * CHOOSE(CONTROL!$C$19, $C$6, 100%, $E$6)</f>
        <v>5.2179000000000002</v>
      </c>
      <c r="E363" s="61">
        <f>5.8012 * CHOOSE(CONTROL!$C$19, $C$6, 100%, $E$6)</f>
        <v>5.8011999999999997</v>
      </c>
      <c r="F363" s="61">
        <f>5.8012 * CHOOSE(CONTROL!$C$19, $C$6, 100%, $E$6)</f>
        <v>5.8011999999999997</v>
      </c>
      <c r="G363" s="61">
        <f>5.8033 * CHOOSE(CONTROL!$C$19, $C$6, 100%, $E$6)</f>
        <v>5.8033000000000001</v>
      </c>
      <c r="H363" s="61">
        <f>8.6994* CHOOSE(CONTROL!$C$19, $C$6, 100%, $E$6)</f>
        <v>8.6994000000000007</v>
      </c>
      <c r="I363" s="61">
        <f>8.7015 * CHOOSE(CONTROL!$C$19, $C$6, 100%, $E$6)</f>
        <v>8.7014999999999993</v>
      </c>
      <c r="J363" s="61">
        <f>5.8012 * CHOOSE(CONTROL!$C$19, $C$6, 100%, $E$6)</f>
        <v>5.8011999999999997</v>
      </c>
      <c r="K363" s="61">
        <f>5.8033 * CHOOSE(CONTROL!$C$19, $C$6, 100%, $E$6)</f>
        <v>5.8033000000000001</v>
      </c>
    </row>
    <row r="364" spans="1:11" ht="15">
      <c r="A364" s="13">
        <v>53144</v>
      </c>
      <c r="B364" s="60">
        <f>5.2653 * CHOOSE(CONTROL!$C$19, $C$6, 100%, $E$6)</f>
        <v>5.2652999999999999</v>
      </c>
      <c r="C364" s="60">
        <f>5.2653 * CHOOSE(CONTROL!$C$19, $C$6, 100%, $E$6)</f>
        <v>5.2652999999999999</v>
      </c>
      <c r="D364" s="60">
        <f>5.2983 * CHOOSE(CONTROL!$C$19, $C$6, 100%, $E$6)</f>
        <v>5.2983000000000002</v>
      </c>
      <c r="E364" s="61">
        <f>5.9136 * CHOOSE(CONTROL!$C$19, $C$6, 100%, $E$6)</f>
        <v>5.9135999999999997</v>
      </c>
      <c r="F364" s="61">
        <f>5.9136 * CHOOSE(CONTROL!$C$19, $C$6, 100%, $E$6)</f>
        <v>5.9135999999999997</v>
      </c>
      <c r="G364" s="61">
        <f>5.9156 * CHOOSE(CONTROL!$C$19, $C$6, 100%, $E$6)</f>
        <v>5.9156000000000004</v>
      </c>
      <c r="H364" s="61">
        <f>8.7175* CHOOSE(CONTROL!$C$19, $C$6, 100%, $E$6)</f>
        <v>8.7174999999999994</v>
      </c>
      <c r="I364" s="61">
        <f>8.7196 * CHOOSE(CONTROL!$C$19, $C$6, 100%, $E$6)</f>
        <v>8.7195999999999998</v>
      </c>
      <c r="J364" s="61">
        <f>5.9136 * CHOOSE(CONTROL!$C$19, $C$6, 100%, $E$6)</f>
        <v>5.9135999999999997</v>
      </c>
      <c r="K364" s="61">
        <f>5.9156 * CHOOSE(CONTROL!$C$19, $C$6, 100%, $E$6)</f>
        <v>5.9156000000000004</v>
      </c>
    </row>
    <row r="365" spans="1:11" ht="15">
      <c r="A365" s="13">
        <v>53175</v>
      </c>
      <c r="B365" s="60">
        <f>5.272 * CHOOSE(CONTROL!$C$19, $C$6, 100%, $E$6)</f>
        <v>5.2720000000000002</v>
      </c>
      <c r="C365" s="60">
        <f>5.272 * CHOOSE(CONTROL!$C$19, $C$6, 100%, $E$6)</f>
        <v>5.2720000000000002</v>
      </c>
      <c r="D365" s="60">
        <f>5.305 * CHOOSE(CONTROL!$C$19, $C$6, 100%, $E$6)</f>
        <v>5.3049999999999997</v>
      </c>
      <c r="E365" s="61">
        <f>5.8372 * CHOOSE(CONTROL!$C$19, $C$6, 100%, $E$6)</f>
        <v>5.8372000000000002</v>
      </c>
      <c r="F365" s="61">
        <f>5.8372 * CHOOSE(CONTROL!$C$19, $C$6, 100%, $E$6)</f>
        <v>5.8372000000000002</v>
      </c>
      <c r="G365" s="61">
        <f>5.8393 * CHOOSE(CONTROL!$C$19, $C$6, 100%, $E$6)</f>
        <v>5.8392999999999997</v>
      </c>
      <c r="H365" s="61">
        <f>8.7357* CHOOSE(CONTROL!$C$19, $C$6, 100%, $E$6)</f>
        <v>8.7356999999999996</v>
      </c>
      <c r="I365" s="61">
        <f>8.7377 * CHOOSE(CONTROL!$C$19, $C$6, 100%, $E$6)</f>
        <v>8.7377000000000002</v>
      </c>
      <c r="J365" s="61">
        <f>5.8372 * CHOOSE(CONTROL!$C$19, $C$6, 100%, $E$6)</f>
        <v>5.8372000000000002</v>
      </c>
      <c r="K365" s="61">
        <f>5.8393 * CHOOSE(CONTROL!$C$19, $C$6, 100%, $E$6)</f>
        <v>5.8392999999999997</v>
      </c>
    </row>
    <row r="366" spans="1:11" ht="15">
      <c r="A366" s="13">
        <v>53206</v>
      </c>
      <c r="B366" s="60">
        <f>5.269 * CHOOSE(CONTROL!$C$19, $C$6, 100%, $E$6)</f>
        <v>5.2690000000000001</v>
      </c>
      <c r="C366" s="60">
        <f>5.269 * CHOOSE(CONTROL!$C$19, $C$6, 100%, $E$6)</f>
        <v>5.2690000000000001</v>
      </c>
      <c r="D366" s="60">
        <f>5.302 * CHOOSE(CONTROL!$C$19, $C$6, 100%, $E$6)</f>
        <v>5.3019999999999996</v>
      </c>
      <c r="E366" s="61">
        <f>5.8261 * CHOOSE(CONTROL!$C$19, $C$6, 100%, $E$6)</f>
        <v>5.8261000000000003</v>
      </c>
      <c r="F366" s="61">
        <f>5.8261 * CHOOSE(CONTROL!$C$19, $C$6, 100%, $E$6)</f>
        <v>5.8261000000000003</v>
      </c>
      <c r="G366" s="61">
        <f>5.8282 * CHOOSE(CONTROL!$C$19, $C$6, 100%, $E$6)</f>
        <v>5.8281999999999998</v>
      </c>
      <c r="H366" s="61">
        <f>8.7539* CHOOSE(CONTROL!$C$19, $C$6, 100%, $E$6)</f>
        <v>8.7538999999999998</v>
      </c>
      <c r="I366" s="61">
        <f>8.7559 * CHOOSE(CONTROL!$C$19, $C$6, 100%, $E$6)</f>
        <v>8.7559000000000005</v>
      </c>
      <c r="J366" s="61">
        <f>5.8261 * CHOOSE(CONTROL!$C$19, $C$6, 100%, $E$6)</f>
        <v>5.8261000000000003</v>
      </c>
      <c r="K366" s="61">
        <f>5.8282 * CHOOSE(CONTROL!$C$19, $C$6, 100%, $E$6)</f>
        <v>5.8281999999999998</v>
      </c>
    </row>
    <row r="367" spans="1:11" ht="15">
      <c r="A367" s="13">
        <v>53236</v>
      </c>
      <c r="B367" s="60">
        <f>5.2689 * CHOOSE(CONTROL!$C$19, $C$6, 100%, $E$6)</f>
        <v>5.2689000000000004</v>
      </c>
      <c r="C367" s="60">
        <f>5.2689 * CHOOSE(CONTROL!$C$19, $C$6, 100%, $E$6)</f>
        <v>5.2689000000000004</v>
      </c>
      <c r="D367" s="60">
        <f>5.2854 * CHOOSE(CONTROL!$C$19, $C$6, 100%, $E$6)</f>
        <v>5.2854000000000001</v>
      </c>
      <c r="E367" s="61">
        <f>5.8487 * CHOOSE(CONTROL!$C$19, $C$6, 100%, $E$6)</f>
        <v>5.8487</v>
      </c>
      <c r="F367" s="61">
        <f>5.8487 * CHOOSE(CONTROL!$C$19, $C$6, 100%, $E$6)</f>
        <v>5.8487</v>
      </c>
      <c r="G367" s="61">
        <f>5.8489 * CHOOSE(CONTROL!$C$19, $C$6, 100%, $E$6)</f>
        <v>5.8489000000000004</v>
      </c>
      <c r="H367" s="61">
        <f>8.7721* CHOOSE(CONTROL!$C$19, $C$6, 100%, $E$6)</f>
        <v>8.7721</v>
      </c>
      <c r="I367" s="61">
        <f>8.7723 * CHOOSE(CONTROL!$C$19, $C$6, 100%, $E$6)</f>
        <v>8.7722999999999995</v>
      </c>
      <c r="J367" s="61">
        <f>5.8487 * CHOOSE(CONTROL!$C$19, $C$6, 100%, $E$6)</f>
        <v>5.8487</v>
      </c>
      <c r="K367" s="61">
        <f>5.8489 * CHOOSE(CONTROL!$C$19, $C$6, 100%, $E$6)</f>
        <v>5.8489000000000004</v>
      </c>
    </row>
    <row r="368" spans="1:11" ht="15">
      <c r="A368" s="13">
        <v>53267</v>
      </c>
      <c r="B368" s="60">
        <f>5.272 * CHOOSE(CONTROL!$C$19, $C$6, 100%, $E$6)</f>
        <v>5.2720000000000002</v>
      </c>
      <c r="C368" s="60">
        <f>5.272 * CHOOSE(CONTROL!$C$19, $C$6, 100%, $E$6)</f>
        <v>5.2720000000000002</v>
      </c>
      <c r="D368" s="60">
        <f>5.2885 * CHOOSE(CONTROL!$C$19, $C$6, 100%, $E$6)</f>
        <v>5.2885</v>
      </c>
      <c r="E368" s="61">
        <f>5.8688 * CHOOSE(CONTROL!$C$19, $C$6, 100%, $E$6)</f>
        <v>5.8688000000000002</v>
      </c>
      <c r="F368" s="61">
        <f>5.8688 * CHOOSE(CONTROL!$C$19, $C$6, 100%, $E$6)</f>
        <v>5.8688000000000002</v>
      </c>
      <c r="G368" s="61">
        <f>5.869 * CHOOSE(CONTROL!$C$19, $C$6, 100%, $E$6)</f>
        <v>5.8689999999999998</v>
      </c>
      <c r="H368" s="61">
        <f>8.7904* CHOOSE(CONTROL!$C$19, $C$6, 100%, $E$6)</f>
        <v>8.7904</v>
      </c>
      <c r="I368" s="61">
        <f>8.7906 * CHOOSE(CONTROL!$C$19, $C$6, 100%, $E$6)</f>
        <v>8.7905999999999995</v>
      </c>
      <c r="J368" s="61">
        <f>5.8688 * CHOOSE(CONTROL!$C$19, $C$6, 100%, $E$6)</f>
        <v>5.8688000000000002</v>
      </c>
      <c r="K368" s="61">
        <f>5.869 * CHOOSE(CONTROL!$C$19, $C$6, 100%, $E$6)</f>
        <v>5.8689999999999998</v>
      </c>
    </row>
    <row r="369" spans="1:11" ht="15">
      <c r="A369" s="13">
        <v>53297</v>
      </c>
      <c r="B369" s="60">
        <f>5.272 * CHOOSE(CONTROL!$C$19, $C$6, 100%, $E$6)</f>
        <v>5.2720000000000002</v>
      </c>
      <c r="C369" s="60">
        <f>5.272 * CHOOSE(CONTROL!$C$19, $C$6, 100%, $E$6)</f>
        <v>5.2720000000000002</v>
      </c>
      <c r="D369" s="60">
        <f>5.2885 * CHOOSE(CONTROL!$C$19, $C$6, 100%, $E$6)</f>
        <v>5.2885</v>
      </c>
      <c r="E369" s="61">
        <f>5.8238 * CHOOSE(CONTROL!$C$19, $C$6, 100%, $E$6)</f>
        <v>5.8238000000000003</v>
      </c>
      <c r="F369" s="61">
        <f>5.8238 * CHOOSE(CONTROL!$C$19, $C$6, 100%, $E$6)</f>
        <v>5.8238000000000003</v>
      </c>
      <c r="G369" s="61">
        <f>5.824 * CHOOSE(CONTROL!$C$19, $C$6, 100%, $E$6)</f>
        <v>5.8239999999999998</v>
      </c>
      <c r="H369" s="61">
        <f>8.8087* CHOOSE(CONTROL!$C$19, $C$6, 100%, $E$6)</f>
        <v>8.8087</v>
      </c>
      <c r="I369" s="61">
        <f>8.8089 * CHOOSE(CONTROL!$C$19, $C$6, 100%, $E$6)</f>
        <v>8.8088999999999995</v>
      </c>
      <c r="J369" s="61">
        <f>5.8238 * CHOOSE(CONTROL!$C$19, $C$6, 100%, $E$6)</f>
        <v>5.8238000000000003</v>
      </c>
      <c r="K369" s="61">
        <f>5.824 * CHOOSE(CONTROL!$C$19, $C$6, 100%, $E$6)</f>
        <v>5.8239999999999998</v>
      </c>
    </row>
    <row r="370" spans="1:11" ht="15">
      <c r="A370" s="13">
        <v>53328</v>
      </c>
      <c r="B370" s="60">
        <f>5.3175 * CHOOSE(CONTROL!$C$19, $C$6, 100%, $E$6)</f>
        <v>5.3174999999999999</v>
      </c>
      <c r="C370" s="60">
        <f>5.3175 * CHOOSE(CONTROL!$C$19, $C$6, 100%, $E$6)</f>
        <v>5.3174999999999999</v>
      </c>
      <c r="D370" s="60">
        <f>5.334 * CHOOSE(CONTROL!$C$19, $C$6, 100%, $E$6)</f>
        <v>5.3339999999999996</v>
      </c>
      <c r="E370" s="61">
        <f>5.9129 * CHOOSE(CONTROL!$C$19, $C$6, 100%, $E$6)</f>
        <v>5.9128999999999996</v>
      </c>
      <c r="F370" s="61">
        <f>5.9129 * CHOOSE(CONTROL!$C$19, $C$6, 100%, $E$6)</f>
        <v>5.9128999999999996</v>
      </c>
      <c r="G370" s="61">
        <f>5.9131 * CHOOSE(CONTROL!$C$19, $C$6, 100%, $E$6)</f>
        <v>5.9131</v>
      </c>
      <c r="H370" s="61">
        <f>8.8271* CHOOSE(CONTROL!$C$19, $C$6, 100%, $E$6)</f>
        <v>8.8270999999999997</v>
      </c>
      <c r="I370" s="61">
        <f>8.8272 * CHOOSE(CONTROL!$C$19, $C$6, 100%, $E$6)</f>
        <v>8.8271999999999995</v>
      </c>
      <c r="J370" s="61">
        <f>5.9129 * CHOOSE(CONTROL!$C$19, $C$6, 100%, $E$6)</f>
        <v>5.9128999999999996</v>
      </c>
      <c r="K370" s="61">
        <f>5.9131 * CHOOSE(CONTROL!$C$19, $C$6, 100%, $E$6)</f>
        <v>5.9131</v>
      </c>
    </row>
    <row r="371" spans="1:11" ht="15">
      <c r="A371" s="13">
        <v>53359</v>
      </c>
      <c r="B371" s="60">
        <f>5.3145 * CHOOSE(CONTROL!$C$19, $C$6, 100%, $E$6)</f>
        <v>5.3144999999999998</v>
      </c>
      <c r="C371" s="60">
        <f>5.3145 * CHOOSE(CONTROL!$C$19, $C$6, 100%, $E$6)</f>
        <v>5.3144999999999998</v>
      </c>
      <c r="D371" s="60">
        <f>5.331 * CHOOSE(CONTROL!$C$19, $C$6, 100%, $E$6)</f>
        <v>5.3310000000000004</v>
      </c>
      <c r="E371" s="61">
        <f>5.823 * CHOOSE(CONTROL!$C$19, $C$6, 100%, $E$6)</f>
        <v>5.8230000000000004</v>
      </c>
      <c r="F371" s="61">
        <f>5.823 * CHOOSE(CONTROL!$C$19, $C$6, 100%, $E$6)</f>
        <v>5.8230000000000004</v>
      </c>
      <c r="G371" s="61">
        <f>5.8232 * CHOOSE(CONTROL!$C$19, $C$6, 100%, $E$6)</f>
        <v>5.8231999999999999</v>
      </c>
      <c r="H371" s="61">
        <f>8.8455* CHOOSE(CONTROL!$C$19, $C$6, 100%, $E$6)</f>
        <v>8.8454999999999995</v>
      </c>
      <c r="I371" s="61">
        <f>8.8456 * CHOOSE(CONTROL!$C$19, $C$6, 100%, $E$6)</f>
        <v>8.8455999999999992</v>
      </c>
      <c r="J371" s="61">
        <f>5.823 * CHOOSE(CONTROL!$C$19, $C$6, 100%, $E$6)</f>
        <v>5.8230000000000004</v>
      </c>
      <c r="K371" s="61">
        <f>5.8232 * CHOOSE(CONTROL!$C$19, $C$6, 100%, $E$6)</f>
        <v>5.8231999999999999</v>
      </c>
    </row>
    <row r="372" spans="1:11" ht="15">
      <c r="A372" s="13">
        <v>53387</v>
      </c>
      <c r="B372" s="60">
        <f>5.3114 * CHOOSE(CONTROL!$C$19, $C$6, 100%, $E$6)</f>
        <v>5.3113999999999999</v>
      </c>
      <c r="C372" s="60">
        <f>5.3114 * CHOOSE(CONTROL!$C$19, $C$6, 100%, $E$6)</f>
        <v>5.3113999999999999</v>
      </c>
      <c r="D372" s="60">
        <f>5.3279 * CHOOSE(CONTROL!$C$19, $C$6, 100%, $E$6)</f>
        <v>5.3278999999999996</v>
      </c>
      <c r="E372" s="61">
        <f>5.8901 * CHOOSE(CONTROL!$C$19, $C$6, 100%, $E$6)</f>
        <v>5.8901000000000003</v>
      </c>
      <c r="F372" s="61">
        <f>5.8901 * CHOOSE(CONTROL!$C$19, $C$6, 100%, $E$6)</f>
        <v>5.8901000000000003</v>
      </c>
      <c r="G372" s="61">
        <f>5.8903 * CHOOSE(CONTROL!$C$19, $C$6, 100%, $E$6)</f>
        <v>5.8902999999999999</v>
      </c>
      <c r="H372" s="61">
        <f>8.8639* CHOOSE(CONTROL!$C$19, $C$6, 100%, $E$6)</f>
        <v>8.8638999999999992</v>
      </c>
      <c r="I372" s="61">
        <f>8.8641 * CHOOSE(CONTROL!$C$19, $C$6, 100%, $E$6)</f>
        <v>8.8641000000000005</v>
      </c>
      <c r="J372" s="61">
        <f>5.8901 * CHOOSE(CONTROL!$C$19, $C$6, 100%, $E$6)</f>
        <v>5.8901000000000003</v>
      </c>
      <c r="K372" s="61">
        <f>5.8903 * CHOOSE(CONTROL!$C$19, $C$6, 100%, $E$6)</f>
        <v>5.8902999999999999</v>
      </c>
    </row>
    <row r="373" spans="1:11" ht="15">
      <c r="A373" s="13">
        <v>53418</v>
      </c>
      <c r="B373" s="60">
        <f>5.3104 * CHOOSE(CONTROL!$C$19, $C$6, 100%, $E$6)</f>
        <v>5.3103999999999996</v>
      </c>
      <c r="C373" s="60">
        <f>5.3104 * CHOOSE(CONTROL!$C$19, $C$6, 100%, $E$6)</f>
        <v>5.3103999999999996</v>
      </c>
      <c r="D373" s="60">
        <f>5.3269 * CHOOSE(CONTROL!$C$19, $C$6, 100%, $E$6)</f>
        <v>5.3269000000000002</v>
      </c>
      <c r="E373" s="61">
        <f>5.9601 * CHOOSE(CONTROL!$C$19, $C$6, 100%, $E$6)</f>
        <v>5.9600999999999997</v>
      </c>
      <c r="F373" s="61">
        <f>5.9601 * CHOOSE(CONTROL!$C$19, $C$6, 100%, $E$6)</f>
        <v>5.9600999999999997</v>
      </c>
      <c r="G373" s="61">
        <f>5.9603 * CHOOSE(CONTROL!$C$19, $C$6, 100%, $E$6)</f>
        <v>5.9603000000000002</v>
      </c>
      <c r="H373" s="61">
        <f>8.8824* CHOOSE(CONTROL!$C$19, $C$6, 100%, $E$6)</f>
        <v>8.8824000000000005</v>
      </c>
      <c r="I373" s="61">
        <f>8.8825 * CHOOSE(CONTROL!$C$19, $C$6, 100%, $E$6)</f>
        <v>8.8825000000000003</v>
      </c>
      <c r="J373" s="61">
        <f>5.9601 * CHOOSE(CONTROL!$C$19, $C$6, 100%, $E$6)</f>
        <v>5.9600999999999997</v>
      </c>
      <c r="K373" s="61">
        <f>5.9603 * CHOOSE(CONTROL!$C$19, $C$6, 100%, $E$6)</f>
        <v>5.9603000000000002</v>
      </c>
    </row>
    <row r="374" spans="1:11" ht="15">
      <c r="A374" s="13">
        <v>53448</v>
      </c>
      <c r="B374" s="60">
        <f>5.3104 * CHOOSE(CONTROL!$C$19, $C$6, 100%, $E$6)</f>
        <v>5.3103999999999996</v>
      </c>
      <c r="C374" s="60">
        <f>5.3104 * CHOOSE(CONTROL!$C$19, $C$6, 100%, $E$6)</f>
        <v>5.3103999999999996</v>
      </c>
      <c r="D374" s="60">
        <f>5.3434 * CHOOSE(CONTROL!$C$19, $C$6, 100%, $E$6)</f>
        <v>5.3433999999999999</v>
      </c>
      <c r="E374" s="61">
        <f>5.988 * CHOOSE(CONTROL!$C$19, $C$6, 100%, $E$6)</f>
        <v>5.9880000000000004</v>
      </c>
      <c r="F374" s="61">
        <f>5.988 * CHOOSE(CONTROL!$C$19, $C$6, 100%, $E$6)</f>
        <v>5.9880000000000004</v>
      </c>
      <c r="G374" s="61">
        <f>5.9901 * CHOOSE(CONTROL!$C$19, $C$6, 100%, $E$6)</f>
        <v>5.9901</v>
      </c>
      <c r="H374" s="61">
        <f>8.9009* CHOOSE(CONTROL!$C$19, $C$6, 100%, $E$6)</f>
        <v>8.9009</v>
      </c>
      <c r="I374" s="61">
        <f>8.9029 * CHOOSE(CONTROL!$C$19, $C$6, 100%, $E$6)</f>
        <v>8.9029000000000007</v>
      </c>
      <c r="J374" s="61">
        <f>5.988 * CHOOSE(CONTROL!$C$19, $C$6, 100%, $E$6)</f>
        <v>5.9880000000000004</v>
      </c>
      <c r="K374" s="61">
        <f>5.9901 * CHOOSE(CONTROL!$C$19, $C$6, 100%, $E$6)</f>
        <v>5.9901</v>
      </c>
    </row>
    <row r="375" spans="1:11" ht="15">
      <c r="A375" s="13">
        <v>53479</v>
      </c>
      <c r="B375" s="60">
        <f>5.3165 * CHOOSE(CONTROL!$C$19, $C$6, 100%, $E$6)</f>
        <v>5.3164999999999996</v>
      </c>
      <c r="C375" s="60">
        <f>5.3165 * CHOOSE(CONTROL!$C$19, $C$6, 100%, $E$6)</f>
        <v>5.3164999999999996</v>
      </c>
      <c r="D375" s="60">
        <f>5.3495 * CHOOSE(CONTROL!$C$19, $C$6, 100%, $E$6)</f>
        <v>5.3494999999999999</v>
      </c>
      <c r="E375" s="61">
        <f>5.9644 * CHOOSE(CONTROL!$C$19, $C$6, 100%, $E$6)</f>
        <v>5.9644000000000004</v>
      </c>
      <c r="F375" s="61">
        <f>5.9644 * CHOOSE(CONTROL!$C$19, $C$6, 100%, $E$6)</f>
        <v>5.9644000000000004</v>
      </c>
      <c r="G375" s="61">
        <f>5.9664 * CHOOSE(CONTROL!$C$19, $C$6, 100%, $E$6)</f>
        <v>5.9664000000000001</v>
      </c>
      <c r="H375" s="61">
        <f>8.9194* CHOOSE(CONTROL!$C$19, $C$6, 100%, $E$6)</f>
        <v>8.9193999999999996</v>
      </c>
      <c r="I375" s="61">
        <f>8.9215 * CHOOSE(CONTROL!$C$19, $C$6, 100%, $E$6)</f>
        <v>8.9215</v>
      </c>
      <c r="J375" s="61">
        <f>5.9644 * CHOOSE(CONTROL!$C$19, $C$6, 100%, $E$6)</f>
        <v>5.9644000000000004</v>
      </c>
      <c r="K375" s="61">
        <f>5.9664 * CHOOSE(CONTROL!$C$19, $C$6, 100%, $E$6)</f>
        <v>5.9664000000000001</v>
      </c>
    </row>
    <row r="376" spans="1:11" ht="15">
      <c r="A376" s="13">
        <v>53509</v>
      </c>
      <c r="B376" s="60">
        <f>5.3987 * CHOOSE(CONTROL!$C$19, $C$6, 100%, $E$6)</f>
        <v>5.3986999999999998</v>
      </c>
      <c r="C376" s="60">
        <f>5.3987 * CHOOSE(CONTROL!$C$19, $C$6, 100%, $E$6)</f>
        <v>5.3986999999999998</v>
      </c>
      <c r="D376" s="60">
        <f>5.4317 * CHOOSE(CONTROL!$C$19, $C$6, 100%, $E$6)</f>
        <v>5.4317000000000002</v>
      </c>
      <c r="E376" s="61">
        <f>6.0796 * CHOOSE(CONTROL!$C$19, $C$6, 100%, $E$6)</f>
        <v>6.0796000000000001</v>
      </c>
      <c r="F376" s="61">
        <f>6.0796 * CHOOSE(CONTROL!$C$19, $C$6, 100%, $E$6)</f>
        <v>6.0796000000000001</v>
      </c>
      <c r="G376" s="61">
        <f>6.0816 * CHOOSE(CONTROL!$C$19, $C$6, 100%, $E$6)</f>
        <v>6.0815999999999999</v>
      </c>
      <c r="H376" s="61">
        <f>8.938* CHOOSE(CONTROL!$C$19, $C$6, 100%, $E$6)</f>
        <v>8.9380000000000006</v>
      </c>
      <c r="I376" s="61">
        <f>8.94 * CHOOSE(CONTROL!$C$19, $C$6, 100%, $E$6)</f>
        <v>8.94</v>
      </c>
      <c r="J376" s="61">
        <f>6.0796 * CHOOSE(CONTROL!$C$19, $C$6, 100%, $E$6)</f>
        <v>6.0796000000000001</v>
      </c>
      <c r="K376" s="61">
        <f>6.0816 * CHOOSE(CONTROL!$C$19, $C$6, 100%, $E$6)</f>
        <v>6.0815999999999999</v>
      </c>
    </row>
    <row r="377" spans="1:11" ht="15">
      <c r="A377" s="13">
        <v>53540</v>
      </c>
      <c r="B377" s="60">
        <f>5.4054 * CHOOSE(CONTROL!$C$19, $C$6, 100%, $E$6)</f>
        <v>5.4054000000000002</v>
      </c>
      <c r="C377" s="60">
        <f>5.4054 * CHOOSE(CONTROL!$C$19, $C$6, 100%, $E$6)</f>
        <v>5.4054000000000002</v>
      </c>
      <c r="D377" s="60">
        <f>5.4384 * CHOOSE(CONTROL!$C$19, $C$6, 100%, $E$6)</f>
        <v>5.4383999999999997</v>
      </c>
      <c r="E377" s="61">
        <f>6.0007 * CHOOSE(CONTROL!$C$19, $C$6, 100%, $E$6)</f>
        <v>6.0007000000000001</v>
      </c>
      <c r="F377" s="61">
        <f>6.0007 * CHOOSE(CONTROL!$C$19, $C$6, 100%, $E$6)</f>
        <v>6.0007000000000001</v>
      </c>
      <c r="G377" s="61">
        <f>6.0027 * CHOOSE(CONTROL!$C$19, $C$6, 100%, $E$6)</f>
        <v>6.0026999999999999</v>
      </c>
      <c r="H377" s="61">
        <f>8.9566* CHOOSE(CONTROL!$C$19, $C$6, 100%, $E$6)</f>
        <v>8.9565999999999999</v>
      </c>
      <c r="I377" s="61">
        <f>8.9587 * CHOOSE(CONTROL!$C$19, $C$6, 100%, $E$6)</f>
        <v>8.9587000000000003</v>
      </c>
      <c r="J377" s="61">
        <f>6.0007 * CHOOSE(CONTROL!$C$19, $C$6, 100%, $E$6)</f>
        <v>6.0007000000000001</v>
      </c>
      <c r="K377" s="61">
        <f>6.0027 * CHOOSE(CONTROL!$C$19, $C$6, 100%, $E$6)</f>
        <v>6.0026999999999999</v>
      </c>
    </row>
    <row r="378" spans="1:11" ht="15">
      <c r="A378" s="13">
        <v>53571</v>
      </c>
      <c r="B378" s="60">
        <f>5.4024 * CHOOSE(CONTROL!$C$19, $C$6, 100%, $E$6)</f>
        <v>5.4024000000000001</v>
      </c>
      <c r="C378" s="60">
        <f>5.4024 * CHOOSE(CONTROL!$C$19, $C$6, 100%, $E$6)</f>
        <v>5.4024000000000001</v>
      </c>
      <c r="D378" s="60">
        <f>5.4354 * CHOOSE(CONTROL!$C$19, $C$6, 100%, $E$6)</f>
        <v>5.4353999999999996</v>
      </c>
      <c r="E378" s="61">
        <f>5.9893 * CHOOSE(CONTROL!$C$19, $C$6, 100%, $E$6)</f>
        <v>5.9893000000000001</v>
      </c>
      <c r="F378" s="61">
        <f>5.9893 * CHOOSE(CONTROL!$C$19, $C$6, 100%, $E$6)</f>
        <v>5.9893000000000001</v>
      </c>
      <c r="G378" s="61">
        <f>5.9913 * CHOOSE(CONTROL!$C$19, $C$6, 100%, $E$6)</f>
        <v>5.9912999999999998</v>
      </c>
      <c r="H378" s="61">
        <f>8.9753* CHOOSE(CONTROL!$C$19, $C$6, 100%, $E$6)</f>
        <v>8.9753000000000007</v>
      </c>
      <c r="I378" s="61">
        <f>8.9773 * CHOOSE(CONTROL!$C$19, $C$6, 100%, $E$6)</f>
        <v>8.9772999999999996</v>
      </c>
      <c r="J378" s="61">
        <f>5.9893 * CHOOSE(CONTROL!$C$19, $C$6, 100%, $E$6)</f>
        <v>5.9893000000000001</v>
      </c>
      <c r="K378" s="61">
        <f>5.9913 * CHOOSE(CONTROL!$C$19, $C$6, 100%, $E$6)</f>
        <v>5.9912999999999998</v>
      </c>
    </row>
    <row r="379" spans="1:11" ht="15">
      <c r="A379" s="13">
        <v>53601</v>
      </c>
      <c r="B379" s="60">
        <f>5.4029 * CHOOSE(CONTROL!$C$19, $C$6, 100%, $E$6)</f>
        <v>5.4028999999999998</v>
      </c>
      <c r="C379" s="60">
        <f>5.4029 * CHOOSE(CONTROL!$C$19, $C$6, 100%, $E$6)</f>
        <v>5.4028999999999998</v>
      </c>
      <c r="D379" s="60">
        <f>5.4194 * CHOOSE(CONTROL!$C$19, $C$6, 100%, $E$6)</f>
        <v>5.4194000000000004</v>
      </c>
      <c r="E379" s="61">
        <f>6.013 * CHOOSE(CONTROL!$C$19, $C$6, 100%, $E$6)</f>
        <v>6.0129999999999999</v>
      </c>
      <c r="F379" s="61">
        <f>6.013 * CHOOSE(CONTROL!$C$19, $C$6, 100%, $E$6)</f>
        <v>6.0129999999999999</v>
      </c>
      <c r="G379" s="61">
        <f>6.0132 * CHOOSE(CONTROL!$C$19, $C$6, 100%, $E$6)</f>
        <v>6.0132000000000003</v>
      </c>
      <c r="H379" s="61">
        <f>8.994* CHOOSE(CONTROL!$C$19, $C$6, 100%, $E$6)</f>
        <v>8.9939999999999998</v>
      </c>
      <c r="I379" s="61">
        <f>8.9941 * CHOOSE(CONTROL!$C$19, $C$6, 100%, $E$6)</f>
        <v>8.9940999999999995</v>
      </c>
      <c r="J379" s="61">
        <f>6.013 * CHOOSE(CONTROL!$C$19, $C$6, 100%, $E$6)</f>
        <v>6.0129999999999999</v>
      </c>
      <c r="K379" s="61">
        <f>6.0132 * CHOOSE(CONTROL!$C$19, $C$6, 100%, $E$6)</f>
        <v>6.0132000000000003</v>
      </c>
    </row>
    <row r="380" spans="1:11" ht="15">
      <c r="A380" s="13">
        <v>53632</v>
      </c>
      <c r="B380" s="60">
        <f>5.4059 * CHOOSE(CONTROL!$C$19, $C$6, 100%, $E$6)</f>
        <v>5.4058999999999999</v>
      </c>
      <c r="C380" s="60">
        <f>5.4059 * CHOOSE(CONTROL!$C$19, $C$6, 100%, $E$6)</f>
        <v>5.4058999999999999</v>
      </c>
      <c r="D380" s="60">
        <f>5.4224 * CHOOSE(CONTROL!$C$19, $C$6, 100%, $E$6)</f>
        <v>5.4223999999999997</v>
      </c>
      <c r="E380" s="61">
        <f>6.0337 * CHOOSE(CONTROL!$C$19, $C$6, 100%, $E$6)</f>
        <v>6.0336999999999996</v>
      </c>
      <c r="F380" s="61">
        <f>6.0337 * CHOOSE(CONTROL!$C$19, $C$6, 100%, $E$6)</f>
        <v>6.0336999999999996</v>
      </c>
      <c r="G380" s="61">
        <f>6.0339 * CHOOSE(CONTROL!$C$19, $C$6, 100%, $E$6)</f>
        <v>6.0339</v>
      </c>
      <c r="H380" s="61">
        <f>9.0127* CHOOSE(CONTROL!$C$19, $C$6, 100%, $E$6)</f>
        <v>9.0127000000000006</v>
      </c>
      <c r="I380" s="61">
        <f>9.0129 * CHOOSE(CONTROL!$C$19, $C$6, 100%, $E$6)</f>
        <v>9.0129000000000001</v>
      </c>
      <c r="J380" s="61">
        <f>6.0337 * CHOOSE(CONTROL!$C$19, $C$6, 100%, $E$6)</f>
        <v>6.0336999999999996</v>
      </c>
      <c r="K380" s="61">
        <f>6.0339 * CHOOSE(CONTROL!$C$19, $C$6, 100%, $E$6)</f>
        <v>6.0339</v>
      </c>
    </row>
    <row r="381" spans="1:11" ht="15">
      <c r="A381" s="13">
        <v>53662</v>
      </c>
      <c r="B381" s="60">
        <f>5.4059 * CHOOSE(CONTROL!$C$19, $C$6, 100%, $E$6)</f>
        <v>5.4058999999999999</v>
      </c>
      <c r="C381" s="60">
        <f>5.4059 * CHOOSE(CONTROL!$C$19, $C$6, 100%, $E$6)</f>
        <v>5.4058999999999999</v>
      </c>
      <c r="D381" s="60">
        <f>5.4224 * CHOOSE(CONTROL!$C$19, $C$6, 100%, $E$6)</f>
        <v>5.4223999999999997</v>
      </c>
      <c r="E381" s="61">
        <f>5.9872 * CHOOSE(CONTROL!$C$19, $C$6, 100%, $E$6)</f>
        <v>5.9871999999999996</v>
      </c>
      <c r="F381" s="61">
        <f>5.9872 * CHOOSE(CONTROL!$C$19, $C$6, 100%, $E$6)</f>
        <v>5.9871999999999996</v>
      </c>
      <c r="G381" s="61">
        <f>5.9874 * CHOOSE(CONTROL!$C$19, $C$6, 100%, $E$6)</f>
        <v>5.9874000000000001</v>
      </c>
      <c r="H381" s="61">
        <f>9.0315* CHOOSE(CONTROL!$C$19, $C$6, 100%, $E$6)</f>
        <v>9.0314999999999994</v>
      </c>
      <c r="I381" s="61">
        <f>9.0317 * CHOOSE(CONTROL!$C$19, $C$6, 100%, $E$6)</f>
        <v>9.0317000000000007</v>
      </c>
      <c r="J381" s="61">
        <f>5.9872 * CHOOSE(CONTROL!$C$19, $C$6, 100%, $E$6)</f>
        <v>5.9871999999999996</v>
      </c>
      <c r="K381" s="61">
        <f>5.9874 * CHOOSE(CONTROL!$C$19, $C$6, 100%, $E$6)</f>
        <v>5.9874000000000001</v>
      </c>
    </row>
    <row r="382" spans="1:11" ht="15">
      <c r="A382" s="13">
        <v>53693</v>
      </c>
      <c r="B382" s="60">
        <f>5.4524 * CHOOSE(CONTROL!$C$19, $C$6, 100%, $E$6)</f>
        <v>5.4523999999999999</v>
      </c>
      <c r="C382" s="60">
        <f>5.4524 * CHOOSE(CONTROL!$C$19, $C$6, 100%, $E$6)</f>
        <v>5.4523999999999999</v>
      </c>
      <c r="D382" s="60">
        <f>5.469 * CHOOSE(CONTROL!$C$19, $C$6, 100%, $E$6)</f>
        <v>5.4690000000000003</v>
      </c>
      <c r="E382" s="61">
        <f>6.0789 * CHOOSE(CONTROL!$C$19, $C$6, 100%, $E$6)</f>
        <v>6.0789</v>
      </c>
      <c r="F382" s="61">
        <f>6.0789 * CHOOSE(CONTROL!$C$19, $C$6, 100%, $E$6)</f>
        <v>6.0789</v>
      </c>
      <c r="G382" s="61">
        <f>6.079 * CHOOSE(CONTROL!$C$19, $C$6, 100%, $E$6)</f>
        <v>6.0789999999999997</v>
      </c>
      <c r="H382" s="61">
        <f>9.0503* CHOOSE(CONTROL!$C$19, $C$6, 100%, $E$6)</f>
        <v>9.0503</v>
      </c>
      <c r="I382" s="61">
        <f>9.0505 * CHOOSE(CONTROL!$C$19, $C$6, 100%, $E$6)</f>
        <v>9.0504999999999995</v>
      </c>
      <c r="J382" s="61">
        <f>6.0789 * CHOOSE(CONTROL!$C$19, $C$6, 100%, $E$6)</f>
        <v>6.0789</v>
      </c>
      <c r="K382" s="61">
        <f>6.079 * CHOOSE(CONTROL!$C$19, $C$6, 100%, $E$6)</f>
        <v>6.0789999999999997</v>
      </c>
    </row>
    <row r="383" spans="1:11" ht="15">
      <c r="A383" s="13">
        <v>53724</v>
      </c>
      <c r="B383" s="60">
        <f>5.4494 * CHOOSE(CONTROL!$C$19, $C$6, 100%, $E$6)</f>
        <v>5.4493999999999998</v>
      </c>
      <c r="C383" s="60">
        <f>5.4494 * CHOOSE(CONTROL!$C$19, $C$6, 100%, $E$6)</f>
        <v>5.4493999999999998</v>
      </c>
      <c r="D383" s="60">
        <f>5.4659 * CHOOSE(CONTROL!$C$19, $C$6, 100%, $E$6)</f>
        <v>5.4659000000000004</v>
      </c>
      <c r="E383" s="61">
        <f>5.9862 * CHOOSE(CONTROL!$C$19, $C$6, 100%, $E$6)</f>
        <v>5.9862000000000002</v>
      </c>
      <c r="F383" s="61">
        <f>5.9862 * CHOOSE(CONTROL!$C$19, $C$6, 100%, $E$6)</f>
        <v>5.9862000000000002</v>
      </c>
      <c r="G383" s="61">
        <f>5.9864 * CHOOSE(CONTROL!$C$19, $C$6, 100%, $E$6)</f>
        <v>5.9863999999999997</v>
      </c>
      <c r="H383" s="61">
        <f>9.0691* CHOOSE(CONTROL!$C$19, $C$6, 100%, $E$6)</f>
        <v>9.0691000000000006</v>
      </c>
      <c r="I383" s="61">
        <f>9.0693 * CHOOSE(CONTROL!$C$19, $C$6, 100%, $E$6)</f>
        <v>9.0693000000000001</v>
      </c>
      <c r="J383" s="61">
        <f>5.9862 * CHOOSE(CONTROL!$C$19, $C$6, 100%, $E$6)</f>
        <v>5.9862000000000002</v>
      </c>
      <c r="K383" s="61">
        <f>5.9864 * CHOOSE(CONTROL!$C$19, $C$6, 100%, $E$6)</f>
        <v>5.9863999999999997</v>
      </c>
    </row>
    <row r="384" spans="1:11" ht="15">
      <c r="A384" s="13">
        <v>53752</v>
      </c>
      <c r="B384" s="60">
        <f>5.4464 * CHOOSE(CONTROL!$C$19, $C$6, 100%, $E$6)</f>
        <v>5.4463999999999997</v>
      </c>
      <c r="C384" s="60">
        <f>5.4464 * CHOOSE(CONTROL!$C$19, $C$6, 100%, $E$6)</f>
        <v>5.4463999999999997</v>
      </c>
      <c r="D384" s="60">
        <f>5.4629 * CHOOSE(CONTROL!$C$19, $C$6, 100%, $E$6)</f>
        <v>5.4629000000000003</v>
      </c>
      <c r="E384" s="61">
        <f>6.0555 * CHOOSE(CONTROL!$C$19, $C$6, 100%, $E$6)</f>
        <v>6.0555000000000003</v>
      </c>
      <c r="F384" s="61">
        <f>6.0555 * CHOOSE(CONTROL!$C$19, $C$6, 100%, $E$6)</f>
        <v>6.0555000000000003</v>
      </c>
      <c r="G384" s="61">
        <f>6.0556 * CHOOSE(CONTROL!$C$19, $C$6, 100%, $E$6)</f>
        <v>6.0556000000000001</v>
      </c>
      <c r="H384" s="61">
        <f>9.088* CHOOSE(CONTROL!$C$19, $C$6, 100%, $E$6)</f>
        <v>9.0879999999999992</v>
      </c>
      <c r="I384" s="61">
        <f>9.0882 * CHOOSE(CONTROL!$C$19, $C$6, 100%, $E$6)</f>
        <v>9.0882000000000005</v>
      </c>
      <c r="J384" s="61">
        <f>6.0555 * CHOOSE(CONTROL!$C$19, $C$6, 100%, $E$6)</f>
        <v>6.0555000000000003</v>
      </c>
      <c r="K384" s="61">
        <f>6.0556 * CHOOSE(CONTROL!$C$19, $C$6, 100%, $E$6)</f>
        <v>6.0556000000000001</v>
      </c>
    </row>
    <row r="385" spans="1:11" ht="15">
      <c r="A385" s="13">
        <v>53783</v>
      </c>
      <c r="B385" s="60">
        <f>5.4455 * CHOOSE(CONTROL!$C$19, $C$6, 100%, $E$6)</f>
        <v>5.4455</v>
      </c>
      <c r="C385" s="60">
        <f>5.4455 * CHOOSE(CONTROL!$C$19, $C$6, 100%, $E$6)</f>
        <v>5.4455</v>
      </c>
      <c r="D385" s="60">
        <f>5.462 * CHOOSE(CONTROL!$C$19, $C$6, 100%, $E$6)</f>
        <v>5.4619999999999997</v>
      </c>
      <c r="E385" s="61">
        <f>6.1279 * CHOOSE(CONTROL!$C$19, $C$6, 100%, $E$6)</f>
        <v>6.1279000000000003</v>
      </c>
      <c r="F385" s="61">
        <f>6.1279 * CHOOSE(CONTROL!$C$19, $C$6, 100%, $E$6)</f>
        <v>6.1279000000000003</v>
      </c>
      <c r="G385" s="61">
        <f>6.1281 * CHOOSE(CONTROL!$C$19, $C$6, 100%, $E$6)</f>
        <v>6.1280999999999999</v>
      </c>
      <c r="H385" s="61">
        <f>9.107* CHOOSE(CONTROL!$C$19, $C$6, 100%, $E$6)</f>
        <v>9.1069999999999993</v>
      </c>
      <c r="I385" s="61">
        <f>9.1071 * CHOOSE(CONTROL!$C$19, $C$6, 100%, $E$6)</f>
        <v>9.1071000000000009</v>
      </c>
      <c r="J385" s="61">
        <f>6.1279 * CHOOSE(CONTROL!$C$19, $C$6, 100%, $E$6)</f>
        <v>6.1279000000000003</v>
      </c>
      <c r="K385" s="61">
        <f>6.1281 * CHOOSE(CONTROL!$C$19, $C$6, 100%, $E$6)</f>
        <v>6.1280999999999999</v>
      </c>
    </row>
    <row r="386" spans="1:11" ht="15">
      <c r="A386" s="13">
        <v>53813</v>
      </c>
      <c r="B386" s="60">
        <f>5.4455 * CHOOSE(CONTROL!$C$19, $C$6, 100%, $E$6)</f>
        <v>5.4455</v>
      </c>
      <c r="C386" s="60">
        <f>5.4455 * CHOOSE(CONTROL!$C$19, $C$6, 100%, $E$6)</f>
        <v>5.4455</v>
      </c>
      <c r="D386" s="60">
        <f>5.4785 * CHOOSE(CONTROL!$C$19, $C$6, 100%, $E$6)</f>
        <v>5.4785000000000004</v>
      </c>
      <c r="E386" s="61">
        <f>6.1566 * CHOOSE(CONTROL!$C$19, $C$6, 100%, $E$6)</f>
        <v>6.1566000000000001</v>
      </c>
      <c r="F386" s="61">
        <f>6.1566 * CHOOSE(CONTROL!$C$19, $C$6, 100%, $E$6)</f>
        <v>6.1566000000000001</v>
      </c>
      <c r="G386" s="61">
        <f>6.1587 * CHOOSE(CONTROL!$C$19, $C$6, 100%, $E$6)</f>
        <v>6.1586999999999996</v>
      </c>
      <c r="H386" s="61">
        <f>9.1259* CHOOSE(CONTROL!$C$19, $C$6, 100%, $E$6)</f>
        <v>9.1258999999999997</v>
      </c>
      <c r="I386" s="61">
        <f>9.128 * CHOOSE(CONTROL!$C$19, $C$6, 100%, $E$6)</f>
        <v>9.1280000000000001</v>
      </c>
      <c r="J386" s="61">
        <f>6.1566 * CHOOSE(CONTROL!$C$19, $C$6, 100%, $E$6)</f>
        <v>6.1566000000000001</v>
      </c>
      <c r="K386" s="61">
        <f>6.1587 * CHOOSE(CONTROL!$C$19, $C$6, 100%, $E$6)</f>
        <v>6.1586999999999996</v>
      </c>
    </row>
    <row r="387" spans="1:11" ht="15">
      <c r="A387" s="13">
        <v>53844</v>
      </c>
      <c r="B387" s="60">
        <f>5.4516 * CHOOSE(CONTROL!$C$19, $C$6, 100%, $E$6)</f>
        <v>5.4516</v>
      </c>
      <c r="C387" s="60">
        <f>5.4516 * CHOOSE(CONTROL!$C$19, $C$6, 100%, $E$6)</f>
        <v>5.4516</v>
      </c>
      <c r="D387" s="60">
        <f>5.4846 * CHOOSE(CONTROL!$C$19, $C$6, 100%, $E$6)</f>
        <v>5.4846000000000004</v>
      </c>
      <c r="E387" s="61">
        <f>6.1321 * CHOOSE(CONTROL!$C$19, $C$6, 100%, $E$6)</f>
        <v>6.1321000000000003</v>
      </c>
      <c r="F387" s="61">
        <f>6.1321 * CHOOSE(CONTROL!$C$19, $C$6, 100%, $E$6)</f>
        <v>6.1321000000000003</v>
      </c>
      <c r="G387" s="61">
        <f>6.1342 * CHOOSE(CONTROL!$C$19, $C$6, 100%, $E$6)</f>
        <v>6.1341999999999999</v>
      </c>
      <c r="H387" s="61">
        <f>9.145* CHOOSE(CONTROL!$C$19, $C$6, 100%, $E$6)</f>
        <v>9.1449999999999996</v>
      </c>
      <c r="I387" s="61">
        <f>9.147 * CHOOSE(CONTROL!$C$19, $C$6, 100%, $E$6)</f>
        <v>9.1470000000000002</v>
      </c>
      <c r="J387" s="61">
        <f>6.1321 * CHOOSE(CONTROL!$C$19, $C$6, 100%, $E$6)</f>
        <v>6.1321000000000003</v>
      </c>
      <c r="K387" s="61">
        <f>6.1342 * CHOOSE(CONTROL!$C$19, $C$6, 100%, $E$6)</f>
        <v>6.1341999999999999</v>
      </c>
    </row>
    <row r="388" spans="1:11" ht="15">
      <c r="A388" s="13">
        <v>53874</v>
      </c>
      <c r="B388" s="60">
        <f>5.5355 * CHOOSE(CONTROL!$C$19, $C$6, 100%, $E$6)</f>
        <v>5.5354999999999999</v>
      </c>
      <c r="C388" s="60">
        <f>5.5355 * CHOOSE(CONTROL!$C$19, $C$6, 100%, $E$6)</f>
        <v>5.5354999999999999</v>
      </c>
      <c r="D388" s="60">
        <f>5.5685 * CHOOSE(CONTROL!$C$19, $C$6, 100%, $E$6)</f>
        <v>5.5685000000000002</v>
      </c>
      <c r="E388" s="61">
        <f>6.2503 * CHOOSE(CONTROL!$C$19, $C$6, 100%, $E$6)</f>
        <v>6.2503000000000002</v>
      </c>
      <c r="F388" s="61">
        <f>6.2503 * CHOOSE(CONTROL!$C$19, $C$6, 100%, $E$6)</f>
        <v>6.2503000000000002</v>
      </c>
      <c r="G388" s="61">
        <f>6.2523 * CHOOSE(CONTROL!$C$19, $C$6, 100%, $E$6)</f>
        <v>6.2523</v>
      </c>
      <c r="H388" s="61">
        <f>9.164* CHOOSE(CONTROL!$C$19, $C$6, 100%, $E$6)</f>
        <v>9.1639999999999997</v>
      </c>
      <c r="I388" s="61">
        <f>9.1661 * CHOOSE(CONTROL!$C$19, $C$6, 100%, $E$6)</f>
        <v>9.1661000000000001</v>
      </c>
      <c r="J388" s="61">
        <f>6.2503 * CHOOSE(CONTROL!$C$19, $C$6, 100%, $E$6)</f>
        <v>6.2503000000000002</v>
      </c>
      <c r="K388" s="61">
        <f>6.2523 * CHOOSE(CONTROL!$C$19, $C$6, 100%, $E$6)</f>
        <v>6.2523</v>
      </c>
    </row>
    <row r="389" spans="1:11" ht="15">
      <c r="A389" s="13">
        <v>53905</v>
      </c>
      <c r="B389" s="60">
        <f>5.5422 * CHOOSE(CONTROL!$C$19, $C$6, 100%, $E$6)</f>
        <v>5.5422000000000002</v>
      </c>
      <c r="C389" s="60">
        <f>5.5422 * CHOOSE(CONTROL!$C$19, $C$6, 100%, $E$6)</f>
        <v>5.5422000000000002</v>
      </c>
      <c r="D389" s="60">
        <f>5.5752 * CHOOSE(CONTROL!$C$19, $C$6, 100%, $E$6)</f>
        <v>5.5751999999999997</v>
      </c>
      <c r="E389" s="61">
        <f>6.1687 * CHOOSE(CONTROL!$C$19, $C$6, 100%, $E$6)</f>
        <v>6.1687000000000003</v>
      </c>
      <c r="F389" s="61">
        <f>6.1687 * CHOOSE(CONTROL!$C$19, $C$6, 100%, $E$6)</f>
        <v>6.1687000000000003</v>
      </c>
      <c r="G389" s="61">
        <f>6.1707 * CHOOSE(CONTROL!$C$19, $C$6, 100%, $E$6)</f>
        <v>6.1707000000000001</v>
      </c>
      <c r="H389" s="61">
        <f>9.1831* CHOOSE(CONTROL!$C$19, $C$6, 100%, $E$6)</f>
        <v>9.1830999999999996</v>
      </c>
      <c r="I389" s="61">
        <f>9.1852 * CHOOSE(CONTROL!$C$19, $C$6, 100%, $E$6)</f>
        <v>9.1852</v>
      </c>
      <c r="J389" s="61">
        <f>6.1687 * CHOOSE(CONTROL!$C$19, $C$6, 100%, $E$6)</f>
        <v>6.1687000000000003</v>
      </c>
      <c r="K389" s="61">
        <f>6.1707 * CHOOSE(CONTROL!$C$19, $C$6, 100%, $E$6)</f>
        <v>6.1707000000000001</v>
      </c>
    </row>
    <row r="390" spans="1:11" ht="15">
      <c r="A390" s="13">
        <v>53936</v>
      </c>
      <c r="B390" s="60">
        <f>5.5391 * CHOOSE(CONTROL!$C$19, $C$6, 100%, $E$6)</f>
        <v>5.5391000000000004</v>
      </c>
      <c r="C390" s="60">
        <f>5.5391 * CHOOSE(CONTROL!$C$19, $C$6, 100%, $E$6)</f>
        <v>5.5391000000000004</v>
      </c>
      <c r="D390" s="60">
        <f>5.5721 * CHOOSE(CONTROL!$C$19, $C$6, 100%, $E$6)</f>
        <v>5.5720999999999998</v>
      </c>
      <c r="E390" s="61">
        <f>6.157 * CHOOSE(CONTROL!$C$19, $C$6, 100%, $E$6)</f>
        <v>6.157</v>
      </c>
      <c r="F390" s="61">
        <f>6.157 * CHOOSE(CONTROL!$C$19, $C$6, 100%, $E$6)</f>
        <v>6.157</v>
      </c>
      <c r="G390" s="61">
        <f>6.159 * CHOOSE(CONTROL!$C$19, $C$6, 100%, $E$6)</f>
        <v>6.1589999999999998</v>
      </c>
      <c r="H390" s="61">
        <f>9.2022* CHOOSE(CONTROL!$C$19, $C$6, 100%, $E$6)</f>
        <v>9.2021999999999995</v>
      </c>
      <c r="I390" s="61">
        <f>9.2043 * CHOOSE(CONTROL!$C$19, $C$6, 100%, $E$6)</f>
        <v>9.2042999999999999</v>
      </c>
      <c r="J390" s="61">
        <f>6.157 * CHOOSE(CONTROL!$C$19, $C$6, 100%, $E$6)</f>
        <v>6.157</v>
      </c>
      <c r="K390" s="61">
        <f>6.159 * CHOOSE(CONTROL!$C$19, $C$6, 100%, $E$6)</f>
        <v>6.1589999999999998</v>
      </c>
    </row>
    <row r="391" spans="1:11" ht="15">
      <c r="A391" s="13">
        <v>53966</v>
      </c>
      <c r="B391" s="60">
        <f>5.5401 * CHOOSE(CONTROL!$C$19, $C$6, 100%, $E$6)</f>
        <v>5.5400999999999998</v>
      </c>
      <c r="C391" s="60">
        <f>5.5401 * CHOOSE(CONTROL!$C$19, $C$6, 100%, $E$6)</f>
        <v>5.5400999999999998</v>
      </c>
      <c r="D391" s="60">
        <f>5.5566 * CHOOSE(CONTROL!$C$19, $C$6, 100%, $E$6)</f>
        <v>5.5566000000000004</v>
      </c>
      <c r="E391" s="61">
        <f>6.1819 * CHOOSE(CONTROL!$C$19, $C$6, 100%, $E$6)</f>
        <v>6.1818999999999997</v>
      </c>
      <c r="F391" s="61">
        <f>6.1819 * CHOOSE(CONTROL!$C$19, $C$6, 100%, $E$6)</f>
        <v>6.1818999999999997</v>
      </c>
      <c r="G391" s="61">
        <f>6.1821 * CHOOSE(CONTROL!$C$19, $C$6, 100%, $E$6)</f>
        <v>6.1821000000000002</v>
      </c>
      <c r="H391" s="61">
        <f>9.2214* CHOOSE(CONTROL!$C$19, $C$6, 100%, $E$6)</f>
        <v>9.2213999999999992</v>
      </c>
      <c r="I391" s="61">
        <f>9.2216 * CHOOSE(CONTROL!$C$19, $C$6, 100%, $E$6)</f>
        <v>9.2216000000000005</v>
      </c>
      <c r="J391" s="61">
        <f>6.1819 * CHOOSE(CONTROL!$C$19, $C$6, 100%, $E$6)</f>
        <v>6.1818999999999997</v>
      </c>
      <c r="K391" s="61">
        <f>6.1821 * CHOOSE(CONTROL!$C$19, $C$6, 100%, $E$6)</f>
        <v>6.1821000000000002</v>
      </c>
    </row>
    <row r="392" spans="1:11" ht="15">
      <c r="A392" s="13">
        <v>53997</v>
      </c>
      <c r="B392" s="60">
        <f>5.5432 * CHOOSE(CONTROL!$C$19, $C$6, 100%, $E$6)</f>
        <v>5.5431999999999997</v>
      </c>
      <c r="C392" s="60">
        <f>5.5432 * CHOOSE(CONTROL!$C$19, $C$6, 100%, $E$6)</f>
        <v>5.5431999999999997</v>
      </c>
      <c r="D392" s="60">
        <f>5.5597 * CHOOSE(CONTROL!$C$19, $C$6, 100%, $E$6)</f>
        <v>5.5597000000000003</v>
      </c>
      <c r="E392" s="61">
        <f>6.2032 * CHOOSE(CONTROL!$C$19, $C$6, 100%, $E$6)</f>
        <v>6.2031999999999998</v>
      </c>
      <c r="F392" s="61">
        <f>6.2032 * CHOOSE(CONTROL!$C$19, $C$6, 100%, $E$6)</f>
        <v>6.2031999999999998</v>
      </c>
      <c r="G392" s="61">
        <f>6.2034 * CHOOSE(CONTROL!$C$19, $C$6, 100%, $E$6)</f>
        <v>6.2034000000000002</v>
      </c>
      <c r="H392" s="61">
        <f>9.2406* CHOOSE(CONTROL!$C$19, $C$6, 100%, $E$6)</f>
        <v>9.2406000000000006</v>
      </c>
      <c r="I392" s="61">
        <f>9.2408 * CHOOSE(CONTROL!$C$19, $C$6, 100%, $E$6)</f>
        <v>9.2408000000000001</v>
      </c>
      <c r="J392" s="61">
        <f>6.2032 * CHOOSE(CONTROL!$C$19, $C$6, 100%, $E$6)</f>
        <v>6.2031999999999998</v>
      </c>
      <c r="K392" s="61">
        <f>6.2034 * CHOOSE(CONTROL!$C$19, $C$6, 100%, $E$6)</f>
        <v>6.2034000000000002</v>
      </c>
    </row>
    <row r="393" spans="1:11" ht="15">
      <c r="A393" s="13">
        <v>54027</v>
      </c>
      <c r="B393" s="60">
        <f>5.5432 * CHOOSE(CONTROL!$C$19, $C$6, 100%, $E$6)</f>
        <v>5.5431999999999997</v>
      </c>
      <c r="C393" s="60">
        <f>5.5432 * CHOOSE(CONTROL!$C$19, $C$6, 100%, $E$6)</f>
        <v>5.5431999999999997</v>
      </c>
      <c r="D393" s="60">
        <f>5.5597 * CHOOSE(CONTROL!$C$19, $C$6, 100%, $E$6)</f>
        <v>5.5597000000000003</v>
      </c>
      <c r="E393" s="61">
        <f>6.1553 * CHOOSE(CONTROL!$C$19, $C$6, 100%, $E$6)</f>
        <v>6.1553000000000004</v>
      </c>
      <c r="F393" s="61">
        <f>6.1553 * CHOOSE(CONTROL!$C$19, $C$6, 100%, $E$6)</f>
        <v>6.1553000000000004</v>
      </c>
      <c r="G393" s="61">
        <f>6.1554 * CHOOSE(CONTROL!$C$19, $C$6, 100%, $E$6)</f>
        <v>6.1554000000000002</v>
      </c>
      <c r="H393" s="61">
        <f>9.2599* CHOOSE(CONTROL!$C$19, $C$6, 100%, $E$6)</f>
        <v>9.2599</v>
      </c>
      <c r="I393" s="61">
        <f>9.26 * CHOOSE(CONTROL!$C$19, $C$6, 100%, $E$6)</f>
        <v>9.26</v>
      </c>
      <c r="J393" s="61">
        <f>6.1553 * CHOOSE(CONTROL!$C$19, $C$6, 100%, $E$6)</f>
        <v>6.1553000000000004</v>
      </c>
      <c r="K393" s="61">
        <f>6.1554 * CHOOSE(CONTROL!$C$19, $C$6, 100%, $E$6)</f>
        <v>6.1554000000000002</v>
      </c>
    </row>
    <row r="394" spans="1:11" ht="15">
      <c r="A394" s="13">
        <v>54058</v>
      </c>
      <c r="B394" s="60">
        <f>5.5908 * CHOOSE(CONTROL!$C$19, $C$6, 100%, $E$6)</f>
        <v>5.5907999999999998</v>
      </c>
      <c r="C394" s="60">
        <f>5.5908 * CHOOSE(CONTROL!$C$19, $C$6, 100%, $E$6)</f>
        <v>5.5907999999999998</v>
      </c>
      <c r="D394" s="60">
        <f>5.6073 * CHOOSE(CONTROL!$C$19, $C$6, 100%, $E$6)</f>
        <v>5.6073000000000004</v>
      </c>
      <c r="E394" s="61">
        <f>6.2495 * CHOOSE(CONTROL!$C$19, $C$6, 100%, $E$6)</f>
        <v>6.2495000000000003</v>
      </c>
      <c r="F394" s="61">
        <f>6.2495 * CHOOSE(CONTROL!$C$19, $C$6, 100%, $E$6)</f>
        <v>6.2495000000000003</v>
      </c>
      <c r="G394" s="61">
        <f>6.2497 * CHOOSE(CONTROL!$C$19, $C$6, 100%, $E$6)</f>
        <v>6.2496999999999998</v>
      </c>
      <c r="H394" s="61">
        <f>9.2792* CHOOSE(CONTROL!$C$19, $C$6, 100%, $E$6)</f>
        <v>9.2791999999999994</v>
      </c>
      <c r="I394" s="61">
        <f>9.2793 * CHOOSE(CONTROL!$C$19, $C$6, 100%, $E$6)</f>
        <v>9.2792999999999992</v>
      </c>
      <c r="J394" s="61">
        <f>6.2495 * CHOOSE(CONTROL!$C$19, $C$6, 100%, $E$6)</f>
        <v>6.2495000000000003</v>
      </c>
      <c r="K394" s="61">
        <f>6.2497 * CHOOSE(CONTROL!$C$19, $C$6, 100%, $E$6)</f>
        <v>6.2496999999999998</v>
      </c>
    </row>
    <row r="395" spans="1:11" ht="15">
      <c r="A395" s="13">
        <v>54089</v>
      </c>
      <c r="B395" s="60">
        <f>5.5877 * CHOOSE(CONTROL!$C$19, $C$6, 100%, $E$6)</f>
        <v>5.5876999999999999</v>
      </c>
      <c r="C395" s="60">
        <f>5.5877 * CHOOSE(CONTROL!$C$19, $C$6, 100%, $E$6)</f>
        <v>5.5876999999999999</v>
      </c>
      <c r="D395" s="60">
        <f>5.6042 * CHOOSE(CONTROL!$C$19, $C$6, 100%, $E$6)</f>
        <v>5.6041999999999996</v>
      </c>
      <c r="E395" s="61">
        <f>6.154 * CHOOSE(CONTROL!$C$19, $C$6, 100%, $E$6)</f>
        <v>6.1539999999999999</v>
      </c>
      <c r="F395" s="61">
        <f>6.154 * CHOOSE(CONTROL!$C$19, $C$6, 100%, $E$6)</f>
        <v>6.1539999999999999</v>
      </c>
      <c r="G395" s="61">
        <f>6.1541 * CHOOSE(CONTROL!$C$19, $C$6, 100%, $E$6)</f>
        <v>6.1540999999999997</v>
      </c>
      <c r="H395" s="61">
        <f>9.2985* CHOOSE(CONTROL!$C$19, $C$6, 100%, $E$6)</f>
        <v>9.2985000000000007</v>
      </c>
      <c r="I395" s="61">
        <f>9.2987 * CHOOSE(CONTROL!$C$19, $C$6, 100%, $E$6)</f>
        <v>9.2987000000000002</v>
      </c>
      <c r="J395" s="61">
        <f>6.154 * CHOOSE(CONTROL!$C$19, $C$6, 100%, $E$6)</f>
        <v>6.1539999999999999</v>
      </c>
      <c r="K395" s="61">
        <f>6.1541 * CHOOSE(CONTROL!$C$19, $C$6, 100%, $E$6)</f>
        <v>6.1540999999999997</v>
      </c>
    </row>
    <row r="396" spans="1:11" ht="15">
      <c r="A396" s="13">
        <v>54118</v>
      </c>
      <c r="B396" s="60">
        <f>5.5847 * CHOOSE(CONTROL!$C$19, $C$6, 100%, $E$6)</f>
        <v>5.5846999999999998</v>
      </c>
      <c r="C396" s="60">
        <f>5.5847 * CHOOSE(CONTROL!$C$19, $C$6, 100%, $E$6)</f>
        <v>5.5846999999999998</v>
      </c>
      <c r="D396" s="60">
        <f>5.6012 * CHOOSE(CONTROL!$C$19, $C$6, 100%, $E$6)</f>
        <v>5.6012000000000004</v>
      </c>
      <c r="E396" s="61">
        <f>6.2255 * CHOOSE(CONTROL!$C$19, $C$6, 100%, $E$6)</f>
        <v>6.2255000000000003</v>
      </c>
      <c r="F396" s="61">
        <f>6.2255 * CHOOSE(CONTROL!$C$19, $C$6, 100%, $E$6)</f>
        <v>6.2255000000000003</v>
      </c>
      <c r="G396" s="61">
        <f>6.2257 * CHOOSE(CONTROL!$C$19, $C$6, 100%, $E$6)</f>
        <v>6.2256999999999998</v>
      </c>
      <c r="H396" s="61">
        <f>9.3179* CHOOSE(CONTROL!$C$19, $C$6, 100%, $E$6)</f>
        <v>9.3178999999999998</v>
      </c>
      <c r="I396" s="61">
        <f>9.318 * CHOOSE(CONTROL!$C$19, $C$6, 100%, $E$6)</f>
        <v>9.3179999999999996</v>
      </c>
      <c r="J396" s="61">
        <f>6.2255 * CHOOSE(CONTROL!$C$19, $C$6, 100%, $E$6)</f>
        <v>6.2255000000000003</v>
      </c>
      <c r="K396" s="61">
        <f>6.2257 * CHOOSE(CONTROL!$C$19, $C$6, 100%, $E$6)</f>
        <v>6.2256999999999998</v>
      </c>
    </row>
    <row r="397" spans="1:11" ht="15">
      <c r="A397" s="13">
        <v>54149</v>
      </c>
      <c r="B397" s="60">
        <f>5.5839 * CHOOSE(CONTROL!$C$19, $C$6, 100%, $E$6)</f>
        <v>5.5838999999999999</v>
      </c>
      <c r="C397" s="60">
        <f>5.5839 * CHOOSE(CONTROL!$C$19, $C$6, 100%, $E$6)</f>
        <v>5.5838999999999999</v>
      </c>
      <c r="D397" s="60">
        <f>5.6004 * CHOOSE(CONTROL!$C$19, $C$6, 100%, $E$6)</f>
        <v>5.6003999999999996</v>
      </c>
      <c r="E397" s="61">
        <f>6.3004 * CHOOSE(CONTROL!$C$19, $C$6, 100%, $E$6)</f>
        <v>6.3003999999999998</v>
      </c>
      <c r="F397" s="61">
        <f>6.3004 * CHOOSE(CONTROL!$C$19, $C$6, 100%, $E$6)</f>
        <v>6.3003999999999998</v>
      </c>
      <c r="G397" s="61">
        <f>6.3006 * CHOOSE(CONTROL!$C$19, $C$6, 100%, $E$6)</f>
        <v>6.3006000000000002</v>
      </c>
      <c r="H397" s="61">
        <f>9.3373* CHOOSE(CONTROL!$C$19, $C$6, 100%, $E$6)</f>
        <v>9.3373000000000008</v>
      </c>
      <c r="I397" s="61">
        <f>9.3374 * CHOOSE(CONTROL!$C$19, $C$6, 100%, $E$6)</f>
        <v>9.3374000000000006</v>
      </c>
      <c r="J397" s="61">
        <f>6.3004 * CHOOSE(CONTROL!$C$19, $C$6, 100%, $E$6)</f>
        <v>6.3003999999999998</v>
      </c>
      <c r="K397" s="61">
        <f>6.3006 * CHOOSE(CONTROL!$C$19, $C$6, 100%, $E$6)</f>
        <v>6.3006000000000002</v>
      </c>
    </row>
    <row r="398" spans="1:11" ht="15">
      <c r="A398" s="13">
        <v>54179</v>
      </c>
      <c r="B398" s="60">
        <f>5.5839 * CHOOSE(CONTROL!$C$19, $C$6, 100%, $E$6)</f>
        <v>5.5838999999999999</v>
      </c>
      <c r="C398" s="60">
        <f>5.5839 * CHOOSE(CONTROL!$C$19, $C$6, 100%, $E$6)</f>
        <v>5.5838999999999999</v>
      </c>
      <c r="D398" s="60">
        <f>5.6169 * CHOOSE(CONTROL!$C$19, $C$6, 100%, $E$6)</f>
        <v>5.6169000000000002</v>
      </c>
      <c r="E398" s="61">
        <f>6.33 * CHOOSE(CONTROL!$C$19, $C$6, 100%, $E$6)</f>
        <v>6.33</v>
      </c>
      <c r="F398" s="61">
        <f>6.33 * CHOOSE(CONTROL!$C$19, $C$6, 100%, $E$6)</f>
        <v>6.33</v>
      </c>
      <c r="G398" s="61">
        <f>6.3321 * CHOOSE(CONTROL!$C$19, $C$6, 100%, $E$6)</f>
        <v>6.3320999999999996</v>
      </c>
      <c r="H398" s="61">
        <f>9.3567* CHOOSE(CONTROL!$C$19, $C$6, 100%, $E$6)</f>
        <v>9.3567</v>
      </c>
      <c r="I398" s="61">
        <f>9.3588 * CHOOSE(CONTROL!$C$19, $C$6, 100%, $E$6)</f>
        <v>9.3588000000000005</v>
      </c>
      <c r="J398" s="61">
        <f>6.33 * CHOOSE(CONTROL!$C$19, $C$6, 100%, $E$6)</f>
        <v>6.33</v>
      </c>
      <c r="K398" s="61">
        <f>6.3321 * CHOOSE(CONTROL!$C$19, $C$6, 100%, $E$6)</f>
        <v>6.3320999999999996</v>
      </c>
    </row>
    <row r="399" spans="1:11" ht="15">
      <c r="A399" s="13">
        <v>54210</v>
      </c>
      <c r="B399" s="60">
        <f>5.59 * CHOOSE(CONTROL!$C$19, $C$6, 100%, $E$6)</f>
        <v>5.59</v>
      </c>
      <c r="C399" s="60">
        <f>5.59 * CHOOSE(CONTROL!$C$19, $C$6, 100%, $E$6)</f>
        <v>5.59</v>
      </c>
      <c r="D399" s="60">
        <f>5.623 * CHOOSE(CONTROL!$C$19, $C$6, 100%, $E$6)</f>
        <v>5.6230000000000002</v>
      </c>
      <c r="E399" s="61">
        <f>6.3046 * CHOOSE(CONTROL!$C$19, $C$6, 100%, $E$6)</f>
        <v>6.3045999999999998</v>
      </c>
      <c r="F399" s="61">
        <f>6.3046 * CHOOSE(CONTROL!$C$19, $C$6, 100%, $E$6)</f>
        <v>6.3045999999999998</v>
      </c>
      <c r="G399" s="61">
        <f>6.3067 * CHOOSE(CONTROL!$C$19, $C$6, 100%, $E$6)</f>
        <v>6.3067000000000002</v>
      </c>
      <c r="H399" s="61">
        <f>9.3762* CHOOSE(CONTROL!$C$19, $C$6, 100%, $E$6)</f>
        <v>9.3762000000000008</v>
      </c>
      <c r="I399" s="61">
        <f>9.3783 * CHOOSE(CONTROL!$C$19, $C$6, 100%, $E$6)</f>
        <v>9.3782999999999994</v>
      </c>
      <c r="J399" s="61">
        <f>6.3046 * CHOOSE(CONTROL!$C$19, $C$6, 100%, $E$6)</f>
        <v>6.3045999999999998</v>
      </c>
      <c r="K399" s="61">
        <f>6.3067 * CHOOSE(CONTROL!$C$19, $C$6, 100%, $E$6)</f>
        <v>6.3067000000000002</v>
      </c>
    </row>
    <row r="400" spans="1:11" ht="15">
      <c r="A400" s="13">
        <v>54240</v>
      </c>
      <c r="B400" s="60">
        <f>5.6757 * CHOOSE(CONTROL!$C$19, $C$6, 100%, $E$6)</f>
        <v>5.6757</v>
      </c>
      <c r="C400" s="60">
        <f>5.6757 * CHOOSE(CONTROL!$C$19, $C$6, 100%, $E$6)</f>
        <v>5.6757</v>
      </c>
      <c r="D400" s="60">
        <f>5.7087 * CHOOSE(CONTROL!$C$19, $C$6, 100%, $E$6)</f>
        <v>5.7087000000000003</v>
      </c>
      <c r="E400" s="61">
        <f>6.4258 * CHOOSE(CONTROL!$C$19, $C$6, 100%, $E$6)</f>
        <v>6.4257999999999997</v>
      </c>
      <c r="F400" s="61">
        <f>6.4258 * CHOOSE(CONTROL!$C$19, $C$6, 100%, $E$6)</f>
        <v>6.4257999999999997</v>
      </c>
      <c r="G400" s="61">
        <f>6.4278 * CHOOSE(CONTROL!$C$19, $C$6, 100%, $E$6)</f>
        <v>6.4278000000000004</v>
      </c>
      <c r="H400" s="61">
        <f>9.3958* CHOOSE(CONTROL!$C$19, $C$6, 100%, $E$6)</f>
        <v>9.3957999999999995</v>
      </c>
      <c r="I400" s="61">
        <f>9.3978 * CHOOSE(CONTROL!$C$19, $C$6, 100%, $E$6)</f>
        <v>9.3978000000000002</v>
      </c>
      <c r="J400" s="61">
        <f>6.4258 * CHOOSE(CONTROL!$C$19, $C$6, 100%, $E$6)</f>
        <v>6.4257999999999997</v>
      </c>
      <c r="K400" s="61">
        <f>6.4278 * CHOOSE(CONTROL!$C$19, $C$6, 100%, $E$6)</f>
        <v>6.4278000000000004</v>
      </c>
    </row>
    <row r="401" spans="1:11" ht="15">
      <c r="A401" s="13">
        <v>54271</v>
      </c>
      <c r="B401" s="60">
        <f>5.6824 * CHOOSE(CONTROL!$C$19, $C$6, 100%, $E$6)</f>
        <v>5.6824000000000003</v>
      </c>
      <c r="C401" s="60">
        <f>5.6824 * CHOOSE(CONTROL!$C$19, $C$6, 100%, $E$6)</f>
        <v>5.6824000000000003</v>
      </c>
      <c r="D401" s="60">
        <f>5.7154 * CHOOSE(CONTROL!$C$19, $C$6, 100%, $E$6)</f>
        <v>5.7153999999999998</v>
      </c>
      <c r="E401" s="61">
        <f>6.3414 * CHOOSE(CONTROL!$C$19, $C$6, 100%, $E$6)</f>
        <v>6.3414000000000001</v>
      </c>
      <c r="F401" s="61">
        <f>6.3414 * CHOOSE(CONTROL!$C$19, $C$6, 100%, $E$6)</f>
        <v>6.3414000000000001</v>
      </c>
      <c r="G401" s="61">
        <f>6.3435 * CHOOSE(CONTROL!$C$19, $C$6, 100%, $E$6)</f>
        <v>6.3434999999999997</v>
      </c>
      <c r="H401" s="61">
        <f>9.4153* CHOOSE(CONTROL!$C$19, $C$6, 100%, $E$6)</f>
        <v>9.4153000000000002</v>
      </c>
      <c r="I401" s="61">
        <f>9.4174 * CHOOSE(CONTROL!$C$19, $C$6, 100%, $E$6)</f>
        <v>9.4174000000000007</v>
      </c>
      <c r="J401" s="61">
        <f>6.3414 * CHOOSE(CONTROL!$C$19, $C$6, 100%, $E$6)</f>
        <v>6.3414000000000001</v>
      </c>
      <c r="K401" s="61">
        <f>6.3435 * CHOOSE(CONTROL!$C$19, $C$6, 100%, $E$6)</f>
        <v>6.3434999999999997</v>
      </c>
    </row>
    <row r="402" spans="1:11" ht="15">
      <c r="A402" s="13">
        <v>54302</v>
      </c>
      <c r="B402" s="60">
        <f>5.6794 * CHOOSE(CONTROL!$C$19, $C$6, 100%, $E$6)</f>
        <v>5.6794000000000002</v>
      </c>
      <c r="C402" s="60">
        <f>5.6794 * CHOOSE(CONTROL!$C$19, $C$6, 100%, $E$6)</f>
        <v>5.6794000000000002</v>
      </c>
      <c r="D402" s="60">
        <f>5.7124 * CHOOSE(CONTROL!$C$19, $C$6, 100%, $E$6)</f>
        <v>5.7123999999999997</v>
      </c>
      <c r="E402" s="61">
        <f>6.3294 * CHOOSE(CONTROL!$C$19, $C$6, 100%, $E$6)</f>
        <v>6.3293999999999997</v>
      </c>
      <c r="F402" s="61">
        <f>6.3294 * CHOOSE(CONTROL!$C$19, $C$6, 100%, $E$6)</f>
        <v>6.3293999999999997</v>
      </c>
      <c r="G402" s="61">
        <f>6.3315 * CHOOSE(CONTROL!$C$19, $C$6, 100%, $E$6)</f>
        <v>6.3315000000000001</v>
      </c>
      <c r="H402" s="61">
        <f>9.4349* CHOOSE(CONTROL!$C$19, $C$6, 100%, $E$6)</f>
        <v>9.4349000000000007</v>
      </c>
      <c r="I402" s="61">
        <f>9.437 * CHOOSE(CONTROL!$C$19, $C$6, 100%, $E$6)</f>
        <v>9.4369999999999994</v>
      </c>
      <c r="J402" s="61">
        <f>6.3294 * CHOOSE(CONTROL!$C$19, $C$6, 100%, $E$6)</f>
        <v>6.3293999999999997</v>
      </c>
      <c r="K402" s="61">
        <f>6.3315 * CHOOSE(CONTROL!$C$19, $C$6, 100%, $E$6)</f>
        <v>6.3315000000000001</v>
      </c>
    </row>
    <row r="403" spans="1:11" ht="15">
      <c r="A403" s="13">
        <v>54332</v>
      </c>
      <c r="B403" s="60">
        <f>5.6809 * CHOOSE(CONTROL!$C$19, $C$6, 100%, $E$6)</f>
        <v>5.6809000000000003</v>
      </c>
      <c r="C403" s="60">
        <f>5.6809 * CHOOSE(CONTROL!$C$19, $C$6, 100%, $E$6)</f>
        <v>5.6809000000000003</v>
      </c>
      <c r="D403" s="60">
        <f>5.6974 * CHOOSE(CONTROL!$C$19, $C$6, 100%, $E$6)</f>
        <v>5.6974</v>
      </c>
      <c r="E403" s="61">
        <f>6.3556 * CHOOSE(CONTROL!$C$19, $C$6, 100%, $E$6)</f>
        <v>6.3555999999999999</v>
      </c>
      <c r="F403" s="61">
        <f>6.3556 * CHOOSE(CONTROL!$C$19, $C$6, 100%, $E$6)</f>
        <v>6.3555999999999999</v>
      </c>
      <c r="G403" s="61">
        <f>6.3557 * CHOOSE(CONTROL!$C$19, $C$6, 100%, $E$6)</f>
        <v>6.3556999999999997</v>
      </c>
      <c r="H403" s="61">
        <f>9.4546* CHOOSE(CONTROL!$C$19, $C$6, 100%, $E$6)</f>
        <v>9.4545999999999992</v>
      </c>
      <c r="I403" s="61">
        <f>9.4548 * CHOOSE(CONTROL!$C$19, $C$6, 100%, $E$6)</f>
        <v>9.4548000000000005</v>
      </c>
      <c r="J403" s="61">
        <f>6.3556 * CHOOSE(CONTROL!$C$19, $C$6, 100%, $E$6)</f>
        <v>6.3555999999999999</v>
      </c>
      <c r="K403" s="61">
        <f>6.3557 * CHOOSE(CONTROL!$C$19, $C$6, 100%, $E$6)</f>
        <v>6.3556999999999997</v>
      </c>
    </row>
    <row r="404" spans="1:11" ht="15">
      <c r="A404" s="13">
        <v>54363</v>
      </c>
      <c r="B404" s="60">
        <f>5.6839 * CHOOSE(CONTROL!$C$19, $C$6, 100%, $E$6)</f>
        <v>5.6839000000000004</v>
      </c>
      <c r="C404" s="60">
        <f>5.6839 * CHOOSE(CONTROL!$C$19, $C$6, 100%, $E$6)</f>
        <v>5.6839000000000004</v>
      </c>
      <c r="D404" s="60">
        <f>5.7004 * CHOOSE(CONTROL!$C$19, $C$6, 100%, $E$6)</f>
        <v>5.7004000000000001</v>
      </c>
      <c r="E404" s="61">
        <f>6.3775 * CHOOSE(CONTROL!$C$19, $C$6, 100%, $E$6)</f>
        <v>6.3775000000000004</v>
      </c>
      <c r="F404" s="61">
        <f>6.3775 * CHOOSE(CONTROL!$C$19, $C$6, 100%, $E$6)</f>
        <v>6.3775000000000004</v>
      </c>
      <c r="G404" s="61">
        <f>6.3776 * CHOOSE(CONTROL!$C$19, $C$6, 100%, $E$6)</f>
        <v>6.3776000000000002</v>
      </c>
      <c r="H404" s="61">
        <f>9.4743* CHOOSE(CONTROL!$C$19, $C$6, 100%, $E$6)</f>
        <v>9.4742999999999995</v>
      </c>
      <c r="I404" s="61">
        <f>9.4745 * CHOOSE(CONTROL!$C$19, $C$6, 100%, $E$6)</f>
        <v>9.4745000000000008</v>
      </c>
      <c r="J404" s="61">
        <f>6.3775 * CHOOSE(CONTROL!$C$19, $C$6, 100%, $E$6)</f>
        <v>6.3775000000000004</v>
      </c>
      <c r="K404" s="61">
        <f>6.3776 * CHOOSE(CONTROL!$C$19, $C$6, 100%, $E$6)</f>
        <v>6.3776000000000002</v>
      </c>
    </row>
    <row r="405" spans="1:11" ht="15">
      <c r="A405" s="13">
        <v>54393</v>
      </c>
      <c r="B405" s="60">
        <f>5.6839 * CHOOSE(CONTROL!$C$19, $C$6, 100%, $E$6)</f>
        <v>5.6839000000000004</v>
      </c>
      <c r="C405" s="60">
        <f>5.6839 * CHOOSE(CONTROL!$C$19, $C$6, 100%, $E$6)</f>
        <v>5.6839000000000004</v>
      </c>
      <c r="D405" s="60">
        <f>5.7004 * CHOOSE(CONTROL!$C$19, $C$6, 100%, $E$6)</f>
        <v>5.7004000000000001</v>
      </c>
      <c r="E405" s="61">
        <f>6.328 * CHOOSE(CONTROL!$C$19, $C$6, 100%, $E$6)</f>
        <v>6.3280000000000003</v>
      </c>
      <c r="F405" s="61">
        <f>6.328 * CHOOSE(CONTROL!$C$19, $C$6, 100%, $E$6)</f>
        <v>6.3280000000000003</v>
      </c>
      <c r="G405" s="61">
        <f>6.3282 * CHOOSE(CONTROL!$C$19, $C$6, 100%, $E$6)</f>
        <v>6.3281999999999998</v>
      </c>
      <c r="H405" s="61">
        <f>9.494* CHOOSE(CONTROL!$C$19, $C$6, 100%, $E$6)</f>
        <v>9.4939999999999998</v>
      </c>
      <c r="I405" s="61">
        <f>9.4942 * CHOOSE(CONTROL!$C$19, $C$6, 100%, $E$6)</f>
        <v>9.4941999999999993</v>
      </c>
      <c r="J405" s="61">
        <f>6.328 * CHOOSE(CONTROL!$C$19, $C$6, 100%, $E$6)</f>
        <v>6.3280000000000003</v>
      </c>
      <c r="K405" s="61">
        <f>6.3282 * CHOOSE(CONTROL!$C$19, $C$6, 100%, $E$6)</f>
        <v>6.3281999999999998</v>
      </c>
    </row>
    <row r="406" spans="1:11" ht="15">
      <c r="A406" s="13">
        <v>54424</v>
      </c>
      <c r="B406" s="60">
        <f>5.7326 * CHOOSE(CONTROL!$C$19, $C$6, 100%, $E$6)</f>
        <v>5.7325999999999997</v>
      </c>
      <c r="C406" s="60">
        <f>5.7326 * CHOOSE(CONTROL!$C$19, $C$6, 100%, $E$6)</f>
        <v>5.7325999999999997</v>
      </c>
      <c r="D406" s="60">
        <f>5.7491 * CHOOSE(CONTROL!$C$19, $C$6, 100%, $E$6)</f>
        <v>5.7491000000000003</v>
      </c>
      <c r="E406" s="61">
        <f>6.425 * CHOOSE(CONTROL!$C$19, $C$6, 100%, $E$6)</f>
        <v>6.4249999999999998</v>
      </c>
      <c r="F406" s="61">
        <f>6.425 * CHOOSE(CONTROL!$C$19, $C$6, 100%, $E$6)</f>
        <v>6.4249999999999998</v>
      </c>
      <c r="G406" s="61">
        <f>6.4252 * CHOOSE(CONTROL!$C$19, $C$6, 100%, $E$6)</f>
        <v>6.4252000000000002</v>
      </c>
      <c r="H406" s="61">
        <f>9.5138* CHOOSE(CONTROL!$C$19, $C$6, 100%, $E$6)</f>
        <v>9.5137999999999998</v>
      </c>
      <c r="I406" s="61">
        <f>9.514 * CHOOSE(CONTROL!$C$19, $C$6, 100%, $E$6)</f>
        <v>9.5139999999999993</v>
      </c>
      <c r="J406" s="61">
        <f>6.425 * CHOOSE(CONTROL!$C$19, $C$6, 100%, $E$6)</f>
        <v>6.4249999999999998</v>
      </c>
      <c r="K406" s="61">
        <f>6.4252 * CHOOSE(CONTROL!$C$19, $C$6, 100%, $E$6)</f>
        <v>6.4252000000000002</v>
      </c>
    </row>
    <row r="407" spans="1:11" ht="15">
      <c r="A407" s="13">
        <v>54455</v>
      </c>
      <c r="B407" s="60">
        <f>5.7296 * CHOOSE(CONTROL!$C$19, $C$6, 100%, $E$6)</f>
        <v>5.7295999999999996</v>
      </c>
      <c r="C407" s="60">
        <f>5.7296 * CHOOSE(CONTROL!$C$19, $C$6, 100%, $E$6)</f>
        <v>5.7295999999999996</v>
      </c>
      <c r="D407" s="60">
        <f>5.7461 * CHOOSE(CONTROL!$C$19, $C$6, 100%, $E$6)</f>
        <v>5.7461000000000002</v>
      </c>
      <c r="E407" s="61">
        <f>6.3265 * CHOOSE(CONTROL!$C$19, $C$6, 100%, $E$6)</f>
        <v>6.3265000000000002</v>
      </c>
      <c r="F407" s="61">
        <f>6.3265 * CHOOSE(CONTROL!$C$19, $C$6, 100%, $E$6)</f>
        <v>6.3265000000000002</v>
      </c>
      <c r="G407" s="61">
        <f>6.3266 * CHOOSE(CONTROL!$C$19, $C$6, 100%, $E$6)</f>
        <v>6.3266</v>
      </c>
      <c r="H407" s="61">
        <f>9.5336* CHOOSE(CONTROL!$C$19, $C$6, 100%, $E$6)</f>
        <v>9.5335999999999999</v>
      </c>
      <c r="I407" s="61">
        <f>9.5338 * CHOOSE(CONTROL!$C$19, $C$6, 100%, $E$6)</f>
        <v>9.5337999999999994</v>
      </c>
      <c r="J407" s="61">
        <f>6.3265 * CHOOSE(CONTROL!$C$19, $C$6, 100%, $E$6)</f>
        <v>6.3265000000000002</v>
      </c>
      <c r="K407" s="61">
        <f>6.3266 * CHOOSE(CONTROL!$C$19, $C$6, 100%, $E$6)</f>
        <v>6.3266</v>
      </c>
    </row>
    <row r="408" spans="1:11" ht="15">
      <c r="A408" s="13">
        <v>54483</v>
      </c>
      <c r="B408" s="60">
        <f>5.7266 * CHOOSE(CONTROL!$C$19, $C$6, 100%, $E$6)</f>
        <v>5.7266000000000004</v>
      </c>
      <c r="C408" s="60">
        <f>5.7266 * CHOOSE(CONTROL!$C$19, $C$6, 100%, $E$6)</f>
        <v>5.7266000000000004</v>
      </c>
      <c r="D408" s="60">
        <f>5.7431 * CHOOSE(CONTROL!$C$19, $C$6, 100%, $E$6)</f>
        <v>5.7431000000000001</v>
      </c>
      <c r="E408" s="61">
        <f>6.4003 * CHOOSE(CONTROL!$C$19, $C$6, 100%, $E$6)</f>
        <v>6.4002999999999997</v>
      </c>
      <c r="F408" s="61">
        <f>6.4003 * CHOOSE(CONTROL!$C$19, $C$6, 100%, $E$6)</f>
        <v>6.4002999999999997</v>
      </c>
      <c r="G408" s="61">
        <f>6.4005 * CHOOSE(CONTROL!$C$19, $C$6, 100%, $E$6)</f>
        <v>6.4005000000000001</v>
      </c>
      <c r="H408" s="61">
        <f>9.5535* CHOOSE(CONTROL!$C$19, $C$6, 100%, $E$6)</f>
        <v>9.5534999999999997</v>
      </c>
      <c r="I408" s="61">
        <f>9.5537 * CHOOSE(CONTROL!$C$19, $C$6, 100%, $E$6)</f>
        <v>9.5536999999999992</v>
      </c>
      <c r="J408" s="61">
        <f>6.4003 * CHOOSE(CONTROL!$C$19, $C$6, 100%, $E$6)</f>
        <v>6.4002999999999997</v>
      </c>
      <c r="K408" s="61">
        <f>6.4005 * CHOOSE(CONTROL!$C$19, $C$6, 100%, $E$6)</f>
        <v>6.4005000000000001</v>
      </c>
    </row>
    <row r="409" spans="1:11" ht="15">
      <c r="A409" s="13">
        <v>54514</v>
      </c>
      <c r="B409" s="60">
        <f>5.7259 * CHOOSE(CONTROL!$C$19, $C$6, 100%, $E$6)</f>
        <v>5.7259000000000002</v>
      </c>
      <c r="C409" s="60">
        <f>5.7259 * CHOOSE(CONTROL!$C$19, $C$6, 100%, $E$6)</f>
        <v>5.7259000000000002</v>
      </c>
      <c r="D409" s="60">
        <f>5.7424 * CHOOSE(CONTROL!$C$19, $C$6, 100%, $E$6)</f>
        <v>5.7423999999999999</v>
      </c>
      <c r="E409" s="61">
        <f>6.4777 * CHOOSE(CONTROL!$C$19, $C$6, 100%, $E$6)</f>
        <v>6.4776999999999996</v>
      </c>
      <c r="F409" s="61">
        <f>6.4777 * CHOOSE(CONTROL!$C$19, $C$6, 100%, $E$6)</f>
        <v>6.4776999999999996</v>
      </c>
      <c r="G409" s="61">
        <f>6.4779 * CHOOSE(CONTROL!$C$19, $C$6, 100%, $E$6)</f>
        <v>6.4779</v>
      </c>
      <c r="H409" s="61">
        <f>9.5734* CHOOSE(CONTROL!$C$19, $C$6, 100%, $E$6)</f>
        <v>9.5733999999999995</v>
      </c>
      <c r="I409" s="61">
        <f>9.5736 * CHOOSE(CONTROL!$C$19, $C$6, 100%, $E$6)</f>
        <v>9.5736000000000008</v>
      </c>
      <c r="J409" s="61">
        <f>6.4777 * CHOOSE(CONTROL!$C$19, $C$6, 100%, $E$6)</f>
        <v>6.4776999999999996</v>
      </c>
      <c r="K409" s="61">
        <f>6.4779 * CHOOSE(CONTROL!$C$19, $C$6, 100%, $E$6)</f>
        <v>6.4779</v>
      </c>
    </row>
    <row r="410" spans="1:11" ht="15">
      <c r="A410" s="13">
        <v>54544</v>
      </c>
      <c r="B410" s="60">
        <f>5.7259 * CHOOSE(CONTROL!$C$19, $C$6, 100%, $E$6)</f>
        <v>5.7259000000000002</v>
      </c>
      <c r="C410" s="60">
        <f>5.7259 * CHOOSE(CONTROL!$C$19, $C$6, 100%, $E$6)</f>
        <v>5.7259000000000002</v>
      </c>
      <c r="D410" s="60">
        <f>5.7589 * CHOOSE(CONTROL!$C$19, $C$6, 100%, $E$6)</f>
        <v>5.7588999999999997</v>
      </c>
      <c r="E410" s="61">
        <f>6.5083 * CHOOSE(CONTROL!$C$19, $C$6, 100%, $E$6)</f>
        <v>6.5083000000000002</v>
      </c>
      <c r="F410" s="61">
        <f>6.5083 * CHOOSE(CONTROL!$C$19, $C$6, 100%, $E$6)</f>
        <v>6.5083000000000002</v>
      </c>
      <c r="G410" s="61">
        <f>6.5104 * CHOOSE(CONTROL!$C$19, $C$6, 100%, $E$6)</f>
        <v>6.5103999999999997</v>
      </c>
      <c r="H410" s="61">
        <f>9.5933* CHOOSE(CONTROL!$C$19, $C$6, 100%, $E$6)</f>
        <v>9.5932999999999993</v>
      </c>
      <c r="I410" s="61">
        <f>9.5954 * CHOOSE(CONTROL!$C$19, $C$6, 100%, $E$6)</f>
        <v>9.5953999999999997</v>
      </c>
      <c r="J410" s="61">
        <f>6.5083 * CHOOSE(CONTROL!$C$19, $C$6, 100%, $E$6)</f>
        <v>6.5083000000000002</v>
      </c>
      <c r="K410" s="61">
        <f>6.5104 * CHOOSE(CONTROL!$C$19, $C$6, 100%, $E$6)</f>
        <v>6.5103999999999997</v>
      </c>
    </row>
    <row r="411" spans="1:11" ht="15">
      <c r="A411" s="13">
        <v>54575</v>
      </c>
      <c r="B411" s="60">
        <f>5.732 * CHOOSE(CONTROL!$C$19, $C$6, 100%, $E$6)</f>
        <v>5.7320000000000002</v>
      </c>
      <c r="C411" s="60">
        <f>5.732 * CHOOSE(CONTROL!$C$19, $C$6, 100%, $E$6)</f>
        <v>5.7320000000000002</v>
      </c>
      <c r="D411" s="60">
        <f>5.765 * CHOOSE(CONTROL!$C$19, $C$6, 100%, $E$6)</f>
        <v>5.7649999999999997</v>
      </c>
      <c r="E411" s="61">
        <f>6.482 * CHOOSE(CONTROL!$C$19, $C$6, 100%, $E$6)</f>
        <v>6.4820000000000002</v>
      </c>
      <c r="F411" s="61">
        <f>6.482 * CHOOSE(CONTROL!$C$19, $C$6, 100%, $E$6)</f>
        <v>6.4820000000000002</v>
      </c>
      <c r="G411" s="61">
        <f>6.484 * CHOOSE(CONTROL!$C$19, $C$6, 100%, $E$6)</f>
        <v>6.484</v>
      </c>
      <c r="H411" s="61">
        <f>9.6133* CHOOSE(CONTROL!$C$19, $C$6, 100%, $E$6)</f>
        <v>9.6133000000000006</v>
      </c>
      <c r="I411" s="61">
        <f>9.6154 * CHOOSE(CONTROL!$C$19, $C$6, 100%, $E$6)</f>
        <v>9.6153999999999993</v>
      </c>
      <c r="J411" s="61">
        <f>6.482 * CHOOSE(CONTROL!$C$19, $C$6, 100%, $E$6)</f>
        <v>6.4820000000000002</v>
      </c>
      <c r="K411" s="61">
        <f>6.484 * CHOOSE(CONTROL!$C$19, $C$6, 100%, $E$6)</f>
        <v>6.484</v>
      </c>
    </row>
    <row r="412" spans="1:11" ht="15">
      <c r="A412" s="13">
        <v>54605</v>
      </c>
      <c r="B412" s="60">
        <f>5.8195 * CHOOSE(CONTROL!$C$19, $C$6, 100%, $E$6)</f>
        <v>5.8194999999999997</v>
      </c>
      <c r="C412" s="60">
        <f>5.8195 * CHOOSE(CONTROL!$C$19, $C$6, 100%, $E$6)</f>
        <v>5.8194999999999997</v>
      </c>
      <c r="D412" s="60">
        <f>5.8525 * CHOOSE(CONTROL!$C$19, $C$6, 100%, $E$6)</f>
        <v>5.8525</v>
      </c>
      <c r="E412" s="61">
        <f>6.6062 * CHOOSE(CONTROL!$C$19, $C$6, 100%, $E$6)</f>
        <v>6.6062000000000003</v>
      </c>
      <c r="F412" s="61">
        <f>6.6062 * CHOOSE(CONTROL!$C$19, $C$6, 100%, $E$6)</f>
        <v>6.6062000000000003</v>
      </c>
      <c r="G412" s="61">
        <f>6.6083 * CHOOSE(CONTROL!$C$19, $C$6, 100%, $E$6)</f>
        <v>6.6082999999999998</v>
      </c>
      <c r="H412" s="61">
        <f>9.6334* CHOOSE(CONTROL!$C$19, $C$6, 100%, $E$6)</f>
        <v>9.6334</v>
      </c>
      <c r="I412" s="61">
        <f>9.6354 * CHOOSE(CONTROL!$C$19, $C$6, 100%, $E$6)</f>
        <v>9.6354000000000006</v>
      </c>
      <c r="J412" s="61">
        <f>6.6062 * CHOOSE(CONTROL!$C$19, $C$6, 100%, $E$6)</f>
        <v>6.6062000000000003</v>
      </c>
      <c r="K412" s="61">
        <f>6.6083 * CHOOSE(CONTROL!$C$19, $C$6, 100%, $E$6)</f>
        <v>6.6082999999999998</v>
      </c>
    </row>
    <row r="413" spans="1:11" ht="15">
      <c r="A413" s="13">
        <v>54636</v>
      </c>
      <c r="B413" s="60">
        <f>5.8262 * CHOOSE(CONTROL!$C$19, $C$6, 100%, $E$6)</f>
        <v>5.8262</v>
      </c>
      <c r="C413" s="60">
        <f>5.8262 * CHOOSE(CONTROL!$C$19, $C$6, 100%, $E$6)</f>
        <v>5.8262</v>
      </c>
      <c r="D413" s="60">
        <f>5.8592 * CHOOSE(CONTROL!$C$19, $C$6, 100%, $E$6)</f>
        <v>5.8592000000000004</v>
      </c>
      <c r="E413" s="61">
        <f>6.519 * CHOOSE(CONTROL!$C$19, $C$6, 100%, $E$6)</f>
        <v>6.5190000000000001</v>
      </c>
      <c r="F413" s="61">
        <f>6.519 * CHOOSE(CONTROL!$C$19, $C$6, 100%, $E$6)</f>
        <v>6.5190000000000001</v>
      </c>
      <c r="G413" s="61">
        <f>6.5211 * CHOOSE(CONTROL!$C$19, $C$6, 100%, $E$6)</f>
        <v>6.5210999999999997</v>
      </c>
      <c r="H413" s="61">
        <f>9.6534* CHOOSE(CONTROL!$C$19, $C$6, 100%, $E$6)</f>
        <v>9.6533999999999995</v>
      </c>
      <c r="I413" s="61">
        <f>9.6555 * CHOOSE(CONTROL!$C$19, $C$6, 100%, $E$6)</f>
        <v>9.6555</v>
      </c>
      <c r="J413" s="61">
        <f>6.519 * CHOOSE(CONTROL!$C$19, $C$6, 100%, $E$6)</f>
        <v>6.5190000000000001</v>
      </c>
      <c r="K413" s="61">
        <f>6.5211 * CHOOSE(CONTROL!$C$19, $C$6, 100%, $E$6)</f>
        <v>6.5210999999999997</v>
      </c>
    </row>
    <row r="414" spans="1:11" ht="15">
      <c r="A414" s="13">
        <v>54667</v>
      </c>
      <c r="B414" s="60">
        <f>5.8232 * CHOOSE(CONTROL!$C$19, $C$6, 100%, $E$6)</f>
        <v>5.8231999999999999</v>
      </c>
      <c r="C414" s="60">
        <f>5.8232 * CHOOSE(CONTROL!$C$19, $C$6, 100%, $E$6)</f>
        <v>5.8231999999999999</v>
      </c>
      <c r="D414" s="60">
        <f>5.8562 * CHOOSE(CONTROL!$C$19, $C$6, 100%, $E$6)</f>
        <v>5.8562000000000003</v>
      </c>
      <c r="E414" s="61">
        <f>6.5067 * CHOOSE(CONTROL!$C$19, $C$6, 100%, $E$6)</f>
        <v>6.5067000000000004</v>
      </c>
      <c r="F414" s="61">
        <f>6.5067 * CHOOSE(CONTROL!$C$19, $C$6, 100%, $E$6)</f>
        <v>6.5067000000000004</v>
      </c>
      <c r="G414" s="61">
        <f>6.5088 * CHOOSE(CONTROL!$C$19, $C$6, 100%, $E$6)</f>
        <v>6.5087999999999999</v>
      </c>
      <c r="H414" s="61">
        <f>9.6735* CHOOSE(CONTROL!$C$19, $C$6, 100%, $E$6)</f>
        <v>9.6735000000000007</v>
      </c>
      <c r="I414" s="61">
        <f>9.6756 * CHOOSE(CONTROL!$C$19, $C$6, 100%, $E$6)</f>
        <v>9.6755999999999993</v>
      </c>
      <c r="J414" s="61">
        <f>6.5067 * CHOOSE(CONTROL!$C$19, $C$6, 100%, $E$6)</f>
        <v>6.5067000000000004</v>
      </c>
      <c r="K414" s="61">
        <f>6.5088 * CHOOSE(CONTROL!$C$19, $C$6, 100%, $E$6)</f>
        <v>6.5087999999999999</v>
      </c>
    </row>
    <row r="415" spans="1:11" ht="15">
      <c r="A415" s="13">
        <v>54697</v>
      </c>
      <c r="B415" s="60">
        <f>5.8252 * CHOOSE(CONTROL!$C$19, $C$6, 100%, $E$6)</f>
        <v>5.8251999999999997</v>
      </c>
      <c r="C415" s="60">
        <f>5.8252 * CHOOSE(CONTROL!$C$19, $C$6, 100%, $E$6)</f>
        <v>5.8251999999999997</v>
      </c>
      <c r="D415" s="60">
        <f>5.8417 * CHOOSE(CONTROL!$C$19, $C$6, 100%, $E$6)</f>
        <v>5.8417000000000003</v>
      </c>
      <c r="E415" s="61">
        <f>6.5341 * CHOOSE(CONTROL!$C$19, $C$6, 100%, $E$6)</f>
        <v>6.5340999999999996</v>
      </c>
      <c r="F415" s="61">
        <f>6.5341 * CHOOSE(CONTROL!$C$19, $C$6, 100%, $E$6)</f>
        <v>6.5340999999999996</v>
      </c>
      <c r="G415" s="61">
        <f>6.5343 * CHOOSE(CONTROL!$C$19, $C$6, 100%, $E$6)</f>
        <v>6.5343</v>
      </c>
      <c r="H415" s="61">
        <f>9.6937* CHOOSE(CONTROL!$C$19, $C$6, 100%, $E$6)</f>
        <v>9.6936999999999998</v>
      </c>
      <c r="I415" s="61">
        <f>9.6939 * CHOOSE(CONTROL!$C$19, $C$6, 100%, $E$6)</f>
        <v>9.6938999999999993</v>
      </c>
      <c r="J415" s="61">
        <f>6.5341 * CHOOSE(CONTROL!$C$19, $C$6, 100%, $E$6)</f>
        <v>6.5340999999999996</v>
      </c>
      <c r="K415" s="61">
        <f>6.5343 * CHOOSE(CONTROL!$C$19, $C$6, 100%, $E$6)</f>
        <v>6.5343</v>
      </c>
    </row>
    <row r="416" spans="1:11" ht="15">
      <c r="A416" s="13">
        <v>54728</v>
      </c>
      <c r="B416" s="60">
        <f>5.8283 * CHOOSE(CONTROL!$C$19, $C$6, 100%, $E$6)</f>
        <v>5.8282999999999996</v>
      </c>
      <c r="C416" s="60">
        <f>5.8283 * CHOOSE(CONTROL!$C$19, $C$6, 100%, $E$6)</f>
        <v>5.8282999999999996</v>
      </c>
      <c r="D416" s="60">
        <f>5.8448 * CHOOSE(CONTROL!$C$19, $C$6, 100%, $E$6)</f>
        <v>5.8448000000000002</v>
      </c>
      <c r="E416" s="61">
        <f>6.5566 * CHOOSE(CONTROL!$C$19, $C$6, 100%, $E$6)</f>
        <v>6.5566000000000004</v>
      </c>
      <c r="F416" s="61">
        <f>6.5566 * CHOOSE(CONTROL!$C$19, $C$6, 100%, $E$6)</f>
        <v>6.5566000000000004</v>
      </c>
      <c r="G416" s="61">
        <f>6.5568 * CHOOSE(CONTROL!$C$19, $C$6, 100%, $E$6)</f>
        <v>6.5568</v>
      </c>
      <c r="H416" s="61">
        <f>9.7139* CHOOSE(CONTROL!$C$19, $C$6, 100%, $E$6)</f>
        <v>9.7139000000000006</v>
      </c>
      <c r="I416" s="61">
        <f>9.7141 * CHOOSE(CONTROL!$C$19, $C$6, 100%, $E$6)</f>
        <v>9.7141000000000002</v>
      </c>
      <c r="J416" s="61">
        <f>6.5566 * CHOOSE(CONTROL!$C$19, $C$6, 100%, $E$6)</f>
        <v>6.5566000000000004</v>
      </c>
      <c r="K416" s="61">
        <f>6.5568 * CHOOSE(CONTROL!$C$19, $C$6, 100%, $E$6)</f>
        <v>6.5568</v>
      </c>
    </row>
    <row r="417" spans="1:11" ht="15">
      <c r="A417" s="13">
        <v>54758</v>
      </c>
      <c r="B417" s="60">
        <f>5.8283 * CHOOSE(CONTROL!$C$19, $C$6, 100%, $E$6)</f>
        <v>5.8282999999999996</v>
      </c>
      <c r="C417" s="60">
        <f>5.8283 * CHOOSE(CONTROL!$C$19, $C$6, 100%, $E$6)</f>
        <v>5.8282999999999996</v>
      </c>
      <c r="D417" s="60">
        <f>5.8448 * CHOOSE(CONTROL!$C$19, $C$6, 100%, $E$6)</f>
        <v>5.8448000000000002</v>
      </c>
      <c r="E417" s="61">
        <f>6.5056 * CHOOSE(CONTROL!$C$19, $C$6, 100%, $E$6)</f>
        <v>6.5056000000000003</v>
      </c>
      <c r="F417" s="61">
        <f>6.5056 * CHOOSE(CONTROL!$C$19, $C$6, 100%, $E$6)</f>
        <v>6.5056000000000003</v>
      </c>
      <c r="G417" s="61">
        <f>6.5058 * CHOOSE(CONTROL!$C$19, $C$6, 100%, $E$6)</f>
        <v>6.5057999999999998</v>
      </c>
      <c r="H417" s="61">
        <f>9.7341* CHOOSE(CONTROL!$C$19, $C$6, 100%, $E$6)</f>
        <v>9.7340999999999998</v>
      </c>
      <c r="I417" s="61">
        <f>9.7343 * CHOOSE(CONTROL!$C$19, $C$6, 100%, $E$6)</f>
        <v>9.7342999999999993</v>
      </c>
      <c r="J417" s="61">
        <f>6.5056 * CHOOSE(CONTROL!$C$19, $C$6, 100%, $E$6)</f>
        <v>6.5056000000000003</v>
      </c>
      <c r="K417" s="61">
        <f>6.5058 * CHOOSE(CONTROL!$C$19, $C$6, 100%, $E$6)</f>
        <v>6.5057999999999998</v>
      </c>
    </row>
    <row r="418" spans="1:11" ht="15">
      <c r="A418" s="13">
        <v>54789</v>
      </c>
      <c r="B418" s="60">
        <f>5.8781 * CHOOSE(CONTROL!$C$19, $C$6, 100%, $E$6)</f>
        <v>5.8780999999999999</v>
      </c>
      <c r="C418" s="60">
        <f>5.8781 * CHOOSE(CONTROL!$C$19, $C$6, 100%, $E$6)</f>
        <v>5.8780999999999999</v>
      </c>
      <c r="D418" s="60">
        <f>5.8946 * CHOOSE(CONTROL!$C$19, $C$6, 100%, $E$6)</f>
        <v>5.8945999999999996</v>
      </c>
      <c r="E418" s="61">
        <f>6.6054 * CHOOSE(CONTROL!$C$19, $C$6, 100%, $E$6)</f>
        <v>6.6054000000000004</v>
      </c>
      <c r="F418" s="61">
        <f>6.6054 * CHOOSE(CONTROL!$C$19, $C$6, 100%, $E$6)</f>
        <v>6.6054000000000004</v>
      </c>
      <c r="G418" s="61">
        <f>6.6056 * CHOOSE(CONTROL!$C$19, $C$6, 100%, $E$6)</f>
        <v>6.6055999999999999</v>
      </c>
      <c r="H418" s="61">
        <f>9.7544* CHOOSE(CONTROL!$C$19, $C$6, 100%, $E$6)</f>
        <v>9.7544000000000004</v>
      </c>
      <c r="I418" s="61">
        <f>9.7546 * CHOOSE(CONTROL!$C$19, $C$6, 100%, $E$6)</f>
        <v>9.7545999999999999</v>
      </c>
      <c r="J418" s="61">
        <f>6.6054 * CHOOSE(CONTROL!$C$19, $C$6, 100%, $E$6)</f>
        <v>6.6054000000000004</v>
      </c>
      <c r="K418" s="61">
        <f>6.6056 * CHOOSE(CONTROL!$C$19, $C$6, 100%, $E$6)</f>
        <v>6.6055999999999999</v>
      </c>
    </row>
    <row r="419" spans="1:11" ht="15">
      <c r="A419" s="13">
        <v>54820</v>
      </c>
      <c r="B419" s="60">
        <f>5.875 * CHOOSE(CONTROL!$C$19, $C$6, 100%, $E$6)</f>
        <v>5.875</v>
      </c>
      <c r="C419" s="60">
        <f>5.875 * CHOOSE(CONTROL!$C$19, $C$6, 100%, $E$6)</f>
        <v>5.875</v>
      </c>
      <c r="D419" s="60">
        <f>5.8915 * CHOOSE(CONTROL!$C$19, $C$6, 100%, $E$6)</f>
        <v>5.8914999999999997</v>
      </c>
      <c r="E419" s="61">
        <f>6.5038 * CHOOSE(CONTROL!$C$19, $C$6, 100%, $E$6)</f>
        <v>6.5038</v>
      </c>
      <c r="F419" s="61">
        <f>6.5038 * CHOOSE(CONTROL!$C$19, $C$6, 100%, $E$6)</f>
        <v>6.5038</v>
      </c>
      <c r="G419" s="61">
        <f>6.504 * CHOOSE(CONTROL!$C$19, $C$6, 100%, $E$6)</f>
        <v>6.5039999999999996</v>
      </c>
      <c r="H419" s="61">
        <f>9.7747* CHOOSE(CONTROL!$C$19, $C$6, 100%, $E$6)</f>
        <v>9.7746999999999993</v>
      </c>
      <c r="I419" s="61">
        <f>9.7749 * CHOOSE(CONTROL!$C$19, $C$6, 100%, $E$6)</f>
        <v>9.7749000000000006</v>
      </c>
      <c r="J419" s="61">
        <f>6.5038 * CHOOSE(CONTROL!$C$19, $C$6, 100%, $E$6)</f>
        <v>6.5038</v>
      </c>
      <c r="K419" s="61">
        <f>6.504 * CHOOSE(CONTROL!$C$19, $C$6, 100%, $E$6)</f>
        <v>6.5039999999999996</v>
      </c>
    </row>
    <row r="420" spans="1:11" ht="15">
      <c r="A420" s="13">
        <v>54848</v>
      </c>
      <c r="B420" s="60">
        <f>5.872 * CHOOSE(CONTROL!$C$19, $C$6, 100%, $E$6)</f>
        <v>5.8719999999999999</v>
      </c>
      <c r="C420" s="60">
        <f>5.872 * CHOOSE(CONTROL!$C$19, $C$6, 100%, $E$6)</f>
        <v>5.8719999999999999</v>
      </c>
      <c r="D420" s="60">
        <f>5.8885 * CHOOSE(CONTROL!$C$19, $C$6, 100%, $E$6)</f>
        <v>5.8884999999999996</v>
      </c>
      <c r="E420" s="61">
        <f>6.5801 * CHOOSE(CONTROL!$C$19, $C$6, 100%, $E$6)</f>
        <v>6.5800999999999998</v>
      </c>
      <c r="F420" s="61">
        <f>6.5801 * CHOOSE(CONTROL!$C$19, $C$6, 100%, $E$6)</f>
        <v>6.5800999999999998</v>
      </c>
      <c r="G420" s="61">
        <f>6.5803 * CHOOSE(CONTROL!$C$19, $C$6, 100%, $E$6)</f>
        <v>6.5803000000000003</v>
      </c>
      <c r="H420" s="61">
        <f>9.7951* CHOOSE(CONTROL!$C$19, $C$6, 100%, $E$6)</f>
        <v>9.7950999999999997</v>
      </c>
      <c r="I420" s="61">
        <f>9.7953 * CHOOSE(CONTROL!$C$19, $C$6, 100%, $E$6)</f>
        <v>9.7952999999999992</v>
      </c>
      <c r="J420" s="61">
        <f>6.5801 * CHOOSE(CONTROL!$C$19, $C$6, 100%, $E$6)</f>
        <v>6.5800999999999998</v>
      </c>
      <c r="K420" s="61">
        <f>6.5803 * CHOOSE(CONTROL!$C$19, $C$6, 100%, $E$6)</f>
        <v>6.5803000000000003</v>
      </c>
    </row>
    <row r="421" spans="1:11" ht="15">
      <c r="A421" s="13">
        <v>54879</v>
      </c>
      <c r="B421" s="60">
        <f>5.8715 * CHOOSE(CONTROL!$C$19, $C$6, 100%, $E$6)</f>
        <v>5.8715000000000002</v>
      </c>
      <c r="C421" s="60">
        <f>5.8715 * CHOOSE(CONTROL!$C$19, $C$6, 100%, $E$6)</f>
        <v>5.8715000000000002</v>
      </c>
      <c r="D421" s="60">
        <f>5.888 * CHOOSE(CONTROL!$C$19, $C$6, 100%, $E$6)</f>
        <v>5.8879999999999999</v>
      </c>
      <c r="E421" s="61">
        <f>6.6601 * CHOOSE(CONTROL!$C$19, $C$6, 100%, $E$6)</f>
        <v>6.6600999999999999</v>
      </c>
      <c r="F421" s="61">
        <f>6.6601 * CHOOSE(CONTROL!$C$19, $C$6, 100%, $E$6)</f>
        <v>6.6600999999999999</v>
      </c>
      <c r="G421" s="61">
        <f>6.6602 * CHOOSE(CONTROL!$C$19, $C$6, 100%, $E$6)</f>
        <v>6.6601999999999997</v>
      </c>
      <c r="H421" s="61">
        <f>9.8155* CHOOSE(CONTROL!$C$19, $C$6, 100%, $E$6)</f>
        <v>9.8155000000000001</v>
      </c>
      <c r="I421" s="61">
        <f>9.8157 * CHOOSE(CONTROL!$C$19, $C$6, 100%, $E$6)</f>
        <v>9.8156999999999996</v>
      </c>
      <c r="J421" s="61">
        <f>6.6601 * CHOOSE(CONTROL!$C$19, $C$6, 100%, $E$6)</f>
        <v>6.6600999999999999</v>
      </c>
      <c r="K421" s="61">
        <f>6.6602 * CHOOSE(CONTROL!$C$19, $C$6, 100%, $E$6)</f>
        <v>6.6601999999999997</v>
      </c>
    </row>
    <row r="422" spans="1:11" ht="15">
      <c r="A422" s="13">
        <v>54909</v>
      </c>
      <c r="B422" s="60">
        <f>5.8715 * CHOOSE(CONTROL!$C$19, $C$6, 100%, $E$6)</f>
        <v>5.8715000000000002</v>
      </c>
      <c r="C422" s="60">
        <f>5.8715 * CHOOSE(CONTROL!$C$19, $C$6, 100%, $E$6)</f>
        <v>5.8715000000000002</v>
      </c>
      <c r="D422" s="60">
        <f>5.9045 * CHOOSE(CONTROL!$C$19, $C$6, 100%, $E$6)</f>
        <v>5.9044999999999996</v>
      </c>
      <c r="E422" s="61">
        <f>6.6917 * CHOOSE(CONTROL!$C$19, $C$6, 100%, $E$6)</f>
        <v>6.6917</v>
      </c>
      <c r="F422" s="61">
        <f>6.6917 * CHOOSE(CONTROL!$C$19, $C$6, 100%, $E$6)</f>
        <v>6.6917</v>
      </c>
      <c r="G422" s="61">
        <f>6.6937 * CHOOSE(CONTROL!$C$19, $C$6, 100%, $E$6)</f>
        <v>6.6936999999999998</v>
      </c>
      <c r="H422" s="61">
        <f>9.8359* CHOOSE(CONTROL!$C$19, $C$6, 100%, $E$6)</f>
        <v>9.8359000000000005</v>
      </c>
      <c r="I422" s="61">
        <f>9.838 * CHOOSE(CONTROL!$C$19, $C$6, 100%, $E$6)</f>
        <v>9.8379999999999992</v>
      </c>
      <c r="J422" s="61">
        <f>6.6917 * CHOOSE(CONTROL!$C$19, $C$6, 100%, $E$6)</f>
        <v>6.6917</v>
      </c>
      <c r="K422" s="61">
        <f>6.6937 * CHOOSE(CONTROL!$C$19, $C$6, 100%, $E$6)</f>
        <v>6.6936999999999998</v>
      </c>
    </row>
    <row r="423" spans="1:11" ht="15">
      <c r="A423" s="13">
        <v>54940</v>
      </c>
      <c r="B423" s="60">
        <f>5.8776 * CHOOSE(CONTROL!$C$19, $C$6, 100%, $E$6)</f>
        <v>5.8776000000000002</v>
      </c>
      <c r="C423" s="60">
        <f>5.8776 * CHOOSE(CONTROL!$C$19, $C$6, 100%, $E$6)</f>
        <v>5.8776000000000002</v>
      </c>
      <c r="D423" s="60">
        <f>5.9106 * CHOOSE(CONTROL!$C$19, $C$6, 100%, $E$6)</f>
        <v>5.9105999999999996</v>
      </c>
      <c r="E423" s="61">
        <f>6.6643 * CHOOSE(CONTROL!$C$19, $C$6, 100%, $E$6)</f>
        <v>6.6642999999999999</v>
      </c>
      <c r="F423" s="61">
        <f>6.6643 * CHOOSE(CONTROL!$C$19, $C$6, 100%, $E$6)</f>
        <v>6.6642999999999999</v>
      </c>
      <c r="G423" s="61">
        <f>6.6664 * CHOOSE(CONTROL!$C$19, $C$6, 100%, $E$6)</f>
        <v>6.6664000000000003</v>
      </c>
      <c r="H423" s="61">
        <f>9.8564* CHOOSE(CONTROL!$C$19, $C$6, 100%, $E$6)</f>
        <v>9.8564000000000007</v>
      </c>
      <c r="I423" s="61">
        <f>9.8585 * CHOOSE(CONTROL!$C$19, $C$6, 100%, $E$6)</f>
        <v>9.8584999999999994</v>
      </c>
      <c r="J423" s="61">
        <f>6.6643 * CHOOSE(CONTROL!$C$19, $C$6, 100%, $E$6)</f>
        <v>6.6642999999999999</v>
      </c>
      <c r="K423" s="61">
        <f>6.6664 * CHOOSE(CONTROL!$C$19, $C$6, 100%, $E$6)</f>
        <v>6.6664000000000003</v>
      </c>
    </row>
    <row r="424" spans="1:11" ht="15">
      <c r="A424" s="13">
        <v>54970</v>
      </c>
      <c r="B424" s="60">
        <f>5.967 * CHOOSE(CONTROL!$C$19, $C$6, 100%, $E$6)</f>
        <v>5.9669999999999996</v>
      </c>
      <c r="C424" s="60">
        <f>5.967 * CHOOSE(CONTROL!$C$19, $C$6, 100%, $E$6)</f>
        <v>5.9669999999999996</v>
      </c>
      <c r="D424" s="60">
        <f>6 * CHOOSE(CONTROL!$C$19, $C$6, 100%, $E$6)</f>
        <v>6</v>
      </c>
      <c r="E424" s="61">
        <f>6.7917 * CHOOSE(CONTROL!$C$19, $C$6, 100%, $E$6)</f>
        <v>6.7916999999999996</v>
      </c>
      <c r="F424" s="61">
        <f>6.7917 * CHOOSE(CONTROL!$C$19, $C$6, 100%, $E$6)</f>
        <v>6.7916999999999996</v>
      </c>
      <c r="G424" s="61">
        <f>6.7938 * CHOOSE(CONTROL!$C$19, $C$6, 100%, $E$6)</f>
        <v>6.7938000000000001</v>
      </c>
      <c r="H424" s="61">
        <f>9.877* CHOOSE(CONTROL!$C$19, $C$6, 100%, $E$6)</f>
        <v>9.8770000000000007</v>
      </c>
      <c r="I424" s="61">
        <f>9.879 * CHOOSE(CONTROL!$C$19, $C$6, 100%, $E$6)</f>
        <v>9.8789999999999996</v>
      </c>
      <c r="J424" s="61">
        <f>6.7917 * CHOOSE(CONTROL!$C$19, $C$6, 100%, $E$6)</f>
        <v>6.7916999999999996</v>
      </c>
      <c r="K424" s="61">
        <f>6.7938 * CHOOSE(CONTROL!$C$19, $C$6, 100%, $E$6)</f>
        <v>6.7938000000000001</v>
      </c>
    </row>
    <row r="425" spans="1:11" ht="15">
      <c r="A425" s="13">
        <v>55001</v>
      </c>
      <c r="B425" s="60">
        <f>5.9737 * CHOOSE(CONTROL!$C$19, $C$6, 100%, $E$6)</f>
        <v>5.9737</v>
      </c>
      <c r="C425" s="60">
        <f>5.9737 * CHOOSE(CONTROL!$C$19, $C$6, 100%, $E$6)</f>
        <v>5.9737</v>
      </c>
      <c r="D425" s="60">
        <f>6.0067 * CHOOSE(CONTROL!$C$19, $C$6, 100%, $E$6)</f>
        <v>6.0067000000000004</v>
      </c>
      <c r="E425" s="61">
        <f>6.7017 * CHOOSE(CONTROL!$C$19, $C$6, 100%, $E$6)</f>
        <v>6.7016999999999998</v>
      </c>
      <c r="F425" s="61">
        <f>6.7017 * CHOOSE(CONTROL!$C$19, $C$6, 100%, $E$6)</f>
        <v>6.7016999999999998</v>
      </c>
      <c r="G425" s="61">
        <f>6.7037 * CHOOSE(CONTROL!$C$19, $C$6, 100%, $E$6)</f>
        <v>6.7037000000000004</v>
      </c>
      <c r="H425" s="61">
        <f>9.8975* CHOOSE(CONTROL!$C$19, $C$6, 100%, $E$6)</f>
        <v>9.8975000000000009</v>
      </c>
      <c r="I425" s="61">
        <f>9.8996 * CHOOSE(CONTROL!$C$19, $C$6, 100%, $E$6)</f>
        <v>9.8995999999999995</v>
      </c>
      <c r="J425" s="61">
        <f>6.7017 * CHOOSE(CONTROL!$C$19, $C$6, 100%, $E$6)</f>
        <v>6.7016999999999998</v>
      </c>
      <c r="K425" s="61">
        <f>6.7037 * CHOOSE(CONTROL!$C$19, $C$6, 100%, $E$6)</f>
        <v>6.7037000000000004</v>
      </c>
    </row>
    <row r="426" spans="1:11" ht="15">
      <c r="A426" s="13">
        <v>55032</v>
      </c>
      <c r="B426" s="60">
        <f>5.9706 * CHOOSE(CONTROL!$C$19, $C$6, 100%, $E$6)</f>
        <v>5.9706000000000001</v>
      </c>
      <c r="C426" s="60">
        <f>5.9706 * CHOOSE(CONTROL!$C$19, $C$6, 100%, $E$6)</f>
        <v>5.9706000000000001</v>
      </c>
      <c r="D426" s="60">
        <f>6.0036 * CHOOSE(CONTROL!$C$19, $C$6, 100%, $E$6)</f>
        <v>6.0035999999999996</v>
      </c>
      <c r="E426" s="61">
        <f>6.689 * CHOOSE(CONTROL!$C$19, $C$6, 100%, $E$6)</f>
        <v>6.6890000000000001</v>
      </c>
      <c r="F426" s="61">
        <f>6.689 * CHOOSE(CONTROL!$C$19, $C$6, 100%, $E$6)</f>
        <v>6.6890000000000001</v>
      </c>
      <c r="G426" s="61">
        <f>6.6911 * CHOOSE(CONTROL!$C$19, $C$6, 100%, $E$6)</f>
        <v>6.6910999999999996</v>
      </c>
      <c r="H426" s="61">
        <f>9.9182* CHOOSE(CONTROL!$C$19, $C$6, 100%, $E$6)</f>
        <v>9.9182000000000006</v>
      </c>
      <c r="I426" s="61">
        <f>9.9202 * CHOOSE(CONTROL!$C$19, $C$6, 100%, $E$6)</f>
        <v>9.9201999999999995</v>
      </c>
      <c r="J426" s="61">
        <f>6.689 * CHOOSE(CONTROL!$C$19, $C$6, 100%, $E$6)</f>
        <v>6.6890000000000001</v>
      </c>
      <c r="K426" s="61">
        <f>6.6911 * CHOOSE(CONTROL!$C$19, $C$6, 100%, $E$6)</f>
        <v>6.6910999999999996</v>
      </c>
    </row>
    <row r="427" spans="1:11" ht="15">
      <c r="A427" s="13">
        <v>55062</v>
      </c>
      <c r="B427" s="60">
        <f>5.9732 * CHOOSE(CONTROL!$C$19, $C$6, 100%, $E$6)</f>
        <v>5.9732000000000003</v>
      </c>
      <c r="C427" s="60">
        <f>5.9732 * CHOOSE(CONTROL!$C$19, $C$6, 100%, $E$6)</f>
        <v>5.9732000000000003</v>
      </c>
      <c r="D427" s="60">
        <f>5.9897 * CHOOSE(CONTROL!$C$19, $C$6, 100%, $E$6)</f>
        <v>5.9897</v>
      </c>
      <c r="E427" s="61">
        <f>6.7177 * CHOOSE(CONTROL!$C$19, $C$6, 100%, $E$6)</f>
        <v>6.7176999999999998</v>
      </c>
      <c r="F427" s="61">
        <f>6.7177 * CHOOSE(CONTROL!$C$19, $C$6, 100%, $E$6)</f>
        <v>6.7176999999999998</v>
      </c>
      <c r="G427" s="61">
        <f>6.7179 * CHOOSE(CONTROL!$C$19, $C$6, 100%, $E$6)</f>
        <v>6.7179000000000002</v>
      </c>
      <c r="H427" s="61">
        <f>9.9388* CHOOSE(CONTROL!$C$19, $C$6, 100%, $E$6)</f>
        <v>9.9388000000000005</v>
      </c>
      <c r="I427" s="61">
        <f>9.939 * CHOOSE(CONTROL!$C$19, $C$6, 100%, $E$6)</f>
        <v>9.9390000000000001</v>
      </c>
      <c r="J427" s="61">
        <f>6.7177 * CHOOSE(CONTROL!$C$19, $C$6, 100%, $E$6)</f>
        <v>6.7176999999999998</v>
      </c>
      <c r="K427" s="61">
        <f>6.7179 * CHOOSE(CONTROL!$C$19, $C$6, 100%, $E$6)</f>
        <v>6.7179000000000002</v>
      </c>
    </row>
    <row r="428" spans="1:11" ht="15">
      <c r="A428" s="13">
        <v>55093</v>
      </c>
      <c r="B428" s="60">
        <f>5.9763 * CHOOSE(CONTROL!$C$19, $C$6, 100%, $E$6)</f>
        <v>5.9763000000000002</v>
      </c>
      <c r="C428" s="60">
        <f>5.9763 * CHOOSE(CONTROL!$C$19, $C$6, 100%, $E$6)</f>
        <v>5.9763000000000002</v>
      </c>
      <c r="D428" s="60">
        <f>5.9928 * CHOOSE(CONTROL!$C$19, $C$6, 100%, $E$6)</f>
        <v>5.9927999999999999</v>
      </c>
      <c r="E428" s="61">
        <f>6.7409 * CHOOSE(CONTROL!$C$19, $C$6, 100%, $E$6)</f>
        <v>6.7408999999999999</v>
      </c>
      <c r="F428" s="61">
        <f>6.7409 * CHOOSE(CONTROL!$C$19, $C$6, 100%, $E$6)</f>
        <v>6.7408999999999999</v>
      </c>
      <c r="G428" s="61">
        <f>6.741 * CHOOSE(CONTROL!$C$19, $C$6, 100%, $E$6)</f>
        <v>6.7409999999999997</v>
      </c>
      <c r="H428" s="61">
        <f>9.9595* CHOOSE(CONTROL!$C$19, $C$6, 100%, $E$6)</f>
        <v>9.9595000000000002</v>
      </c>
      <c r="I428" s="61">
        <f>9.9597 * CHOOSE(CONTROL!$C$19, $C$6, 100%, $E$6)</f>
        <v>9.9596999999999998</v>
      </c>
      <c r="J428" s="61">
        <f>6.7409 * CHOOSE(CONTROL!$C$19, $C$6, 100%, $E$6)</f>
        <v>6.7408999999999999</v>
      </c>
      <c r="K428" s="61">
        <f>6.741 * CHOOSE(CONTROL!$C$19, $C$6, 100%, $E$6)</f>
        <v>6.7409999999999997</v>
      </c>
    </row>
    <row r="429" spans="1:11" ht="15">
      <c r="A429" s="13">
        <v>55123</v>
      </c>
      <c r="B429" s="60">
        <f>5.9763 * CHOOSE(CONTROL!$C$19, $C$6, 100%, $E$6)</f>
        <v>5.9763000000000002</v>
      </c>
      <c r="C429" s="60">
        <f>5.9763 * CHOOSE(CONTROL!$C$19, $C$6, 100%, $E$6)</f>
        <v>5.9763000000000002</v>
      </c>
      <c r="D429" s="60">
        <f>5.9928 * CHOOSE(CONTROL!$C$19, $C$6, 100%, $E$6)</f>
        <v>5.9927999999999999</v>
      </c>
      <c r="E429" s="61">
        <f>6.6882 * CHOOSE(CONTROL!$C$19, $C$6, 100%, $E$6)</f>
        <v>6.6882000000000001</v>
      </c>
      <c r="F429" s="61">
        <f>6.6882 * CHOOSE(CONTROL!$C$19, $C$6, 100%, $E$6)</f>
        <v>6.6882000000000001</v>
      </c>
      <c r="G429" s="61">
        <f>6.6884 * CHOOSE(CONTROL!$C$19, $C$6, 100%, $E$6)</f>
        <v>6.6883999999999997</v>
      </c>
      <c r="H429" s="61">
        <f>9.9803* CHOOSE(CONTROL!$C$19, $C$6, 100%, $E$6)</f>
        <v>9.9802999999999997</v>
      </c>
      <c r="I429" s="61">
        <f>9.9805 * CHOOSE(CONTROL!$C$19, $C$6, 100%, $E$6)</f>
        <v>9.9804999999999993</v>
      </c>
      <c r="J429" s="61">
        <f>6.6882 * CHOOSE(CONTROL!$C$19, $C$6, 100%, $E$6)</f>
        <v>6.6882000000000001</v>
      </c>
      <c r="K429" s="61">
        <f>6.6884 * CHOOSE(CONTROL!$C$19, $C$6, 100%, $E$6)</f>
        <v>6.6883999999999997</v>
      </c>
    </row>
    <row r="430" spans="1:11" ht="15">
      <c r="A430" s="13">
        <v>55154</v>
      </c>
      <c r="B430" s="60">
        <f>6.0272 * CHOOSE(CONTROL!$C$19, $C$6, 100%, $E$6)</f>
        <v>6.0271999999999997</v>
      </c>
      <c r="C430" s="60">
        <f>6.0272 * CHOOSE(CONTROL!$C$19, $C$6, 100%, $E$6)</f>
        <v>6.0271999999999997</v>
      </c>
      <c r="D430" s="60">
        <f>6.0437 * CHOOSE(CONTROL!$C$19, $C$6, 100%, $E$6)</f>
        <v>6.0437000000000003</v>
      </c>
      <c r="E430" s="61">
        <f>6.7909 * CHOOSE(CONTROL!$C$19, $C$6, 100%, $E$6)</f>
        <v>6.7908999999999997</v>
      </c>
      <c r="F430" s="61">
        <f>6.7909 * CHOOSE(CONTROL!$C$19, $C$6, 100%, $E$6)</f>
        <v>6.7908999999999997</v>
      </c>
      <c r="G430" s="61">
        <f>6.791 * CHOOSE(CONTROL!$C$19, $C$6, 100%, $E$6)</f>
        <v>6.7910000000000004</v>
      </c>
      <c r="H430" s="61">
        <f>10.0011* CHOOSE(CONTROL!$C$19, $C$6, 100%, $E$6)</f>
        <v>10.001099999999999</v>
      </c>
      <c r="I430" s="61">
        <f>10.0013 * CHOOSE(CONTROL!$C$19, $C$6, 100%, $E$6)</f>
        <v>10.001300000000001</v>
      </c>
      <c r="J430" s="61">
        <f>6.7909 * CHOOSE(CONTROL!$C$19, $C$6, 100%, $E$6)</f>
        <v>6.7908999999999997</v>
      </c>
      <c r="K430" s="61">
        <f>6.791 * CHOOSE(CONTROL!$C$19, $C$6, 100%, $E$6)</f>
        <v>6.7910000000000004</v>
      </c>
    </row>
    <row r="431" spans="1:11" ht="15">
      <c r="A431" s="13">
        <v>55185</v>
      </c>
      <c r="B431" s="60">
        <f>6.0242 * CHOOSE(CONTROL!$C$19, $C$6, 100%, $E$6)</f>
        <v>6.0242000000000004</v>
      </c>
      <c r="C431" s="60">
        <f>6.0242 * CHOOSE(CONTROL!$C$19, $C$6, 100%, $E$6)</f>
        <v>6.0242000000000004</v>
      </c>
      <c r="D431" s="60">
        <f>6.0407 * CHOOSE(CONTROL!$C$19, $C$6, 100%, $E$6)</f>
        <v>6.0407000000000002</v>
      </c>
      <c r="E431" s="61">
        <f>6.6861 * CHOOSE(CONTROL!$C$19, $C$6, 100%, $E$6)</f>
        <v>6.6860999999999997</v>
      </c>
      <c r="F431" s="61">
        <f>6.6861 * CHOOSE(CONTROL!$C$19, $C$6, 100%, $E$6)</f>
        <v>6.6860999999999997</v>
      </c>
      <c r="G431" s="61">
        <f>6.6863 * CHOOSE(CONTROL!$C$19, $C$6, 100%, $E$6)</f>
        <v>6.6863000000000001</v>
      </c>
      <c r="H431" s="61">
        <f>10.0219* CHOOSE(CONTROL!$C$19, $C$6, 100%, $E$6)</f>
        <v>10.0219</v>
      </c>
      <c r="I431" s="61">
        <f>10.0221 * CHOOSE(CONTROL!$C$19, $C$6, 100%, $E$6)</f>
        <v>10.0221</v>
      </c>
      <c r="J431" s="61">
        <f>6.6861 * CHOOSE(CONTROL!$C$19, $C$6, 100%, $E$6)</f>
        <v>6.6860999999999997</v>
      </c>
      <c r="K431" s="61">
        <f>6.6863 * CHOOSE(CONTROL!$C$19, $C$6, 100%, $E$6)</f>
        <v>6.6863000000000001</v>
      </c>
    </row>
    <row r="432" spans="1:11" ht="15">
      <c r="A432" s="13">
        <v>55213</v>
      </c>
      <c r="B432" s="60">
        <f>6.0212 * CHOOSE(CONTROL!$C$19, $C$6, 100%, $E$6)</f>
        <v>6.0212000000000003</v>
      </c>
      <c r="C432" s="60">
        <f>6.0212 * CHOOSE(CONTROL!$C$19, $C$6, 100%, $E$6)</f>
        <v>6.0212000000000003</v>
      </c>
      <c r="D432" s="60">
        <f>6.0377 * CHOOSE(CONTROL!$C$19, $C$6, 100%, $E$6)</f>
        <v>6.0377000000000001</v>
      </c>
      <c r="E432" s="61">
        <f>6.7649 * CHOOSE(CONTROL!$C$19, $C$6, 100%, $E$6)</f>
        <v>6.7648999999999999</v>
      </c>
      <c r="F432" s="61">
        <f>6.7649 * CHOOSE(CONTROL!$C$19, $C$6, 100%, $E$6)</f>
        <v>6.7648999999999999</v>
      </c>
      <c r="G432" s="61">
        <f>6.7651 * CHOOSE(CONTROL!$C$19, $C$6, 100%, $E$6)</f>
        <v>6.7651000000000003</v>
      </c>
      <c r="H432" s="61">
        <f>10.0428* CHOOSE(CONTROL!$C$19, $C$6, 100%, $E$6)</f>
        <v>10.0428</v>
      </c>
      <c r="I432" s="61">
        <f>10.043 * CHOOSE(CONTROL!$C$19, $C$6, 100%, $E$6)</f>
        <v>10.042999999999999</v>
      </c>
      <c r="J432" s="61">
        <f>6.7649 * CHOOSE(CONTROL!$C$19, $C$6, 100%, $E$6)</f>
        <v>6.7648999999999999</v>
      </c>
      <c r="K432" s="61">
        <f>6.7651 * CHOOSE(CONTROL!$C$19, $C$6, 100%, $E$6)</f>
        <v>6.7651000000000003</v>
      </c>
    </row>
    <row r="433" spans="1:11" ht="15">
      <c r="A433" s="13">
        <v>55244</v>
      </c>
      <c r="B433" s="60">
        <f>6.0208 * CHOOSE(CONTROL!$C$19, $C$6, 100%, $E$6)</f>
        <v>6.0208000000000004</v>
      </c>
      <c r="C433" s="60">
        <f>6.0208 * CHOOSE(CONTROL!$C$19, $C$6, 100%, $E$6)</f>
        <v>6.0208000000000004</v>
      </c>
      <c r="D433" s="60">
        <f>6.0373 * CHOOSE(CONTROL!$C$19, $C$6, 100%, $E$6)</f>
        <v>6.0373000000000001</v>
      </c>
      <c r="E433" s="61">
        <f>6.8476 * CHOOSE(CONTROL!$C$19, $C$6, 100%, $E$6)</f>
        <v>6.8475999999999999</v>
      </c>
      <c r="F433" s="61">
        <f>6.8476 * CHOOSE(CONTROL!$C$19, $C$6, 100%, $E$6)</f>
        <v>6.8475999999999999</v>
      </c>
      <c r="G433" s="61">
        <f>6.8477 * CHOOSE(CONTROL!$C$19, $C$6, 100%, $E$6)</f>
        <v>6.8476999999999997</v>
      </c>
      <c r="H433" s="61">
        <f>10.0637* CHOOSE(CONTROL!$C$19, $C$6, 100%, $E$6)</f>
        <v>10.063700000000001</v>
      </c>
      <c r="I433" s="61">
        <f>10.0639 * CHOOSE(CONTROL!$C$19, $C$6, 100%, $E$6)</f>
        <v>10.0639</v>
      </c>
      <c r="J433" s="61">
        <f>6.8476 * CHOOSE(CONTROL!$C$19, $C$6, 100%, $E$6)</f>
        <v>6.8475999999999999</v>
      </c>
      <c r="K433" s="61">
        <f>6.8477 * CHOOSE(CONTROL!$C$19, $C$6, 100%, $E$6)</f>
        <v>6.8476999999999997</v>
      </c>
    </row>
    <row r="434" spans="1:11" ht="15">
      <c r="A434" s="13">
        <v>55274</v>
      </c>
      <c r="B434" s="60">
        <f>6.0208 * CHOOSE(CONTROL!$C$19, $C$6, 100%, $E$6)</f>
        <v>6.0208000000000004</v>
      </c>
      <c r="C434" s="60">
        <f>6.0208 * CHOOSE(CONTROL!$C$19, $C$6, 100%, $E$6)</f>
        <v>6.0208000000000004</v>
      </c>
      <c r="D434" s="60">
        <f>6.0538 * CHOOSE(CONTROL!$C$19, $C$6, 100%, $E$6)</f>
        <v>6.0537999999999998</v>
      </c>
      <c r="E434" s="61">
        <f>6.8802 * CHOOSE(CONTROL!$C$19, $C$6, 100%, $E$6)</f>
        <v>6.8802000000000003</v>
      </c>
      <c r="F434" s="61">
        <f>6.8802 * CHOOSE(CONTROL!$C$19, $C$6, 100%, $E$6)</f>
        <v>6.8802000000000003</v>
      </c>
      <c r="G434" s="61">
        <f>6.8822 * CHOOSE(CONTROL!$C$19, $C$6, 100%, $E$6)</f>
        <v>6.8822000000000001</v>
      </c>
      <c r="H434" s="61">
        <f>10.0847* CHOOSE(CONTROL!$C$19, $C$6, 100%, $E$6)</f>
        <v>10.0847</v>
      </c>
      <c r="I434" s="61">
        <f>10.0867 * CHOOSE(CONTROL!$C$19, $C$6, 100%, $E$6)</f>
        <v>10.0867</v>
      </c>
      <c r="J434" s="61">
        <f>6.8802 * CHOOSE(CONTROL!$C$19, $C$6, 100%, $E$6)</f>
        <v>6.8802000000000003</v>
      </c>
      <c r="K434" s="61">
        <f>6.8822 * CHOOSE(CONTROL!$C$19, $C$6, 100%, $E$6)</f>
        <v>6.8822000000000001</v>
      </c>
    </row>
    <row r="435" spans="1:11" ht="15">
      <c r="A435" s="13">
        <v>55305</v>
      </c>
      <c r="B435" s="60">
        <f>6.0269 * CHOOSE(CONTROL!$C$19, $C$6, 100%, $E$6)</f>
        <v>6.0269000000000004</v>
      </c>
      <c r="C435" s="60">
        <f>6.0269 * CHOOSE(CONTROL!$C$19, $C$6, 100%, $E$6)</f>
        <v>6.0269000000000004</v>
      </c>
      <c r="D435" s="60">
        <f>6.0599 * CHOOSE(CONTROL!$C$19, $C$6, 100%, $E$6)</f>
        <v>6.0598999999999998</v>
      </c>
      <c r="E435" s="61">
        <f>6.8518 * CHOOSE(CONTROL!$C$19, $C$6, 100%, $E$6)</f>
        <v>6.8517999999999999</v>
      </c>
      <c r="F435" s="61">
        <f>6.8518 * CHOOSE(CONTROL!$C$19, $C$6, 100%, $E$6)</f>
        <v>6.8517999999999999</v>
      </c>
      <c r="G435" s="61">
        <f>6.8539 * CHOOSE(CONTROL!$C$19, $C$6, 100%, $E$6)</f>
        <v>6.8539000000000003</v>
      </c>
      <c r="H435" s="61">
        <f>10.1057* CHOOSE(CONTROL!$C$19, $C$6, 100%, $E$6)</f>
        <v>10.105700000000001</v>
      </c>
      <c r="I435" s="61">
        <f>10.1077 * CHOOSE(CONTROL!$C$19, $C$6, 100%, $E$6)</f>
        <v>10.107699999999999</v>
      </c>
      <c r="J435" s="61">
        <f>6.8518 * CHOOSE(CONTROL!$C$19, $C$6, 100%, $E$6)</f>
        <v>6.8517999999999999</v>
      </c>
      <c r="K435" s="61">
        <f>6.8539 * CHOOSE(CONTROL!$C$19, $C$6, 100%, $E$6)</f>
        <v>6.8539000000000003</v>
      </c>
    </row>
    <row r="436" spans="1:11" ht="15">
      <c r="A436" s="13">
        <v>55335</v>
      </c>
      <c r="B436" s="60">
        <f>6.1182 * CHOOSE(CONTROL!$C$19, $C$6, 100%, $E$6)</f>
        <v>6.1181999999999999</v>
      </c>
      <c r="C436" s="60">
        <f>6.1182 * CHOOSE(CONTROL!$C$19, $C$6, 100%, $E$6)</f>
        <v>6.1181999999999999</v>
      </c>
      <c r="D436" s="60">
        <f>6.1512 * CHOOSE(CONTROL!$C$19, $C$6, 100%, $E$6)</f>
        <v>6.1512000000000002</v>
      </c>
      <c r="E436" s="61">
        <f>6.9825 * CHOOSE(CONTROL!$C$19, $C$6, 100%, $E$6)</f>
        <v>6.9824999999999999</v>
      </c>
      <c r="F436" s="61">
        <f>6.9825 * CHOOSE(CONTROL!$C$19, $C$6, 100%, $E$6)</f>
        <v>6.9824999999999999</v>
      </c>
      <c r="G436" s="61">
        <f>6.9846 * CHOOSE(CONTROL!$C$19, $C$6, 100%, $E$6)</f>
        <v>6.9846000000000004</v>
      </c>
      <c r="H436" s="61">
        <f>10.1267* CHOOSE(CONTROL!$C$19, $C$6, 100%, $E$6)</f>
        <v>10.1267</v>
      </c>
      <c r="I436" s="61">
        <f>10.1288 * CHOOSE(CONTROL!$C$19, $C$6, 100%, $E$6)</f>
        <v>10.1288</v>
      </c>
      <c r="J436" s="61">
        <f>6.9825 * CHOOSE(CONTROL!$C$19, $C$6, 100%, $E$6)</f>
        <v>6.9824999999999999</v>
      </c>
      <c r="K436" s="61">
        <f>6.9846 * CHOOSE(CONTROL!$C$19, $C$6, 100%, $E$6)</f>
        <v>6.9846000000000004</v>
      </c>
    </row>
    <row r="437" spans="1:11" ht="15">
      <c r="A437" s="13">
        <v>55366</v>
      </c>
      <c r="B437" s="60">
        <f>6.1249 * CHOOSE(CONTROL!$C$19, $C$6, 100%, $E$6)</f>
        <v>6.1249000000000002</v>
      </c>
      <c r="C437" s="60">
        <f>6.1249 * CHOOSE(CONTROL!$C$19, $C$6, 100%, $E$6)</f>
        <v>6.1249000000000002</v>
      </c>
      <c r="D437" s="60">
        <f>6.1579 * CHOOSE(CONTROL!$C$19, $C$6, 100%, $E$6)</f>
        <v>6.1578999999999997</v>
      </c>
      <c r="E437" s="61">
        <f>6.8894 * CHOOSE(CONTROL!$C$19, $C$6, 100%, $E$6)</f>
        <v>6.8894000000000002</v>
      </c>
      <c r="F437" s="61">
        <f>6.8894 * CHOOSE(CONTROL!$C$19, $C$6, 100%, $E$6)</f>
        <v>6.8894000000000002</v>
      </c>
      <c r="G437" s="61">
        <f>6.8915 * CHOOSE(CONTROL!$C$19, $C$6, 100%, $E$6)</f>
        <v>6.8914999999999997</v>
      </c>
      <c r="H437" s="61">
        <f>10.1478* CHOOSE(CONTROL!$C$19, $C$6, 100%, $E$6)</f>
        <v>10.1478</v>
      </c>
      <c r="I437" s="61">
        <f>10.1499 * CHOOSE(CONTROL!$C$19, $C$6, 100%, $E$6)</f>
        <v>10.149900000000001</v>
      </c>
      <c r="J437" s="61">
        <f>6.8894 * CHOOSE(CONTROL!$C$19, $C$6, 100%, $E$6)</f>
        <v>6.8894000000000002</v>
      </c>
      <c r="K437" s="61">
        <f>6.8915 * CHOOSE(CONTROL!$C$19, $C$6, 100%, $E$6)</f>
        <v>6.8914999999999997</v>
      </c>
    </row>
    <row r="438" spans="1:11" ht="15">
      <c r="A438" s="13">
        <v>55397</v>
      </c>
      <c r="B438" s="60">
        <f>6.1218 * CHOOSE(CONTROL!$C$19, $C$6, 100%, $E$6)</f>
        <v>6.1218000000000004</v>
      </c>
      <c r="C438" s="60">
        <f>6.1218 * CHOOSE(CONTROL!$C$19, $C$6, 100%, $E$6)</f>
        <v>6.1218000000000004</v>
      </c>
      <c r="D438" s="60">
        <f>6.1548 * CHOOSE(CONTROL!$C$19, $C$6, 100%, $E$6)</f>
        <v>6.1547999999999998</v>
      </c>
      <c r="E438" s="61">
        <f>6.8764 * CHOOSE(CONTROL!$C$19, $C$6, 100%, $E$6)</f>
        <v>6.8764000000000003</v>
      </c>
      <c r="F438" s="61">
        <f>6.8764 * CHOOSE(CONTROL!$C$19, $C$6, 100%, $E$6)</f>
        <v>6.8764000000000003</v>
      </c>
      <c r="G438" s="61">
        <f>6.8785 * CHOOSE(CONTROL!$C$19, $C$6, 100%, $E$6)</f>
        <v>6.8784999999999998</v>
      </c>
      <c r="H438" s="61">
        <f>10.169* CHOOSE(CONTROL!$C$19, $C$6, 100%, $E$6)</f>
        <v>10.169</v>
      </c>
      <c r="I438" s="61">
        <f>10.171 * CHOOSE(CONTROL!$C$19, $C$6, 100%, $E$6)</f>
        <v>10.170999999999999</v>
      </c>
      <c r="J438" s="61">
        <f>6.8764 * CHOOSE(CONTROL!$C$19, $C$6, 100%, $E$6)</f>
        <v>6.8764000000000003</v>
      </c>
      <c r="K438" s="61">
        <f>6.8785 * CHOOSE(CONTROL!$C$19, $C$6, 100%, $E$6)</f>
        <v>6.8784999999999998</v>
      </c>
    </row>
    <row r="439" spans="1:11" ht="15">
      <c r="A439" s="13">
        <v>55427</v>
      </c>
      <c r="B439" s="60">
        <f>6.125 * CHOOSE(CONTROL!$C$19, $C$6, 100%, $E$6)</f>
        <v>6.125</v>
      </c>
      <c r="C439" s="60">
        <f>6.125 * CHOOSE(CONTROL!$C$19, $C$6, 100%, $E$6)</f>
        <v>6.125</v>
      </c>
      <c r="D439" s="60">
        <f>6.1415 * CHOOSE(CONTROL!$C$19, $C$6, 100%, $E$6)</f>
        <v>6.1414999999999997</v>
      </c>
      <c r="E439" s="61">
        <f>6.9065 * CHOOSE(CONTROL!$C$19, $C$6, 100%, $E$6)</f>
        <v>6.9065000000000003</v>
      </c>
      <c r="F439" s="61">
        <f>6.9065 * CHOOSE(CONTROL!$C$19, $C$6, 100%, $E$6)</f>
        <v>6.9065000000000003</v>
      </c>
      <c r="G439" s="61">
        <f>6.9066 * CHOOSE(CONTROL!$C$19, $C$6, 100%, $E$6)</f>
        <v>6.9066000000000001</v>
      </c>
      <c r="H439" s="61">
        <f>10.1902* CHOOSE(CONTROL!$C$19, $C$6, 100%, $E$6)</f>
        <v>10.190200000000001</v>
      </c>
      <c r="I439" s="61">
        <f>10.1903 * CHOOSE(CONTROL!$C$19, $C$6, 100%, $E$6)</f>
        <v>10.190300000000001</v>
      </c>
      <c r="J439" s="61">
        <f>6.9065 * CHOOSE(CONTROL!$C$19, $C$6, 100%, $E$6)</f>
        <v>6.9065000000000003</v>
      </c>
      <c r="K439" s="61">
        <f>6.9066 * CHOOSE(CONTROL!$C$19, $C$6, 100%, $E$6)</f>
        <v>6.9066000000000001</v>
      </c>
    </row>
    <row r="440" spans="1:11" ht="15">
      <c r="A440" s="13">
        <v>55458</v>
      </c>
      <c r="B440" s="60">
        <f>6.1281 * CHOOSE(CONTROL!$C$19, $C$6, 100%, $E$6)</f>
        <v>6.1280999999999999</v>
      </c>
      <c r="C440" s="60">
        <f>6.1281 * CHOOSE(CONTROL!$C$19, $C$6, 100%, $E$6)</f>
        <v>6.1280999999999999</v>
      </c>
      <c r="D440" s="60">
        <f>6.1446 * CHOOSE(CONTROL!$C$19, $C$6, 100%, $E$6)</f>
        <v>6.1445999999999996</v>
      </c>
      <c r="E440" s="61">
        <f>6.9303 * CHOOSE(CONTROL!$C$19, $C$6, 100%, $E$6)</f>
        <v>6.9302999999999999</v>
      </c>
      <c r="F440" s="61">
        <f>6.9303 * CHOOSE(CONTROL!$C$19, $C$6, 100%, $E$6)</f>
        <v>6.9302999999999999</v>
      </c>
      <c r="G440" s="61">
        <f>6.9305 * CHOOSE(CONTROL!$C$19, $C$6, 100%, $E$6)</f>
        <v>6.9305000000000003</v>
      </c>
      <c r="H440" s="61">
        <f>10.2114* CHOOSE(CONTROL!$C$19, $C$6, 100%, $E$6)</f>
        <v>10.211399999999999</v>
      </c>
      <c r="I440" s="61">
        <f>10.2116 * CHOOSE(CONTROL!$C$19, $C$6, 100%, $E$6)</f>
        <v>10.211600000000001</v>
      </c>
      <c r="J440" s="61">
        <f>6.9303 * CHOOSE(CONTROL!$C$19, $C$6, 100%, $E$6)</f>
        <v>6.9302999999999999</v>
      </c>
      <c r="K440" s="61">
        <f>6.9305 * CHOOSE(CONTROL!$C$19, $C$6, 100%, $E$6)</f>
        <v>6.9305000000000003</v>
      </c>
    </row>
    <row r="441" spans="1:11" ht="15">
      <c r="A441" s="13">
        <v>55488</v>
      </c>
      <c r="B441" s="60">
        <f>6.1281 * CHOOSE(CONTROL!$C$19, $C$6, 100%, $E$6)</f>
        <v>6.1280999999999999</v>
      </c>
      <c r="C441" s="60">
        <f>6.1281 * CHOOSE(CONTROL!$C$19, $C$6, 100%, $E$6)</f>
        <v>6.1280999999999999</v>
      </c>
      <c r="D441" s="60">
        <f>6.1446 * CHOOSE(CONTROL!$C$19, $C$6, 100%, $E$6)</f>
        <v>6.1445999999999996</v>
      </c>
      <c r="E441" s="61">
        <f>6.876 * CHOOSE(CONTROL!$C$19, $C$6, 100%, $E$6)</f>
        <v>6.8760000000000003</v>
      </c>
      <c r="F441" s="61">
        <f>6.876 * CHOOSE(CONTROL!$C$19, $C$6, 100%, $E$6)</f>
        <v>6.8760000000000003</v>
      </c>
      <c r="G441" s="61">
        <f>6.8762 * CHOOSE(CONTROL!$C$19, $C$6, 100%, $E$6)</f>
        <v>6.8761999999999999</v>
      </c>
      <c r="H441" s="61">
        <f>10.2327* CHOOSE(CONTROL!$C$19, $C$6, 100%, $E$6)</f>
        <v>10.232699999999999</v>
      </c>
      <c r="I441" s="61">
        <f>10.2328 * CHOOSE(CONTROL!$C$19, $C$6, 100%, $E$6)</f>
        <v>10.232799999999999</v>
      </c>
      <c r="J441" s="61">
        <f>6.876 * CHOOSE(CONTROL!$C$19, $C$6, 100%, $E$6)</f>
        <v>6.8760000000000003</v>
      </c>
      <c r="K441" s="61">
        <f>6.8762 * CHOOSE(CONTROL!$C$19, $C$6, 100%, $E$6)</f>
        <v>6.8761999999999999</v>
      </c>
    </row>
    <row r="442" spans="1:11" ht="15">
      <c r="A442" s="13">
        <v>55519</v>
      </c>
      <c r="B442" s="60">
        <f>6.1802 * CHOOSE(CONTROL!$C$19, $C$6, 100%, $E$6)</f>
        <v>6.1802000000000001</v>
      </c>
      <c r="C442" s="60">
        <f>6.1802 * CHOOSE(CONTROL!$C$19, $C$6, 100%, $E$6)</f>
        <v>6.1802000000000001</v>
      </c>
      <c r="D442" s="60">
        <f>6.1967 * CHOOSE(CONTROL!$C$19, $C$6, 100%, $E$6)</f>
        <v>6.1966999999999999</v>
      </c>
      <c r="E442" s="61">
        <f>6.9816 * CHOOSE(CONTROL!$C$19, $C$6, 100%, $E$6)</f>
        <v>6.9816000000000003</v>
      </c>
      <c r="F442" s="61">
        <f>6.9816 * CHOOSE(CONTROL!$C$19, $C$6, 100%, $E$6)</f>
        <v>6.9816000000000003</v>
      </c>
      <c r="G442" s="61">
        <f>6.9817 * CHOOSE(CONTROL!$C$19, $C$6, 100%, $E$6)</f>
        <v>6.9817</v>
      </c>
      <c r="H442" s="61">
        <f>10.254* CHOOSE(CONTROL!$C$19, $C$6, 100%, $E$6)</f>
        <v>10.254</v>
      </c>
      <c r="I442" s="61">
        <f>10.2542 * CHOOSE(CONTROL!$C$19, $C$6, 100%, $E$6)</f>
        <v>10.254200000000001</v>
      </c>
      <c r="J442" s="61">
        <f>6.9816 * CHOOSE(CONTROL!$C$19, $C$6, 100%, $E$6)</f>
        <v>6.9816000000000003</v>
      </c>
      <c r="K442" s="61">
        <f>6.9817 * CHOOSE(CONTROL!$C$19, $C$6, 100%, $E$6)</f>
        <v>6.9817</v>
      </c>
    </row>
    <row r="443" spans="1:11" ht="15">
      <c r="A443" s="13">
        <v>55550</v>
      </c>
      <c r="B443" s="60">
        <f>6.1772 * CHOOSE(CONTROL!$C$19, $C$6, 100%, $E$6)</f>
        <v>6.1772</v>
      </c>
      <c r="C443" s="60">
        <f>6.1772 * CHOOSE(CONTROL!$C$19, $C$6, 100%, $E$6)</f>
        <v>6.1772</v>
      </c>
      <c r="D443" s="60">
        <f>6.1937 * CHOOSE(CONTROL!$C$19, $C$6, 100%, $E$6)</f>
        <v>6.1936999999999998</v>
      </c>
      <c r="E443" s="61">
        <f>6.8735 * CHOOSE(CONTROL!$C$19, $C$6, 100%, $E$6)</f>
        <v>6.8734999999999999</v>
      </c>
      <c r="F443" s="61">
        <f>6.8735 * CHOOSE(CONTROL!$C$19, $C$6, 100%, $E$6)</f>
        <v>6.8734999999999999</v>
      </c>
      <c r="G443" s="61">
        <f>6.8737 * CHOOSE(CONTROL!$C$19, $C$6, 100%, $E$6)</f>
        <v>6.8737000000000004</v>
      </c>
      <c r="H443" s="61">
        <f>10.2754* CHOOSE(CONTROL!$C$19, $C$6, 100%, $E$6)</f>
        <v>10.275399999999999</v>
      </c>
      <c r="I443" s="61">
        <f>10.2755 * CHOOSE(CONTROL!$C$19, $C$6, 100%, $E$6)</f>
        <v>10.275499999999999</v>
      </c>
      <c r="J443" s="61">
        <f>6.8735 * CHOOSE(CONTROL!$C$19, $C$6, 100%, $E$6)</f>
        <v>6.8734999999999999</v>
      </c>
      <c r="K443" s="61">
        <f>6.8737 * CHOOSE(CONTROL!$C$19, $C$6, 100%, $E$6)</f>
        <v>6.8737000000000004</v>
      </c>
    </row>
    <row r="444" spans="1:11" ht="15">
      <c r="A444" s="13">
        <v>55579</v>
      </c>
      <c r="B444" s="60">
        <f>6.1741 * CHOOSE(CONTROL!$C$19, $C$6, 100%, $E$6)</f>
        <v>6.1741000000000001</v>
      </c>
      <c r="C444" s="60">
        <f>6.1741 * CHOOSE(CONTROL!$C$19, $C$6, 100%, $E$6)</f>
        <v>6.1741000000000001</v>
      </c>
      <c r="D444" s="60">
        <f>6.1906 * CHOOSE(CONTROL!$C$19, $C$6, 100%, $E$6)</f>
        <v>6.1905999999999999</v>
      </c>
      <c r="E444" s="61">
        <f>6.9549 * CHOOSE(CONTROL!$C$19, $C$6, 100%, $E$6)</f>
        <v>6.9549000000000003</v>
      </c>
      <c r="F444" s="61">
        <f>6.9549 * CHOOSE(CONTROL!$C$19, $C$6, 100%, $E$6)</f>
        <v>6.9549000000000003</v>
      </c>
      <c r="G444" s="61">
        <f>6.9551 * CHOOSE(CONTROL!$C$19, $C$6, 100%, $E$6)</f>
        <v>6.9550999999999998</v>
      </c>
      <c r="H444" s="61">
        <f>10.2968* CHOOSE(CONTROL!$C$19, $C$6, 100%, $E$6)</f>
        <v>10.296799999999999</v>
      </c>
      <c r="I444" s="61">
        <f>10.2969 * CHOOSE(CONTROL!$C$19, $C$6, 100%, $E$6)</f>
        <v>10.296900000000001</v>
      </c>
      <c r="J444" s="61">
        <f>6.9549 * CHOOSE(CONTROL!$C$19, $C$6, 100%, $E$6)</f>
        <v>6.9549000000000003</v>
      </c>
      <c r="K444" s="61">
        <f>6.9551 * CHOOSE(CONTROL!$C$19, $C$6, 100%, $E$6)</f>
        <v>6.9550999999999998</v>
      </c>
    </row>
    <row r="445" spans="1:11" ht="15">
      <c r="A445" s="13">
        <v>55610</v>
      </c>
      <c r="B445" s="60">
        <f>6.1739 * CHOOSE(CONTROL!$C$19, $C$6, 100%, $E$6)</f>
        <v>6.1738999999999997</v>
      </c>
      <c r="C445" s="60">
        <f>6.1739 * CHOOSE(CONTROL!$C$19, $C$6, 100%, $E$6)</f>
        <v>6.1738999999999997</v>
      </c>
      <c r="D445" s="60">
        <f>6.1904 * CHOOSE(CONTROL!$C$19, $C$6, 100%, $E$6)</f>
        <v>6.1904000000000003</v>
      </c>
      <c r="E445" s="61">
        <f>7.0403 * CHOOSE(CONTROL!$C$19, $C$6, 100%, $E$6)</f>
        <v>7.0403000000000002</v>
      </c>
      <c r="F445" s="61">
        <f>7.0403 * CHOOSE(CONTROL!$C$19, $C$6, 100%, $E$6)</f>
        <v>7.0403000000000002</v>
      </c>
      <c r="G445" s="61">
        <f>7.0405 * CHOOSE(CONTROL!$C$19, $C$6, 100%, $E$6)</f>
        <v>7.0404999999999998</v>
      </c>
      <c r="H445" s="61">
        <f>10.3182* CHOOSE(CONTROL!$C$19, $C$6, 100%, $E$6)</f>
        <v>10.318199999999999</v>
      </c>
      <c r="I445" s="61">
        <f>10.3184 * CHOOSE(CONTROL!$C$19, $C$6, 100%, $E$6)</f>
        <v>10.3184</v>
      </c>
      <c r="J445" s="61">
        <f>7.0403 * CHOOSE(CONTROL!$C$19, $C$6, 100%, $E$6)</f>
        <v>7.0403000000000002</v>
      </c>
      <c r="K445" s="61">
        <f>7.0405 * CHOOSE(CONTROL!$C$19, $C$6, 100%, $E$6)</f>
        <v>7.0404999999999998</v>
      </c>
    </row>
    <row r="446" spans="1:11" ht="15">
      <c r="A446" s="13">
        <v>55640</v>
      </c>
      <c r="B446" s="60">
        <f>6.1739 * CHOOSE(CONTROL!$C$19, $C$6, 100%, $E$6)</f>
        <v>6.1738999999999997</v>
      </c>
      <c r="C446" s="60">
        <f>6.1739 * CHOOSE(CONTROL!$C$19, $C$6, 100%, $E$6)</f>
        <v>6.1738999999999997</v>
      </c>
      <c r="D446" s="60">
        <f>6.2069 * CHOOSE(CONTROL!$C$19, $C$6, 100%, $E$6)</f>
        <v>6.2069000000000001</v>
      </c>
      <c r="E446" s="61">
        <f>7.074 * CHOOSE(CONTROL!$C$19, $C$6, 100%, $E$6)</f>
        <v>7.0739999999999998</v>
      </c>
      <c r="F446" s="61">
        <f>7.074 * CHOOSE(CONTROL!$C$19, $C$6, 100%, $E$6)</f>
        <v>7.0739999999999998</v>
      </c>
      <c r="G446" s="61">
        <f>7.076 * CHOOSE(CONTROL!$C$19, $C$6, 100%, $E$6)</f>
        <v>7.0759999999999996</v>
      </c>
      <c r="H446" s="61">
        <f>10.3397* CHOOSE(CONTROL!$C$19, $C$6, 100%, $E$6)</f>
        <v>10.339700000000001</v>
      </c>
      <c r="I446" s="61">
        <f>10.3418 * CHOOSE(CONTROL!$C$19, $C$6, 100%, $E$6)</f>
        <v>10.341799999999999</v>
      </c>
      <c r="J446" s="61">
        <f>7.074 * CHOOSE(CONTROL!$C$19, $C$6, 100%, $E$6)</f>
        <v>7.0739999999999998</v>
      </c>
      <c r="K446" s="61">
        <f>7.076 * CHOOSE(CONTROL!$C$19, $C$6, 100%, $E$6)</f>
        <v>7.0759999999999996</v>
      </c>
    </row>
    <row r="447" spans="1:11" ht="15">
      <c r="A447" s="13">
        <v>55671</v>
      </c>
      <c r="B447" s="60">
        <f>6.18 * CHOOSE(CONTROL!$C$19, $C$6, 100%, $E$6)</f>
        <v>6.18</v>
      </c>
      <c r="C447" s="60">
        <f>6.18 * CHOOSE(CONTROL!$C$19, $C$6, 100%, $E$6)</f>
        <v>6.18</v>
      </c>
      <c r="D447" s="60">
        <f>6.213 * CHOOSE(CONTROL!$C$19, $C$6, 100%, $E$6)</f>
        <v>6.2130000000000001</v>
      </c>
      <c r="E447" s="61">
        <f>7.0446 * CHOOSE(CONTROL!$C$19, $C$6, 100%, $E$6)</f>
        <v>7.0446</v>
      </c>
      <c r="F447" s="61">
        <f>7.0446 * CHOOSE(CONTROL!$C$19, $C$6, 100%, $E$6)</f>
        <v>7.0446</v>
      </c>
      <c r="G447" s="61">
        <f>7.0466 * CHOOSE(CONTROL!$C$19, $C$6, 100%, $E$6)</f>
        <v>7.0465999999999998</v>
      </c>
      <c r="H447" s="61">
        <f>10.3612* CHOOSE(CONTROL!$C$19, $C$6, 100%, $E$6)</f>
        <v>10.3612</v>
      </c>
      <c r="I447" s="61">
        <f>10.3633 * CHOOSE(CONTROL!$C$19, $C$6, 100%, $E$6)</f>
        <v>10.363300000000001</v>
      </c>
      <c r="J447" s="61">
        <f>7.0446 * CHOOSE(CONTROL!$C$19, $C$6, 100%, $E$6)</f>
        <v>7.0446</v>
      </c>
      <c r="K447" s="61">
        <f>7.0466 * CHOOSE(CONTROL!$C$19, $C$6, 100%, $E$6)</f>
        <v>7.0465999999999998</v>
      </c>
    </row>
    <row r="448" spans="1:11" ht="15">
      <c r="A448" s="13">
        <v>55701</v>
      </c>
      <c r="B448" s="60">
        <f>6.2732 * CHOOSE(CONTROL!$C$19, $C$6, 100%, $E$6)</f>
        <v>6.2732000000000001</v>
      </c>
      <c r="C448" s="60">
        <f>6.2732 * CHOOSE(CONTROL!$C$19, $C$6, 100%, $E$6)</f>
        <v>6.2732000000000001</v>
      </c>
      <c r="D448" s="60">
        <f>6.3062 * CHOOSE(CONTROL!$C$19, $C$6, 100%, $E$6)</f>
        <v>6.3061999999999996</v>
      </c>
      <c r="E448" s="61">
        <f>7.1787 * CHOOSE(CONTROL!$C$19, $C$6, 100%, $E$6)</f>
        <v>7.1787000000000001</v>
      </c>
      <c r="F448" s="61">
        <f>7.1787 * CHOOSE(CONTROL!$C$19, $C$6, 100%, $E$6)</f>
        <v>7.1787000000000001</v>
      </c>
      <c r="G448" s="61">
        <f>7.1807 * CHOOSE(CONTROL!$C$19, $C$6, 100%, $E$6)</f>
        <v>7.1806999999999999</v>
      </c>
      <c r="H448" s="61">
        <f>10.3828* CHOOSE(CONTROL!$C$19, $C$6, 100%, $E$6)</f>
        <v>10.3828</v>
      </c>
      <c r="I448" s="61">
        <f>10.3849 * CHOOSE(CONTROL!$C$19, $C$6, 100%, $E$6)</f>
        <v>10.3849</v>
      </c>
      <c r="J448" s="61">
        <f>7.1787 * CHOOSE(CONTROL!$C$19, $C$6, 100%, $E$6)</f>
        <v>7.1787000000000001</v>
      </c>
      <c r="K448" s="61">
        <f>7.1807 * CHOOSE(CONTROL!$C$19, $C$6, 100%, $E$6)</f>
        <v>7.1806999999999999</v>
      </c>
    </row>
    <row r="449" spans="1:11" ht="15">
      <c r="A449" s="13">
        <v>55732</v>
      </c>
      <c r="B449" s="60">
        <f>6.2799 * CHOOSE(CONTROL!$C$19, $C$6, 100%, $E$6)</f>
        <v>6.2798999999999996</v>
      </c>
      <c r="C449" s="60">
        <f>6.2799 * CHOOSE(CONTROL!$C$19, $C$6, 100%, $E$6)</f>
        <v>6.2798999999999996</v>
      </c>
      <c r="D449" s="60">
        <f>6.3129 * CHOOSE(CONTROL!$C$19, $C$6, 100%, $E$6)</f>
        <v>6.3129</v>
      </c>
      <c r="E449" s="61">
        <f>7.0824 * CHOOSE(CONTROL!$C$19, $C$6, 100%, $E$6)</f>
        <v>7.0823999999999998</v>
      </c>
      <c r="F449" s="61">
        <f>7.0824 * CHOOSE(CONTROL!$C$19, $C$6, 100%, $E$6)</f>
        <v>7.0823999999999998</v>
      </c>
      <c r="G449" s="61">
        <f>7.0845 * CHOOSE(CONTROL!$C$19, $C$6, 100%, $E$6)</f>
        <v>7.0845000000000002</v>
      </c>
      <c r="H449" s="61">
        <f>10.4045* CHOOSE(CONTROL!$C$19, $C$6, 100%, $E$6)</f>
        <v>10.404500000000001</v>
      </c>
      <c r="I449" s="61">
        <f>10.4065 * CHOOSE(CONTROL!$C$19, $C$6, 100%, $E$6)</f>
        <v>10.406499999999999</v>
      </c>
      <c r="J449" s="61">
        <f>7.0824 * CHOOSE(CONTROL!$C$19, $C$6, 100%, $E$6)</f>
        <v>7.0823999999999998</v>
      </c>
      <c r="K449" s="61">
        <f>7.0845 * CHOOSE(CONTROL!$C$19, $C$6, 100%, $E$6)</f>
        <v>7.0845000000000002</v>
      </c>
    </row>
    <row r="450" spans="1:11" ht="15">
      <c r="A450" s="13">
        <v>55763</v>
      </c>
      <c r="B450" s="60">
        <f>6.2769 * CHOOSE(CONTROL!$C$19, $C$6, 100%, $E$6)</f>
        <v>6.2769000000000004</v>
      </c>
      <c r="C450" s="60">
        <f>6.2769 * CHOOSE(CONTROL!$C$19, $C$6, 100%, $E$6)</f>
        <v>6.2769000000000004</v>
      </c>
      <c r="D450" s="60">
        <f>6.3099 * CHOOSE(CONTROL!$C$19, $C$6, 100%, $E$6)</f>
        <v>6.3098999999999998</v>
      </c>
      <c r="E450" s="61">
        <f>7.0691 * CHOOSE(CONTROL!$C$19, $C$6, 100%, $E$6)</f>
        <v>7.0690999999999997</v>
      </c>
      <c r="F450" s="61">
        <f>7.0691 * CHOOSE(CONTROL!$C$19, $C$6, 100%, $E$6)</f>
        <v>7.0690999999999997</v>
      </c>
      <c r="G450" s="61">
        <f>7.0712 * CHOOSE(CONTROL!$C$19, $C$6, 100%, $E$6)</f>
        <v>7.0712000000000002</v>
      </c>
      <c r="H450" s="61">
        <f>10.4261* CHOOSE(CONTROL!$C$19, $C$6, 100%, $E$6)</f>
        <v>10.4261</v>
      </c>
      <c r="I450" s="61">
        <f>10.4282 * CHOOSE(CONTROL!$C$19, $C$6, 100%, $E$6)</f>
        <v>10.4282</v>
      </c>
      <c r="J450" s="61">
        <f>7.0691 * CHOOSE(CONTROL!$C$19, $C$6, 100%, $E$6)</f>
        <v>7.0690999999999997</v>
      </c>
      <c r="K450" s="61">
        <f>7.0712 * CHOOSE(CONTROL!$C$19, $C$6, 100%, $E$6)</f>
        <v>7.0712000000000002</v>
      </c>
    </row>
    <row r="451" spans="1:11" ht="15">
      <c r="A451" s="13">
        <v>55793</v>
      </c>
      <c r="B451" s="60">
        <f>6.2806 * CHOOSE(CONTROL!$C$19, $C$6, 100%, $E$6)</f>
        <v>6.2805999999999997</v>
      </c>
      <c r="C451" s="60">
        <f>6.2806 * CHOOSE(CONTROL!$C$19, $C$6, 100%, $E$6)</f>
        <v>6.2805999999999997</v>
      </c>
      <c r="D451" s="60">
        <f>6.2971 * CHOOSE(CONTROL!$C$19, $C$6, 100%, $E$6)</f>
        <v>6.2971000000000004</v>
      </c>
      <c r="E451" s="61">
        <f>7.1005 * CHOOSE(CONTROL!$C$19, $C$6, 100%, $E$6)</f>
        <v>7.1005000000000003</v>
      </c>
      <c r="F451" s="61">
        <f>7.1005 * CHOOSE(CONTROL!$C$19, $C$6, 100%, $E$6)</f>
        <v>7.1005000000000003</v>
      </c>
      <c r="G451" s="61">
        <f>7.1007 * CHOOSE(CONTROL!$C$19, $C$6, 100%, $E$6)</f>
        <v>7.1006999999999998</v>
      </c>
      <c r="H451" s="61">
        <f>10.4479* CHOOSE(CONTROL!$C$19, $C$6, 100%, $E$6)</f>
        <v>10.447900000000001</v>
      </c>
      <c r="I451" s="61">
        <f>10.448 * CHOOSE(CONTROL!$C$19, $C$6, 100%, $E$6)</f>
        <v>10.448</v>
      </c>
      <c r="J451" s="61">
        <f>7.1005 * CHOOSE(CONTROL!$C$19, $C$6, 100%, $E$6)</f>
        <v>7.1005000000000003</v>
      </c>
      <c r="K451" s="61">
        <f>7.1007 * CHOOSE(CONTROL!$C$19, $C$6, 100%, $E$6)</f>
        <v>7.1006999999999998</v>
      </c>
    </row>
    <row r="452" spans="1:11" ht="15">
      <c r="A452" s="13">
        <v>55824</v>
      </c>
      <c r="B452" s="60">
        <f>6.2837 * CHOOSE(CONTROL!$C$19, $C$6, 100%, $E$6)</f>
        <v>6.2836999999999996</v>
      </c>
      <c r="C452" s="60">
        <f>6.2837 * CHOOSE(CONTROL!$C$19, $C$6, 100%, $E$6)</f>
        <v>6.2836999999999996</v>
      </c>
      <c r="D452" s="60">
        <f>6.3002 * CHOOSE(CONTROL!$C$19, $C$6, 100%, $E$6)</f>
        <v>6.3002000000000002</v>
      </c>
      <c r="E452" s="61">
        <f>7.1251 * CHOOSE(CONTROL!$C$19, $C$6, 100%, $E$6)</f>
        <v>7.1250999999999998</v>
      </c>
      <c r="F452" s="61">
        <f>7.1251 * CHOOSE(CONTROL!$C$19, $C$6, 100%, $E$6)</f>
        <v>7.1250999999999998</v>
      </c>
      <c r="G452" s="61">
        <f>7.1252 * CHOOSE(CONTROL!$C$19, $C$6, 100%, $E$6)</f>
        <v>7.1252000000000004</v>
      </c>
      <c r="H452" s="61">
        <f>10.4696* CHOOSE(CONTROL!$C$19, $C$6, 100%, $E$6)</f>
        <v>10.4696</v>
      </c>
      <c r="I452" s="61">
        <f>10.4698 * CHOOSE(CONTROL!$C$19, $C$6, 100%, $E$6)</f>
        <v>10.469799999999999</v>
      </c>
      <c r="J452" s="61">
        <f>7.1251 * CHOOSE(CONTROL!$C$19, $C$6, 100%, $E$6)</f>
        <v>7.1250999999999998</v>
      </c>
      <c r="K452" s="61">
        <f>7.1252 * CHOOSE(CONTROL!$C$19, $C$6, 100%, $E$6)</f>
        <v>7.1252000000000004</v>
      </c>
    </row>
    <row r="453" spans="1:11" ht="15">
      <c r="A453" s="13">
        <v>55854</v>
      </c>
      <c r="B453" s="60">
        <f>6.2837 * CHOOSE(CONTROL!$C$19, $C$6, 100%, $E$6)</f>
        <v>6.2836999999999996</v>
      </c>
      <c r="C453" s="60">
        <f>6.2837 * CHOOSE(CONTROL!$C$19, $C$6, 100%, $E$6)</f>
        <v>6.2836999999999996</v>
      </c>
      <c r="D453" s="60">
        <f>6.3002 * CHOOSE(CONTROL!$C$19, $C$6, 100%, $E$6)</f>
        <v>6.3002000000000002</v>
      </c>
      <c r="E453" s="61">
        <f>7.069 * CHOOSE(CONTROL!$C$19, $C$6, 100%, $E$6)</f>
        <v>7.069</v>
      </c>
      <c r="F453" s="61">
        <f>7.069 * CHOOSE(CONTROL!$C$19, $C$6, 100%, $E$6)</f>
        <v>7.069</v>
      </c>
      <c r="G453" s="61">
        <f>7.0692 * CHOOSE(CONTROL!$C$19, $C$6, 100%, $E$6)</f>
        <v>7.0692000000000004</v>
      </c>
      <c r="H453" s="61">
        <f>10.4914* CHOOSE(CONTROL!$C$19, $C$6, 100%, $E$6)</f>
        <v>10.491400000000001</v>
      </c>
      <c r="I453" s="61">
        <f>10.4916 * CHOOSE(CONTROL!$C$19, $C$6, 100%, $E$6)</f>
        <v>10.4916</v>
      </c>
      <c r="J453" s="61">
        <f>7.069 * CHOOSE(CONTROL!$C$19, $C$6, 100%, $E$6)</f>
        <v>7.069</v>
      </c>
      <c r="K453" s="61">
        <f>7.0692 * CHOOSE(CONTROL!$C$19, $C$6, 100%, $E$6)</f>
        <v>7.0692000000000004</v>
      </c>
    </row>
    <row r="454" spans="1:11" ht="15">
      <c r="A454" s="13">
        <v>55885</v>
      </c>
      <c r="B454" s="60">
        <f>6.337 * CHOOSE(CONTROL!$C$19, $C$6, 100%, $E$6)</f>
        <v>6.3369999999999997</v>
      </c>
      <c r="C454" s="60">
        <f>6.337 * CHOOSE(CONTROL!$C$19, $C$6, 100%, $E$6)</f>
        <v>6.3369999999999997</v>
      </c>
      <c r="D454" s="60">
        <f>6.3535 * CHOOSE(CONTROL!$C$19, $C$6, 100%, $E$6)</f>
        <v>6.3535000000000004</v>
      </c>
      <c r="E454" s="61">
        <f>7.1777 * CHOOSE(CONTROL!$C$19, $C$6, 100%, $E$6)</f>
        <v>7.1776999999999997</v>
      </c>
      <c r="F454" s="61">
        <f>7.1777 * CHOOSE(CONTROL!$C$19, $C$6, 100%, $E$6)</f>
        <v>7.1776999999999997</v>
      </c>
      <c r="G454" s="61">
        <f>7.1778 * CHOOSE(CONTROL!$C$19, $C$6, 100%, $E$6)</f>
        <v>7.1778000000000004</v>
      </c>
      <c r="H454" s="61">
        <f>10.5133* CHOOSE(CONTROL!$C$19, $C$6, 100%, $E$6)</f>
        <v>10.513299999999999</v>
      </c>
      <c r="I454" s="61">
        <f>10.5135 * CHOOSE(CONTROL!$C$19, $C$6, 100%, $E$6)</f>
        <v>10.513500000000001</v>
      </c>
      <c r="J454" s="61">
        <f>7.1777 * CHOOSE(CONTROL!$C$19, $C$6, 100%, $E$6)</f>
        <v>7.1776999999999997</v>
      </c>
      <c r="K454" s="61">
        <f>7.1778 * CHOOSE(CONTROL!$C$19, $C$6, 100%, $E$6)</f>
        <v>7.1778000000000004</v>
      </c>
    </row>
    <row r="455" spans="1:11" ht="15">
      <c r="A455" s="13">
        <v>55916</v>
      </c>
      <c r="B455" s="60">
        <f>6.334 * CHOOSE(CONTROL!$C$19, $C$6, 100%, $E$6)</f>
        <v>6.3339999999999996</v>
      </c>
      <c r="C455" s="60">
        <f>6.334 * CHOOSE(CONTROL!$C$19, $C$6, 100%, $E$6)</f>
        <v>6.3339999999999996</v>
      </c>
      <c r="D455" s="60">
        <f>6.3505 * CHOOSE(CONTROL!$C$19, $C$6, 100%, $E$6)</f>
        <v>6.3505000000000003</v>
      </c>
      <c r="E455" s="61">
        <f>7.0663 * CHOOSE(CONTROL!$C$19, $C$6, 100%, $E$6)</f>
        <v>7.0663</v>
      </c>
      <c r="F455" s="61">
        <f>7.0663 * CHOOSE(CONTROL!$C$19, $C$6, 100%, $E$6)</f>
        <v>7.0663</v>
      </c>
      <c r="G455" s="61">
        <f>7.0664 * CHOOSE(CONTROL!$C$19, $C$6, 100%, $E$6)</f>
        <v>7.0663999999999998</v>
      </c>
      <c r="H455" s="61">
        <f>10.5352* CHOOSE(CONTROL!$C$19, $C$6, 100%, $E$6)</f>
        <v>10.5352</v>
      </c>
      <c r="I455" s="61">
        <f>10.5354 * CHOOSE(CONTROL!$C$19, $C$6, 100%, $E$6)</f>
        <v>10.535399999999999</v>
      </c>
      <c r="J455" s="61">
        <f>7.0663 * CHOOSE(CONTROL!$C$19, $C$6, 100%, $E$6)</f>
        <v>7.0663</v>
      </c>
      <c r="K455" s="61">
        <f>7.0664 * CHOOSE(CONTROL!$C$19, $C$6, 100%, $E$6)</f>
        <v>7.0663999999999998</v>
      </c>
    </row>
    <row r="456" spans="1:11" ht="15">
      <c r="A456" s="13">
        <v>55944</v>
      </c>
      <c r="B456" s="60">
        <f>6.331 * CHOOSE(CONTROL!$C$19, $C$6, 100%, $E$6)</f>
        <v>6.3310000000000004</v>
      </c>
      <c r="C456" s="60">
        <f>6.331 * CHOOSE(CONTROL!$C$19, $C$6, 100%, $E$6)</f>
        <v>6.3310000000000004</v>
      </c>
      <c r="D456" s="60">
        <f>6.3475 * CHOOSE(CONTROL!$C$19, $C$6, 100%, $E$6)</f>
        <v>6.3475000000000001</v>
      </c>
      <c r="E456" s="61">
        <f>7.1503 * CHOOSE(CONTROL!$C$19, $C$6, 100%, $E$6)</f>
        <v>7.1502999999999997</v>
      </c>
      <c r="F456" s="61">
        <f>7.1503 * CHOOSE(CONTROL!$C$19, $C$6, 100%, $E$6)</f>
        <v>7.1502999999999997</v>
      </c>
      <c r="G456" s="61">
        <f>7.1505 * CHOOSE(CONTROL!$C$19, $C$6, 100%, $E$6)</f>
        <v>7.1505000000000001</v>
      </c>
      <c r="H456" s="61">
        <f>10.5571* CHOOSE(CONTROL!$C$19, $C$6, 100%, $E$6)</f>
        <v>10.5571</v>
      </c>
      <c r="I456" s="61">
        <f>10.5573 * CHOOSE(CONTROL!$C$19, $C$6, 100%, $E$6)</f>
        <v>10.5573</v>
      </c>
      <c r="J456" s="61">
        <f>7.1503 * CHOOSE(CONTROL!$C$19, $C$6, 100%, $E$6)</f>
        <v>7.1502999999999997</v>
      </c>
      <c r="K456" s="61">
        <f>7.1505 * CHOOSE(CONTROL!$C$19, $C$6, 100%, $E$6)</f>
        <v>7.1505000000000001</v>
      </c>
    </row>
    <row r="457" spans="1:11" ht="15">
      <c r="A457" s="13">
        <v>55975</v>
      </c>
      <c r="B457" s="60">
        <f>6.3309 * CHOOSE(CONTROL!$C$19, $C$6, 100%, $E$6)</f>
        <v>6.3308999999999997</v>
      </c>
      <c r="C457" s="60">
        <f>6.3309 * CHOOSE(CONTROL!$C$19, $C$6, 100%, $E$6)</f>
        <v>6.3308999999999997</v>
      </c>
      <c r="D457" s="60">
        <f>6.3474 * CHOOSE(CONTROL!$C$19, $C$6, 100%, $E$6)</f>
        <v>6.3474000000000004</v>
      </c>
      <c r="E457" s="61">
        <f>7.2386 * CHOOSE(CONTROL!$C$19, $C$6, 100%, $E$6)</f>
        <v>7.2385999999999999</v>
      </c>
      <c r="F457" s="61">
        <f>7.2386 * CHOOSE(CONTROL!$C$19, $C$6, 100%, $E$6)</f>
        <v>7.2385999999999999</v>
      </c>
      <c r="G457" s="61">
        <f>7.2388 * CHOOSE(CONTROL!$C$19, $C$6, 100%, $E$6)</f>
        <v>7.2388000000000003</v>
      </c>
      <c r="H457" s="61">
        <f>10.5791* CHOOSE(CONTROL!$C$19, $C$6, 100%, $E$6)</f>
        <v>10.5791</v>
      </c>
      <c r="I457" s="61">
        <f>10.5793 * CHOOSE(CONTROL!$C$19, $C$6, 100%, $E$6)</f>
        <v>10.5793</v>
      </c>
      <c r="J457" s="61">
        <f>7.2386 * CHOOSE(CONTROL!$C$19, $C$6, 100%, $E$6)</f>
        <v>7.2385999999999999</v>
      </c>
      <c r="K457" s="61">
        <f>7.2388 * CHOOSE(CONTROL!$C$19, $C$6, 100%, $E$6)</f>
        <v>7.2388000000000003</v>
      </c>
    </row>
    <row r="458" spans="1:11" ht="15">
      <c r="A458" s="13">
        <v>56005</v>
      </c>
      <c r="B458" s="60">
        <f>6.3309 * CHOOSE(CONTROL!$C$19, $C$6, 100%, $E$6)</f>
        <v>6.3308999999999997</v>
      </c>
      <c r="C458" s="60">
        <f>6.3309 * CHOOSE(CONTROL!$C$19, $C$6, 100%, $E$6)</f>
        <v>6.3308999999999997</v>
      </c>
      <c r="D458" s="60">
        <f>6.3639 * CHOOSE(CONTROL!$C$19, $C$6, 100%, $E$6)</f>
        <v>6.3639000000000001</v>
      </c>
      <c r="E458" s="61">
        <f>7.2733 * CHOOSE(CONTROL!$C$19, $C$6, 100%, $E$6)</f>
        <v>7.2732999999999999</v>
      </c>
      <c r="F458" s="61">
        <f>7.2733 * CHOOSE(CONTROL!$C$19, $C$6, 100%, $E$6)</f>
        <v>7.2732999999999999</v>
      </c>
      <c r="G458" s="61">
        <f>7.2753 * CHOOSE(CONTROL!$C$19, $C$6, 100%, $E$6)</f>
        <v>7.2752999999999997</v>
      </c>
      <c r="H458" s="61">
        <f>10.6012* CHOOSE(CONTROL!$C$19, $C$6, 100%, $E$6)</f>
        <v>10.6012</v>
      </c>
      <c r="I458" s="61">
        <f>10.6032 * CHOOSE(CONTROL!$C$19, $C$6, 100%, $E$6)</f>
        <v>10.603199999999999</v>
      </c>
      <c r="J458" s="61">
        <f>7.2733 * CHOOSE(CONTROL!$C$19, $C$6, 100%, $E$6)</f>
        <v>7.2732999999999999</v>
      </c>
      <c r="K458" s="61">
        <f>7.2753 * CHOOSE(CONTROL!$C$19, $C$6, 100%, $E$6)</f>
        <v>7.2752999999999997</v>
      </c>
    </row>
    <row r="459" spans="1:11" ht="15">
      <c r="A459" s="13">
        <v>56036</v>
      </c>
      <c r="B459" s="60">
        <f>6.337 * CHOOSE(CONTROL!$C$19, $C$6, 100%, $E$6)</f>
        <v>6.3369999999999997</v>
      </c>
      <c r="C459" s="60">
        <f>6.337 * CHOOSE(CONTROL!$C$19, $C$6, 100%, $E$6)</f>
        <v>6.3369999999999997</v>
      </c>
      <c r="D459" s="60">
        <f>6.37 * CHOOSE(CONTROL!$C$19, $C$6, 100%, $E$6)</f>
        <v>6.37</v>
      </c>
      <c r="E459" s="61">
        <f>7.2428 * CHOOSE(CONTROL!$C$19, $C$6, 100%, $E$6)</f>
        <v>7.2427999999999999</v>
      </c>
      <c r="F459" s="61">
        <f>7.2428 * CHOOSE(CONTROL!$C$19, $C$6, 100%, $E$6)</f>
        <v>7.2427999999999999</v>
      </c>
      <c r="G459" s="61">
        <f>7.2449 * CHOOSE(CONTROL!$C$19, $C$6, 100%, $E$6)</f>
        <v>7.2449000000000003</v>
      </c>
      <c r="H459" s="61">
        <f>10.6233* CHOOSE(CONTROL!$C$19, $C$6, 100%, $E$6)</f>
        <v>10.6233</v>
      </c>
      <c r="I459" s="61">
        <f>10.6253 * CHOOSE(CONTROL!$C$19, $C$6, 100%, $E$6)</f>
        <v>10.625299999999999</v>
      </c>
      <c r="J459" s="61">
        <f>7.2428 * CHOOSE(CONTROL!$C$19, $C$6, 100%, $E$6)</f>
        <v>7.2427999999999999</v>
      </c>
      <c r="K459" s="61">
        <f>7.2449 * CHOOSE(CONTROL!$C$19, $C$6, 100%, $E$6)</f>
        <v>7.2449000000000003</v>
      </c>
    </row>
    <row r="460" spans="1:11" ht="15">
      <c r="A460" s="13">
        <v>56066</v>
      </c>
      <c r="B460" s="60">
        <f>6.4322 * CHOOSE(CONTROL!$C$19, $C$6, 100%, $E$6)</f>
        <v>6.4321999999999999</v>
      </c>
      <c r="C460" s="60">
        <f>6.4322 * CHOOSE(CONTROL!$C$19, $C$6, 100%, $E$6)</f>
        <v>6.4321999999999999</v>
      </c>
      <c r="D460" s="60">
        <f>6.4652 * CHOOSE(CONTROL!$C$19, $C$6, 100%, $E$6)</f>
        <v>6.4652000000000003</v>
      </c>
      <c r="E460" s="61">
        <f>7.3803 * CHOOSE(CONTROL!$C$19, $C$6, 100%, $E$6)</f>
        <v>7.3803000000000001</v>
      </c>
      <c r="F460" s="61">
        <f>7.3803 * CHOOSE(CONTROL!$C$19, $C$6, 100%, $E$6)</f>
        <v>7.3803000000000001</v>
      </c>
      <c r="G460" s="61">
        <f>7.3824 * CHOOSE(CONTROL!$C$19, $C$6, 100%, $E$6)</f>
        <v>7.3823999999999996</v>
      </c>
      <c r="H460" s="61">
        <f>10.6454* CHOOSE(CONTROL!$C$19, $C$6, 100%, $E$6)</f>
        <v>10.6454</v>
      </c>
      <c r="I460" s="61">
        <f>10.6474 * CHOOSE(CONTROL!$C$19, $C$6, 100%, $E$6)</f>
        <v>10.647399999999999</v>
      </c>
      <c r="J460" s="61">
        <f>7.3803 * CHOOSE(CONTROL!$C$19, $C$6, 100%, $E$6)</f>
        <v>7.3803000000000001</v>
      </c>
      <c r="K460" s="61">
        <f>7.3824 * CHOOSE(CONTROL!$C$19, $C$6, 100%, $E$6)</f>
        <v>7.3823999999999996</v>
      </c>
    </row>
    <row r="461" spans="1:11" ht="15">
      <c r="A461" s="13">
        <v>56097</v>
      </c>
      <c r="B461" s="60">
        <f>6.4389 * CHOOSE(CONTROL!$C$19, $C$6, 100%, $E$6)</f>
        <v>6.4389000000000003</v>
      </c>
      <c r="C461" s="60">
        <f>6.4389 * CHOOSE(CONTROL!$C$19, $C$6, 100%, $E$6)</f>
        <v>6.4389000000000003</v>
      </c>
      <c r="D461" s="60">
        <f>6.4719 * CHOOSE(CONTROL!$C$19, $C$6, 100%, $E$6)</f>
        <v>6.4718999999999998</v>
      </c>
      <c r="E461" s="61">
        <f>7.2809 * CHOOSE(CONTROL!$C$19, $C$6, 100%, $E$6)</f>
        <v>7.2808999999999999</v>
      </c>
      <c r="F461" s="61">
        <f>7.2809 * CHOOSE(CONTROL!$C$19, $C$6, 100%, $E$6)</f>
        <v>7.2808999999999999</v>
      </c>
      <c r="G461" s="61">
        <f>7.283 * CHOOSE(CONTROL!$C$19, $C$6, 100%, $E$6)</f>
        <v>7.2830000000000004</v>
      </c>
      <c r="H461" s="61">
        <f>10.6676* CHOOSE(CONTROL!$C$19, $C$6, 100%, $E$6)</f>
        <v>10.6676</v>
      </c>
      <c r="I461" s="61">
        <f>10.6696 * CHOOSE(CONTROL!$C$19, $C$6, 100%, $E$6)</f>
        <v>10.669600000000001</v>
      </c>
      <c r="J461" s="61">
        <f>7.2809 * CHOOSE(CONTROL!$C$19, $C$6, 100%, $E$6)</f>
        <v>7.2808999999999999</v>
      </c>
      <c r="K461" s="61">
        <f>7.283 * CHOOSE(CONTROL!$C$19, $C$6, 100%, $E$6)</f>
        <v>7.2830000000000004</v>
      </c>
    </row>
    <row r="462" spans="1:11" ht="15">
      <c r="A462" s="13">
        <v>56128</v>
      </c>
      <c r="B462" s="60">
        <f>6.4359 * CHOOSE(CONTROL!$C$19, $C$6, 100%, $E$6)</f>
        <v>6.4359000000000002</v>
      </c>
      <c r="C462" s="60">
        <f>6.4359 * CHOOSE(CONTROL!$C$19, $C$6, 100%, $E$6)</f>
        <v>6.4359000000000002</v>
      </c>
      <c r="D462" s="60">
        <f>6.4689 * CHOOSE(CONTROL!$C$19, $C$6, 100%, $E$6)</f>
        <v>6.4688999999999997</v>
      </c>
      <c r="E462" s="61">
        <f>7.2672 * CHOOSE(CONTROL!$C$19, $C$6, 100%, $E$6)</f>
        <v>7.2671999999999999</v>
      </c>
      <c r="F462" s="61">
        <f>7.2672 * CHOOSE(CONTROL!$C$19, $C$6, 100%, $E$6)</f>
        <v>7.2671999999999999</v>
      </c>
      <c r="G462" s="61">
        <f>7.2693 * CHOOSE(CONTROL!$C$19, $C$6, 100%, $E$6)</f>
        <v>7.2693000000000003</v>
      </c>
      <c r="H462" s="61">
        <f>10.6898* CHOOSE(CONTROL!$C$19, $C$6, 100%, $E$6)</f>
        <v>10.6898</v>
      </c>
      <c r="I462" s="61">
        <f>10.6919 * CHOOSE(CONTROL!$C$19, $C$6, 100%, $E$6)</f>
        <v>10.6919</v>
      </c>
      <c r="J462" s="61">
        <f>7.2672 * CHOOSE(CONTROL!$C$19, $C$6, 100%, $E$6)</f>
        <v>7.2671999999999999</v>
      </c>
      <c r="K462" s="61">
        <f>7.2693 * CHOOSE(CONTROL!$C$19, $C$6, 100%, $E$6)</f>
        <v>7.2693000000000003</v>
      </c>
    </row>
    <row r="463" spans="1:11" ht="15">
      <c r="A463" s="13">
        <v>56158</v>
      </c>
      <c r="B463" s="60">
        <f>6.4402 * CHOOSE(CONTROL!$C$19, $C$6, 100%, $E$6)</f>
        <v>6.4401999999999999</v>
      </c>
      <c r="C463" s="60">
        <f>6.4402 * CHOOSE(CONTROL!$C$19, $C$6, 100%, $E$6)</f>
        <v>6.4401999999999999</v>
      </c>
      <c r="D463" s="60">
        <f>6.4567 * CHOOSE(CONTROL!$C$19, $C$6, 100%, $E$6)</f>
        <v>6.4566999999999997</v>
      </c>
      <c r="E463" s="61">
        <f>7.3001 * CHOOSE(CONTROL!$C$19, $C$6, 100%, $E$6)</f>
        <v>7.3000999999999996</v>
      </c>
      <c r="F463" s="61">
        <f>7.3001 * CHOOSE(CONTROL!$C$19, $C$6, 100%, $E$6)</f>
        <v>7.3000999999999996</v>
      </c>
      <c r="G463" s="61">
        <f>7.3002 * CHOOSE(CONTROL!$C$19, $C$6, 100%, $E$6)</f>
        <v>7.3002000000000002</v>
      </c>
      <c r="H463" s="61">
        <f>10.7121* CHOOSE(CONTROL!$C$19, $C$6, 100%, $E$6)</f>
        <v>10.7121</v>
      </c>
      <c r="I463" s="61">
        <f>10.7122 * CHOOSE(CONTROL!$C$19, $C$6, 100%, $E$6)</f>
        <v>10.712199999999999</v>
      </c>
      <c r="J463" s="61">
        <f>7.3001 * CHOOSE(CONTROL!$C$19, $C$6, 100%, $E$6)</f>
        <v>7.3000999999999996</v>
      </c>
      <c r="K463" s="61">
        <f>7.3002 * CHOOSE(CONTROL!$C$19, $C$6, 100%, $E$6)</f>
        <v>7.3002000000000002</v>
      </c>
    </row>
    <row r="464" spans="1:11" ht="15">
      <c r="A464" s="13">
        <v>56189</v>
      </c>
      <c r="B464" s="60">
        <f>6.4433 * CHOOSE(CONTROL!$C$19, $C$6, 100%, $E$6)</f>
        <v>6.4432999999999998</v>
      </c>
      <c r="C464" s="60">
        <f>6.4433 * CHOOSE(CONTROL!$C$19, $C$6, 100%, $E$6)</f>
        <v>6.4432999999999998</v>
      </c>
      <c r="D464" s="60">
        <f>6.4598 * CHOOSE(CONTROL!$C$19, $C$6, 100%, $E$6)</f>
        <v>6.4598000000000004</v>
      </c>
      <c r="E464" s="61">
        <f>7.3253 * CHOOSE(CONTROL!$C$19, $C$6, 100%, $E$6)</f>
        <v>7.3253000000000004</v>
      </c>
      <c r="F464" s="61">
        <f>7.3253 * CHOOSE(CONTROL!$C$19, $C$6, 100%, $E$6)</f>
        <v>7.3253000000000004</v>
      </c>
      <c r="G464" s="61">
        <f>7.3255 * CHOOSE(CONTROL!$C$19, $C$6, 100%, $E$6)</f>
        <v>7.3254999999999999</v>
      </c>
      <c r="H464" s="61">
        <f>10.7344* CHOOSE(CONTROL!$C$19, $C$6, 100%, $E$6)</f>
        <v>10.734400000000001</v>
      </c>
      <c r="I464" s="61">
        <f>10.7346 * CHOOSE(CONTROL!$C$19, $C$6, 100%, $E$6)</f>
        <v>10.7346</v>
      </c>
      <c r="J464" s="61">
        <f>7.3253 * CHOOSE(CONTROL!$C$19, $C$6, 100%, $E$6)</f>
        <v>7.3253000000000004</v>
      </c>
      <c r="K464" s="61">
        <f>7.3255 * CHOOSE(CONTROL!$C$19, $C$6, 100%, $E$6)</f>
        <v>7.3254999999999999</v>
      </c>
    </row>
    <row r="465" spans="1:11" ht="15">
      <c r="A465" s="13">
        <v>56219</v>
      </c>
      <c r="B465" s="60">
        <f>6.4433 * CHOOSE(CONTROL!$C$19, $C$6, 100%, $E$6)</f>
        <v>6.4432999999999998</v>
      </c>
      <c r="C465" s="60">
        <f>6.4433 * CHOOSE(CONTROL!$C$19, $C$6, 100%, $E$6)</f>
        <v>6.4432999999999998</v>
      </c>
      <c r="D465" s="60">
        <f>6.4598 * CHOOSE(CONTROL!$C$19, $C$6, 100%, $E$6)</f>
        <v>6.4598000000000004</v>
      </c>
      <c r="E465" s="61">
        <f>7.2675 * CHOOSE(CONTROL!$C$19, $C$6, 100%, $E$6)</f>
        <v>7.2675000000000001</v>
      </c>
      <c r="F465" s="61">
        <f>7.2675 * CHOOSE(CONTROL!$C$19, $C$6, 100%, $E$6)</f>
        <v>7.2675000000000001</v>
      </c>
      <c r="G465" s="61">
        <f>7.2677 * CHOOSE(CONTROL!$C$19, $C$6, 100%, $E$6)</f>
        <v>7.2676999999999996</v>
      </c>
      <c r="H465" s="61">
        <f>10.7568* CHOOSE(CONTROL!$C$19, $C$6, 100%, $E$6)</f>
        <v>10.7568</v>
      </c>
      <c r="I465" s="61">
        <f>10.7569 * CHOOSE(CONTROL!$C$19, $C$6, 100%, $E$6)</f>
        <v>10.7569</v>
      </c>
      <c r="J465" s="61">
        <f>7.2675 * CHOOSE(CONTROL!$C$19, $C$6, 100%, $E$6)</f>
        <v>7.2675000000000001</v>
      </c>
      <c r="K465" s="61">
        <f>7.2677 * CHOOSE(CONTROL!$C$19, $C$6, 100%, $E$6)</f>
        <v>7.2676999999999996</v>
      </c>
    </row>
    <row r="466" spans="1:11" ht="15">
      <c r="A466" s="13">
        <v>56250</v>
      </c>
      <c r="B466" s="60">
        <f>6.4979 * CHOOSE(CONTROL!$C$19, $C$6, 100%, $E$6)</f>
        <v>6.4978999999999996</v>
      </c>
      <c r="C466" s="60">
        <f>6.4979 * CHOOSE(CONTROL!$C$19, $C$6, 100%, $E$6)</f>
        <v>6.4978999999999996</v>
      </c>
      <c r="D466" s="60">
        <f>6.5144 * CHOOSE(CONTROL!$C$19, $C$6, 100%, $E$6)</f>
        <v>6.5144000000000002</v>
      </c>
      <c r="E466" s="61">
        <f>7.3793 * CHOOSE(CONTROL!$C$19, $C$6, 100%, $E$6)</f>
        <v>7.3792999999999997</v>
      </c>
      <c r="F466" s="61">
        <f>7.3793 * CHOOSE(CONTROL!$C$19, $C$6, 100%, $E$6)</f>
        <v>7.3792999999999997</v>
      </c>
      <c r="G466" s="61">
        <f>7.3794 * CHOOSE(CONTROL!$C$19, $C$6, 100%, $E$6)</f>
        <v>7.3794000000000004</v>
      </c>
      <c r="H466" s="61">
        <f>10.7792* CHOOSE(CONTROL!$C$19, $C$6, 100%, $E$6)</f>
        <v>10.779199999999999</v>
      </c>
      <c r="I466" s="61">
        <f>10.7793 * CHOOSE(CONTROL!$C$19, $C$6, 100%, $E$6)</f>
        <v>10.779299999999999</v>
      </c>
      <c r="J466" s="61">
        <f>7.3793 * CHOOSE(CONTROL!$C$19, $C$6, 100%, $E$6)</f>
        <v>7.3792999999999997</v>
      </c>
      <c r="K466" s="61">
        <f>7.3794 * CHOOSE(CONTROL!$C$19, $C$6, 100%, $E$6)</f>
        <v>7.3794000000000004</v>
      </c>
    </row>
    <row r="467" spans="1:11" ht="15">
      <c r="A467" s="13">
        <v>56281</v>
      </c>
      <c r="B467" s="60">
        <f>6.4948 * CHOOSE(CONTROL!$C$19, $C$6, 100%, $E$6)</f>
        <v>6.4947999999999997</v>
      </c>
      <c r="C467" s="60">
        <f>6.4948 * CHOOSE(CONTROL!$C$19, $C$6, 100%, $E$6)</f>
        <v>6.4947999999999997</v>
      </c>
      <c r="D467" s="60">
        <f>6.5113 * CHOOSE(CONTROL!$C$19, $C$6, 100%, $E$6)</f>
        <v>6.5113000000000003</v>
      </c>
      <c r="E467" s="61">
        <f>7.2644 * CHOOSE(CONTROL!$C$19, $C$6, 100%, $E$6)</f>
        <v>7.2644000000000002</v>
      </c>
      <c r="F467" s="61">
        <f>7.2644 * CHOOSE(CONTROL!$C$19, $C$6, 100%, $E$6)</f>
        <v>7.2644000000000002</v>
      </c>
      <c r="G467" s="61">
        <f>7.2646 * CHOOSE(CONTROL!$C$19, $C$6, 100%, $E$6)</f>
        <v>7.2645999999999997</v>
      </c>
      <c r="H467" s="61">
        <f>10.8016* CHOOSE(CONTROL!$C$19, $C$6, 100%, $E$6)</f>
        <v>10.801600000000001</v>
      </c>
      <c r="I467" s="61">
        <f>10.8018 * CHOOSE(CONTROL!$C$19, $C$6, 100%, $E$6)</f>
        <v>10.8018</v>
      </c>
      <c r="J467" s="61">
        <f>7.2644 * CHOOSE(CONTROL!$C$19, $C$6, 100%, $E$6)</f>
        <v>7.2644000000000002</v>
      </c>
      <c r="K467" s="61">
        <f>7.2646 * CHOOSE(CONTROL!$C$19, $C$6, 100%, $E$6)</f>
        <v>7.2645999999999997</v>
      </c>
    </row>
    <row r="468" spans="1:11" ht="15">
      <c r="A468" s="13">
        <v>56309</v>
      </c>
      <c r="B468" s="60">
        <f>6.4918 * CHOOSE(CONTROL!$C$19, $C$6, 100%, $E$6)</f>
        <v>6.4917999999999996</v>
      </c>
      <c r="C468" s="60">
        <f>6.4918 * CHOOSE(CONTROL!$C$19, $C$6, 100%, $E$6)</f>
        <v>6.4917999999999996</v>
      </c>
      <c r="D468" s="60">
        <f>6.5083 * CHOOSE(CONTROL!$C$19, $C$6, 100%, $E$6)</f>
        <v>6.5083000000000002</v>
      </c>
      <c r="E468" s="61">
        <f>7.3512 * CHOOSE(CONTROL!$C$19, $C$6, 100%, $E$6)</f>
        <v>7.3512000000000004</v>
      </c>
      <c r="F468" s="61">
        <f>7.3512 * CHOOSE(CONTROL!$C$19, $C$6, 100%, $E$6)</f>
        <v>7.3512000000000004</v>
      </c>
      <c r="G468" s="61">
        <f>7.3513 * CHOOSE(CONTROL!$C$19, $C$6, 100%, $E$6)</f>
        <v>7.3513000000000002</v>
      </c>
      <c r="H468" s="61">
        <f>10.8241* CHOOSE(CONTROL!$C$19, $C$6, 100%, $E$6)</f>
        <v>10.8241</v>
      </c>
      <c r="I468" s="61">
        <f>10.8243 * CHOOSE(CONTROL!$C$19, $C$6, 100%, $E$6)</f>
        <v>10.824299999999999</v>
      </c>
      <c r="J468" s="61">
        <f>7.3512 * CHOOSE(CONTROL!$C$19, $C$6, 100%, $E$6)</f>
        <v>7.3512000000000004</v>
      </c>
      <c r="K468" s="61">
        <f>7.3513 * CHOOSE(CONTROL!$C$19, $C$6, 100%, $E$6)</f>
        <v>7.3513000000000002</v>
      </c>
    </row>
    <row r="469" spans="1:11" ht="15">
      <c r="A469" s="13">
        <v>56340</v>
      </c>
      <c r="B469" s="60">
        <f>6.4919 * CHOOSE(CONTROL!$C$19, $C$6, 100%, $E$6)</f>
        <v>6.4919000000000002</v>
      </c>
      <c r="C469" s="60">
        <f>6.4919 * CHOOSE(CONTROL!$C$19, $C$6, 100%, $E$6)</f>
        <v>6.4919000000000002</v>
      </c>
      <c r="D469" s="60">
        <f>6.5084 * CHOOSE(CONTROL!$C$19, $C$6, 100%, $E$6)</f>
        <v>6.5084</v>
      </c>
      <c r="E469" s="61">
        <f>7.4424 * CHOOSE(CONTROL!$C$19, $C$6, 100%, $E$6)</f>
        <v>7.4424000000000001</v>
      </c>
      <c r="F469" s="61">
        <f>7.4424 * CHOOSE(CONTROL!$C$19, $C$6, 100%, $E$6)</f>
        <v>7.4424000000000001</v>
      </c>
      <c r="G469" s="61">
        <f>7.4426 * CHOOSE(CONTROL!$C$19, $C$6, 100%, $E$6)</f>
        <v>7.4425999999999997</v>
      </c>
      <c r="H469" s="61">
        <f>10.8467* CHOOSE(CONTROL!$C$19, $C$6, 100%, $E$6)</f>
        <v>10.8467</v>
      </c>
      <c r="I469" s="61">
        <f>10.8468 * CHOOSE(CONTROL!$C$19, $C$6, 100%, $E$6)</f>
        <v>10.8468</v>
      </c>
      <c r="J469" s="61">
        <f>7.4424 * CHOOSE(CONTROL!$C$19, $C$6, 100%, $E$6)</f>
        <v>7.4424000000000001</v>
      </c>
      <c r="K469" s="61">
        <f>7.4426 * CHOOSE(CONTROL!$C$19, $C$6, 100%, $E$6)</f>
        <v>7.4425999999999997</v>
      </c>
    </row>
    <row r="470" spans="1:11" ht="15">
      <c r="A470" s="13">
        <v>56370</v>
      </c>
      <c r="B470" s="60">
        <f>6.4919 * CHOOSE(CONTROL!$C$19, $C$6, 100%, $E$6)</f>
        <v>6.4919000000000002</v>
      </c>
      <c r="C470" s="60">
        <f>6.4919 * CHOOSE(CONTROL!$C$19, $C$6, 100%, $E$6)</f>
        <v>6.4919000000000002</v>
      </c>
      <c r="D470" s="60">
        <f>6.5249 * CHOOSE(CONTROL!$C$19, $C$6, 100%, $E$6)</f>
        <v>6.5248999999999997</v>
      </c>
      <c r="E470" s="61">
        <f>7.4782 * CHOOSE(CONTROL!$C$19, $C$6, 100%, $E$6)</f>
        <v>7.4782000000000002</v>
      </c>
      <c r="F470" s="61">
        <f>7.4782 * CHOOSE(CONTROL!$C$19, $C$6, 100%, $E$6)</f>
        <v>7.4782000000000002</v>
      </c>
      <c r="G470" s="61">
        <f>7.4802 * CHOOSE(CONTROL!$C$19, $C$6, 100%, $E$6)</f>
        <v>7.4802</v>
      </c>
      <c r="H470" s="61">
        <f>10.8693* CHOOSE(CONTROL!$C$19, $C$6, 100%, $E$6)</f>
        <v>10.869300000000001</v>
      </c>
      <c r="I470" s="61">
        <f>10.8713 * CHOOSE(CONTROL!$C$19, $C$6, 100%, $E$6)</f>
        <v>10.8713</v>
      </c>
      <c r="J470" s="61">
        <f>7.4782 * CHOOSE(CONTROL!$C$19, $C$6, 100%, $E$6)</f>
        <v>7.4782000000000002</v>
      </c>
      <c r="K470" s="61">
        <f>7.4802 * CHOOSE(CONTROL!$C$19, $C$6, 100%, $E$6)</f>
        <v>7.4802</v>
      </c>
    </row>
    <row r="471" spans="1:11" ht="15">
      <c r="A471" s="13">
        <v>56401</v>
      </c>
      <c r="B471" s="60">
        <f>6.498 * CHOOSE(CONTROL!$C$19, $C$6, 100%, $E$6)</f>
        <v>6.4980000000000002</v>
      </c>
      <c r="C471" s="60">
        <f>6.498 * CHOOSE(CONTROL!$C$19, $C$6, 100%, $E$6)</f>
        <v>6.4980000000000002</v>
      </c>
      <c r="D471" s="60">
        <f>6.531 * CHOOSE(CONTROL!$C$19, $C$6, 100%, $E$6)</f>
        <v>6.5309999999999997</v>
      </c>
      <c r="E471" s="61">
        <f>7.4466 * CHOOSE(CONTROL!$C$19, $C$6, 100%, $E$6)</f>
        <v>7.4466000000000001</v>
      </c>
      <c r="F471" s="61">
        <f>7.4466 * CHOOSE(CONTROL!$C$19, $C$6, 100%, $E$6)</f>
        <v>7.4466000000000001</v>
      </c>
      <c r="G471" s="61">
        <f>7.4487 * CHOOSE(CONTROL!$C$19, $C$6, 100%, $E$6)</f>
        <v>7.4486999999999997</v>
      </c>
      <c r="H471" s="61">
        <f>10.8919* CHOOSE(CONTROL!$C$19, $C$6, 100%, $E$6)</f>
        <v>10.8919</v>
      </c>
      <c r="I471" s="61">
        <f>10.894 * CHOOSE(CONTROL!$C$19, $C$6, 100%, $E$6)</f>
        <v>10.894</v>
      </c>
      <c r="J471" s="61">
        <f>7.4466 * CHOOSE(CONTROL!$C$19, $C$6, 100%, $E$6)</f>
        <v>7.4466000000000001</v>
      </c>
      <c r="K471" s="61">
        <f>7.4487 * CHOOSE(CONTROL!$C$19, $C$6, 100%, $E$6)</f>
        <v>7.4486999999999997</v>
      </c>
    </row>
    <row r="472" spans="1:11" ht="15">
      <c r="A472" s="13">
        <v>56431</v>
      </c>
      <c r="B472" s="60">
        <f>6.5953 * CHOOSE(CONTROL!$C$19, $C$6, 100%, $E$6)</f>
        <v>6.5952999999999999</v>
      </c>
      <c r="C472" s="60">
        <f>6.5953 * CHOOSE(CONTROL!$C$19, $C$6, 100%, $E$6)</f>
        <v>6.5952999999999999</v>
      </c>
      <c r="D472" s="60">
        <f>6.6283 * CHOOSE(CONTROL!$C$19, $C$6, 100%, $E$6)</f>
        <v>6.6283000000000003</v>
      </c>
      <c r="E472" s="61">
        <f>7.5877 * CHOOSE(CONTROL!$C$19, $C$6, 100%, $E$6)</f>
        <v>7.5876999999999999</v>
      </c>
      <c r="F472" s="61">
        <f>7.5877 * CHOOSE(CONTROL!$C$19, $C$6, 100%, $E$6)</f>
        <v>7.5876999999999999</v>
      </c>
      <c r="G472" s="61">
        <f>7.5898 * CHOOSE(CONTROL!$C$19, $C$6, 100%, $E$6)</f>
        <v>7.5898000000000003</v>
      </c>
      <c r="H472" s="61">
        <f>10.9146* CHOOSE(CONTROL!$C$19, $C$6, 100%, $E$6)</f>
        <v>10.9146</v>
      </c>
      <c r="I472" s="61">
        <f>10.9167 * CHOOSE(CONTROL!$C$19, $C$6, 100%, $E$6)</f>
        <v>10.916700000000001</v>
      </c>
      <c r="J472" s="61">
        <f>7.5877 * CHOOSE(CONTROL!$C$19, $C$6, 100%, $E$6)</f>
        <v>7.5876999999999999</v>
      </c>
      <c r="K472" s="61">
        <f>7.5898 * CHOOSE(CONTROL!$C$19, $C$6, 100%, $E$6)</f>
        <v>7.5898000000000003</v>
      </c>
    </row>
    <row r="473" spans="1:11" ht="15">
      <c r="A473" s="13">
        <v>56462</v>
      </c>
      <c r="B473" s="60">
        <f>6.6019 * CHOOSE(CONTROL!$C$19, $C$6, 100%, $E$6)</f>
        <v>6.6018999999999997</v>
      </c>
      <c r="C473" s="60">
        <f>6.6019 * CHOOSE(CONTROL!$C$19, $C$6, 100%, $E$6)</f>
        <v>6.6018999999999997</v>
      </c>
      <c r="D473" s="60">
        <f>6.6349 * CHOOSE(CONTROL!$C$19, $C$6, 100%, $E$6)</f>
        <v>6.6349</v>
      </c>
      <c r="E473" s="61">
        <f>7.485 * CHOOSE(CONTROL!$C$19, $C$6, 100%, $E$6)</f>
        <v>7.4850000000000003</v>
      </c>
      <c r="F473" s="61">
        <f>7.485 * CHOOSE(CONTROL!$C$19, $C$6, 100%, $E$6)</f>
        <v>7.4850000000000003</v>
      </c>
      <c r="G473" s="61">
        <f>7.487 * CHOOSE(CONTROL!$C$19, $C$6, 100%, $E$6)</f>
        <v>7.4870000000000001</v>
      </c>
      <c r="H473" s="61">
        <f>10.9373* CHOOSE(CONTROL!$C$19, $C$6, 100%, $E$6)</f>
        <v>10.9373</v>
      </c>
      <c r="I473" s="61">
        <f>10.9394 * CHOOSE(CONTROL!$C$19, $C$6, 100%, $E$6)</f>
        <v>10.939399999999999</v>
      </c>
      <c r="J473" s="61">
        <f>7.485 * CHOOSE(CONTROL!$C$19, $C$6, 100%, $E$6)</f>
        <v>7.4850000000000003</v>
      </c>
      <c r="K473" s="61">
        <f>7.487 * CHOOSE(CONTROL!$C$19, $C$6, 100%, $E$6)</f>
        <v>7.4870000000000001</v>
      </c>
    </row>
    <row r="474" spans="1:11" ht="15">
      <c r="A474" s="13">
        <v>56493</v>
      </c>
      <c r="B474" s="60">
        <f>6.5989 * CHOOSE(CONTROL!$C$19, $C$6, 100%, $E$6)</f>
        <v>6.5989000000000004</v>
      </c>
      <c r="C474" s="60">
        <f>6.5989 * CHOOSE(CONTROL!$C$19, $C$6, 100%, $E$6)</f>
        <v>6.5989000000000004</v>
      </c>
      <c r="D474" s="60">
        <f>6.6319 * CHOOSE(CONTROL!$C$19, $C$6, 100%, $E$6)</f>
        <v>6.6318999999999999</v>
      </c>
      <c r="E474" s="61">
        <f>7.4709 * CHOOSE(CONTROL!$C$19, $C$6, 100%, $E$6)</f>
        <v>7.4709000000000003</v>
      </c>
      <c r="F474" s="61">
        <f>7.4709 * CHOOSE(CONTROL!$C$19, $C$6, 100%, $E$6)</f>
        <v>7.4709000000000003</v>
      </c>
      <c r="G474" s="61">
        <f>7.473 * CHOOSE(CONTROL!$C$19, $C$6, 100%, $E$6)</f>
        <v>7.4729999999999999</v>
      </c>
      <c r="H474" s="61">
        <f>10.9601* CHOOSE(CONTROL!$C$19, $C$6, 100%, $E$6)</f>
        <v>10.960100000000001</v>
      </c>
      <c r="I474" s="61">
        <f>10.9622 * CHOOSE(CONTROL!$C$19, $C$6, 100%, $E$6)</f>
        <v>10.962199999999999</v>
      </c>
      <c r="J474" s="61">
        <f>7.4709 * CHOOSE(CONTROL!$C$19, $C$6, 100%, $E$6)</f>
        <v>7.4709000000000003</v>
      </c>
      <c r="K474" s="61">
        <f>7.473 * CHOOSE(CONTROL!$C$19, $C$6, 100%, $E$6)</f>
        <v>7.4729999999999999</v>
      </c>
    </row>
    <row r="475" spans="1:11" ht="15">
      <c r="A475" s="13">
        <v>56523</v>
      </c>
      <c r="B475" s="60">
        <f>6.6039 * CHOOSE(CONTROL!$C$19, $C$6, 100%, $E$6)</f>
        <v>6.6039000000000003</v>
      </c>
      <c r="C475" s="60">
        <f>6.6039 * CHOOSE(CONTROL!$C$19, $C$6, 100%, $E$6)</f>
        <v>6.6039000000000003</v>
      </c>
      <c r="D475" s="60">
        <f>6.6204 * CHOOSE(CONTROL!$C$19, $C$6, 100%, $E$6)</f>
        <v>6.6204000000000001</v>
      </c>
      <c r="E475" s="61">
        <f>7.5052 * CHOOSE(CONTROL!$C$19, $C$6, 100%, $E$6)</f>
        <v>7.5052000000000003</v>
      </c>
      <c r="F475" s="61">
        <f>7.5052 * CHOOSE(CONTROL!$C$19, $C$6, 100%, $E$6)</f>
        <v>7.5052000000000003</v>
      </c>
      <c r="G475" s="61">
        <f>7.5054 * CHOOSE(CONTROL!$C$19, $C$6, 100%, $E$6)</f>
        <v>7.5053999999999998</v>
      </c>
      <c r="H475" s="61">
        <f>10.983* CHOOSE(CONTROL!$C$19, $C$6, 100%, $E$6)</f>
        <v>10.983000000000001</v>
      </c>
      <c r="I475" s="61">
        <f>10.9831 * CHOOSE(CONTROL!$C$19, $C$6, 100%, $E$6)</f>
        <v>10.9831</v>
      </c>
      <c r="J475" s="61">
        <f>7.5052 * CHOOSE(CONTROL!$C$19, $C$6, 100%, $E$6)</f>
        <v>7.5052000000000003</v>
      </c>
      <c r="K475" s="61">
        <f>7.5054 * CHOOSE(CONTROL!$C$19, $C$6, 100%, $E$6)</f>
        <v>7.5053999999999998</v>
      </c>
    </row>
    <row r="476" spans="1:11" ht="15">
      <c r="A476" s="13">
        <v>56554</v>
      </c>
      <c r="B476" s="60">
        <f>6.6069 * CHOOSE(CONTROL!$C$19, $C$6, 100%, $E$6)</f>
        <v>6.6069000000000004</v>
      </c>
      <c r="C476" s="60">
        <f>6.6069 * CHOOSE(CONTROL!$C$19, $C$6, 100%, $E$6)</f>
        <v>6.6069000000000004</v>
      </c>
      <c r="D476" s="60">
        <f>6.6234 * CHOOSE(CONTROL!$C$19, $C$6, 100%, $E$6)</f>
        <v>6.6234000000000002</v>
      </c>
      <c r="E476" s="61">
        <f>7.5312 * CHOOSE(CONTROL!$C$19, $C$6, 100%, $E$6)</f>
        <v>7.5312000000000001</v>
      </c>
      <c r="F476" s="61">
        <f>7.5312 * CHOOSE(CONTROL!$C$19, $C$6, 100%, $E$6)</f>
        <v>7.5312000000000001</v>
      </c>
      <c r="G476" s="61">
        <f>7.5314 * CHOOSE(CONTROL!$C$19, $C$6, 100%, $E$6)</f>
        <v>7.5313999999999997</v>
      </c>
      <c r="H476" s="61">
        <f>11.0058* CHOOSE(CONTROL!$C$19, $C$6, 100%, $E$6)</f>
        <v>11.005800000000001</v>
      </c>
      <c r="I476" s="61">
        <f>11.006 * CHOOSE(CONTROL!$C$19, $C$6, 100%, $E$6)</f>
        <v>11.006</v>
      </c>
      <c r="J476" s="61">
        <f>7.5312 * CHOOSE(CONTROL!$C$19, $C$6, 100%, $E$6)</f>
        <v>7.5312000000000001</v>
      </c>
      <c r="K476" s="61">
        <f>7.5314 * CHOOSE(CONTROL!$C$19, $C$6, 100%, $E$6)</f>
        <v>7.5313999999999997</v>
      </c>
    </row>
    <row r="477" spans="1:11" ht="15">
      <c r="A477" s="13">
        <v>56584</v>
      </c>
      <c r="B477" s="60">
        <f>6.6069 * CHOOSE(CONTROL!$C$19, $C$6, 100%, $E$6)</f>
        <v>6.6069000000000004</v>
      </c>
      <c r="C477" s="60">
        <f>6.6069 * CHOOSE(CONTROL!$C$19, $C$6, 100%, $E$6)</f>
        <v>6.6069000000000004</v>
      </c>
      <c r="D477" s="60">
        <f>6.6234 * CHOOSE(CONTROL!$C$19, $C$6, 100%, $E$6)</f>
        <v>6.6234000000000002</v>
      </c>
      <c r="E477" s="61">
        <f>7.4715 * CHOOSE(CONTROL!$C$19, $C$6, 100%, $E$6)</f>
        <v>7.4714999999999998</v>
      </c>
      <c r="F477" s="61">
        <f>7.4715 * CHOOSE(CONTROL!$C$19, $C$6, 100%, $E$6)</f>
        <v>7.4714999999999998</v>
      </c>
      <c r="G477" s="61">
        <f>7.4717 * CHOOSE(CONTROL!$C$19, $C$6, 100%, $E$6)</f>
        <v>7.4717000000000002</v>
      </c>
      <c r="H477" s="61">
        <f>11.0288* CHOOSE(CONTROL!$C$19, $C$6, 100%, $E$6)</f>
        <v>11.0288</v>
      </c>
      <c r="I477" s="61">
        <f>11.0289 * CHOOSE(CONTROL!$C$19, $C$6, 100%, $E$6)</f>
        <v>11.0289</v>
      </c>
      <c r="J477" s="61">
        <f>7.4715 * CHOOSE(CONTROL!$C$19, $C$6, 100%, $E$6)</f>
        <v>7.4714999999999998</v>
      </c>
      <c r="K477" s="61">
        <f>7.4717 * CHOOSE(CONTROL!$C$19, $C$6, 100%, $E$6)</f>
        <v>7.4717000000000002</v>
      </c>
    </row>
    <row r="478" spans="1:11" ht="15">
      <c r="A478" s="13">
        <v>56615</v>
      </c>
      <c r="B478" s="60">
        <f>6.6628 * CHOOSE(CONTROL!$C$19, $C$6, 100%, $E$6)</f>
        <v>6.6627999999999998</v>
      </c>
      <c r="C478" s="60">
        <f>6.6628 * CHOOSE(CONTROL!$C$19, $C$6, 100%, $E$6)</f>
        <v>6.6627999999999998</v>
      </c>
      <c r="D478" s="60">
        <f>6.6793 * CHOOSE(CONTROL!$C$19, $C$6, 100%, $E$6)</f>
        <v>6.6792999999999996</v>
      </c>
      <c r="E478" s="61">
        <f>7.5866 * CHOOSE(CONTROL!$C$19, $C$6, 100%, $E$6)</f>
        <v>7.5865999999999998</v>
      </c>
      <c r="F478" s="61">
        <f>7.5866 * CHOOSE(CONTROL!$C$19, $C$6, 100%, $E$6)</f>
        <v>7.5865999999999998</v>
      </c>
      <c r="G478" s="61">
        <f>7.5867 * CHOOSE(CONTROL!$C$19, $C$6, 100%, $E$6)</f>
        <v>7.5867000000000004</v>
      </c>
      <c r="H478" s="61">
        <f>11.0517* CHOOSE(CONTROL!$C$19, $C$6, 100%, $E$6)</f>
        <v>11.0517</v>
      </c>
      <c r="I478" s="61">
        <f>11.0519 * CHOOSE(CONTROL!$C$19, $C$6, 100%, $E$6)</f>
        <v>11.0519</v>
      </c>
      <c r="J478" s="61">
        <f>7.5866 * CHOOSE(CONTROL!$C$19, $C$6, 100%, $E$6)</f>
        <v>7.5865999999999998</v>
      </c>
      <c r="K478" s="61">
        <f>7.5867 * CHOOSE(CONTROL!$C$19, $C$6, 100%, $E$6)</f>
        <v>7.5867000000000004</v>
      </c>
    </row>
    <row r="479" spans="1:11" ht="15">
      <c r="A479" s="13">
        <v>56646</v>
      </c>
      <c r="B479" s="60">
        <f>6.6597 * CHOOSE(CONTROL!$C$19, $C$6, 100%, $E$6)</f>
        <v>6.6597</v>
      </c>
      <c r="C479" s="60">
        <f>6.6597 * CHOOSE(CONTROL!$C$19, $C$6, 100%, $E$6)</f>
        <v>6.6597</v>
      </c>
      <c r="D479" s="60">
        <f>6.6762 * CHOOSE(CONTROL!$C$19, $C$6, 100%, $E$6)</f>
        <v>6.6761999999999997</v>
      </c>
      <c r="E479" s="61">
        <f>7.4681 * CHOOSE(CONTROL!$C$19, $C$6, 100%, $E$6)</f>
        <v>7.4680999999999997</v>
      </c>
      <c r="F479" s="61">
        <f>7.4681 * CHOOSE(CONTROL!$C$19, $C$6, 100%, $E$6)</f>
        <v>7.4680999999999997</v>
      </c>
      <c r="G479" s="61">
        <f>7.4683 * CHOOSE(CONTROL!$C$19, $C$6, 100%, $E$6)</f>
        <v>7.4683000000000002</v>
      </c>
      <c r="H479" s="61">
        <f>11.0748* CHOOSE(CONTROL!$C$19, $C$6, 100%, $E$6)</f>
        <v>11.0748</v>
      </c>
      <c r="I479" s="61">
        <f>11.075 * CHOOSE(CONTROL!$C$19, $C$6, 100%, $E$6)</f>
        <v>11.074999999999999</v>
      </c>
      <c r="J479" s="61">
        <f>7.4681 * CHOOSE(CONTROL!$C$19, $C$6, 100%, $E$6)</f>
        <v>7.4680999999999997</v>
      </c>
      <c r="K479" s="61">
        <f>7.4683 * CHOOSE(CONTROL!$C$19, $C$6, 100%, $E$6)</f>
        <v>7.4683000000000002</v>
      </c>
    </row>
    <row r="480" spans="1:11" ht="15">
      <c r="A480" s="13">
        <v>56674</v>
      </c>
      <c r="B480" s="60">
        <f>6.6567 * CHOOSE(CONTROL!$C$19, $C$6, 100%, $E$6)</f>
        <v>6.6566999999999998</v>
      </c>
      <c r="C480" s="60">
        <f>6.6567 * CHOOSE(CONTROL!$C$19, $C$6, 100%, $E$6)</f>
        <v>6.6566999999999998</v>
      </c>
      <c r="D480" s="60">
        <f>6.6732 * CHOOSE(CONTROL!$C$19, $C$6, 100%, $E$6)</f>
        <v>6.6731999999999996</v>
      </c>
      <c r="E480" s="61">
        <f>7.5577 * CHOOSE(CONTROL!$C$19, $C$6, 100%, $E$6)</f>
        <v>7.5576999999999996</v>
      </c>
      <c r="F480" s="61">
        <f>7.5577 * CHOOSE(CONTROL!$C$19, $C$6, 100%, $E$6)</f>
        <v>7.5576999999999996</v>
      </c>
      <c r="G480" s="61">
        <f>7.5579 * CHOOSE(CONTROL!$C$19, $C$6, 100%, $E$6)</f>
        <v>7.5579000000000001</v>
      </c>
      <c r="H480" s="61">
        <f>11.0978* CHOOSE(CONTROL!$C$19, $C$6, 100%, $E$6)</f>
        <v>11.097799999999999</v>
      </c>
      <c r="I480" s="61">
        <f>11.098 * CHOOSE(CONTROL!$C$19, $C$6, 100%, $E$6)</f>
        <v>11.098000000000001</v>
      </c>
      <c r="J480" s="61">
        <f>7.5577 * CHOOSE(CONTROL!$C$19, $C$6, 100%, $E$6)</f>
        <v>7.5576999999999996</v>
      </c>
      <c r="K480" s="61">
        <f>7.5579 * CHOOSE(CONTROL!$C$19, $C$6, 100%, $E$6)</f>
        <v>7.5579000000000001</v>
      </c>
    </row>
    <row r="481" spans="1:11" ht="15">
      <c r="A481" s="13">
        <v>56705</v>
      </c>
      <c r="B481" s="60">
        <f>6.657 * CHOOSE(CONTROL!$C$19, $C$6, 100%, $E$6)</f>
        <v>6.657</v>
      </c>
      <c r="C481" s="60">
        <f>6.657 * CHOOSE(CONTROL!$C$19, $C$6, 100%, $E$6)</f>
        <v>6.657</v>
      </c>
      <c r="D481" s="60">
        <f>6.6735 * CHOOSE(CONTROL!$C$19, $C$6, 100%, $E$6)</f>
        <v>6.6734999999999998</v>
      </c>
      <c r="E481" s="61">
        <f>7.652 * CHOOSE(CONTROL!$C$19, $C$6, 100%, $E$6)</f>
        <v>7.6520000000000001</v>
      </c>
      <c r="F481" s="61">
        <f>7.652 * CHOOSE(CONTROL!$C$19, $C$6, 100%, $E$6)</f>
        <v>7.6520000000000001</v>
      </c>
      <c r="G481" s="61">
        <f>7.6521 * CHOOSE(CONTROL!$C$19, $C$6, 100%, $E$6)</f>
        <v>7.6520999999999999</v>
      </c>
      <c r="H481" s="61">
        <f>11.121* CHOOSE(CONTROL!$C$19, $C$6, 100%, $E$6)</f>
        <v>11.121</v>
      </c>
      <c r="I481" s="61">
        <f>11.1211 * CHOOSE(CONTROL!$C$19, $C$6, 100%, $E$6)</f>
        <v>11.1211</v>
      </c>
      <c r="J481" s="61">
        <f>7.652 * CHOOSE(CONTROL!$C$19, $C$6, 100%, $E$6)</f>
        <v>7.6520000000000001</v>
      </c>
      <c r="K481" s="61">
        <f>7.6521 * CHOOSE(CONTROL!$C$19, $C$6, 100%, $E$6)</f>
        <v>7.6520999999999999</v>
      </c>
    </row>
    <row r="482" spans="1:11" ht="15">
      <c r="A482" s="13">
        <v>56735</v>
      </c>
      <c r="B482" s="60">
        <f>6.657 * CHOOSE(CONTROL!$C$19, $C$6, 100%, $E$6)</f>
        <v>6.657</v>
      </c>
      <c r="C482" s="60">
        <f>6.657 * CHOOSE(CONTROL!$C$19, $C$6, 100%, $E$6)</f>
        <v>6.657</v>
      </c>
      <c r="D482" s="60">
        <f>6.69 * CHOOSE(CONTROL!$C$19, $C$6, 100%, $E$6)</f>
        <v>6.69</v>
      </c>
      <c r="E482" s="61">
        <f>7.6889 * CHOOSE(CONTROL!$C$19, $C$6, 100%, $E$6)</f>
        <v>7.6889000000000003</v>
      </c>
      <c r="F482" s="61">
        <f>7.6889 * CHOOSE(CONTROL!$C$19, $C$6, 100%, $E$6)</f>
        <v>7.6889000000000003</v>
      </c>
      <c r="G482" s="61">
        <f>7.691 * CHOOSE(CONTROL!$C$19, $C$6, 100%, $E$6)</f>
        <v>7.6909999999999998</v>
      </c>
      <c r="H482" s="61">
        <f>11.1441* CHOOSE(CONTROL!$C$19, $C$6, 100%, $E$6)</f>
        <v>11.1441</v>
      </c>
      <c r="I482" s="61">
        <f>11.1462 * CHOOSE(CONTROL!$C$19, $C$6, 100%, $E$6)</f>
        <v>11.1462</v>
      </c>
      <c r="J482" s="61">
        <f>7.6889 * CHOOSE(CONTROL!$C$19, $C$6, 100%, $E$6)</f>
        <v>7.6889000000000003</v>
      </c>
      <c r="K482" s="61">
        <f>7.691 * CHOOSE(CONTROL!$C$19, $C$6, 100%, $E$6)</f>
        <v>7.6909999999999998</v>
      </c>
    </row>
    <row r="483" spans="1:11" ht="15">
      <c r="A483" s="13">
        <v>56766</v>
      </c>
      <c r="B483" s="60">
        <f>6.6631 * CHOOSE(CONTROL!$C$19, $C$6, 100%, $E$6)</f>
        <v>6.6631</v>
      </c>
      <c r="C483" s="60">
        <f>6.6631 * CHOOSE(CONTROL!$C$19, $C$6, 100%, $E$6)</f>
        <v>6.6631</v>
      </c>
      <c r="D483" s="60">
        <f>6.6961 * CHOOSE(CONTROL!$C$19, $C$6, 100%, $E$6)</f>
        <v>6.6961000000000004</v>
      </c>
      <c r="E483" s="61">
        <f>7.6562 * CHOOSE(CONTROL!$C$19, $C$6, 100%, $E$6)</f>
        <v>7.6562000000000001</v>
      </c>
      <c r="F483" s="61">
        <f>7.6562 * CHOOSE(CONTROL!$C$19, $C$6, 100%, $E$6)</f>
        <v>7.6562000000000001</v>
      </c>
      <c r="G483" s="61">
        <f>7.6583 * CHOOSE(CONTROL!$C$19, $C$6, 100%, $E$6)</f>
        <v>7.6582999999999997</v>
      </c>
      <c r="H483" s="61">
        <f>11.1674* CHOOSE(CONTROL!$C$19, $C$6, 100%, $E$6)</f>
        <v>11.167400000000001</v>
      </c>
      <c r="I483" s="61">
        <f>11.1694 * CHOOSE(CONTROL!$C$19, $C$6, 100%, $E$6)</f>
        <v>11.1694</v>
      </c>
      <c r="J483" s="61">
        <f>7.6562 * CHOOSE(CONTROL!$C$19, $C$6, 100%, $E$6)</f>
        <v>7.6562000000000001</v>
      </c>
      <c r="K483" s="61">
        <f>7.6583 * CHOOSE(CONTROL!$C$19, $C$6, 100%, $E$6)</f>
        <v>7.6582999999999997</v>
      </c>
    </row>
    <row r="484" spans="1:11" ht="15">
      <c r="A484" s="13">
        <v>56796</v>
      </c>
      <c r="B484" s="60">
        <f>6.7624 * CHOOSE(CONTROL!$C$19, $C$6, 100%, $E$6)</f>
        <v>6.7624000000000004</v>
      </c>
      <c r="C484" s="60">
        <f>6.7624 * CHOOSE(CONTROL!$C$19, $C$6, 100%, $E$6)</f>
        <v>6.7624000000000004</v>
      </c>
      <c r="D484" s="60">
        <f>6.7954 * CHOOSE(CONTROL!$C$19, $C$6, 100%, $E$6)</f>
        <v>6.7953999999999999</v>
      </c>
      <c r="E484" s="61">
        <f>7.8009 * CHOOSE(CONTROL!$C$19, $C$6, 100%, $E$6)</f>
        <v>7.8009000000000004</v>
      </c>
      <c r="F484" s="61">
        <f>7.8009 * CHOOSE(CONTROL!$C$19, $C$6, 100%, $E$6)</f>
        <v>7.8009000000000004</v>
      </c>
      <c r="G484" s="61">
        <f>7.803 * CHOOSE(CONTROL!$C$19, $C$6, 100%, $E$6)</f>
        <v>7.8029999999999999</v>
      </c>
      <c r="H484" s="61">
        <f>11.1906* CHOOSE(CONTROL!$C$19, $C$6, 100%, $E$6)</f>
        <v>11.1906</v>
      </c>
      <c r="I484" s="61">
        <f>11.1927 * CHOOSE(CONTROL!$C$19, $C$6, 100%, $E$6)</f>
        <v>11.1927</v>
      </c>
      <c r="J484" s="61">
        <f>7.8009 * CHOOSE(CONTROL!$C$19, $C$6, 100%, $E$6)</f>
        <v>7.8009000000000004</v>
      </c>
      <c r="K484" s="61">
        <f>7.803 * CHOOSE(CONTROL!$C$19, $C$6, 100%, $E$6)</f>
        <v>7.8029999999999999</v>
      </c>
    </row>
    <row r="485" spans="1:11" ht="15">
      <c r="A485" s="13">
        <v>56827</v>
      </c>
      <c r="B485" s="60">
        <f>6.7691 * CHOOSE(CONTROL!$C$19, $C$6, 100%, $E$6)</f>
        <v>6.7690999999999999</v>
      </c>
      <c r="C485" s="60">
        <f>6.7691 * CHOOSE(CONTROL!$C$19, $C$6, 100%, $E$6)</f>
        <v>6.7690999999999999</v>
      </c>
      <c r="D485" s="60">
        <f>6.8021 * CHOOSE(CONTROL!$C$19, $C$6, 100%, $E$6)</f>
        <v>6.8021000000000003</v>
      </c>
      <c r="E485" s="61">
        <f>7.6948 * CHOOSE(CONTROL!$C$19, $C$6, 100%, $E$6)</f>
        <v>7.6947999999999999</v>
      </c>
      <c r="F485" s="61">
        <f>7.6948 * CHOOSE(CONTROL!$C$19, $C$6, 100%, $E$6)</f>
        <v>7.6947999999999999</v>
      </c>
      <c r="G485" s="61">
        <f>7.6968 * CHOOSE(CONTROL!$C$19, $C$6, 100%, $E$6)</f>
        <v>7.6967999999999996</v>
      </c>
      <c r="H485" s="61">
        <f>11.2139* CHOOSE(CONTROL!$C$19, $C$6, 100%, $E$6)</f>
        <v>11.213900000000001</v>
      </c>
      <c r="I485" s="61">
        <f>11.216 * CHOOSE(CONTROL!$C$19, $C$6, 100%, $E$6)</f>
        <v>11.215999999999999</v>
      </c>
      <c r="J485" s="61">
        <f>7.6948 * CHOOSE(CONTROL!$C$19, $C$6, 100%, $E$6)</f>
        <v>7.6947999999999999</v>
      </c>
      <c r="K485" s="61">
        <f>7.6968 * CHOOSE(CONTROL!$C$19, $C$6, 100%, $E$6)</f>
        <v>7.6967999999999996</v>
      </c>
    </row>
    <row r="486" spans="1:11" ht="15">
      <c r="A486" s="13">
        <v>56858</v>
      </c>
      <c r="B486" s="60">
        <f>6.7661 * CHOOSE(CONTROL!$C$19, $C$6, 100%, $E$6)</f>
        <v>6.7660999999999998</v>
      </c>
      <c r="C486" s="60">
        <f>6.7661 * CHOOSE(CONTROL!$C$19, $C$6, 100%, $E$6)</f>
        <v>6.7660999999999998</v>
      </c>
      <c r="D486" s="60">
        <f>6.7991 * CHOOSE(CONTROL!$C$19, $C$6, 100%, $E$6)</f>
        <v>6.7991000000000001</v>
      </c>
      <c r="E486" s="61">
        <f>7.6803 * CHOOSE(CONTROL!$C$19, $C$6, 100%, $E$6)</f>
        <v>7.6802999999999999</v>
      </c>
      <c r="F486" s="61">
        <f>7.6803 * CHOOSE(CONTROL!$C$19, $C$6, 100%, $E$6)</f>
        <v>7.6802999999999999</v>
      </c>
      <c r="G486" s="61">
        <f>7.6824 * CHOOSE(CONTROL!$C$19, $C$6, 100%, $E$6)</f>
        <v>7.6824000000000003</v>
      </c>
      <c r="H486" s="61">
        <f>11.2373* CHOOSE(CONTROL!$C$19, $C$6, 100%, $E$6)</f>
        <v>11.237299999999999</v>
      </c>
      <c r="I486" s="61">
        <f>11.2393 * CHOOSE(CONTROL!$C$19, $C$6, 100%, $E$6)</f>
        <v>11.2393</v>
      </c>
      <c r="J486" s="61">
        <f>7.6803 * CHOOSE(CONTROL!$C$19, $C$6, 100%, $E$6)</f>
        <v>7.6802999999999999</v>
      </c>
      <c r="K486" s="61">
        <f>7.6824 * CHOOSE(CONTROL!$C$19, $C$6, 100%, $E$6)</f>
        <v>7.6824000000000003</v>
      </c>
    </row>
    <row r="487" spans="1:11" ht="15">
      <c r="A487" s="13">
        <v>56888</v>
      </c>
      <c r="B487" s="60">
        <f>6.7717 * CHOOSE(CONTROL!$C$19, $C$6, 100%, $E$6)</f>
        <v>6.7717000000000001</v>
      </c>
      <c r="C487" s="60">
        <f>6.7717 * CHOOSE(CONTROL!$C$19, $C$6, 100%, $E$6)</f>
        <v>6.7717000000000001</v>
      </c>
      <c r="D487" s="60">
        <f>6.7882 * CHOOSE(CONTROL!$C$19, $C$6, 100%, $E$6)</f>
        <v>6.7881999999999998</v>
      </c>
      <c r="E487" s="61">
        <f>7.7162 * CHOOSE(CONTROL!$C$19, $C$6, 100%, $E$6)</f>
        <v>7.7161999999999997</v>
      </c>
      <c r="F487" s="61">
        <f>7.7162 * CHOOSE(CONTROL!$C$19, $C$6, 100%, $E$6)</f>
        <v>7.7161999999999997</v>
      </c>
      <c r="G487" s="61">
        <f>7.7163 * CHOOSE(CONTROL!$C$19, $C$6, 100%, $E$6)</f>
        <v>7.7163000000000004</v>
      </c>
      <c r="H487" s="61">
        <f>11.2607* CHOOSE(CONTROL!$C$19, $C$6, 100%, $E$6)</f>
        <v>11.2607</v>
      </c>
      <c r="I487" s="61">
        <f>11.2609 * CHOOSE(CONTROL!$C$19, $C$6, 100%, $E$6)</f>
        <v>11.260899999999999</v>
      </c>
      <c r="J487" s="61">
        <f>7.7162 * CHOOSE(CONTROL!$C$19, $C$6, 100%, $E$6)</f>
        <v>7.7161999999999997</v>
      </c>
      <c r="K487" s="61">
        <f>7.7163 * CHOOSE(CONTROL!$C$19, $C$6, 100%, $E$6)</f>
        <v>7.7163000000000004</v>
      </c>
    </row>
    <row r="488" spans="1:11" ht="15">
      <c r="A488" s="13">
        <v>56919</v>
      </c>
      <c r="B488" s="60">
        <f>6.7747 * CHOOSE(CONTROL!$C$19, $C$6, 100%, $E$6)</f>
        <v>6.7747000000000002</v>
      </c>
      <c r="C488" s="60">
        <f>6.7747 * CHOOSE(CONTROL!$C$19, $C$6, 100%, $E$6)</f>
        <v>6.7747000000000002</v>
      </c>
      <c r="D488" s="60">
        <f>6.7912 * CHOOSE(CONTROL!$C$19, $C$6, 100%, $E$6)</f>
        <v>6.7911999999999999</v>
      </c>
      <c r="E488" s="61">
        <f>7.7429 * CHOOSE(CONTROL!$C$19, $C$6, 100%, $E$6)</f>
        <v>7.7428999999999997</v>
      </c>
      <c r="F488" s="61">
        <f>7.7429 * CHOOSE(CONTROL!$C$19, $C$6, 100%, $E$6)</f>
        <v>7.7428999999999997</v>
      </c>
      <c r="G488" s="61">
        <f>7.7431 * CHOOSE(CONTROL!$C$19, $C$6, 100%, $E$6)</f>
        <v>7.7431000000000001</v>
      </c>
      <c r="H488" s="61">
        <f>11.2842* CHOOSE(CONTROL!$C$19, $C$6, 100%, $E$6)</f>
        <v>11.2842</v>
      </c>
      <c r="I488" s="61">
        <f>11.2843 * CHOOSE(CONTROL!$C$19, $C$6, 100%, $E$6)</f>
        <v>11.2843</v>
      </c>
      <c r="J488" s="61">
        <f>7.7429 * CHOOSE(CONTROL!$C$19, $C$6, 100%, $E$6)</f>
        <v>7.7428999999999997</v>
      </c>
      <c r="K488" s="61">
        <f>7.7431 * CHOOSE(CONTROL!$C$19, $C$6, 100%, $E$6)</f>
        <v>7.7431000000000001</v>
      </c>
    </row>
    <row r="489" spans="1:11" ht="15">
      <c r="A489" s="13">
        <v>56949</v>
      </c>
      <c r="B489" s="60">
        <f>6.7747 * CHOOSE(CONTROL!$C$19, $C$6, 100%, $E$6)</f>
        <v>6.7747000000000002</v>
      </c>
      <c r="C489" s="60">
        <f>6.7747 * CHOOSE(CONTROL!$C$19, $C$6, 100%, $E$6)</f>
        <v>6.7747000000000002</v>
      </c>
      <c r="D489" s="60">
        <f>6.7912 * CHOOSE(CONTROL!$C$19, $C$6, 100%, $E$6)</f>
        <v>6.7911999999999999</v>
      </c>
      <c r="E489" s="61">
        <f>7.6814 * CHOOSE(CONTROL!$C$19, $C$6, 100%, $E$6)</f>
        <v>7.6814</v>
      </c>
      <c r="F489" s="61">
        <f>7.6814 * CHOOSE(CONTROL!$C$19, $C$6, 100%, $E$6)</f>
        <v>7.6814</v>
      </c>
      <c r="G489" s="61">
        <f>7.6815 * CHOOSE(CONTROL!$C$19, $C$6, 100%, $E$6)</f>
        <v>7.6814999999999998</v>
      </c>
      <c r="H489" s="61">
        <f>11.3077* CHOOSE(CONTROL!$C$19, $C$6, 100%, $E$6)</f>
        <v>11.307700000000001</v>
      </c>
      <c r="I489" s="61">
        <f>11.3078 * CHOOSE(CONTROL!$C$19, $C$6, 100%, $E$6)</f>
        <v>11.3078</v>
      </c>
      <c r="J489" s="61">
        <f>7.6814 * CHOOSE(CONTROL!$C$19, $C$6, 100%, $E$6)</f>
        <v>7.6814</v>
      </c>
      <c r="K489" s="61">
        <f>7.6815 * CHOOSE(CONTROL!$C$19, $C$6, 100%, $E$6)</f>
        <v>7.6814999999999998</v>
      </c>
    </row>
    <row r="490" spans="1:11" ht="15">
      <c r="A490" s="13">
        <v>56980</v>
      </c>
      <c r="B490" s="60">
        <f>6.8319 * CHOOSE(CONTROL!$C$19, $C$6, 100%, $E$6)</f>
        <v>6.8319000000000001</v>
      </c>
      <c r="C490" s="60">
        <f>6.8319 * CHOOSE(CONTROL!$C$19, $C$6, 100%, $E$6)</f>
        <v>6.8319000000000001</v>
      </c>
      <c r="D490" s="60">
        <f>6.8484 * CHOOSE(CONTROL!$C$19, $C$6, 100%, $E$6)</f>
        <v>6.8483999999999998</v>
      </c>
      <c r="E490" s="61">
        <f>7.7997 * CHOOSE(CONTROL!$C$19, $C$6, 100%, $E$6)</f>
        <v>7.7996999999999996</v>
      </c>
      <c r="F490" s="61">
        <f>7.7997 * CHOOSE(CONTROL!$C$19, $C$6, 100%, $E$6)</f>
        <v>7.7996999999999996</v>
      </c>
      <c r="G490" s="61">
        <f>7.7999 * CHOOSE(CONTROL!$C$19, $C$6, 100%, $E$6)</f>
        <v>7.7999000000000001</v>
      </c>
      <c r="H490" s="61">
        <f>11.3312* CHOOSE(CONTROL!$C$19, $C$6, 100%, $E$6)</f>
        <v>11.331200000000001</v>
      </c>
      <c r="I490" s="61">
        <f>11.3314 * CHOOSE(CONTROL!$C$19, $C$6, 100%, $E$6)</f>
        <v>11.3314</v>
      </c>
      <c r="J490" s="61">
        <f>7.7997 * CHOOSE(CONTROL!$C$19, $C$6, 100%, $E$6)</f>
        <v>7.7996999999999996</v>
      </c>
      <c r="K490" s="61">
        <f>7.7999 * CHOOSE(CONTROL!$C$19, $C$6, 100%, $E$6)</f>
        <v>7.7999000000000001</v>
      </c>
    </row>
    <row r="491" spans="1:11" ht="15">
      <c r="A491" s="13">
        <v>57011</v>
      </c>
      <c r="B491" s="60">
        <f>6.8289 * CHOOSE(CONTROL!$C$19, $C$6, 100%, $E$6)</f>
        <v>6.8289</v>
      </c>
      <c r="C491" s="60">
        <f>6.8289 * CHOOSE(CONTROL!$C$19, $C$6, 100%, $E$6)</f>
        <v>6.8289</v>
      </c>
      <c r="D491" s="60">
        <f>6.8454 * CHOOSE(CONTROL!$C$19, $C$6, 100%, $E$6)</f>
        <v>6.8453999999999997</v>
      </c>
      <c r="E491" s="61">
        <f>7.6775 * CHOOSE(CONTROL!$C$19, $C$6, 100%, $E$6)</f>
        <v>7.6775000000000002</v>
      </c>
      <c r="F491" s="61">
        <f>7.6775 * CHOOSE(CONTROL!$C$19, $C$6, 100%, $E$6)</f>
        <v>7.6775000000000002</v>
      </c>
      <c r="G491" s="61">
        <f>7.6777 * CHOOSE(CONTROL!$C$19, $C$6, 100%, $E$6)</f>
        <v>7.6776999999999997</v>
      </c>
      <c r="H491" s="61">
        <f>11.3548* CHOOSE(CONTROL!$C$19, $C$6, 100%, $E$6)</f>
        <v>11.354799999999999</v>
      </c>
      <c r="I491" s="61">
        <f>11.355 * CHOOSE(CONTROL!$C$19, $C$6, 100%, $E$6)</f>
        <v>11.355</v>
      </c>
      <c r="J491" s="61">
        <f>7.6775 * CHOOSE(CONTROL!$C$19, $C$6, 100%, $E$6)</f>
        <v>7.6775000000000002</v>
      </c>
      <c r="K491" s="61">
        <f>7.6777 * CHOOSE(CONTROL!$C$19, $C$6, 100%, $E$6)</f>
        <v>7.6776999999999997</v>
      </c>
    </row>
    <row r="492" spans="1:11" ht="15">
      <c r="A492" s="13">
        <v>57040</v>
      </c>
      <c r="B492" s="60">
        <f>6.8258 * CHOOSE(CONTROL!$C$19, $C$6, 100%, $E$6)</f>
        <v>6.8258000000000001</v>
      </c>
      <c r="C492" s="60">
        <f>6.8258 * CHOOSE(CONTROL!$C$19, $C$6, 100%, $E$6)</f>
        <v>6.8258000000000001</v>
      </c>
      <c r="D492" s="60">
        <f>6.8423 * CHOOSE(CONTROL!$C$19, $C$6, 100%, $E$6)</f>
        <v>6.8422999999999998</v>
      </c>
      <c r="E492" s="61">
        <f>7.77 * CHOOSE(CONTROL!$C$19, $C$6, 100%, $E$6)</f>
        <v>7.77</v>
      </c>
      <c r="F492" s="61">
        <f>7.77 * CHOOSE(CONTROL!$C$19, $C$6, 100%, $E$6)</f>
        <v>7.77</v>
      </c>
      <c r="G492" s="61">
        <f>7.7702 * CHOOSE(CONTROL!$C$19, $C$6, 100%, $E$6)</f>
        <v>7.7702</v>
      </c>
      <c r="H492" s="61">
        <f>11.3785* CHOOSE(CONTROL!$C$19, $C$6, 100%, $E$6)</f>
        <v>11.378500000000001</v>
      </c>
      <c r="I492" s="61">
        <f>11.3787 * CHOOSE(CONTROL!$C$19, $C$6, 100%, $E$6)</f>
        <v>11.3787</v>
      </c>
      <c r="J492" s="61">
        <f>7.77 * CHOOSE(CONTROL!$C$19, $C$6, 100%, $E$6)</f>
        <v>7.77</v>
      </c>
      <c r="K492" s="61">
        <f>7.7702 * CHOOSE(CONTROL!$C$19, $C$6, 100%, $E$6)</f>
        <v>7.7702</v>
      </c>
    </row>
    <row r="493" spans="1:11" ht="15">
      <c r="A493" s="13">
        <v>57071</v>
      </c>
      <c r="B493" s="60">
        <f>6.8263 * CHOOSE(CONTROL!$C$19, $C$6, 100%, $E$6)</f>
        <v>6.8262999999999998</v>
      </c>
      <c r="C493" s="60">
        <f>6.8263 * CHOOSE(CONTROL!$C$19, $C$6, 100%, $E$6)</f>
        <v>6.8262999999999998</v>
      </c>
      <c r="D493" s="60">
        <f>6.8428 * CHOOSE(CONTROL!$C$19, $C$6, 100%, $E$6)</f>
        <v>6.8428000000000004</v>
      </c>
      <c r="E493" s="61">
        <f>7.8675 * CHOOSE(CONTROL!$C$19, $C$6, 100%, $E$6)</f>
        <v>7.8674999999999997</v>
      </c>
      <c r="F493" s="61">
        <f>7.8675 * CHOOSE(CONTROL!$C$19, $C$6, 100%, $E$6)</f>
        <v>7.8674999999999997</v>
      </c>
      <c r="G493" s="61">
        <f>7.8676 * CHOOSE(CONTROL!$C$19, $C$6, 100%, $E$6)</f>
        <v>7.8676000000000004</v>
      </c>
      <c r="H493" s="61">
        <f>11.4022* CHOOSE(CONTROL!$C$19, $C$6, 100%, $E$6)</f>
        <v>11.402200000000001</v>
      </c>
      <c r="I493" s="61">
        <f>11.4024 * CHOOSE(CONTROL!$C$19, $C$6, 100%, $E$6)</f>
        <v>11.4024</v>
      </c>
      <c r="J493" s="61">
        <f>7.8675 * CHOOSE(CONTROL!$C$19, $C$6, 100%, $E$6)</f>
        <v>7.8674999999999997</v>
      </c>
      <c r="K493" s="61">
        <f>7.8676 * CHOOSE(CONTROL!$C$19, $C$6, 100%, $E$6)</f>
        <v>7.8676000000000004</v>
      </c>
    </row>
    <row r="494" spans="1:11" ht="15">
      <c r="A494" s="13">
        <v>57101</v>
      </c>
      <c r="B494" s="60">
        <f>6.8263 * CHOOSE(CONTROL!$C$19, $C$6, 100%, $E$6)</f>
        <v>6.8262999999999998</v>
      </c>
      <c r="C494" s="60">
        <f>6.8263 * CHOOSE(CONTROL!$C$19, $C$6, 100%, $E$6)</f>
        <v>6.8262999999999998</v>
      </c>
      <c r="D494" s="60">
        <f>6.8593 * CHOOSE(CONTROL!$C$19, $C$6, 100%, $E$6)</f>
        <v>6.8593000000000002</v>
      </c>
      <c r="E494" s="61">
        <f>7.9056 * CHOOSE(CONTROL!$C$19, $C$6, 100%, $E$6)</f>
        <v>7.9055999999999997</v>
      </c>
      <c r="F494" s="61">
        <f>7.9056 * CHOOSE(CONTROL!$C$19, $C$6, 100%, $E$6)</f>
        <v>7.9055999999999997</v>
      </c>
      <c r="G494" s="61">
        <f>7.9076 * CHOOSE(CONTROL!$C$19, $C$6, 100%, $E$6)</f>
        <v>7.9076000000000004</v>
      </c>
      <c r="H494" s="61">
        <f>11.426* CHOOSE(CONTROL!$C$19, $C$6, 100%, $E$6)</f>
        <v>11.426</v>
      </c>
      <c r="I494" s="61">
        <f>11.428 * CHOOSE(CONTROL!$C$19, $C$6, 100%, $E$6)</f>
        <v>11.428000000000001</v>
      </c>
      <c r="J494" s="61">
        <f>7.9056 * CHOOSE(CONTROL!$C$19, $C$6, 100%, $E$6)</f>
        <v>7.9055999999999997</v>
      </c>
      <c r="K494" s="61">
        <f>7.9076 * CHOOSE(CONTROL!$C$19, $C$6, 100%, $E$6)</f>
        <v>7.9076000000000004</v>
      </c>
    </row>
    <row r="495" spans="1:11" ht="15">
      <c r="A495" s="13">
        <v>57132</v>
      </c>
      <c r="B495" s="60">
        <f>6.8323 * CHOOSE(CONTROL!$C$19, $C$6, 100%, $E$6)</f>
        <v>6.8323</v>
      </c>
      <c r="C495" s="60">
        <f>6.8323 * CHOOSE(CONTROL!$C$19, $C$6, 100%, $E$6)</f>
        <v>6.8323</v>
      </c>
      <c r="D495" s="60">
        <f>6.8654 * CHOOSE(CONTROL!$C$19, $C$6, 100%, $E$6)</f>
        <v>6.8654000000000002</v>
      </c>
      <c r="E495" s="61">
        <f>7.8717 * CHOOSE(CONTROL!$C$19, $C$6, 100%, $E$6)</f>
        <v>7.8716999999999997</v>
      </c>
      <c r="F495" s="61">
        <f>7.8717 * CHOOSE(CONTROL!$C$19, $C$6, 100%, $E$6)</f>
        <v>7.8716999999999997</v>
      </c>
      <c r="G495" s="61">
        <f>7.8737 * CHOOSE(CONTROL!$C$19, $C$6, 100%, $E$6)</f>
        <v>7.8737000000000004</v>
      </c>
      <c r="H495" s="61">
        <f>11.4498* CHOOSE(CONTROL!$C$19, $C$6, 100%, $E$6)</f>
        <v>11.4498</v>
      </c>
      <c r="I495" s="61">
        <f>11.4518 * CHOOSE(CONTROL!$C$19, $C$6, 100%, $E$6)</f>
        <v>11.4518</v>
      </c>
      <c r="J495" s="61">
        <f>7.8717 * CHOOSE(CONTROL!$C$19, $C$6, 100%, $E$6)</f>
        <v>7.8716999999999997</v>
      </c>
      <c r="K495" s="61">
        <f>7.8737 * CHOOSE(CONTROL!$C$19, $C$6, 100%, $E$6)</f>
        <v>7.8737000000000004</v>
      </c>
    </row>
    <row r="496" spans="1:11" ht="15">
      <c r="A496" s="13">
        <v>57162</v>
      </c>
      <c r="B496" s="60">
        <f>6.9339 * CHOOSE(CONTROL!$C$19, $C$6, 100%, $E$6)</f>
        <v>6.9339000000000004</v>
      </c>
      <c r="C496" s="60">
        <f>6.9339 * CHOOSE(CONTROL!$C$19, $C$6, 100%, $E$6)</f>
        <v>6.9339000000000004</v>
      </c>
      <c r="D496" s="60">
        <f>6.9669 * CHOOSE(CONTROL!$C$19, $C$6, 100%, $E$6)</f>
        <v>6.9668999999999999</v>
      </c>
      <c r="E496" s="61">
        <f>8.0202 * CHOOSE(CONTROL!$C$19, $C$6, 100%, $E$6)</f>
        <v>8.0202000000000009</v>
      </c>
      <c r="F496" s="61">
        <f>8.0202 * CHOOSE(CONTROL!$C$19, $C$6, 100%, $E$6)</f>
        <v>8.0202000000000009</v>
      </c>
      <c r="G496" s="61">
        <f>8.0222 * CHOOSE(CONTROL!$C$19, $C$6, 100%, $E$6)</f>
        <v>8.0221999999999998</v>
      </c>
      <c r="H496" s="61">
        <f>11.4736* CHOOSE(CONTROL!$C$19, $C$6, 100%, $E$6)</f>
        <v>11.473599999999999</v>
      </c>
      <c r="I496" s="61">
        <f>11.4757 * CHOOSE(CONTROL!$C$19, $C$6, 100%, $E$6)</f>
        <v>11.4757</v>
      </c>
      <c r="J496" s="61">
        <f>8.0202 * CHOOSE(CONTROL!$C$19, $C$6, 100%, $E$6)</f>
        <v>8.0202000000000009</v>
      </c>
      <c r="K496" s="61">
        <f>8.0222 * CHOOSE(CONTROL!$C$19, $C$6, 100%, $E$6)</f>
        <v>8.0221999999999998</v>
      </c>
    </row>
    <row r="497" spans="1:11" ht="15">
      <c r="A497" s="13">
        <v>57193</v>
      </c>
      <c r="B497" s="60">
        <f>6.9406 * CHOOSE(CONTROL!$C$19, $C$6, 100%, $E$6)</f>
        <v>6.9405999999999999</v>
      </c>
      <c r="C497" s="60">
        <f>6.9406 * CHOOSE(CONTROL!$C$19, $C$6, 100%, $E$6)</f>
        <v>6.9405999999999999</v>
      </c>
      <c r="D497" s="60">
        <f>6.9736 * CHOOSE(CONTROL!$C$19, $C$6, 100%, $E$6)</f>
        <v>6.9736000000000002</v>
      </c>
      <c r="E497" s="61">
        <f>7.9105 * CHOOSE(CONTROL!$C$19, $C$6, 100%, $E$6)</f>
        <v>7.9104999999999999</v>
      </c>
      <c r="F497" s="61">
        <f>7.9105 * CHOOSE(CONTROL!$C$19, $C$6, 100%, $E$6)</f>
        <v>7.9104999999999999</v>
      </c>
      <c r="G497" s="61">
        <f>7.9125 * CHOOSE(CONTROL!$C$19, $C$6, 100%, $E$6)</f>
        <v>7.9124999999999996</v>
      </c>
      <c r="H497" s="61">
        <f>11.4975* CHOOSE(CONTROL!$C$19, $C$6, 100%, $E$6)</f>
        <v>11.4975</v>
      </c>
      <c r="I497" s="61">
        <f>11.4996 * CHOOSE(CONTROL!$C$19, $C$6, 100%, $E$6)</f>
        <v>11.499599999999999</v>
      </c>
      <c r="J497" s="61">
        <f>7.9105 * CHOOSE(CONTROL!$C$19, $C$6, 100%, $E$6)</f>
        <v>7.9104999999999999</v>
      </c>
      <c r="K497" s="61">
        <f>7.9125 * CHOOSE(CONTROL!$C$19, $C$6, 100%, $E$6)</f>
        <v>7.9124999999999996</v>
      </c>
    </row>
    <row r="498" spans="1:11" ht="15">
      <c r="A498" s="13">
        <v>57224</v>
      </c>
      <c r="B498" s="60">
        <f>6.9375 * CHOOSE(CONTROL!$C$19, $C$6, 100%, $E$6)</f>
        <v>6.9375</v>
      </c>
      <c r="C498" s="60">
        <f>6.9375 * CHOOSE(CONTROL!$C$19, $C$6, 100%, $E$6)</f>
        <v>6.9375</v>
      </c>
      <c r="D498" s="60">
        <f>6.9705 * CHOOSE(CONTROL!$C$19, $C$6, 100%, $E$6)</f>
        <v>6.9705000000000004</v>
      </c>
      <c r="E498" s="61">
        <f>7.8957 * CHOOSE(CONTROL!$C$19, $C$6, 100%, $E$6)</f>
        <v>7.8956999999999997</v>
      </c>
      <c r="F498" s="61">
        <f>7.8957 * CHOOSE(CONTROL!$C$19, $C$6, 100%, $E$6)</f>
        <v>7.8956999999999997</v>
      </c>
      <c r="G498" s="61">
        <f>7.8977 * CHOOSE(CONTROL!$C$19, $C$6, 100%, $E$6)</f>
        <v>7.8977000000000004</v>
      </c>
      <c r="H498" s="61">
        <f>11.5215* CHOOSE(CONTROL!$C$19, $C$6, 100%, $E$6)</f>
        <v>11.5215</v>
      </c>
      <c r="I498" s="61">
        <f>11.5235 * CHOOSE(CONTROL!$C$19, $C$6, 100%, $E$6)</f>
        <v>11.5235</v>
      </c>
      <c r="J498" s="61">
        <f>7.8957 * CHOOSE(CONTROL!$C$19, $C$6, 100%, $E$6)</f>
        <v>7.8956999999999997</v>
      </c>
      <c r="K498" s="61">
        <f>7.8977 * CHOOSE(CONTROL!$C$19, $C$6, 100%, $E$6)</f>
        <v>7.8977000000000004</v>
      </c>
    </row>
    <row r="499" spans="1:11" ht="15">
      <c r="A499" s="13">
        <v>57254</v>
      </c>
      <c r="B499" s="60">
        <f>6.9438 * CHOOSE(CONTROL!$C$19, $C$6, 100%, $E$6)</f>
        <v>6.9438000000000004</v>
      </c>
      <c r="C499" s="60">
        <f>6.9438 * CHOOSE(CONTROL!$C$19, $C$6, 100%, $E$6)</f>
        <v>6.9438000000000004</v>
      </c>
      <c r="D499" s="60">
        <f>6.9603 * CHOOSE(CONTROL!$C$19, $C$6, 100%, $E$6)</f>
        <v>6.9603000000000002</v>
      </c>
      <c r="E499" s="61">
        <f>7.9331 * CHOOSE(CONTROL!$C$19, $C$6, 100%, $E$6)</f>
        <v>7.9330999999999996</v>
      </c>
      <c r="F499" s="61">
        <f>7.9331 * CHOOSE(CONTROL!$C$19, $C$6, 100%, $E$6)</f>
        <v>7.9330999999999996</v>
      </c>
      <c r="G499" s="61">
        <f>7.9332 * CHOOSE(CONTROL!$C$19, $C$6, 100%, $E$6)</f>
        <v>7.9332000000000003</v>
      </c>
      <c r="H499" s="61">
        <f>11.5455* CHOOSE(CONTROL!$C$19, $C$6, 100%, $E$6)</f>
        <v>11.545500000000001</v>
      </c>
      <c r="I499" s="61">
        <f>11.5456 * CHOOSE(CONTROL!$C$19, $C$6, 100%, $E$6)</f>
        <v>11.5456</v>
      </c>
      <c r="J499" s="61">
        <f>7.9331 * CHOOSE(CONTROL!$C$19, $C$6, 100%, $E$6)</f>
        <v>7.9330999999999996</v>
      </c>
      <c r="K499" s="61">
        <f>7.9332 * CHOOSE(CONTROL!$C$19, $C$6, 100%, $E$6)</f>
        <v>7.9332000000000003</v>
      </c>
    </row>
    <row r="500" spans="1:11" ht="15">
      <c r="A500" s="13">
        <v>57285</v>
      </c>
      <c r="B500" s="60">
        <f>6.9468 * CHOOSE(CONTROL!$C$19, $C$6, 100%, $E$6)</f>
        <v>6.9467999999999996</v>
      </c>
      <c r="C500" s="60">
        <f>6.9468 * CHOOSE(CONTROL!$C$19, $C$6, 100%, $E$6)</f>
        <v>6.9467999999999996</v>
      </c>
      <c r="D500" s="60">
        <f>6.9633 * CHOOSE(CONTROL!$C$19, $C$6, 100%, $E$6)</f>
        <v>6.9633000000000003</v>
      </c>
      <c r="E500" s="61">
        <f>7.9606 * CHOOSE(CONTROL!$C$19, $C$6, 100%, $E$6)</f>
        <v>7.9606000000000003</v>
      </c>
      <c r="F500" s="61">
        <f>7.9606 * CHOOSE(CONTROL!$C$19, $C$6, 100%, $E$6)</f>
        <v>7.9606000000000003</v>
      </c>
      <c r="G500" s="61">
        <f>7.9608 * CHOOSE(CONTROL!$C$19, $C$6, 100%, $E$6)</f>
        <v>7.9607999999999999</v>
      </c>
      <c r="H500" s="61">
        <f>11.5695* CHOOSE(CONTROL!$C$19, $C$6, 100%, $E$6)</f>
        <v>11.5695</v>
      </c>
      <c r="I500" s="61">
        <f>11.5697 * CHOOSE(CONTROL!$C$19, $C$6, 100%, $E$6)</f>
        <v>11.569699999999999</v>
      </c>
      <c r="J500" s="61">
        <f>7.9606 * CHOOSE(CONTROL!$C$19, $C$6, 100%, $E$6)</f>
        <v>7.9606000000000003</v>
      </c>
      <c r="K500" s="61">
        <f>7.9608 * CHOOSE(CONTROL!$C$19, $C$6, 100%, $E$6)</f>
        <v>7.9607999999999999</v>
      </c>
    </row>
    <row r="501" spans="1:11" ht="15">
      <c r="A501" s="13">
        <v>57315</v>
      </c>
      <c r="B501" s="60">
        <f>6.9468 * CHOOSE(CONTROL!$C$19, $C$6, 100%, $E$6)</f>
        <v>6.9467999999999996</v>
      </c>
      <c r="C501" s="60">
        <f>6.9468 * CHOOSE(CONTROL!$C$19, $C$6, 100%, $E$6)</f>
        <v>6.9467999999999996</v>
      </c>
      <c r="D501" s="60">
        <f>6.9633 * CHOOSE(CONTROL!$C$19, $C$6, 100%, $E$6)</f>
        <v>6.9633000000000003</v>
      </c>
      <c r="E501" s="61">
        <f>7.8971 * CHOOSE(CONTROL!$C$19, $C$6, 100%, $E$6)</f>
        <v>7.8971</v>
      </c>
      <c r="F501" s="61">
        <f>7.8971 * CHOOSE(CONTROL!$C$19, $C$6, 100%, $E$6)</f>
        <v>7.8971</v>
      </c>
      <c r="G501" s="61">
        <f>7.8972 * CHOOSE(CONTROL!$C$19, $C$6, 100%, $E$6)</f>
        <v>7.8971999999999998</v>
      </c>
      <c r="H501" s="61">
        <f>11.5936* CHOOSE(CONTROL!$C$19, $C$6, 100%, $E$6)</f>
        <v>11.5936</v>
      </c>
      <c r="I501" s="61">
        <f>11.5938 * CHOOSE(CONTROL!$C$19, $C$6, 100%, $E$6)</f>
        <v>11.5938</v>
      </c>
      <c r="J501" s="61">
        <f>7.8971 * CHOOSE(CONTROL!$C$19, $C$6, 100%, $E$6)</f>
        <v>7.8971</v>
      </c>
      <c r="K501" s="61">
        <f>7.8972 * CHOOSE(CONTROL!$C$19, $C$6, 100%, $E$6)</f>
        <v>7.8971999999999998</v>
      </c>
    </row>
    <row r="502" spans="1:11" ht="15">
      <c r="A502" s="13">
        <v>57346</v>
      </c>
      <c r="B502" s="60">
        <f>7.0053 * CHOOSE(CONTROL!$C$19, $C$6, 100%, $E$6)</f>
        <v>7.0053000000000001</v>
      </c>
      <c r="C502" s="60">
        <f>7.0053 * CHOOSE(CONTROL!$C$19, $C$6, 100%, $E$6)</f>
        <v>7.0053000000000001</v>
      </c>
      <c r="D502" s="60">
        <f>7.0218 * CHOOSE(CONTROL!$C$19, $C$6, 100%, $E$6)</f>
        <v>7.0217999999999998</v>
      </c>
      <c r="E502" s="61">
        <f>8.0188 * CHOOSE(CONTROL!$C$19, $C$6, 100%, $E$6)</f>
        <v>8.0188000000000006</v>
      </c>
      <c r="F502" s="61">
        <f>8.0188 * CHOOSE(CONTROL!$C$19, $C$6, 100%, $E$6)</f>
        <v>8.0188000000000006</v>
      </c>
      <c r="G502" s="61">
        <f>8.019 * CHOOSE(CONTROL!$C$19, $C$6, 100%, $E$6)</f>
        <v>8.0190000000000001</v>
      </c>
      <c r="H502" s="61">
        <f>11.6178* CHOOSE(CONTROL!$C$19, $C$6, 100%, $E$6)</f>
        <v>11.617800000000001</v>
      </c>
      <c r="I502" s="61">
        <f>11.618 * CHOOSE(CONTROL!$C$19, $C$6, 100%, $E$6)</f>
        <v>11.618</v>
      </c>
      <c r="J502" s="61">
        <f>8.0188 * CHOOSE(CONTROL!$C$19, $C$6, 100%, $E$6)</f>
        <v>8.0188000000000006</v>
      </c>
      <c r="K502" s="61">
        <f>8.019 * CHOOSE(CONTROL!$C$19, $C$6, 100%, $E$6)</f>
        <v>8.0190000000000001</v>
      </c>
    </row>
    <row r="503" spans="1:11" ht="15">
      <c r="A503" s="13">
        <v>57377</v>
      </c>
      <c r="B503" s="60">
        <f>7.0023 * CHOOSE(CONTROL!$C$19, $C$6, 100%, $E$6)</f>
        <v>7.0023</v>
      </c>
      <c r="C503" s="60">
        <f>7.0023 * CHOOSE(CONTROL!$C$19, $C$6, 100%, $E$6)</f>
        <v>7.0023</v>
      </c>
      <c r="D503" s="60">
        <f>7.0188 * CHOOSE(CONTROL!$C$19, $C$6, 100%, $E$6)</f>
        <v>7.0187999999999997</v>
      </c>
      <c r="E503" s="61">
        <f>7.8928 * CHOOSE(CONTROL!$C$19, $C$6, 100%, $E$6)</f>
        <v>7.8928000000000003</v>
      </c>
      <c r="F503" s="61">
        <f>7.8928 * CHOOSE(CONTROL!$C$19, $C$6, 100%, $E$6)</f>
        <v>7.8928000000000003</v>
      </c>
      <c r="G503" s="61">
        <f>7.893 * CHOOSE(CONTROL!$C$19, $C$6, 100%, $E$6)</f>
        <v>7.8929999999999998</v>
      </c>
      <c r="H503" s="61">
        <f>11.642* CHOOSE(CONTROL!$C$19, $C$6, 100%, $E$6)</f>
        <v>11.641999999999999</v>
      </c>
      <c r="I503" s="61">
        <f>11.6422 * CHOOSE(CONTROL!$C$19, $C$6, 100%, $E$6)</f>
        <v>11.642200000000001</v>
      </c>
      <c r="J503" s="61">
        <f>7.8928 * CHOOSE(CONTROL!$C$19, $C$6, 100%, $E$6)</f>
        <v>7.8928000000000003</v>
      </c>
      <c r="K503" s="61">
        <f>7.893 * CHOOSE(CONTROL!$C$19, $C$6, 100%, $E$6)</f>
        <v>7.8929999999999998</v>
      </c>
    </row>
    <row r="504" spans="1:11" ht="15">
      <c r="A504" s="13">
        <v>57405</v>
      </c>
      <c r="B504" s="60">
        <f>6.9992 * CHOOSE(CONTROL!$C$19, $C$6, 100%, $E$6)</f>
        <v>6.9992000000000001</v>
      </c>
      <c r="C504" s="60">
        <f>6.9992 * CHOOSE(CONTROL!$C$19, $C$6, 100%, $E$6)</f>
        <v>6.9992000000000001</v>
      </c>
      <c r="D504" s="60">
        <f>7.0157 * CHOOSE(CONTROL!$C$19, $C$6, 100%, $E$6)</f>
        <v>7.0156999999999998</v>
      </c>
      <c r="E504" s="61">
        <f>7.9884 * CHOOSE(CONTROL!$C$19, $C$6, 100%, $E$6)</f>
        <v>7.9884000000000004</v>
      </c>
      <c r="F504" s="61">
        <f>7.9884 * CHOOSE(CONTROL!$C$19, $C$6, 100%, $E$6)</f>
        <v>7.9884000000000004</v>
      </c>
      <c r="G504" s="61">
        <f>7.9886 * CHOOSE(CONTROL!$C$19, $C$6, 100%, $E$6)</f>
        <v>7.9885999999999999</v>
      </c>
      <c r="H504" s="61">
        <f>11.6662* CHOOSE(CONTROL!$C$19, $C$6, 100%, $E$6)</f>
        <v>11.6662</v>
      </c>
      <c r="I504" s="61">
        <f>11.6664 * CHOOSE(CONTROL!$C$19, $C$6, 100%, $E$6)</f>
        <v>11.666399999999999</v>
      </c>
      <c r="J504" s="61">
        <f>7.9884 * CHOOSE(CONTROL!$C$19, $C$6, 100%, $E$6)</f>
        <v>7.9884000000000004</v>
      </c>
      <c r="K504" s="61">
        <f>7.9886 * CHOOSE(CONTROL!$C$19, $C$6, 100%, $E$6)</f>
        <v>7.9885999999999999</v>
      </c>
    </row>
    <row r="505" spans="1:11" ht="15">
      <c r="A505" s="13">
        <v>57436</v>
      </c>
      <c r="B505" s="60">
        <f>6.9999 * CHOOSE(CONTROL!$C$19, $C$6, 100%, $E$6)</f>
        <v>6.9999000000000002</v>
      </c>
      <c r="C505" s="60">
        <f>6.9999 * CHOOSE(CONTROL!$C$19, $C$6, 100%, $E$6)</f>
        <v>6.9999000000000002</v>
      </c>
      <c r="D505" s="60">
        <f>7.0164 * CHOOSE(CONTROL!$C$19, $C$6, 100%, $E$6)</f>
        <v>7.0164</v>
      </c>
      <c r="E505" s="61">
        <f>8.089 * CHOOSE(CONTROL!$C$19, $C$6, 100%, $E$6)</f>
        <v>8.0890000000000004</v>
      </c>
      <c r="F505" s="61">
        <f>8.089 * CHOOSE(CONTROL!$C$19, $C$6, 100%, $E$6)</f>
        <v>8.0890000000000004</v>
      </c>
      <c r="G505" s="61">
        <f>8.0892 * CHOOSE(CONTROL!$C$19, $C$6, 100%, $E$6)</f>
        <v>8.0891999999999999</v>
      </c>
      <c r="H505" s="61">
        <f>11.6905* CHOOSE(CONTROL!$C$19, $C$6, 100%, $E$6)</f>
        <v>11.6905</v>
      </c>
      <c r="I505" s="61">
        <f>11.6907 * CHOOSE(CONTROL!$C$19, $C$6, 100%, $E$6)</f>
        <v>11.6907</v>
      </c>
      <c r="J505" s="61">
        <f>8.089 * CHOOSE(CONTROL!$C$19, $C$6, 100%, $E$6)</f>
        <v>8.0890000000000004</v>
      </c>
      <c r="K505" s="61">
        <f>8.0892 * CHOOSE(CONTROL!$C$19, $C$6, 100%, $E$6)</f>
        <v>8.0891999999999999</v>
      </c>
    </row>
    <row r="506" spans="1:11" ht="15">
      <c r="A506" s="13">
        <v>57466</v>
      </c>
      <c r="B506" s="60">
        <f>6.9999 * CHOOSE(CONTROL!$C$19, $C$6, 100%, $E$6)</f>
        <v>6.9999000000000002</v>
      </c>
      <c r="C506" s="60">
        <f>6.9999 * CHOOSE(CONTROL!$C$19, $C$6, 100%, $E$6)</f>
        <v>6.9999000000000002</v>
      </c>
      <c r="D506" s="60">
        <f>7.0329 * CHOOSE(CONTROL!$C$19, $C$6, 100%, $E$6)</f>
        <v>7.0328999999999997</v>
      </c>
      <c r="E506" s="61">
        <f>8.1284 * CHOOSE(CONTROL!$C$19, $C$6, 100%, $E$6)</f>
        <v>8.1283999999999992</v>
      </c>
      <c r="F506" s="61">
        <f>8.1284 * CHOOSE(CONTROL!$C$19, $C$6, 100%, $E$6)</f>
        <v>8.1283999999999992</v>
      </c>
      <c r="G506" s="61">
        <f>8.1304 * CHOOSE(CONTROL!$C$19, $C$6, 100%, $E$6)</f>
        <v>8.1303999999999998</v>
      </c>
      <c r="H506" s="61">
        <f>11.7149* CHOOSE(CONTROL!$C$19, $C$6, 100%, $E$6)</f>
        <v>11.7149</v>
      </c>
      <c r="I506" s="61">
        <f>11.7169 * CHOOSE(CONTROL!$C$19, $C$6, 100%, $E$6)</f>
        <v>11.716900000000001</v>
      </c>
      <c r="J506" s="61">
        <f>8.1284 * CHOOSE(CONTROL!$C$19, $C$6, 100%, $E$6)</f>
        <v>8.1283999999999992</v>
      </c>
      <c r="K506" s="61">
        <f>8.1304 * CHOOSE(CONTROL!$C$19, $C$6, 100%, $E$6)</f>
        <v>8.1303999999999998</v>
      </c>
    </row>
    <row r="507" spans="1:11" ht="15">
      <c r="A507" s="13">
        <v>57497</v>
      </c>
      <c r="B507" s="60">
        <f>7.0059 * CHOOSE(CONTROL!$C$19, $C$6, 100%, $E$6)</f>
        <v>7.0058999999999996</v>
      </c>
      <c r="C507" s="60">
        <f>7.0059 * CHOOSE(CONTROL!$C$19, $C$6, 100%, $E$6)</f>
        <v>7.0058999999999996</v>
      </c>
      <c r="D507" s="60">
        <f>7.0389 * CHOOSE(CONTROL!$C$19, $C$6, 100%, $E$6)</f>
        <v>7.0388999999999999</v>
      </c>
      <c r="E507" s="61">
        <f>8.0933 * CHOOSE(CONTROL!$C$19, $C$6, 100%, $E$6)</f>
        <v>8.0932999999999993</v>
      </c>
      <c r="F507" s="61">
        <f>8.0933 * CHOOSE(CONTROL!$C$19, $C$6, 100%, $E$6)</f>
        <v>8.0932999999999993</v>
      </c>
      <c r="G507" s="61">
        <f>8.0953 * CHOOSE(CONTROL!$C$19, $C$6, 100%, $E$6)</f>
        <v>8.0952999999999999</v>
      </c>
      <c r="H507" s="61">
        <f>11.7393* CHOOSE(CONTROL!$C$19, $C$6, 100%, $E$6)</f>
        <v>11.7393</v>
      </c>
      <c r="I507" s="61">
        <f>11.7414 * CHOOSE(CONTROL!$C$19, $C$6, 100%, $E$6)</f>
        <v>11.741400000000001</v>
      </c>
      <c r="J507" s="61">
        <f>8.0933 * CHOOSE(CONTROL!$C$19, $C$6, 100%, $E$6)</f>
        <v>8.0932999999999993</v>
      </c>
      <c r="K507" s="61">
        <f>8.0953 * CHOOSE(CONTROL!$C$19, $C$6, 100%, $E$6)</f>
        <v>8.0952999999999999</v>
      </c>
    </row>
    <row r="508" spans="1:11" ht="15">
      <c r="A508" s="13">
        <v>57527</v>
      </c>
      <c r="B508" s="60">
        <f>7.1097 * CHOOSE(CONTROL!$C$19, $C$6, 100%, $E$6)</f>
        <v>7.1097000000000001</v>
      </c>
      <c r="C508" s="60">
        <f>7.1097 * CHOOSE(CONTROL!$C$19, $C$6, 100%, $E$6)</f>
        <v>7.1097000000000001</v>
      </c>
      <c r="D508" s="60">
        <f>7.1427 * CHOOSE(CONTROL!$C$19, $C$6, 100%, $E$6)</f>
        <v>7.1426999999999996</v>
      </c>
      <c r="E508" s="61">
        <f>8.2456 * CHOOSE(CONTROL!$C$19, $C$6, 100%, $E$6)</f>
        <v>8.2455999999999996</v>
      </c>
      <c r="F508" s="61">
        <f>8.2456 * CHOOSE(CONTROL!$C$19, $C$6, 100%, $E$6)</f>
        <v>8.2455999999999996</v>
      </c>
      <c r="G508" s="61">
        <f>8.2476 * CHOOSE(CONTROL!$C$19, $C$6, 100%, $E$6)</f>
        <v>8.2476000000000003</v>
      </c>
      <c r="H508" s="61">
        <f>11.7638* CHOOSE(CONTROL!$C$19, $C$6, 100%, $E$6)</f>
        <v>11.7638</v>
      </c>
      <c r="I508" s="61">
        <f>11.7658 * CHOOSE(CONTROL!$C$19, $C$6, 100%, $E$6)</f>
        <v>11.7658</v>
      </c>
      <c r="J508" s="61">
        <f>8.2456 * CHOOSE(CONTROL!$C$19, $C$6, 100%, $E$6)</f>
        <v>8.2455999999999996</v>
      </c>
      <c r="K508" s="61">
        <f>8.2476 * CHOOSE(CONTROL!$C$19, $C$6, 100%, $E$6)</f>
        <v>8.2476000000000003</v>
      </c>
    </row>
    <row r="509" spans="1:11" ht="15">
      <c r="A509" s="13">
        <v>57558</v>
      </c>
      <c r="B509" s="60">
        <f>7.1163 * CHOOSE(CONTROL!$C$19, $C$6, 100%, $E$6)</f>
        <v>7.1162999999999998</v>
      </c>
      <c r="C509" s="60">
        <f>7.1163 * CHOOSE(CONTROL!$C$19, $C$6, 100%, $E$6)</f>
        <v>7.1162999999999998</v>
      </c>
      <c r="D509" s="60">
        <f>7.1493 * CHOOSE(CONTROL!$C$19, $C$6, 100%, $E$6)</f>
        <v>7.1493000000000002</v>
      </c>
      <c r="E509" s="61">
        <f>8.1323 * CHOOSE(CONTROL!$C$19, $C$6, 100%, $E$6)</f>
        <v>8.1323000000000008</v>
      </c>
      <c r="F509" s="61">
        <f>8.1323 * CHOOSE(CONTROL!$C$19, $C$6, 100%, $E$6)</f>
        <v>8.1323000000000008</v>
      </c>
      <c r="G509" s="61">
        <f>8.1343 * CHOOSE(CONTROL!$C$19, $C$6, 100%, $E$6)</f>
        <v>8.1342999999999996</v>
      </c>
      <c r="H509" s="61">
        <f>11.7883* CHOOSE(CONTROL!$C$19, $C$6, 100%, $E$6)</f>
        <v>11.7883</v>
      </c>
      <c r="I509" s="61">
        <f>11.7903 * CHOOSE(CONTROL!$C$19, $C$6, 100%, $E$6)</f>
        <v>11.7903</v>
      </c>
      <c r="J509" s="61">
        <f>8.1323 * CHOOSE(CONTROL!$C$19, $C$6, 100%, $E$6)</f>
        <v>8.1323000000000008</v>
      </c>
      <c r="K509" s="61">
        <f>8.1343 * CHOOSE(CONTROL!$C$19, $C$6, 100%, $E$6)</f>
        <v>8.1342999999999996</v>
      </c>
    </row>
    <row r="510" spans="1:11" ht="15">
      <c r="A510" s="13">
        <v>57589</v>
      </c>
      <c r="B510" s="60">
        <f>7.1133 * CHOOSE(CONTROL!$C$19, $C$6, 100%, $E$6)</f>
        <v>7.1132999999999997</v>
      </c>
      <c r="C510" s="60">
        <f>7.1133 * CHOOSE(CONTROL!$C$19, $C$6, 100%, $E$6)</f>
        <v>7.1132999999999997</v>
      </c>
      <c r="D510" s="60">
        <f>7.1463 * CHOOSE(CONTROL!$C$19, $C$6, 100%, $E$6)</f>
        <v>7.1463000000000001</v>
      </c>
      <c r="E510" s="61">
        <f>8.117 * CHOOSE(CONTROL!$C$19, $C$6, 100%, $E$6)</f>
        <v>8.1170000000000009</v>
      </c>
      <c r="F510" s="61">
        <f>8.117 * CHOOSE(CONTROL!$C$19, $C$6, 100%, $E$6)</f>
        <v>8.1170000000000009</v>
      </c>
      <c r="G510" s="61">
        <f>8.1191 * CHOOSE(CONTROL!$C$19, $C$6, 100%, $E$6)</f>
        <v>8.1190999999999995</v>
      </c>
      <c r="H510" s="61">
        <f>11.8128* CHOOSE(CONTROL!$C$19, $C$6, 100%, $E$6)</f>
        <v>11.812799999999999</v>
      </c>
      <c r="I510" s="61">
        <f>11.8149 * CHOOSE(CONTROL!$C$19, $C$6, 100%, $E$6)</f>
        <v>11.8149</v>
      </c>
      <c r="J510" s="61">
        <f>8.117 * CHOOSE(CONTROL!$C$19, $C$6, 100%, $E$6)</f>
        <v>8.1170000000000009</v>
      </c>
      <c r="K510" s="61">
        <f>8.1191 * CHOOSE(CONTROL!$C$19, $C$6, 100%, $E$6)</f>
        <v>8.1190999999999995</v>
      </c>
    </row>
    <row r="511" spans="1:11" ht="15">
      <c r="A511" s="13">
        <v>57619</v>
      </c>
      <c r="B511" s="60">
        <f>7.1202 * CHOOSE(CONTROL!$C$19, $C$6, 100%, $E$6)</f>
        <v>7.1201999999999996</v>
      </c>
      <c r="C511" s="60">
        <f>7.1202 * CHOOSE(CONTROL!$C$19, $C$6, 100%, $E$6)</f>
        <v>7.1201999999999996</v>
      </c>
      <c r="D511" s="60">
        <f>7.1367 * CHOOSE(CONTROL!$C$19, $C$6, 100%, $E$6)</f>
        <v>7.1367000000000003</v>
      </c>
      <c r="E511" s="61">
        <f>8.1561 * CHOOSE(CONTROL!$C$19, $C$6, 100%, $E$6)</f>
        <v>8.1561000000000003</v>
      </c>
      <c r="F511" s="61">
        <f>8.1561 * CHOOSE(CONTROL!$C$19, $C$6, 100%, $E$6)</f>
        <v>8.1561000000000003</v>
      </c>
      <c r="G511" s="61">
        <f>8.1562 * CHOOSE(CONTROL!$C$19, $C$6, 100%, $E$6)</f>
        <v>8.1562000000000001</v>
      </c>
      <c r="H511" s="61">
        <f>11.8374* CHOOSE(CONTROL!$C$19, $C$6, 100%, $E$6)</f>
        <v>11.837400000000001</v>
      </c>
      <c r="I511" s="61">
        <f>11.8376 * CHOOSE(CONTROL!$C$19, $C$6, 100%, $E$6)</f>
        <v>11.8376</v>
      </c>
      <c r="J511" s="61">
        <f>8.1561 * CHOOSE(CONTROL!$C$19, $C$6, 100%, $E$6)</f>
        <v>8.1561000000000003</v>
      </c>
      <c r="K511" s="61">
        <f>8.1562 * CHOOSE(CONTROL!$C$19, $C$6, 100%, $E$6)</f>
        <v>8.1562000000000001</v>
      </c>
    </row>
    <row r="512" spans="1:11" ht="15">
      <c r="A512" s="13">
        <v>57650</v>
      </c>
      <c r="B512" s="60">
        <f>7.1233 * CHOOSE(CONTROL!$C$19, $C$6, 100%, $E$6)</f>
        <v>7.1233000000000004</v>
      </c>
      <c r="C512" s="60">
        <f>7.1233 * CHOOSE(CONTROL!$C$19, $C$6, 100%, $E$6)</f>
        <v>7.1233000000000004</v>
      </c>
      <c r="D512" s="60">
        <f>7.1398 * CHOOSE(CONTROL!$C$19, $C$6, 100%, $E$6)</f>
        <v>7.1398000000000001</v>
      </c>
      <c r="E512" s="61">
        <f>8.1844 * CHOOSE(CONTROL!$C$19, $C$6, 100%, $E$6)</f>
        <v>8.1844000000000001</v>
      </c>
      <c r="F512" s="61">
        <f>8.1844 * CHOOSE(CONTROL!$C$19, $C$6, 100%, $E$6)</f>
        <v>8.1844000000000001</v>
      </c>
      <c r="G512" s="61">
        <f>8.1846 * CHOOSE(CONTROL!$C$19, $C$6, 100%, $E$6)</f>
        <v>8.1845999999999997</v>
      </c>
      <c r="H512" s="61">
        <f>11.8621* CHOOSE(CONTROL!$C$19, $C$6, 100%, $E$6)</f>
        <v>11.8621</v>
      </c>
      <c r="I512" s="61">
        <f>11.8623 * CHOOSE(CONTROL!$C$19, $C$6, 100%, $E$6)</f>
        <v>11.862299999999999</v>
      </c>
      <c r="J512" s="61">
        <f>8.1844 * CHOOSE(CONTROL!$C$19, $C$6, 100%, $E$6)</f>
        <v>8.1844000000000001</v>
      </c>
      <c r="K512" s="61">
        <f>8.1846 * CHOOSE(CONTROL!$C$19, $C$6, 100%, $E$6)</f>
        <v>8.1845999999999997</v>
      </c>
    </row>
    <row r="513" spans="1:11" ht="15">
      <c r="A513" s="13">
        <v>57680</v>
      </c>
      <c r="B513" s="60">
        <f>7.1233 * CHOOSE(CONTROL!$C$19, $C$6, 100%, $E$6)</f>
        <v>7.1233000000000004</v>
      </c>
      <c r="C513" s="60">
        <f>7.1233 * CHOOSE(CONTROL!$C$19, $C$6, 100%, $E$6)</f>
        <v>7.1233000000000004</v>
      </c>
      <c r="D513" s="60">
        <f>7.1398 * CHOOSE(CONTROL!$C$19, $C$6, 100%, $E$6)</f>
        <v>7.1398000000000001</v>
      </c>
      <c r="E513" s="61">
        <f>8.1189 * CHOOSE(CONTROL!$C$19, $C$6, 100%, $E$6)</f>
        <v>8.1189</v>
      </c>
      <c r="F513" s="61">
        <f>8.1189 * CHOOSE(CONTROL!$C$19, $C$6, 100%, $E$6)</f>
        <v>8.1189</v>
      </c>
      <c r="G513" s="61">
        <f>8.119 * CHOOSE(CONTROL!$C$19, $C$6, 100%, $E$6)</f>
        <v>8.1189999999999998</v>
      </c>
      <c r="H513" s="61">
        <f>11.8868* CHOOSE(CONTROL!$C$19, $C$6, 100%, $E$6)</f>
        <v>11.886799999999999</v>
      </c>
      <c r="I513" s="61">
        <f>11.887 * CHOOSE(CONTROL!$C$19, $C$6, 100%, $E$6)</f>
        <v>11.887</v>
      </c>
      <c r="J513" s="61">
        <f>8.1189 * CHOOSE(CONTROL!$C$19, $C$6, 100%, $E$6)</f>
        <v>8.1189</v>
      </c>
      <c r="K513" s="61">
        <f>8.119 * CHOOSE(CONTROL!$C$19, $C$6, 100%, $E$6)</f>
        <v>8.1189999999999998</v>
      </c>
    </row>
    <row r="514" spans="1:11" ht="15">
      <c r="A514" s="13">
        <v>57711</v>
      </c>
      <c r="B514" s="60">
        <f>7.1831 * CHOOSE(CONTROL!$C$19, $C$6, 100%, $E$6)</f>
        <v>7.1830999999999996</v>
      </c>
      <c r="C514" s="60">
        <f>7.1831 * CHOOSE(CONTROL!$C$19, $C$6, 100%, $E$6)</f>
        <v>7.1830999999999996</v>
      </c>
      <c r="D514" s="60">
        <f>7.1996 * CHOOSE(CONTROL!$C$19, $C$6, 100%, $E$6)</f>
        <v>7.1996000000000002</v>
      </c>
      <c r="E514" s="61">
        <f>8.2442 * CHOOSE(CONTROL!$C$19, $C$6, 100%, $E$6)</f>
        <v>8.2441999999999993</v>
      </c>
      <c r="F514" s="61">
        <f>8.2442 * CHOOSE(CONTROL!$C$19, $C$6, 100%, $E$6)</f>
        <v>8.2441999999999993</v>
      </c>
      <c r="G514" s="61">
        <f>8.2443 * CHOOSE(CONTROL!$C$19, $C$6, 100%, $E$6)</f>
        <v>8.2443000000000008</v>
      </c>
      <c r="H514" s="61">
        <f>11.9116* CHOOSE(CONTROL!$C$19, $C$6, 100%, $E$6)</f>
        <v>11.9116</v>
      </c>
      <c r="I514" s="61">
        <f>11.9118 * CHOOSE(CONTROL!$C$19, $C$6, 100%, $E$6)</f>
        <v>11.911799999999999</v>
      </c>
      <c r="J514" s="61">
        <f>8.2442 * CHOOSE(CONTROL!$C$19, $C$6, 100%, $E$6)</f>
        <v>8.2441999999999993</v>
      </c>
      <c r="K514" s="61">
        <f>8.2443 * CHOOSE(CONTROL!$C$19, $C$6, 100%, $E$6)</f>
        <v>8.2443000000000008</v>
      </c>
    </row>
    <row r="515" spans="1:11" ht="15">
      <c r="A515" s="13">
        <v>57742</v>
      </c>
      <c r="B515" s="60">
        <f>7.1801 * CHOOSE(CONTROL!$C$19, $C$6, 100%, $E$6)</f>
        <v>7.1801000000000004</v>
      </c>
      <c r="C515" s="60">
        <f>7.1801 * CHOOSE(CONTROL!$C$19, $C$6, 100%, $E$6)</f>
        <v>7.1801000000000004</v>
      </c>
      <c r="D515" s="60">
        <f>7.1966 * CHOOSE(CONTROL!$C$19, $C$6, 100%, $E$6)</f>
        <v>7.1966000000000001</v>
      </c>
      <c r="E515" s="61">
        <f>8.1142 * CHOOSE(CONTROL!$C$19, $C$6, 100%, $E$6)</f>
        <v>8.1142000000000003</v>
      </c>
      <c r="F515" s="61">
        <f>8.1142 * CHOOSE(CONTROL!$C$19, $C$6, 100%, $E$6)</f>
        <v>8.1142000000000003</v>
      </c>
      <c r="G515" s="61">
        <f>8.1144 * CHOOSE(CONTROL!$C$19, $C$6, 100%, $E$6)</f>
        <v>8.1143999999999998</v>
      </c>
      <c r="H515" s="61">
        <f>11.9364* CHOOSE(CONTROL!$C$19, $C$6, 100%, $E$6)</f>
        <v>11.936400000000001</v>
      </c>
      <c r="I515" s="61">
        <f>11.9366 * CHOOSE(CONTROL!$C$19, $C$6, 100%, $E$6)</f>
        <v>11.9366</v>
      </c>
      <c r="J515" s="61">
        <f>8.1142 * CHOOSE(CONTROL!$C$19, $C$6, 100%, $E$6)</f>
        <v>8.1142000000000003</v>
      </c>
      <c r="K515" s="61">
        <f>8.1144 * CHOOSE(CONTROL!$C$19, $C$6, 100%, $E$6)</f>
        <v>8.1143999999999998</v>
      </c>
    </row>
    <row r="516" spans="1:11" ht="15">
      <c r="A516" s="13">
        <v>57770</v>
      </c>
      <c r="B516" s="60">
        <f>7.1771 * CHOOSE(CONTROL!$C$19, $C$6, 100%, $E$6)</f>
        <v>7.1771000000000003</v>
      </c>
      <c r="C516" s="60">
        <f>7.1771 * CHOOSE(CONTROL!$C$19, $C$6, 100%, $E$6)</f>
        <v>7.1771000000000003</v>
      </c>
      <c r="D516" s="60">
        <f>7.1936 * CHOOSE(CONTROL!$C$19, $C$6, 100%, $E$6)</f>
        <v>7.1936</v>
      </c>
      <c r="E516" s="61">
        <f>8.2129 * CHOOSE(CONTROL!$C$19, $C$6, 100%, $E$6)</f>
        <v>8.2128999999999994</v>
      </c>
      <c r="F516" s="61">
        <f>8.2129 * CHOOSE(CONTROL!$C$19, $C$6, 100%, $E$6)</f>
        <v>8.2128999999999994</v>
      </c>
      <c r="G516" s="61">
        <f>8.2131 * CHOOSE(CONTROL!$C$19, $C$6, 100%, $E$6)</f>
        <v>8.2131000000000007</v>
      </c>
      <c r="H516" s="61">
        <f>11.9613* CHOOSE(CONTROL!$C$19, $C$6, 100%, $E$6)</f>
        <v>11.9613</v>
      </c>
      <c r="I516" s="61">
        <f>11.9614 * CHOOSE(CONTROL!$C$19, $C$6, 100%, $E$6)</f>
        <v>11.961399999999999</v>
      </c>
      <c r="J516" s="61">
        <f>8.2129 * CHOOSE(CONTROL!$C$19, $C$6, 100%, $E$6)</f>
        <v>8.2128999999999994</v>
      </c>
      <c r="K516" s="61">
        <f>8.2131 * CHOOSE(CONTROL!$C$19, $C$6, 100%, $E$6)</f>
        <v>8.2131000000000007</v>
      </c>
    </row>
    <row r="517" spans="1:11" ht="15">
      <c r="A517" s="13">
        <v>57801</v>
      </c>
      <c r="B517" s="60">
        <f>7.1779 * CHOOSE(CONTROL!$C$19, $C$6, 100%, $E$6)</f>
        <v>7.1779000000000002</v>
      </c>
      <c r="C517" s="60">
        <f>7.1779 * CHOOSE(CONTROL!$C$19, $C$6, 100%, $E$6)</f>
        <v>7.1779000000000002</v>
      </c>
      <c r="D517" s="60">
        <f>7.1944 * CHOOSE(CONTROL!$C$19, $C$6, 100%, $E$6)</f>
        <v>7.1943999999999999</v>
      </c>
      <c r="E517" s="61">
        <f>8.3169 * CHOOSE(CONTROL!$C$19, $C$6, 100%, $E$6)</f>
        <v>8.3169000000000004</v>
      </c>
      <c r="F517" s="61">
        <f>8.3169 * CHOOSE(CONTROL!$C$19, $C$6, 100%, $E$6)</f>
        <v>8.3169000000000004</v>
      </c>
      <c r="G517" s="61">
        <f>8.317 * CHOOSE(CONTROL!$C$19, $C$6, 100%, $E$6)</f>
        <v>8.3170000000000002</v>
      </c>
      <c r="H517" s="61">
        <f>11.9862* CHOOSE(CONTROL!$C$19, $C$6, 100%, $E$6)</f>
        <v>11.9862</v>
      </c>
      <c r="I517" s="61">
        <f>11.9864 * CHOOSE(CONTROL!$C$19, $C$6, 100%, $E$6)</f>
        <v>11.9864</v>
      </c>
      <c r="J517" s="61">
        <f>8.3169 * CHOOSE(CONTROL!$C$19, $C$6, 100%, $E$6)</f>
        <v>8.3169000000000004</v>
      </c>
      <c r="K517" s="61">
        <f>8.317 * CHOOSE(CONTROL!$C$19, $C$6, 100%, $E$6)</f>
        <v>8.3170000000000002</v>
      </c>
    </row>
    <row r="518" spans="1:11" ht="15">
      <c r="A518" s="13">
        <v>57831</v>
      </c>
      <c r="B518" s="60">
        <f>7.1779 * CHOOSE(CONTROL!$C$19, $C$6, 100%, $E$6)</f>
        <v>7.1779000000000002</v>
      </c>
      <c r="C518" s="60">
        <f>7.1779 * CHOOSE(CONTROL!$C$19, $C$6, 100%, $E$6)</f>
        <v>7.1779000000000002</v>
      </c>
      <c r="D518" s="60">
        <f>7.2109 * CHOOSE(CONTROL!$C$19, $C$6, 100%, $E$6)</f>
        <v>7.2108999999999996</v>
      </c>
      <c r="E518" s="61">
        <f>8.3574 * CHOOSE(CONTROL!$C$19, $C$6, 100%, $E$6)</f>
        <v>8.3574000000000002</v>
      </c>
      <c r="F518" s="61">
        <f>8.3574 * CHOOSE(CONTROL!$C$19, $C$6, 100%, $E$6)</f>
        <v>8.3574000000000002</v>
      </c>
      <c r="G518" s="61">
        <f>8.3595 * CHOOSE(CONTROL!$C$19, $C$6, 100%, $E$6)</f>
        <v>8.3595000000000006</v>
      </c>
      <c r="H518" s="61">
        <f>12.0111* CHOOSE(CONTROL!$C$19, $C$6, 100%, $E$6)</f>
        <v>12.011100000000001</v>
      </c>
      <c r="I518" s="61">
        <f>12.0132 * CHOOSE(CONTROL!$C$19, $C$6, 100%, $E$6)</f>
        <v>12.013199999999999</v>
      </c>
      <c r="J518" s="61">
        <f>8.3574 * CHOOSE(CONTROL!$C$19, $C$6, 100%, $E$6)</f>
        <v>8.3574000000000002</v>
      </c>
      <c r="K518" s="61">
        <f>8.3595 * CHOOSE(CONTROL!$C$19, $C$6, 100%, $E$6)</f>
        <v>8.3595000000000006</v>
      </c>
    </row>
    <row r="519" spans="1:11" ht="15">
      <c r="A519" s="13">
        <v>57862</v>
      </c>
      <c r="B519" s="60">
        <f>7.1839 * CHOOSE(CONTROL!$C$19, $C$6, 100%, $E$6)</f>
        <v>7.1839000000000004</v>
      </c>
      <c r="C519" s="60">
        <f>7.1839 * CHOOSE(CONTROL!$C$19, $C$6, 100%, $E$6)</f>
        <v>7.1839000000000004</v>
      </c>
      <c r="D519" s="60">
        <f>7.2169 * CHOOSE(CONTROL!$C$19, $C$6, 100%, $E$6)</f>
        <v>7.2168999999999999</v>
      </c>
      <c r="E519" s="61">
        <f>8.3211 * CHOOSE(CONTROL!$C$19, $C$6, 100%, $E$6)</f>
        <v>8.3210999999999995</v>
      </c>
      <c r="F519" s="61">
        <f>8.3211 * CHOOSE(CONTROL!$C$19, $C$6, 100%, $E$6)</f>
        <v>8.3210999999999995</v>
      </c>
      <c r="G519" s="61">
        <f>8.3231 * CHOOSE(CONTROL!$C$19, $C$6, 100%, $E$6)</f>
        <v>8.3231000000000002</v>
      </c>
      <c r="H519" s="61">
        <f>12.0362* CHOOSE(CONTROL!$C$19, $C$6, 100%, $E$6)</f>
        <v>12.036199999999999</v>
      </c>
      <c r="I519" s="61">
        <f>12.0382 * CHOOSE(CONTROL!$C$19, $C$6, 100%, $E$6)</f>
        <v>12.0382</v>
      </c>
      <c r="J519" s="61">
        <f>8.3211 * CHOOSE(CONTROL!$C$19, $C$6, 100%, $E$6)</f>
        <v>8.3210999999999995</v>
      </c>
      <c r="K519" s="61">
        <f>8.3231 * CHOOSE(CONTROL!$C$19, $C$6, 100%, $E$6)</f>
        <v>8.3231000000000002</v>
      </c>
    </row>
    <row r="520" spans="1:11" ht="15">
      <c r="A520" s="13">
        <v>57892</v>
      </c>
      <c r="B520" s="60">
        <f>7.2899 * CHOOSE(CONTROL!$C$19, $C$6, 100%, $E$6)</f>
        <v>7.2899000000000003</v>
      </c>
      <c r="C520" s="60">
        <f>7.2899 * CHOOSE(CONTROL!$C$19, $C$6, 100%, $E$6)</f>
        <v>7.2899000000000003</v>
      </c>
      <c r="D520" s="60">
        <f>7.3229 * CHOOSE(CONTROL!$C$19, $C$6, 100%, $E$6)</f>
        <v>7.3228999999999997</v>
      </c>
      <c r="E520" s="61">
        <f>8.4774 * CHOOSE(CONTROL!$C$19, $C$6, 100%, $E$6)</f>
        <v>8.4773999999999994</v>
      </c>
      <c r="F520" s="61">
        <f>8.4774 * CHOOSE(CONTROL!$C$19, $C$6, 100%, $E$6)</f>
        <v>8.4773999999999994</v>
      </c>
      <c r="G520" s="61">
        <f>8.4794 * CHOOSE(CONTROL!$C$19, $C$6, 100%, $E$6)</f>
        <v>8.4794</v>
      </c>
      <c r="H520" s="61">
        <f>12.0612* CHOOSE(CONTROL!$C$19, $C$6, 100%, $E$6)</f>
        <v>12.061199999999999</v>
      </c>
      <c r="I520" s="61">
        <f>12.0633 * CHOOSE(CONTROL!$C$19, $C$6, 100%, $E$6)</f>
        <v>12.0633</v>
      </c>
      <c r="J520" s="61">
        <f>8.4774 * CHOOSE(CONTROL!$C$19, $C$6, 100%, $E$6)</f>
        <v>8.4773999999999994</v>
      </c>
      <c r="K520" s="61">
        <f>8.4794 * CHOOSE(CONTROL!$C$19, $C$6, 100%, $E$6)</f>
        <v>8.4794</v>
      </c>
    </row>
    <row r="521" spans="1:11" ht="15">
      <c r="A521" s="13">
        <v>57923</v>
      </c>
      <c r="B521" s="60">
        <f>7.2966 * CHOOSE(CONTROL!$C$19, $C$6, 100%, $E$6)</f>
        <v>7.2965999999999998</v>
      </c>
      <c r="C521" s="60">
        <f>7.2966 * CHOOSE(CONTROL!$C$19, $C$6, 100%, $E$6)</f>
        <v>7.2965999999999998</v>
      </c>
      <c r="D521" s="60">
        <f>7.3296 * CHOOSE(CONTROL!$C$19, $C$6, 100%, $E$6)</f>
        <v>7.3296000000000001</v>
      </c>
      <c r="E521" s="61">
        <f>8.3603 * CHOOSE(CONTROL!$C$19, $C$6, 100%, $E$6)</f>
        <v>8.3603000000000005</v>
      </c>
      <c r="F521" s="61">
        <f>8.3603 * CHOOSE(CONTROL!$C$19, $C$6, 100%, $E$6)</f>
        <v>8.3603000000000005</v>
      </c>
      <c r="G521" s="61">
        <f>8.3624 * CHOOSE(CONTROL!$C$19, $C$6, 100%, $E$6)</f>
        <v>8.3623999999999992</v>
      </c>
      <c r="H521" s="61">
        <f>12.0864* CHOOSE(CONTROL!$C$19, $C$6, 100%, $E$6)</f>
        <v>12.086399999999999</v>
      </c>
      <c r="I521" s="61">
        <f>12.0884 * CHOOSE(CONTROL!$C$19, $C$6, 100%, $E$6)</f>
        <v>12.0884</v>
      </c>
      <c r="J521" s="61">
        <f>8.3603 * CHOOSE(CONTROL!$C$19, $C$6, 100%, $E$6)</f>
        <v>8.3603000000000005</v>
      </c>
      <c r="K521" s="61">
        <f>8.3624 * CHOOSE(CONTROL!$C$19, $C$6, 100%, $E$6)</f>
        <v>8.3623999999999992</v>
      </c>
    </row>
    <row r="522" spans="1:11" ht="15">
      <c r="A522" s="13">
        <v>57954</v>
      </c>
      <c r="B522" s="60">
        <f>7.2936 * CHOOSE(CONTROL!$C$19, $C$6, 100%, $E$6)</f>
        <v>7.2935999999999996</v>
      </c>
      <c r="C522" s="60">
        <f>7.2936 * CHOOSE(CONTROL!$C$19, $C$6, 100%, $E$6)</f>
        <v>7.2935999999999996</v>
      </c>
      <c r="D522" s="60">
        <f>7.3266 * CHOOSE(CONTROL!$C$19, $C$6, 100%, $E$6)</f>
        <v>7.3266</v>
      </c>
      <c r="E522" s="61">
        <f>8.3447 * CHOOSE(CONTROL!$C$19, $C$6, 100%, $E$6)</f>
        <v>8.3446999999999996</v>
      </c>
      <c r="F522" s="61">
        <f>8.3447 * CHOOSE(CONTROL!$C$19, $C$6, 100%, $E$6)</f>
        <v>8.3446999999999996</v>
      </c>
      <c r="G522" s="61">
        <f>8.3467 * CHOOSE(CONTROL!$C$19, $C$6, 100%, $E$6)</f>
        <v>8.3467000000000002</v>
      </c>
      <c r="H522" s="61">
        <f>12.1116* CHOOSE(CONTROL!$C$19, $C$6, 100%, $E$6)</f>
        <v>12.111599999999999</v>
      </c>
      <c r="I522" s="61">
        <f>12.1136 * CHOOSE(CONTROL!$C$19, $C$6, 100%, $E$6)</f>
        <v>12.1136</v>
      </c>
      <c r="J522" s="61">
        <f>8.3447 * CHOOSE(CONTROL!$C$19, $C$6, 100%, $E$6)</f>
        <v>8.3446999999999996</v>
      </c>
      <c r="K522" s="61">
        <f>8.3467 * CHOOSE(CONTROL!$C$19, $C$6, 100%, $E$6)</f>
        <v>8.3467000000000002</v>
      </c>
    </row>
    <row r="523" spans="1:11" ht="15">
      <c r="A523" s="13">
        <v>57984</v>
      </c>
      <c r="B523" s="60">
        <f>7.3012 * CHOOSE(CONTROL!$C$19, $C$6, 100%, $E$6)</f>
        <v>7.3011999999999997</v>
      </c>
      <c r="C523" s="60">
        <f>7.3012 * CHOOSE(CONTROL!$C$19, $C$6, 100%, $E$6)</f>
        <v>7.3011999999999997</v>
      </c>
      <c r="D523" s="60">
        <f>7.3177 * CHOOSE(CONTROL!$C$19, $C$6, 100%, $E$6)</f>
        <v>7.3177000000000003</v>
      </c>
      <c r="E523" s="61">
        <f>8.3854 * CHOOSE(CONTROL!$C$19, $C$6, 100%, $E$6)</f>
        <v>8.3854000000000006</v>
      </c>
      <c r="F523" s="61">
        <f>8.3854 * CHOOSE(CONTROL!$C$19, $C$6, 100%, $E$6)</f>
        <v>8.3854000000000006</v>
      </c>
      <c r="G523" s="61">
        <f>8.3855 * CHOOSE(CONTROL!$C$19, $C$6, 100%, $E$6)</f>
        <v>8.3855000000000004</v>
      </c>
      <c r="H523" s="61">
        <f>12.1368* CHOOSE(CONTROL!$C$19, $C$6, 100%, $E$6)</f>
        <v>12.136799999999999</v>
      </c>
      <c r="I523" s="61">
        <f>12.137 * CHOOSE(CONTROL!$C$19, $C$6, 100%, $E$6)</f>
        <v>12.137</v>
      </c>
      <c r="J523" s="61">
        <f>8.3854 * CHOOSE(CONTROL!$C$19, $C$6, 100%, $E$6)</f>
        <v>8.3854000000000006</v>
      </c>
      <c r="K523" s="61">
        <f>8.3855 * CHOOSE(CONTROL!$C$19, $C$6, 100%, $E$6)</f>
        <v>8.3855000000000004</v>
      </c>
    </row>
    <row r="524" spans="1:11" ht="15">
      <c r="A524" s="13">
        <v>58015</v>
      </c>
      <c r="B524" s="60">
        <f>7.3042 * CHOOSE(CONTROL!$C$19, $C$6, 100%, $E$6)</f>
        <v>7.3041999999999998</v>
      </c>
      <c r="C524" s="60">
        <f>7.3042 * CHOOSE(CONTROL!$C$19, $C$6, 100%, $E$6)</f>
        <v>7.3041999999999998</v>
      </c>
      <c r="D524" s="60">
        <f>7.3207 * CHOOSE(CONTROL!$C$19, $C$6, 100%, $E$6)</f>
        <v>7.3207000000000004</v>
      </c>
      <c r="E524" s="61">
        <f>8.4145 * CHOOSE(CONTROL!$C$19, $C$6, 100%, $E$6)</f>
        <v>8.4145000000000003</v>
      </c>
      <c r="F524" s="61">
        <f>8.4145 * CHOOSE(CONTROL!$C$19, $C$6, 100%, $E$6)</f>
        <v>8.4145000000000003</v>
      </c>
      <c r="G524" s="61">
        <f>8.4147 * CHOOSE(CONTROL!$C$19, $C$6, 100%, $E$6)</f>
        <v>8.4146999999999998</v>
      </c>
      <c r="H524" s="61">
        <f>12.1621* CHOOSE(CONTROL!$C$19, $C$6, 100%, $E$6)</f>
        <v>12.162100000000001</v>
      </c>
      <c r="I524" s="61">
        <f>12.1622 * CHOOSE(CONTROL!$C$19, $C$6, 100%, $E$6)</f>
        <v>12.1622</v>
      </c>
      <c r="J524" s="61">
        <f>8.4145 * CHOOSE(CONTROL!$C$19, $C$6, 100%, $E$6)</f>
        <v>8.4145000000000003</v>
      </c>
      <c r="K524" s="61">
        <f>8.4147 * CHOOSE(CONTROL!$C$19, $C$6, 100%, $E$6)</f>
        <v>8.4146999999999998</v>
      </c>
    </row>
    <row r="525" spans="1:11" ht="15">
      <c r="A525" s="13">
        <v>58045</v>
      </c>
      <c r="B525" s="60">
        <f>7.3042 * CHOOSE(CONTROL!$C$19, $C$6, 100%, $E$6)</f>
        <v>7.3041999999999998</v>
      </c>
      <c r="C525" s="60">
        <f>7.3042 * CHOOSE(CONTROL!$C$19, $C$6, 100%, $E$6)</f>
        <v>7.3041999999999998</v>
      </c>
      <c r="D525" s="60">
        <f>7.3207 * CHOOSE(CONTROL!$C$19, $C$6, 100%, $E$6)</f>
        <v>7.3207000000000004</v>
      </c>
      <c r="E525" s="61">
        <f>8.3469 * CHOOSE(CONTROL!$C$19, $C$6, 100%, $E$6)</f>
        <v>8.3468999999999998</v>
      </c>
      <c r="F525" s="61">
        <f>8.3469 * CHOOSE(CONTROL!$C$19, $C$6, 100%, $E$6)</f>
        <v>8.3468999999999998</v>
      </c>
      <c r="G525" s="61">
        <f>8.3471 * CHOOSE(CONTROL!$C$19, $C$6, 100%, $E$6)</f>
        <v>8.3470999999999993</v>
      </c>
      <c r="H525" s="61">
        <f>12.1874* CHOOSE(CONTROL!$C$19, $C$6, 100%, $E$6)</f>
        <v>12.1874</v>
      </c>
      <c r="I525" s="61">
        <f>12.1876 * CHOOSE(CONTROL!$C$19, $C$6, 100%, $E$6)</f>
        <v>12.1876</v>
      </c>
      <c r="J525" s="61">
        <f>8.3469 * CHOOSE(CONTROL!$C$19, $C$6, 100%, $E$6)</f>
        <v>8.3468999999999998</v>
      </c>
      <c r="K525" s="61">
        <f>8.3471 * CHOOSE(CONTROL!$C$19, $C$6, 100%, $E$6)</f>
        <v>8.3470999999999993</v>
      </c>
    </row>
    <row r="526" spans="1:11" ht="15">
      <c r="A526" s="13">
        <v>58076</v>
      </c>
      <c r="B526" s="60">
        <f>7.3655 * CHOOSE(CONTROL!$C$19, $C$6, 100%, $E$6)</f>
        <v>7.3654999999999999</v>
      </c>
      <c r="C526" s="60">
        <f>7.3655 * CHOOSE(CONTROL!$C$19, $C$6, 100%, $E$6)</f>
        <v>7.3654999999999999</v>
      </c>
      <c r="D526" s="60">
        <f>7.382 * CHOOSE(CONTROL!$C$19, $C$6, 100%, $E$6)</f>
        <v>7.3819999999999997</v>
      </c>
      <c r="E526" s="61">
        <f>8.4758 * CHOOSE(CONTROL!$C$19, $C$6, 100%, $E$6)</f>
        <v>8.4757999999999996</v>
      </c>
      <c r="F526" s="61">
        <f>8.4758 * CHOOSE(CONTROL!$C$19, $C$6, 100%, $E$6)</f>
        <v>8.4757999999999996</v>
      </c>
      <c r="G526" s="61">
        <f>8.476 * CHOOSE(CONTROL!$C$19, $C$6, 100%, $E$6)</f>
        <v>8.4760000000000009</v>
      </c>
      <c r="H526" s="61">
        <f>12.2128* CHOOSE(CONTROL!$C$19, $C$6, 100%, $E$6)</f>
        <v>12.2128</v>
      </c>
      <c r="I526" s="61">
        <f>12.213 * CHOOSE(CONTROL!$C$19, $C$6, 100%, $E$6)</f>
        <v>12.212999999999999</v>
      </c>
      <c r="J526" s="61">
        <f>8.4758 * CHOOSE(CONTROL!$C$19, $C$6, 100%, $E$6)</f>
        <v>8.4757999999999996</v>
      </c>
      <c r="K526" s="61">
        <f>8.476 * CHOOSE(CONTROL!$C$19, $C$6, 100%, $E$6)</f>
        <v>8.4760000000000009</v>
      </c>
    </row>
    <row r="527" spans="1:11" ht="15">
      <c r="A527" s="13">
        <v>58107</v>
      </c>
      <c r="B527" s="60">
        <f>7.3624 * CHOOSE(CONTROL!$C$19, $C$6, 100%, $E$6)</f>
        <v>7.3624000000000001</v>
      </c>
      <c r="C527" s="60">
        <f>7.3624 * CHOOSE(CONTROL!$C$19, $C$6, 100%, $E$6)</f>
        <v>7.3624000000000001</v>
      </c>
      <c r="D527" s="60">
        <f>7.3789 * CHOOSE(CONTROL!$C$19, $C$6, 100%, $E$6)</f>
        <v>7.3788999999999998</v>
      </c>
      <c r="E527" s="61">
        <f>8.3418 * CHOOSE(CONTROL!$C$19, $C$6, 100%, $E$6)</f>
        <v>8.3417999999999992</v>
      </c>
      <c r="F527" s="61">
        <f>8.3418 * CHOOSE(CONTROL!$C$19, $C$6, 100%, $E$6)</f>
        <v>8.3417999999999992</v>
      </c>
      <c r="G527" s="61">
        <f>8.342 * CHOOSE(CONTROL!$C$19, $C$6, 100%, $E$6)</f>
        <v>8.3420000000000005</v>
      </c>
      <c r="H527" s="61">
        <f>12.2382* CHOOSE(CONTROL!$C$19, $C$6, 100%, $E$6)</f>
        <v>12.238200000000001</v>
      </c>
      <c r="I527" s="61">
        <f>12.2384 * CHOOSE(CONTROL!$C$19, $C$6, 100%, $E$6)</f>
        <v>12.2384</v>
      </c>
      <c r="J527" s="61">
        <f>8.3418 * CHOOSE(CONTROL!$C$19, $C$6, 100%, $E$6)</f>
        <v>8.3417999999999992</v>
      </c>
      <c r="K527" s="61">
        <f>8.342 * CHOOSE(CONTROL!$C$19, $C$6, 100%, $E$6)</f>
        <v>8.3420000000000005</v>
      </c>
    </row>
    <row r="528" spans="1:11" ht="15">
      <c r="A528" s="13">
        <v>58135</v>
      </c>
      <c r="B528" s="60">
        <f>7.3594 * CHOOSE(CONTROL!$C$19, $C$6, 100%, $E$6)</f>
        <v>7.3593999999999999</v>
      </c>
      <c r="C528" s="60">
        <f>7.3594 * CHOOSE(CONTROL!$C$19, $C$6, 100%, $E$6)</f>
        <v>7.3593999999999999</v>
      </c>
      <c r="D528" s="60">
        <f>7.3759 * CHOOSE(CONTROL!$C$19, $C$6, 100%, $E$6)</f>
        <v>7.3758999999999997</v>
      </c>
      <c r="E528" s="61">
        <f>8.4437 * CHOOSE(CONTROL!$C$19, $C$6, 100%, $E$6)</f>
        <v>8.4436999999999998</v>
      </c>
      <c r="F528" s="61">
        <f>8.4437 * CHOOSE(CONTROL!$C$19, $C$6, 100%, $E$6)</f>
        <v>8.4436999999999998</v>
      </c>
      <c r="G528" s="61">
        <f>8.4439 * CHOOSE(CONTROL!$C$19, $C$6, 100%, $E$6)</f>
        <v>8.4438999999999993</v>
      </c>
      <c r="H528" s="61">
        <f>12.2637* CHOOSE(CONTROL!$C$19, $C$6, 100%, $E$6)</f>
        <v>12.2637</v>
      </c>
      <c r="I528" s="61">
        <f>12.2639 * CHOOSE(CONTROL!$C$19, $C$6, 100%, $E$6)</f>
        <v>12.2639</v>
      </c>
      <c r="J528" s="61">
        <f>8.4437 * CHOOSE(CONTROL!$C$19, $C$6, 100%, $E$6)</f>
        <v>8.4436999999999998</v>
      </c>
      <c r="K528" s="61">
        <f>8.4439 * CHOOSE(CONTROL!$C$19, $C$6, 100%, $E$6)</f>
        <v>8.4438999999999993</v>
      </c>
    </row>
    <row r="529" spans="1:11" ht="15">
      <c r="A529" s="13">
        <v>58166</v>
      </c>
      <c r="B529" s="60">
        <f>7.3604 * CHOOSE(CONTROL!$C$19, $C$6, 100%, $E$6)</f>
        <v>7.3604000000000003</v>
      </c>
      <c r="C529" s="60">
        <f>7.3604 * CHOOSE(CONTROL!$C$19, $C$6, 100%, $E$6)</f>
        <v>7.3604000000000003</v>
      </c>
      <c r="D529" s="60">
        <f>7.3769 * CHOOSE(CONTROL!$C$19, $C$6, 100%, $E$6)</f>
        <v>7.3769</v>
      </c>
      <c r="E529" s="61">
        <f>8.5511 * CHOOSE(CONTROL!$C$19, $C$6, 100%, $E$6)</f>
        <v>8.5510999999999999</v>
      </c>
      <c r="F529" s="61">
        <f>8.5511 * CHOOSE(CONTROL!$C$19, $C$6, 100%, $E$6)</f>
        <v>8.5510999999999999</v>
      </c>
      <c r="G529" s="61">
        <f>8.5513 * CHOOSE(CONTROL!$C$19, $C$6, 100%, $E$6)</f>
        <v>8.5512999999999995</v>
      </c>
      <c r="H529" s="61">
        <f>12.2893* CHOOSE(CONTROL!$C$19, $C$6, 100%, $E$6)</f>
        <v>12.289300000000001</v>
      </c>
      <c r="I529" s="61">
        <f>12.2895 * CHOOSE(CONTROL!$C$19, $C$6, 100%, $E$6)</f>
        <v>12.2895</v>
      </c>
      <c r="J529" s="61">
        <f>8.5511 * CHOOSE(CONTROL!$C$19, $C$6, 100%, $E$6)</f>
        <v>8.5510999999999999</v>
      </c>
      <c r="K529" s="61">
        <f>8.5513 * CHOOSE(CONTROL!$C$19, $C$6, 100%, $E$6)</f>
        <v>8.5512999999999995</v>
      </c>
    </row>
    <row r="530" spans="1:11" ht="15">
      <c r="A530" s="13">
        <v>58196</v>
      </c>
      <c r="B530" s="60">
        <f>7.3604 * CHOOSE(CONTROL!$C$19, $C$6, 100%, $E$6)</f>
        <v>7.3604000000000003</v>
      </c>
      <c r="C530" s="60">
        <f>7.3604 * CHOOSE(CONTROL!$C$19, $C$6, 100%, $E$6)</f>
        <v>7.3604000000000003</v>
      </c>
      <c r="D530" s="60">
        <f>7.3934 * CHOOSE(CONTROL!$C$19, $C$6, 100%, $E$6)</f>
        <v>7.3933999999999997</v>
      </c>
      <c r="E530" s="61">
        <f>8.593 * CHOOSE(CONTROL!$C$19, $C$6, 100%, $E$6)</f>
        <v>8.593</v>
      </c>
      <c r="F530" s="61">
        <f>8.593 * CHOOSE(CONTROL!$C$19, $C$6, 100%, $E$6)</f>
        <v>8.593</v>
      </c>
      <c r="G530" s="61">
        <f>8.595 * CHOOSE(CONTROL!$C$19, $C$6, 100%, $E$6)</f>
        <v>8.5950000000000006</v>
      </c>
      <c r="H530" s="61">
        <f>12.3149* CHOOSE(CONTROL!$C$19, $C$6, 100%, $E$6)</f>
        <v>12.3149</v>
      </c>
      <c r="I530" s="61">
        <f>12.3169 * CHOOSE(CONTROL!$C$19, $C$6, 100%, $E$6)</f>
        <v>12.3169</v>
      </c>
      <c r="J530" s="61">
        <f>8.593 * CHOOSE(CONTROL!$C$19, $C$6, 100%, $E$6)</f>
        <v>8.593</v>
      </c>
      <c r="K530" s="61">
        <f>8.595 * CHOOSE(CONTROL!$C$19, $C$6, 100%, $E$6)</f>
        <v>8.5950000000000006</v>
      </c>
    </row>
    <row r="531" spans="1:11" ht="15">
      <c r="A531" s="13">
        <v>58227</v>
      </c>
      <c r="B531" s="60">
        <f>7.3665 * CHOOSE(CONTROL!$C$19, $C$6, 100%, $E$6)</f>
        <v>7.3665000000000003</v>
      </c>
      <c r="C531" s="60">
        <f>7.3665 * CHOOSE(CONTROL!$C$19, $C$6, 100%, $E$6)</f>
        <v>7.3665000000000003</v>
      </c>
      <c r="D531" s="60">
        <f>7.3995 * CHOOSE(CONTROL!$C$19, $C$6, 100%, $E$6)</f>
        <v>7.3994999999999997</v>
      </c>
      <c r="E531" s="61">
        <f>8.5553 * CHOOSE(CONTROL!$C$19, $C$6, 100%, $E$6)</f>
        <v>8.5553000000000008</v>
      </c>
      <c r="F531" s="61">
        <f>8.5553 * CHOOSE(CONTROL!$C$19, $C$6, 100%, $E$6)</f>
        <v>8.5553000000000008</v>
      </c>
      <c r="G531" s="61">
        <f>8.5574 * CHOOSE(CONTROL!$C$19, $C$6, 100%, $E$6)</f>
        <v>8.5573999999999995</v>
      </c>
      <c r="H531" s="61">
        <f>12.3405* CHOOSE(CONTROL!$C$19, $C$6, 100%, $E$6)</f>
        <v>12.3405</v>
      </c>
      <c r="I531" s="61">
        <f>12.3426 * CHOOSE(CONTROL!$C$19, $C$6, 100%, $E$6)</f>
        <v>12.342599999999999</v>
      </c>
      <c r="J531" s="61">
        <f>8.5553 * CHOOSE(CONTROL!$C$19, $C$6, 100%, $E$6)</f>
        <v>8.5553000000000008</v>
      </c>
      <c r="K531" s="61">
        <f>8.5574 * CHOOSE(CONTROL!$C$19, $C$6, 100%, $E$6)</f>
        <v>8.5573999999999995</v>
      </c>
    </row>
    <row r="532" spans="1:11" ht="15">
      <c r="A532" s="13">
        <v>58257</v>
      </c>
      <c r="B532" s="60">
        <f>7.4748 * CHOOSE(CONTROL!$C$19, $C$6, 100%, $E$6)</f>
        <v>7.4748000000000001</v>
      </c>
      <c r="C532" s="60">
        <f>7.4748 * CHOOSE(CONTROL!$C$19, $C$6, 100%, $E$6)</f>
        <v>7.4748000000000001</v>
      </c>
      <c r="D532" s="60">
        <f>7.5078 * CHOOSE(CONTROL!$C$19, $C$6, 100%, $E$6)</f>
        <v>7.5077999999999996</v>
      </c>
      <c r="E532" s="61">
        <f>8.7157 * CHOOSE(CONTROL!$C$19, $C$6, 100%, $E$6)</f>
        <v>8.7157</v>
      </c>
      <c r="F532" s="61">
        <f>8.7157 * CHOOSE(CONTROL!$C$19, $C$6, 100%, $E$6)</f>
        <v>8.7157</v>
      </c>
      <c r="G532" s="61">
        <f>8.7178 * CHOOSE(CONTROL!$C$19, $C$6, 100%, $E$6)</f>
        <v>8.7178000000000004</v>
      </c>
      <c r="H532" s="61">
        <f>12.3663* CHOOSE(CONTROL!$C$19, $C$6, 100%, $E$6)</f>
        <v>12.366300000000001</v>
      </c>
      <c r="I532" s="61">
        <f>12.3683 * CHOOSE(CONTROL!$C$19, $C$6, 100%, $E$6)</f>
        <v>12.3683</v>
      </c>
      <c r="J532" s="61">
        <f>8.7157 * CHOOSE(CONTROL!$C$19, $C$6, 100%, $E$6)</f>
        <v>8.7157</v>
      </c>
      <c r="K532" s="61">
        <f>8.7178 * CHOOSE(CONTROL!$C$19, $C$6, 100%, $E$6)</f>
        <v>8.7178000000000004</v>
      </c>
    </row>
    <row r="533" spans="1:11" ht="15">
      <c r="A533" s="13">
        <v>58288</v>
      </c>
      <c r="B533" s="60">
        <f>7.4815 * CHOOSE(CONTROL!$C$19, $C$6, 100%, $E$6)</f>
        <v>7.4814999999999996</v>
      </c>
      <c r="C533" s="60">
        <f>7.4815 * CHOOSE(CONTROL!$C$19, $C$6, 100%, $E$6)</f>
        <v>7.4814999999999996</v>
      </c>
      <c r="D533" s="60">
        <f>7.5145 * CHOOSE(CONTROL!$C$19, $C$6, 100%, $E$6)</f>
        <v>7.5145</v>
      </c>
      <c r="E533" s="61">
        <f>8.5948 * CHOOSE(CONTROL!$C$19, $C$6, 100%, $E$6)</f>
        <v>8.5947999999999993</v>
      </c>
      <c r="F533" s="61">
        <f>8.5948 * CHOOSE(CONTROL!$C$19, $C$6, 100%, $E$6)</f>
        <v>8.5947999999999993</v>
      </c>
      <c r="G533" s="61">
        <f>8.5968 * CHOOSE(CONTROL!$C$19, $C$6, 100%, $E$6)</f>
        <v>8.5968</v>
      </c>
      <c r="H533" s="61">
        <f>12.392* CHOOSE(CONTROL!$C$19, $C$6, 100%, $E$6)</f>
        <v>12.391999999999999</v>
      </c>
      <c r="I533" s="61">
        <f>12.3941 * CHOOSE(CONTROL!$C$19, $C$6, 100%, $E$6)</f>
        <v>12.3941</v>
      </c>
      <c r="J533" s="61">
        <f>8.5948 * CHOOSE(CONTROL!$C$19, $C$6, 100%, $E$6)</f>
        <v>8.5947999999999993</v>
      </c>
      <c r="K533" s="61">
        <f>8.5968 * CHOOSE(CONTROL!$C$19, $C$6, 100%, $E$6)</f>
        <v>8.5968</v>
      </c>
    </row>
    <row r="534" spans="1:11" ht="15">
      <c r="A534" s="13">
        <v>58319</v>
      </c>
      <c r="B534" s="60">
        <f>7.4784 * CHOOSE(CONTROL!$C$19, $C$6, 100%, $E$6)</f>
        <v>7.4783999999999997</v>
      </c>
      <c r="C534" s="60">
        <f>7.4784 * CHOOSE(CONTROL!$C$19, $C$6, 100%, $E$6)</f>
        <v>7.4783999999999997</v>
      </c>
      <c r="D534" s="60">
        <f>7.5114 * CHOOSE(CONTROL!$C$19, $C$6, 100%, $E$6)</f>
        <v>7.5114000000000001</v>
      </c>
      <c r="E534" s="61">
        <f>8.5787 * CHOOSE(CONTROL!$C$19, $C$6, 100%, $E$6)</f>
        <v>8.5786999999999995</v>
      </c>
      <c r="F534" s="61">
        <f>8.5787 * CHOOSE(CONTROL!$C$19, $C$6, 100%, $E$6)</f>
        <v>8.5786999999999995</v>
      </c>
      <c r="G534" s="61">
        <f>8.5807 * CHOOSE(CONTROL!$C$19, $C$6, 100%, $E$6)</f>
        <v>8.5807000000000002</v>
      </c>
      <c r="H534" s="61">
        <f>12.4178* CHOOSE(CONTROL!$C$19, $C$6, 100%, $E$6)</f>
        <v>12.4178</v>
      </c>
      <c r="I534" s="61">
        <f>12.4199 * CHOOSE(CONTROL!$C$19, $C$6, 100%, $E$6)</f>
        <v>12.4199</v>
      </c>
      <c r="J534" s="61">
        <f>8.5787 * CHOOSE(CONTROL!$C$19, $C$6, 100%, $E$6)</f>
        <v>8.5786999999999995</v>
      </c>
      <c r="K534" s="61">
        <f>8.5807 * CHOOSE(CONTROL!$C$19, $C$6, 100%, $E$6)</f>
        <v>8.5807000000000002</v>
      </c>
    </row>
    <row r="535" spans="1:11" ht="15">
      <c r="A535" s="13">
        <v>58349</v>
      </c>
      <c r="B535" s="60">
        <f>7.4867 * CHOOSE(CONTROL!$C$19, $C$6, 100%, $E$6)</f>
        <v>7.4866999999999999</v>
      </c>
      <c r="C535" s="60">
        <f>7.4867 * CHOOSE(CONTROL!$C$19, $C$6, 100%, $E$6)</f>
        <v>7.4866999999999999</v>
      </c>
      <c r="D535" s="60">
        <f>7.5032 * CHOOSE(CONTROL!$C$19, $C$6, 100%, $E$6)</f>
        <v>7.5031999999999996</v>
      </c>
      <c r="E535" s="61">
        <f>8.6211 * CHOOSE(CONTROL!$C$19, $C$6, 100%, $E$6)</f>
        <v>8.6211000000000002</v>
      </c>
      <c r="F535" s="61">
        <f>8.6211 * CHOOSE(CONTROL!$C$19, $C$6, 100%, $E$6)</f>
        <v>8.6211000000000002</v>
      </c>
      <c r="G535" s="61">
        <f>8.6213 * CHOOSE(CONTROL!$C$19, $C$6, 100%, $E$6)</f>
        <v>8.6212999999999997</v>
      </c>
      <c r="H535" s="61">
        <f>12.4437* CHOOSE(CONTROL!$C$19, $C$6, 100%, $E$6)</f>
        <v>12.4437</v>
      </c>
      <c r="I535" s="61">
        <f>12.4439 * CHOOSE(CONTROL!$C$19, $C$6, 100%, $E$6)</f>
        <v>12.443899999999999</v>
      </c>
      <c r="J535" s="61">
        <f>8.6211 * CHOOSE(CONTROL!$C$19, $C$6, 100%, $E$6)</f>
        <v>8.6211000000000002</v>
      </c>
      <c r="K535" s="61">
        <f>8.6213 * CHOOSE(CONTROL!$C$19, $C$6, 100%, $E$6)</f>
        <v>8.6212999999999997</v>
      </c>
    </row>
    <row r="536" spans="1:11" ht="15">
      <c r="A536" s="13">
        <v>58380</v>
      </c>
      <c r="B536" s="60">
        <f>7.4898 * CHOOSE(CONTROL!$C$19, $C$6, 100%, $E$6)</f>
        <v>7.4897999999999998</v>
      </c>
      <c r="C536" s="60">
        <f>7.4898 * CHOOSE(CONTROL!$C$19, $C$6, 100%, $E$6)</f>
        <v>7.4897999999999998</v>
      </c>
      <c r="D536" s="60">
        <f>7.5063 * CHOOSE(CONTROL!$C$19, $C$6, 100%, $E$6)</f>
        <v>7.5063000000000004</v>
      </c>
      <c r="E536" s="61">
        <f>8.6511 * CHOOSE(CONTROL!$C$19, $C$6, 100%, $E$6)</f>
        <v>8.6510999999999996</v>
      </c>
      <c r="F536" s="61">
        <f>8.6511 * CHOOSE(CONTROL!$C$19, $C$6, 100%, $E$6)</f>
        <v>8.6510999999999996</v>
      </c>
      <c r="G536" s="61">
        <f>8.6513 * CHOOSE(CONTROL!$C$19, $C$6, 100%, $E$6)</f>
        <v>8.6513000000000009</v>
      </c>
      <c r="H536" s="61">
        <f>12.4696* CHOOSE(CONTROL!$C$19, $C$6, 100%, $E$6)</f>
        <v>12.4696</v>
      </c>
      <c r="I536" s="61">
        <f>12.4698 * CHOOSE(CONTROL!$C$19, $C$6, 100%, $E$6)</f>
        <v>12.469799999999999</v>
      </c>
      <c r="J536" s="61">
        <f>8.6511 * CHOOSE(CONTROL!$C$19, $C$6, 100%, $E$6)</f>
        <v>8.6510999999999996</v>
      </c>
      <c r="K536" s="61">
        <f>8.6513 * CHOOSE(CONTROL!$C$19, $C$6, 100%, $E$6)</f>
        <v>8.6513000000000009</v>
      </c>
    </row>
    <row r="537" spans="1:11" ht="15">
      <c r="A537" s="13">
        <v>58410</v>
      </c>
      <c r="B537" s="60">
        <f>7.4898 * CHOOSE(CONTROL!$C$19, $C$6, 100%, $E$6)</f>
        <v>7.4897999999999998</v>
      </c>
      <c r="C537" s="60">
        <f>7.4898 * CHOOSE(CONTROL!$C$19, $C$6, 100%, $E$6)</f>
        <v>7.4897999999999998</v>
      </c>
      <c r="D537" s="60">
        <f>7.5063 * CHOOSE(CONTROL!$C$19, $C$6, 100%, $E$6)</f>
        <v>7.5063000000000004</v>
      </c>
      <c r="E537" s="61">
        <f>8.5813 * CHOOSE(CONTROL!$C$19, $C$6, 100%, $E$6)</f>
        <v>8.5813000000000006</v>
      </c>
      <c r="F537" s="61">
        <f>8.5813 * CHOOSE(CONTROL!$C$19, $C$6, 100%, $E$6)</f>
        <v>8.5813000000000006</v>
      </c>
      <c r="G537" s="61">
        <f>8.5815 * CHOOSE(CONTROL!$C$19, $C$6, 100%, $E$6)</f>
        <v>8.5815000000000001</v>
      </c>
      <c r="H537" s="61">
        <f>12.4956* CHOOSE(CONTROL!$C$19, $C$6, 100%, $E$6)</f>
        <v>12.4956</v>
      </c>
      <c r="I537" s="61">
        <f>12.4958 * CHOOSE(CONTROL!$C$19, $C$6, 100%, $E$6)</f>
        <v>12.495799999999999</v>
      </c>
      <c r="J537" s="61">
        <f>8.5813 * CHOOSE(CONTROL!$C$19, $C$6, 100%, $E$6)</f>
        <v>8.5813000000000006</v>
      </c>
      <c r="K537" s="61">
        <f>8.5815 * CHOOSE(CONTROL!$C$19, $C$6, 100%, $E$6)</f>
        <v>8.5815000000000001</v>
      </c>
    </row>
    <row r="538" spans="1:11" ht="15">
      <c r="A538" s="13">
        <v>58441</v>
      </c>
      <c r="B538" s="60">
        <f>7.5525 * CHOOSE(CONTROL!$C$19, $C$6, 100%, $E$6)</f>
        <v>7.5525000000000002</v>
      </c>
      <c r="C538" s="60">
        <f>7.5525 * CHOOSE(CONTROL!$C$19, $C$6, 100%, $E$6)</f>
        <v>7.5525000000000002</v>
      </c>
      <c r="D538" s="60">
        <f>7.569 * CHOOSE(CONTROL!$C$19, $C$6, 100%, $E$6)</f>
        <v>7.569</v>
      </c>
      <c r="E538" s="61">
        <f>8.7141 * CHOOSE(CONTROL!$C$19, $C$6, 100%, $E$6)</f>
        <v>8.7141000000000002</v>
      </c>
      <c r="F538" s="61">
        <f>8.7141 * CHOOSE(CONTROL!$C$19, $C$6, 100%, $E$6)</f>
        <v>8.7141000000000002</v>
      </c>
      <c r="G538" s="61">
        <f>8.7142 * CHOOSE(CONTROL!$C$19, $C$6, 100%, $E$6)</f>
        <v>8.7141999999999999</v>
      </c>
      <c r="H538" s="61">
        <f>12.5216* CHOOSE(CONTROL!$C$19, $C$6, 100%, $E$6)</f>
        <v>12.521599999999999</v>
      </c>
      <c r="I538" s="61">
        <f>12.5218 * CHOOSE(CONTROL!$C$19, $C$6, 100%, $E$6)</f>
        <v>12.521800000000001</v>
      </c>
      <c r="J538" s="61">
        <f>8.7141 * CHOOSE(CONTROL!$C$19, $C$6, 100%, $E$6)</f>
        <v>8.7141000000000002</v>
      </c>
      <c r="K538" s="61">
        <f>8.7142 * CHOOSE(CONTROL!$C$19, $C$6, 100%, $E$6)</f>
        <v>8.7141999999999999</v>
      </c>
    </row>
    <row r="539" spans="1:11" ht="15">
      <c r="A539" s="13">
        <v>58472</v>
      </c>
      <c r="B539" s="60">
        <f>7.5494 * CHOOSE(CONTROL!$C$19, $C$6, 100%, $E$6)</f>
        <v>7.5494000000000003</v>
      </c>
      <c r="C539" s="60">
        <f>7.5494 * CHOOSE(CONTROL!$C$19, $C$6, 100%, $E$6)</f>
        <v>7.5494000000000003</v>
      </c>
      <c r="D539" s="60">
        <f>7.5659 * CHOOSE(CONTROL!$C$19, $C$6, 100%, $E$6)</f>
        <v>7.5659000000000001</v>
      </c>
      <c r="E539" s="61">
        <f>8.5758 * CHOOSE(CONTROL!$C$19, $C$6, 100%, $E$6)</f>
        <v>8.5757999999999992</v>
      </c>
      <c r="F539" s="61">
        <f>8.5758 * CHOOSE(CONTROL!$C$19, $C$6, 100%, $E$6)</f>
        <v>8.5757999999999992</v>
      </c>
      <c r="G539" s="61">
        <f>8.576 * CHOOSE(CONTROL!$C$19, $C$6, 100%, $E$6)</f>
        <v>8.5760000000000005</v>
      </c>
      <c r="H539" s="61">
        <f>12.5477* CHOOSE(CONTROL!$C$19, $C$6, 100%, $E$6)</f>
        <v>12.547700000000001</v>
      </c>
      <c r="I539" s="61">
        <f>12.5479 * CHOOSE(CONTROL!$C$19, $C$6, 100%, $E$6)</f>
        <v>12.5479</v>
      </c>
      <c r="J539" s="61">
        <f>8.5758 * CHOOSE(CONTROL!$C$19, $C$6, 100%, $E$6)</f>
        <v>8.5757999999999992</v>
      </c>
      <c r="K539" s="61">
        <f>8.576 * CHOOSE(CONTROL!$C$19, $C$6, 100%, $E$6)</f>
        <v>8.5760000000000005</v>
      </c>
    </row>
    <row r="540" spans="1:11" ht="15">
      <c r="A540" s="13">
        <v>58501</v>
      </c>
      <c r="B540" s="60">
        <f>7.5464 * CHOOSE(CONTROL!$C$19, $C$6, 100%, $E$6)</f>
        <v>7.5464000000000002</v>
      </c>
      <c r="C540" s="60">
        <f>7.5464 * CHOOSE(CONTROL!$C$19, $C$6, 100%, $E$6)</f>
        <v>7.5464000000000002</v>
      </c>
      <c r="D540" s="60">
        <f>7.5629 * CHOOSE(CONTROL!$C$19, $C$6, 100%, $E$6)</f>
        <v>7.5629</v>
      </c>
      <c r="E540" s="61">
        <f>8.681 * CHOOSE(CONTROL!$C$19, $C$6, 100%, $E$6)</f>
        <v>8.6809999999999992</v>
      </c>
      <c r="F540" s="61">
        <f>8.681 * CHOOSE(CONTROL!$C$19, $C$6, 100%, $E$6)</f>
        <v>8.6809999999999992</v>
      </c>
      <c r="G540" s="61">
        <f>8.6812 * CHOOSE(CONTROL!$C$19, $C$6, 100%, $E$6)</f>
        <v>8.6812000000000005</v>
      </c>
      <c r="H540" s="61">
        <f>12.5739* CHOOSE(CONTROL!$C$19, $C$6, 100%, $E$6)</f>
        <v>12.5739</v>
      </c>
      <c r="I540" s="61">
        <f>12.574 * CHOOSE(CONTROL!$C$19, $C$6, 100%, $E$6)</f>
        <v>12.574</v>
      </c>
      <c r="J540" s="61">
        <f>8.681 * CHOOSE(CONTROL!$C$19, $C$6, 100%, $E$6)</f>
        <v>8.6809999999999992</v>
      </c>
      <c r="K540" s="61">
        <f>8.6812 * CHOOSE(CONTROL!$C$19, $C$6, 100%, $E$6)</f>
        <v>8.6812000000000005</v>
      </c>
    </row>
    <row r="541" spans="1:11" ht="15">
      <c r="A541" s="13">
        <v>58532</v>
      </c>
      <c r="B541" s="60">
        <f>7.5475 * CHOOSE(CONTROL!$C$19, $C$6, 100%, $E$6)</f>
        <v>7.5475000000000003</v>
      </c>
      <c r="C541" s="60">
        <f>7.5475 * CHOOSE(CONTROL!$C$19, $C$6, 100%, $E$6)</f>
        <v>7.5475000000000003</v>
      </c>
      <c r="D541" s="60">
        <f>7.564 * CHOOSE(CONTROL!$C$19, $C$6, 100%, $E$6)</f>
        <v>7.5640000000000001</v>
      </c>
      <c r="E541" s="61">
        <f>8.792 * CHOOSE(CONTROL!$C$19, $C$6, 100%, $E$6)</f>
        <v>8.7919999999999998</v>
      </c>
      <c r="F541" s="61">
        <f>8.792 * CHOOSE(CONTROL!$C$19, $C$6, 100%, $E$6)</f>
        <v>8.7919999999999998</v>
      </c>
      <c r="G541" s="61">
        <f>8.7922 * CHOOSE(CONTROL!$C$19, $C$6, 100%, $E$6)</f>
        <v>8.7921999999999993</v>
      </c>
      <c r="H541" s="61">
        <f>12.6001* CHOOSE(CONTROL!$C$19, $C$6, 100%, $E$6)</f>
        <v>12.600099999999999</v>
      </c>
      <c r="I541" s="61">
        <f>12.6002 * CHOOSE(CONTROL!$C$19, $C$6, 100%, $E$6)</f>
        <v>12.600199999999999</v>
      </c>
      <c r="J541" s="61">
        <f>8.792 * CHOOSE(CONTROL!$C$19, $C$6, 100%, $E$6)</f>
        <v>8.7919999999999998</v>
      </c>
      <c r="K541" s="61">
        <f>8.7922 * CHOOSE(CONTROL!$C$19, $C$6, 100%, $E$6)</f>
        <v>8.7921999999999993</v>
      </c>
    </row>
    <row r="542" spans="1:11" ht="15">
      <c r="A542" s="13">
        <v>58562</v>
      </c>
      <c r="B542" s="60">
        <f>7.5475 * CHOOSE(CONTROL!$C$19, $C$6, 100%, $E$6)</f>
        <v>7.5475000000000003</v>
      </c>
      <c r="C542" s="60">
        <f>7.5475 * CHOOSE(CONTROL!$C$19, $C$6, 100%, $E$6)</f>
        <v>7.5475000000000003</v>
      </c>
      <c r="D542" s="60">
        <f>7.5805 * CHOOSE(CONTROL!$C$19, $C$6, 100%, $E$6)</f>
        <v>7.5804999999999998</v>
      </c>
      <c r="E542" s="61">
        <f>8.8352 * CHOOSE(CONTROL!$C$19, $C$6, 100%, $E$6)</f>
        <v>8.8352000000000004</v>
      </c>
      <c r="F542" s="61">
        <f>8.8352 * CHOOSE(CONTROL!$C$19, $C$6, 100%, $E$6)</f>
        <v>8.8352000000000004</v>
      </c>
      <c r="G542" s="61">
        <f>8.8372 * CHOOSE(CONTROL!$C$19, $C$6, 100%, $E$6)</f>
        <v>8.8371999999999993</v>
      </c>
      <c r="H542" s="61">
        <f>12.6263* CHOOSE(CONTROL!$C$19, $C$6, 100%, $E$6)</f>
        <v>12.626300000000001</v>
      </c>
      <c r="I542" s="61">
        <f>12.6284 * CHOOSE(CONTROL!$C$19, $C$6, 100%, $E$6)</f>
        <v>12.628399999999999</v>
      </c>
      <c r="J542" s="61">
        <f>8.8352 * CHOOSE(CONTROL!$C$19, $C$6, 100%, $E$6)</f>
        <v>8.8352000000000004</v>
      </c>
      <c r="K542" s="61">
        <f>8.8372 * CHOOSE(CONTROL!$C$19, $C$6, 100%, $E$6)</f>
        <v>8.8371999999999993</v>
      </c>
    </row>
    <row r="543" spans="1:11" ht="15">
      <c r="A543" s="13">
        <v>58593</v>
      </c>
      <c r="B543" s="60">
        <f>7.5536 * CHOOSE(CONTROL!$C$19, $C$6, 100%, $E$6)</f>
        <v>7.5536000000000003</v>
      </c>
      <c r="C543" s="60">
        <f>7.5536 * CHOOSE(CONTROL!$C$19, $C$6, 100%, $E$6)</f>
        <v>7.5536000000000003</v>
      </c>
      <c r="D543" s="60">
        <f>7.5866 * CHOOSE(CONTROL!$C$19, $C$6, 100%, $E$6)</f>
        <v>7.5865999999999998</v>
      </c>
      <c r="E543" s="61">
        <f>8.7962 * CHOOSE(CONTROL!$C$19, $C$6, 100%, $E$6)</f>
        <v>8.7962000000000007</v>
      </c>
      <c r="F543" s="61">
        <f>8.7962 * CHOOSE(CONTROL!$C$19, $C$6, 100%, $E$6)</f>
        <v>8.7962000000000007</v>
      </c>
      <c r="G543" s="61">
        <f>8.7983 * CHOOSE(CONTROL!$C$19, $C$6, 100%, $E$6)</f>
        <v>8.7982999999999993</v>
      </c>
      <c r="H543" s="61">
        <f>12.6526* CHOOSE(CONTROL!$C$19, $C$6, 100%, $E$6)</f>
        <v>12.6526</v>
      </c>
      <c r="I543" s="61">
        <f>12.6547 * CHOOSE(CONTROL!$C$19, $C$6, 100%, $E$6)</f>
        <v>12.6547</v>
      </c>
      <c r="J543" s="61">
        <f>8.7962 * CHOOSE(CONTROL!$C$19, $C$6, 100%, $E$6)</f>
        <v>8.7962000000000007</v>
      </c>
      <c r="K543" s="61">
        <f>8.7983 * CHOOSE(CONTROL!$C$19, $C$6, 100%, $E$6)</f>
        <v>8.7982999999999993</v>
      </c>
    </row>
    <row r="544" spans="1:11" ht="15">
      <c r="A544" s="13">
        <v>58623</v>
      </c>
      <c r="B544" s="60">
        <f>7.6643 * CHOOSE(CONTROL!$C$19, $C$6, 100%, $E$6)</f>
        <v>7.6642999999999999</v>
      </c>
      <c r="C544" s="60">
        <f>7.6643 * CHOOSE(CONTROL!$C$19, $C$6, 100%, $E$6)</f>
        <v>7.6642999999999999</v>
      </c>
      <c r="D544" s="60">
        <f>7.6973 * CHOOSE(CONTROL!$C$19, $C$6, 100%, $E$6)</f>
        <v>7.6973000000000003</v>
      </c>
      <c r="E544" s="61">
        <f>8.9608 * CHOOSE(CONTROL!$C$19, $C$6, 100%, $E$6)</f>
        <v>8.9608000000000008</v>
      </c>
      <c r="F544" s="61">
        <f>8.9608 * CHOOSE(CONTROL!$C$19, $C$6, 100%, $E$6)</f>
        <v>8.9608000000000008</v>
      </c>
      <c r="G544" s="61">
        <f>8.9628 * CHOOSE(CONTROL!$C$19, $C$6, 100%, $E$6)</f>
        <v>8.9627999999999997</v>
      </c>
      <c r="H544" s="61">
        <f>12.679* CHOOSE(CONTROL!$C$19, $C$6, 100%, $E$6)</f>
        <v>12.679</v>
      </c>
      <c r="I544" s="61">
        <f>12.681 * CHOOSE(CONTROL!$C$19, $C$6, 100%, $E$6)</f>
        <v>12.680999999999999</v>
      </c>
      <c r="J544" s="61">
        <f>8.9608 * CHOOSE(CONTROL!$C$19, $C$6, 100%, $E$6)</f>
        <v>8.9608000000000008</v>
      </c>
      <c r="K544" s="61">
        <f>8.9628 * CHOOSE(CONTROL!$C$19, $C$6, 100%, $E$6)</f>
        <v>8.9627999999999997</v>
      </c>
    </row>
    <row r="545" spans="1:11" ht="15">
      <c r="A545" s="13">
        <v>58654</v>
      </c>
      <c r="B545" s="60">
        <f>7.671 * CHOOSE(CONTROL!$C$19, $C$6, 100%, $E$6)</f>
        <v>7.6710000000000003</v>
      </c>
      <c r="C545" s="60">
        <f>7.671 * CHOOSE(CONTROL!$C$19, $C$6, 100%, $E$6)</f>
        <v>7.6710000000000003</v>
      </c>
      <c r="D545" s="60">
        <f>7.704 * CHOOSE(CONTROL!$C$19, $C$6, 100%, $E$6)</f>
        <v>7.7039999999999997</v>
      </c>
      <c r="E545" s="61">
        <f>8.8358 * CHOOSE(CONTROL!$C$19, $C$6, 100%, $E$6)</f>
        <v>8.8358000000000008</v>
      </c>
      <c r="F545" s="61">
        <f>8.8358 * CHOOSE(CONTROL!$C$19, $C$6, 100%, $E$6)</f>
        <v>8.8358000000000008</v>
      </c>
      <c r="G545" s="61">
        <f>8.8379 * CHOOSE(CONTROL!$C$19, $C$6, 100%, $E$6)</f>
        <v>8.8378999999999994</v>
      </c>
      <c r="H545" s="61">
        <f>12.7054* CHOOSE(CONTROL!$C$19, $C$6, 100%, $E$6)</f>
        <v>12.705399999999999</v>
      </c>
      <c r="I545" s="61">
        <f>12.7074 * CHOOSE(CONTROL!$C$19, $C$6, 100%, $E$6)</f>
        <v>12.7074</v>
      </c>
      <c r="J545" s="61">
        <f>8.8358 * CHOOSE(CONTROL!$C$19, $C$6, 100%, $E$6)</f>
        <v>8.8358000000000008</v>
      </c>
      <c r="K545" s="61">
        <f>8.8379 * CHOOSE(CONTROL!$C$19, $C$6, 100%, $E$6)</f>
        <v>8.8378999999999994</v>
      </c>
    </row>
    <row r="546" spans="1:11" ht="15">
      <c r="A546" s="13">
        <v>58685</v>
      </c>
      <c r="B546" s="60">
        <f>7.668 * CHOOSE(CONTROL!$C$19, $C$6, 100%, $E$6)</f>
        <v>7.6680000000000001</v>
      </c>
      <c r="C546" s="60">
        <f>7.668 * CHOOSE(CONTROL!$C$19, $C$6, 100%, $E$6)</f>
        <v>7.6680000000000001</v>
      </c>
      <c r="D546" s="60">
        <f>7.701 * CHOOSE(CONTROL!$C$19, $C$6, 100%, $E$6)</f>
        <v>7.7009999999999996</v>
      </c>
      <c r="E546" s="61">
        <f>8.8193 * CHOOSE(CONTROL!$C$19, $C$6, 100%, $E$6)</f>
        <v>8.8193000000000001</v>
      </c>
      <c r="F546" s="61">
        <f>8.8193 * CHOOSE(CONTROL!$C$19, $C$6, 100%, $E$6)</f>
        <v>8.8193000000000001</v>
      </c>
      <c r="G546" s="61">
        <f>8.8214 * CHOOSE(CONTROL!$C$19, $C$6, 100%, $E$6)</f>
        <v>8.8214000000000006</v>
      </c>
      <c r="H546" s="61">
        <f>12.7319* CHOOSE(CONTROL!$C$19, $C$6, 100%, $E$6)</f>
        <v>12.7319</v>
      </c>
      <c r="I546" s="61">
        <f>12.7339 * CHOOSE(CONTROL!$C$19, $C$6, 100%, $E$6)</f>
        <v>12.7339</v>
      </c>
      <c r="J546" s="61">
        <f>8.8193 * CHOOSE(CONTROL!$C$19, $C$6, 100%, $E$6)</f>
        <v>8.8193000000000001</v>
      </c>
      <c r="K546" s="61">
        <f>8.8214 * CHOOSE(CONTROL!$C$19, $C$6, 100%, $E$6)</f>
        <v>8.8214000000000006</v>
      </c>
    </row>
    <row r="547" spans="1:11" ht="15">
      <c r="A547" s="13">
        <v>58715</v>
      </c>
      <c r="B547" s="60">
        <f>7.677 * CHOOSE(CONTROL!$C$19, $C$6, 100%, $E$6)</f>
        <v>7.6769999999999996</v>
      </c>
      <c r="C547" s="60">
        <f>7.677 * CHOOSE(CONTROL!$C$19, $C$6, 100%, $E$6)</f>
        <v>7.6769999999999996</v>
      </c>
      <c r="D547" s="60">
        <f>7.6935 * CHOOSE(CONTROL!$C$19, $C$6, 100%, $E$6)</f>
        <v>7.6935000000000002</v>
      </c>
      <c r="E547" s="61">
        <f>8.8635 * CHOOSE(CONTROL!$C$19, $C$6, 100%, $E$6)</f>
        <v>8.8635000000000002</v>
      </c>
      <c r="F547" s="61">
        <f>8.8635 * CHOOSE(CONTROL!$C$19, $C$6, 100%, $E$6)</f>
        <v>8.8635000000000002</v>
      </c>
      <c r="G547" s="61">
        <f>8.8637 * CHOOSE(CONTROL!$C$19, $C$6, 100%, $E$6)</f>
        <v>8.8636999999999997</v>
      </c>
      <c r="H547" s="61">
        <f>12.7584* CHOOSE(CONTROL!$C$19, $C$6, 100%, $E$6)</f>
        <v>12.7584</v>
      </c>
      <c r="I547" s="61">
        <f>12.7586 * CHOOSE(CONTROL!$C$19, $C$6, 100%, $E$6)</f>
        <v>12.758599999999999</v>
      </c>
      <c r="J547" s="61">
        <f>8.8635 * CHOOSE(CONTROL!$C$19, $C$6, 100%, $E$6)</f>
        <v>8.8635000000000002</v>
      </c>
      <c r="K547" s="61">
        <f>8.8637 * CHOOSE(CONTROL!$C$19, $C$6, 100%, $E$6)</f>
        <v>8.8636999999999997</v>
      </c>
    </row>
    <row r="548" spans="1:11" ht="15">
      <c r="A548" s="13">
        <v>58746</v>
      </c>
      <c r="B548" s="60">
        <f>7.68 * CHOOSE(CONTROL!$C$19, $C$6, 100%, $E$6)</f>
        <v>7.68</v>
      </c>
      <c r="C548" s="60">
        <f>7.68 * CHOOSE(CONTROL!$C$19, $C$6, 100%, $E$6)</f>
        <v>7.68</v>
      </c>
      <c r="D548" s="60">
        <f>7.6965 * CHOOSE(CONTROL!$C$19, $C$6, 100%, $E$6)</f>
        <v>7.6965000000000003</v>
      </c>
      <c r="E548" s="61">
        <f>8.8944 * CHOOSE(CONTROL!$C$19, $C$6, 100%, $E$6)</f>
        <v>8.8943999999999992</v>
      </c>
      <c r="F548" s="61">
        <f>8.8944 * CHOOSE(CONTROL!$C$19, $C$6, 100%, $E$6)</f>
        <v>8.8943999999999992</v>
      </c>
      <c r="G548" s="61">
        <f>8.8946 * CHOOSE(CONTROL!$C$19, $C$6, 100%, $E$6)</f>
        <v>8.8946000000000005</v>
      </c>
      <c r="H548" s="61">
        <f>12.785* CHOOSE(CONTROL!$C$19, $C$6, 100%, $E$6)</f>
        <v>12.785</v>
      </c>
      <c r="I548" s="61">
        <f>12.7851 * CHOOSE(CONTROL!$C$19, $C$6, 100%, $E$6)</f>
        <v>12.7851</v>
      </c>
      <c r="J548" s="61">
        <f>8.8944 * CHOOSE(CONTROL!$C$19, $C$6, 100%, $E$6)</f>
        <v>8.8943999999999992</v>
      </c>
      <c r="K548" s="61">
        <f>8.8946 * CHOOSE(CONTROL!$C$19, $C$6, 100%, $E$6)</f>
        <v>8.8946000000000005</v>
      </c>
    </row>
    <row r="549" spans="1:11" ht="15">
      <c r="A549" s="13">
        <v>58776</v>
      </c>
      <c r="B549" s="60">
        <f>7.68 * CHOOSE(CONTROL!$C$19, $C$6, 100%, $E$6)</f>
        <v>7.68</v>
      </c>
      <c r="C549" s="60">
        <f>7.68 * CHOOSE(CONTROL!$C$19, $C$6, 100%, $E$6)</f>
        <v>7.68</v>
      </c>
      <c r="D549" s="60">
        <f>7.6965 * CHOOSE(CONTROL!$C$19, $C$6, 100%, $E$6)</f>
        <v>7.6965000000000003</v>
      </c>
      <c r="E549" s="61">
        <f>8.8224 * CHOOSE(CONTROL!$C$19, $C$6, 100%, $E$6)</f>
        <v>8.8224</v>
      </c>
      <c r="F549" s="61">
        <f>8.8224 * CHOOSE(CONTROL!$C$19, $C$6, 100%, $E$6)</f>
        <v>8.8224</v>
      </c>
      <c r="G549" s="61">
        <f>8.8226 * CHOOSE(CONTROL!$C$19, $C$6, 100%, $E$6)</f>
        <v>8.8225999999999996</v>
      </c>
      <c r="H549" s="61">
        <f>12.8116* CHOOSE(CONTROL!$C$19, $C$6, 100%, $E$6)</f>
        <v>12.8116</v>
      </c>
      <c r="I549" s="61">
        <f>12.8118 * CHOOSE(CONTROL!$C$19, $C$6, 100%, $E$6)</f>
        <v>12.8118</v>
      </c>
      <c r="J549" s="61">
        <f>8.8224 * CHOOSE(CONTROL!$C$19, $C$6, 100%, $E$6)</f>
        <v>8.8224</v>
      </c>
      <c r="K549" s="61">
        <f>8.8226 * CHOOSE(CONTROL!$C$19, $C$6, 100%, $E$6)</f>
        <v>8.8225999999999996</v>
      </c>
    </row>
    <row r="550" spans="1:11" ht="15">
      <c r="A550" s="13">
        <v>58807</v>
      </c>
      <c r="B550" s="60">
        <f>7.7442 * CHOOSE(CONTROL!$C$19, $C$6, 100%, $E$6)</f>
        <v>7.7442000000000002</v>
      </c>
      <c r="C550" s="60">
        <f>7.7442 * CHOOSE(CONTROL!$C$19, $C$6, 100%, $E$6)</f>
        <v>7.7442000000000002</v>
      </c>
      <c r="D550" s="60">
        <f>7.7607 * CHOOSE(CONTROL!$C$19, $C$6, 100%, $E$6)</f>
        <v>7.7606999999999999</v>
      </c>
      <c r="E550" s="61">
        <f>8.959 * CHOOSE(CONTROL!$C$19, $C$6, 100%, $E$6)</f>
        <v>8.9589999999999996</v>
      </c>
      <c r="F550" s="61">
        <f>8.959 * CHOOSE(CONTROL!$C$19, $C$6, 100%, $E$6)</f>
        <v>8.9589999999999996</v>
      </c>
      <c r="G550" s="61">
        <f>8.9592 * CHOOSE(CONTROL!$C$19, $C$6, 100%, $E$6)</f>
        <v>8.9591999999999992</v>
      </c>
      <c r="H550" s="61">
        <f>12.8383* CHOOSE(CONTROL!$C$19, $C$6, 100%, $E$6)</f>
        <v>12.8383</v>
      </c>
      <c r="I550" s="61">
        <f>12.8385 * CHOOSE(CONTROL!$C$19, $C$6, 100%, $E$6)</f>
        <v>12.8385</v>
      </c>
      <c r="J550" s="61">
        <f>8.959 * CHOOSE(CONTROL!$C$19, $C$6, 100%, $E$6)</f>
        <v>8.9589999999999996</v>
      </c>
      <c r="K550" s="61">
        <f>8.9592 * CHOOSE(CONTROL!$C$19, $C$6, 100%, $E$6)</f>
        <v>8.9591999999999992</v>
      </c>
    </row>
    <row r="551" spans="1:11" ht="15">
      <c r="A551" s="13">
        <v>58838</v>
      </c>
      <c r="B551" s="60">
        <f>7.7412 * CHOOSE(CONTROL!$C$19, $C$6, 100%, $E$6)</f>
        <v>7.7412000000000001</v>
      </c>
      <c r="C551" s="60">
        <f>7.7412 * CHOOSE(CONTROL!$C$19, $C$6, 100%, $E$6)</f>
        <v>7.7412000000000001</v>
      </c>
      <c r="D551" s="60">
        <f>7.7577 * CHOOSE(CONTROL!$C$19, $C$6, 100%, $E$6)</f>
        <v>7.7576999999999998</v>
      </c>
      <c r="E551" s="61">
        <f>8.8164 * CHOOSE(CONTROL!$C$19, $C$6, 100%, $E$6)</f>
        <v>8.8163999999999998</v>
      </c>
      <c r="F551" s="61">
        <f>8.8164 * CHOOSE(CONTROL!$C$19, $C$6, 100%, $E$6)</f>
        <v>8.8163999999999998</v>
      </c>
      <c r="G551" s="61">
        <f>8.8166 * CHOOSE(CONTROL!$C$19, $C$6, 100%, $E$6)</f>
        <v>8.8165999999999993</v>
      </c>
      <c r="H551" s="61">
        <f>12.865* CHOOSE(CONTROL!$C$19, $C$6, 100%, $E$6)</f>
        <v>12.865</v>
      </c>
      <c r="I551" s="61">
        <f>12.8652 * CHOOSE(CONTROL!$C$19, $C$6, 100%, $E$6)</f>
        <v>12.8652</v>
      </c>
      <c r="J551" s="61">
        <f>8.8164 * CHOOSE(CONTROL!$C$19, $C$6, 100%, $E$6)</f>
        <v>8.8163999999999998</v>
      </c>
      <c r="K551" s="61">
        <f>8.8166 * CHOOSE(CONTROL!$C$19, $C$6, 100%, $E$6)</f>
        <v>8.8165999999999993</v>
      </c>
    </row>
    <row r="552" spans="1:11" ht="15">
      <c r="A552" s="13">
        <v>58866</v>
      </c>
      <c r="B552" s="60">
        <f>7.7381 * CHOOSE(CONTROL!$C$19, $C$6, 100%, $E$6)</f>
        <v>7.7381000000000002</v>
      </c>
      <c r="C552" s="60">
        <f>7.7381 * CHOOSE(CONTROL!$C$19, $C$6, 100%, $E$6)</f>
        <v>7.7381000000000002</v>
      </c>
      <c r="D552" s="60">
        <f>7.7546 * CHOOSE(CONTROL!$C$19, $C$6, 100%, $E$6)</f>
        <v>7.7545999999999999</v>
      </c>
      <c r="E552" s="61">
        <f>8.925 * CHOOSE(CONTROL!$C$19, $C$6, 100%, $E$6)</f>
        <v>8.9250000000000007</v>
      </c>
      <c r="F552" s="61">
        <f>8.925 * CHOOSE(CONTROL!$C$19, $C$6, 100%, $E$6)</f>
        <v>8.9250000000000007</v>
      </c>
      <c r="G552" s="61">
        <f>8.9252 * CHOOSE(CONTROL!$C$19, $C$6, 100%, $E$6)</f>
        <v>8.9252000000000002</v>
      </c>
      <c r="H552" s="61">
        <f>12.8918* CHOOSE(CONTROL!$C$19, $C$6, 100%, $E$6)</f>
        <v>12.8918</v>
      </c>
      <c r="I552" s="61">
        <f>12.892 * CHOOSE(CONTROL!$C$19, $C$6, 100%, $E$6)</f>
        <v>12.891999999999999</v>
      </c>
      <c r="J552" s="61">
        <f>8.925 * CHOOSE(CONTROL!$C$19, $C$6, 100%, $E$6)</f>
        <v>8.9250000000000007</v>
      </c>
      <c r="K552" s="61">
        <f>8.9252 * CHOOSE(CONTROL!$C$19, $C$6, 100%, $E$6)</f>
        <v>8.9252000000000002</v>
      </c>
    </row>
    <row r="553" spans="1:11" ht="15">
      <c r="A553" s="13">
        <v>58897</v>
      </c>
      <c r="B553" s="60">
        <f>7.7395 * CHOOSE(CONTROL!$C$19, $C$6, 100%, $E$6)</f>
        <v>7.7394999999999996</v>
      </c>
      <c r="C553" s="60">
        <f>7.7395 * CHOOSE(CONTROL!$C$19, $C$6, 100%, $E$6)</f>
        <v>7.7394999999999996</v>
      </c>
      <c r="D553" s="60">
        <f>7.756 * CHOOSE(CONTROL!$C$19, $C$6, 100%, $E$6)</f>
        <v>7.7560000000000002</v>
      </c>
      <c r="E553" s="61">
        <f>9.0397 * CHOOSE(CONTROL!$C$19, $C$6, 100%, $E$6)</f>
        <v>9.0396999999999998</v>
      </c>
      <c r="F553" s="61">
        <f>9.0397 * CHOOSE(CONTROL!$C$19, $C$6, 100%, $E$6)</f>
        <v>9.0396999999999998</v>
      </c>
      <c r="G553" s="61">
        <f>9.0398 * CHOOSE(CONTROL!$C$19, $C$6, 100%, $E$6)</f>
        <v>9.0397999999999996</v>
      </c>
      <c r="H553" s="61">
        <f>12.9187* CHOOSE(CONTROL!$C$19, $C$6, 100%, $E$6)</f>
        <v>12.918699999999999</v>
      </c>
      <c r="I553" s="61">
        <f>12.9189 * CHOOSE(CONTROL!$C$19, $C$6, 100%, $E$6)</f>
        <v>12.918900000000001</v>
      </c>
      <c r="J553" s="61">
        <f>9.0397 * CHOOSE(CONTROL!$C$19, $C$6, 100%, $E$6)</f>
        <v>9.0396999999999998</v>
      </c>
      <c r="K553" s="61">
        <f>9.0398 * CHOOSE(CONTROL!$C$19, $C$6, 100%, $E$6)</f>
        <v>9.0397999999999996</v>
      </c>
    </row>
    <row r="554" spans="1:11" ht="15">
      <c r="A554" s="13">
        <v>58927</v>
      </c>
      <c r="B554" s="60">
        <f>7.7395 * CHOOSE(CONTROL!$C$19, $C$6, 100%, $E$6)</f>
        <v>7.7394999999999996</v>
      </c>
      <c r="C554" s="60">
        <f>7.7395 * CHOOSE(CONTROL!$C$19, $C$6, 100%, $E$6)</f>
        <v>7.7394999999999996</v>
      </c>
      <c r="D554" s="60">
        <f>7.7725 * CHOOSE(CONTROL!$C$19, $C$6, 100%, $E$6)</f>
        <v>7.7725</v>
      </c>
      <c r="E554" s="61">
        <f>9.0842 * CHOOSE(CONTROL!$C$19, $C$6, 100%, $E$6)</f>
        <v>9.0841999999999992</v>
      </c>
      <c r="F554" s="61">
        <f>9.0842 * CHOOSE(CONTROL!$C$19, $C$6, 100%, $E$6)</f>
        <v>9.0841999999999992</v>
      </c>
      <c r="G554" s="61">
        <f>9.0863 * CHOOSE(CONTROL!$C$19, $C$6, 100%, $E$6)</f>
        <v>9.0862999999999996</v>
      </c>
      <c r="H554" s="61">
        <f>12.9456* CHOOSE(CONTROL!$C$19, $C$6, 100%, $E$6)</f>
        <v>12.945600000000001</v>
      </c>
      <c r="I554" s="61">
        <f>12.9477 * CHOOSE(CONTROL!$C$19, $C$6, 100%, $E$6)</f>
        <v>12.947699999999999</v>
      </c>
      <c r="J554" s="61">
        <f>9.0842 * CHOOSE(CONTROL!$C$19, $C$6, 100%, $E$6)</f>
        <v>9.0841999999999992</v>
      </c>
      <c r="K554" s="61">
        <f>9.0863 * CHOOSE(CONTROL!$C$19, $C$6, 100%, $E$6)</f>
        <v>9.0862999999999996</v>
      </c>
    </row>
    <row r="555" spans="1:11" ht="15">
      <c r="A555" s="13">
        <v>58958</v>
      </c>
      <c r="B555" s="60">
        <f>7.7456 * CHOOSE(CONTROL!$C$19, $C$6, 100%, $E$6)</f>
        <v>7.7455999999999996</v>
      </c>
      <c r="C555" s="60">
        <f>7.7456 * CHOOSE(CONTROL!$C$19, $C$6, 100%, $E$6)</f>
        <v>7.7455999999999996</v>
      </c>
      <c r="D555" s="60">
        <f>7.7786 * CHOOSE(CONTROL!$C$19, $C$6, 100%, $E$6)</f>
        <v>7.7786</v>
      </c>
      <c r="E555" s="61">
        <f>9.0439 * CHOOSE(CONTROL!$C$19, $C$6, 100%, $E$6)</f>
        <v>9.0439000000000007</v>
      </c>
      <c r="F555" s="61">
        <f>9.0439 * CHOOSE(CONTROL!$C$19, $C$6, 100%, $E$6)</f>
        <v>9.0439000000000007</v>
      </c>
      <c r="G555" s="61">
        <f>9.046 * CHOOSE(CONTROL!$C$19, $C$6, 100%, $E$6)</f>
        <v>9.0459999999999994</v>
      </c>
      <c r="H555" s="61">
        <f>12.9726* CHOOSE(CONTROL!$C$19, $C$6, 100%, $E$6)</f>
        <v>12.9726</v>
      </c>
      <c r="I555" s="61">
        <f>12.9746 * CHOOSE(CONTROL!$C$19, $C$6, 100%, $E$6)</f>
        <v>12.974600000000001</v>
      </c>
      <c r="J555" s="61">
        <f>9.0439 * CHOOSE(CONTROL!$C$19, $C$6, 100%, $E$6)</f>
        <v>9.0439000000000007</v>
      </c>
      <c r="K555" s="61">
        <f>9.046 * CHOOSE(CONTROL!$C$19, $C$6, 100%, $E$6)</f>
        <v>9.0459999999999994</v>
      </c>
    </row>
    <row r="556" spans="1:11" ht="15">
      <c r="A556" s="13">
        <v>58988</v>
      </c>
      <c r="B556" s="60">
        <f>7.8587 * CHOOSE(CONTROL!$C$19, $C$6, 100%, $E$6)</f>
        <v>7.8586999999999998</v>
      </c>
      <c r="C556" s="60">
        <f>7.8587 * CHOOSE(CONTROL!$C$19, $C$6, 100%, $E$6)</f>
        <v>7.8586999999999998</v>
      </c>
      <c r="D556" s="60">
        <f>7.8917 * CHOOSE(CONTROL!$C$19, $C$6, 100%, $E$6)</f>
        <v>7.8917000000000002</v>
      </c>
      <c r="E556" s="61">
        <f>9.2128 * CHOOSE(CONTROL!$C$19, $C$6, 100%, $E$6)</f>
        <v>9.2127999999999997</v>
      </c>
      <c r="F556" s="61">
        <f>9.2128 * CHOOSE(CONTROL!$C$19, $C$6, 100%, $E$6)</f>
        <v>9.2127999999999997</v>
      </c>
      <c r="G556" s="61">
        <f>9.2148 * CHOOSE(CONTROL!$C$19, $C$6, 100%, $E$6)</f>
        <v>9.2148000000000003</v>
      </c>
      <c r="H556" s="61">
        <f>12.9996* CHOOSE(CONTROL!$C$19, $C$6, 100%, $E$6)</f>
        <v>12.999599999999999</v>
      </c>
      <c r="I556" s="61">
        <f>13.0017 * CHOOSE(CONTROL!$C$19, $C$6, 100%, $E$6)</f>
        <v>13.0017</v>
      </c>
      <c r="J556" s="61">
        <f>9.2128 * CHOOSE(CONTROL!$C$19, $C$6, 100%, $E$6)</f>
        <v>9.2127999999999997</v>
      </c>
      <c r="K556" s="61">
        <f>9.2148 * CHOOSE(CONTROL!$C$19, $C$6, 100%, $E$6)</f>
        <v>9.2148000000000003</v>
      </c>
    </row>
    <row r="557" spans="1:11" ht="15">
      <c r="A557" s="13">
        <v>59019</v>
      </c>
      <c r="B557" s="60">
        <f>7.8654 * CHOOSE(CONTROL!$C$19, $C$6, 100%, $E$6)</f>
        <v>7.8654000000000002</v>
      </c>
      <c r="C557" s="60">
        <f>7.8654 * CHOOSE(CONTROL!$C$19, $C$6, 100%, $E$6)</f>
        <v>7.8654000000000002</v>
      </c>
      <c r="D557" s="60">
        <f>7.8984 * CHOOSE(CONTROL!$C$19, $C$6, 100%, $E$6)</f>
        <v>7.8983999999999996</v>
      </c>
      <c r="E557" s="61">
        <f>9.0837 * CHOOSE(CONTROL!$C$19, $C$6, 100%, $E$6)</f>
        <v>9.0837000000000003</v>
      </c>
      <c r="F557" s="61">
        <f>9.0837 * CHOOSE(CONTROL!$C$19, $C$6, 100%, $E$6)</f>
        <v>9.0837000000000003</v>
      </c>
      <c r="G557" s="61">
        <f>9.0857 * CHOOSE(CONTROL!$C$19, $C$6, 100%, $E$6)</f>
        <v>9.0856999999999992</v>
      </c>
      <c r="H557" s="61">
        <f>13.0267* CHOOSE(CONTROL!$C$19, $C$6, 100%, $E$6)</f>
        <v>13.0267</v>
      </c>
      <c r="I557" s="61">
        <f>13.0287 * CHOOSE(CONTROL!$C$19, $C$6, 100%, $E$6)</f>
        <v>13.028700000000001</v>
      </c>
      <c r="J557" s="61">
        <f>9.0837 * CHOOSE(CONTROL!$C$19, $C$6, 100%, $E$6)</f>
        <v>9.0837000000000003</v>
      </c>
      <c r="K557" s="61">
        <f>9.0857 * CHOOSE(CONTROL!$C$19, $C$6, 100%, $E$6)</f>
        <v>9.0856999999999992</v>
      </c>
    </row>
    <row r="558" spans="1:11" ht="15">
      <c r="A558" s="13">
        <v>59050</v>
      </c>
      <c r="B558" s="60">
        <f>7.8623 * CHOOSE(CONTROL!$C$19, $C$6, 100%, $E$6)</f>
        <v>7.8623000000000003</v>
      </c>
      <c r="C558" s="60">
        <f>7.8623 * CHOOSE(CONTROL!$C$19, $C$6, 100%, $E$6)</f>
        <v>7.8623000000000003</v>
      </c>
      <c r="D558" s="60">
        <f>7.8953 * CHOOSE(CONTROL!$C$19, $C$6, 100%, $E$6)</f>
        <v>7.8952999999999998</v>
      </c>
      <c r="E558" s="61">
        <f>9.0667 * CHOOSE(CONTROL!$C$19, $C$6, 100%, $E$6)</f>
        <v>9.0667000000000009</v>
      </c>
      <c r="F558" s="61">
        <f>9.0667 * CHOOSE(CONTROL!$C$19, $C$6, 100%, $E$6)</f>
        <v>9.0667000000000009</v>
      </c>
      <c r="G558" s="61">
        <f>9.0688 * CHOOSE(CONTROL!$C$19, $C$6, 100%, $E$6)</f>
        <v>9.0687999999999995</v>
      </c>
      <c r="H558" s="61">
        <f>13.0538* CHOOSE(CONTROL!$C$19, $C$6, 100%, $E$6)</f>
        <v>13.053800000000001</v>
      </c>
      <c r="I558" s="61">
        <f>13.0559 * CHOOSE(CONTROL!$C$19, $C$6, 100%, $E$6)</f>
        <v>13.055899999999999</v>
      </c>
      <c r="J558" s="61">
        <f>9.0667 * CHOOSE(CONTROL!$C$19, $C$6, 100%, $E$6)</f>
        <v>9.0667000000000009</v>
      </c>
      <c r="K558" s="61">
        <f>9.0688 * CHOOSE(CONTROL!$C$19, $C$6, 100%, $E$6)</f>
        <v>9.0687999999999995</v>
      </c>
    </row>
    <row r="559" spans="1:11" ht="15">
      <c r="A559" s="13">
        <v>59080</v>
      </c>
      <c r="B559" s="60">
        <f>7.8721 * CHOOSE(CONTROL!$C$19, $C$6, 100%, $E$6)</f>
        <v>7.8720999999999997</v>
      </c>
      <c r="C559" s="60">
        <f>7.8721 * CHOOSE(CONTROL!$C$19, $C$6, 100%, $E$6)</f>
        <v>7.8720999999999997</v>
      </c>
      <c r="D559" s="60">
        <f>7.8886 * CHOOSE(CONTROL!$C$19, $C$6, 100%, $E$6)</f>
        <v>7.8886000000000003</v>
      </c>
      <c r="E559" s="61">
        <f>9.1127 * CHOOSE(CONTROL!$C$19, $C$6, 100%, $E$6)</f>
        <v>9.1127000000000002</v>
      </c>
      <c r="F559" s="61">
        <f>9.1127 * CHOOSE(CONTROL!$C$19, $C$6, 100%, $E$6)</f>
        <v>9.1127000000000002</v>
      </c>
      <c r="G559" s="61">
        <f>9.1129 * CHOOSE(CONTROL!$C$19, $C$6, 100%, $E$6)</f>
        <v>9.1128999999999998</v>
      </c>
      <c r="H559" s="61">
        <f>13.081* CHOOSE(CONTROL!$C$19, $C$6, 100%, $E$6)</f>
        <v>13.081</v>
      </c>
      <c r="I559" s="61">
        <f>13.0812 * CHOOSE(CONTROL!$C$19, $C$6, 100%, $E$6)</f>
        <v>13.081200000000001</v>
      </c>
      <c r="J559" s="61">
        <f>9.1127 * CHOOSE(CONTROL!$C$19, $C$6, 100%, $E$6)</f>
        <v>9.1127000000000002</v>
      </c>
      <c r="K559" s="61">
        <f>9.1129 * CHOOSE(CONTROL!$C$19, $C$6, 100%, $E$6)</f>
        <v>9.1128999999999998</v>
      </c>
    </row>
    <row r="560" spans="1:11" ht="15">
      <c r="A560" s="13">
        <v>59111</v>
      </c>
      <c r="B560" s="60">
        <f>7.8751 * CHOOSE(CONTROL!$C$19, $C$6, 100%, $E$6)</f>
        <v>7.8750999999999998</v>
      </c>
      <c r="C560" s="60">
        <f>7.8751 * CHOOSE(CONTROL!$C$19, $C$6, 100%, $E$6)</f>
        <v>7.8750999999999998</v>
      </c>
      <c r="D560" s="60">
        <f>7.8916 * CHOOSE(CONTROL!$C$19, $C$6, 100%, $E$6)</f>
        <v>7.8916000000000004</v>
      </c>
      <c r="E560" s="61">
        <f>9.1446 * CHOOSE(CONTROL!$C$19, $C$6, 100%, $E$6)</f>
        <v>9.1446000000000005</v>
      </c>
      <c r="F560" s="61">
        <f>9.1446 * CHOOSE(CONTROL!$C$19, $C$6, 100%, $E$6)</f>
        <v>9.1446000000000005</v>
      </c>
      <c r="G560" s="61">
        <f>9.1448 * CHOOSE(CONTROL!$C$19, $C$6, 100%, $E$6)</f>
        <v>9.1448</v>
      </c>
      <c r="H560" s="61">
        <f>13.1083* CHOOSE(CONTROL!$C$19, $C$6, 100%, $E$6)</f>
        <v>13.1083</v>
      </c>
      <c r="I560" s="61">
        <f>13.1085 * CHOOSE(CONTROL!$C$19, $C$6, 100%, $E$6)</f>
        <v>13.108499999999999</v>
      </c>
      <c r="J560" s="61">
        <f>9.1446 * CHOOSE(CONTROL!$C$19, $C$6, 100%, $E$6)</f>
        <v>9.1446000000000005</v>
      </c>
      <c r="K560" s="61">
        <f>9.1448 * CHOOSE(CONTROL!$C$19, $C$6, 100%, $E$6)</f>
        <v>9.1448</v>
      </c>
    </row>
    <row r="561" spans="1:11" ht="15">
      <c r="A561" s="13">
        <v>59141</v>
      </c>
      <c r="B561" s="60">
        <f>7.8751 * CHOOSE(CONTROL!$C$19, $C$6, 100%, $E$6)</f>
        <v>7.8750999999999998</v>
      </c>
      <c r="C561" s="60">
        <f>7.8751 * CHOOSE(CONTROL!$C$19, $C$6, 100%, $E$6)</f>
        <v>7.8750999999999998</v>
      </c>
      <c r="D561" s="60">
        <f>7.8916 * CHOOSE(CONTROL!$C$19, $C$6, 100%, $E$6)</f>
        <v>7.8916000000000004</v>
      </c>
      <c r="E561" s="61">
        <f>9.0703 * CHOOSE(CONTROL!$C$19, $C$6, 100%, $E$6)</f>
        <v>9.0702999999999996</v>
      </c>
      <c r="F561" s="61">
        <f>9.0703 * CHOOSE(CONTROL!$C$19, $C$6, 100%, $E$6)</f>
        <v>9.0702999999999996</v>
      </c>
      <c r="G561" s="61">
        <f>9.0705 * CHOOSE(CONTROL!$C$19, $C$6, 100%, $E$6)</f>
        <v>9.0704999999999991</v>
      </c>
      <c r="H561" s="61">
        <f>13.1356* CHOOSE(CONTROL!$C$19, $C$6, 100%, $E$6)</f>
        <v>13.1356</v>
      </c>
      <c r="I561" s="61">
        <f>13.1358 * CHOOSE(CONTROL!$C$19, $C$6, 100%, $E$6)</f>
        <v>13.1358</v>
      </c>
      <c r="J561" s="61">
        <f>9.0703 * CHOOSE(CONTROL!$C$19, $C$6, 100%, $E$6)</f>
        <v>9.0702999999999996</v>
      </c>
      <c r="K561" s="61">
        <f>9.0705 * CHOOSE(CONTROL!$C$19, $C$6, 100%, $E$6)</f>
        <v>9.0704999999999991</v>
      </c>
    </row>
    <row r="562" spans="1:11" ht="15">
      <c r="A562" s="13">
        <v>59172</v>
      </c>
      <c r="B562" s="60">
        <f>7.9408 * CHOOSE(CONTROL!$C$19, $C$6, 100%, $E$6)</f>
        <v>7.9408000000000003</v>
      </c>
      <c r="C562" s="60">
        <f>7.9408 * CHOOSE(CONTROL!$C$19, $C$6, 100%, $E$6)</f>
        <v>7.9408000000000003</v>
      </c>
      <c r="D562" s="60">
        <f>7.9573 * CHOOSE(CONTROL!$C$19, $C$6, 100%, $E$6)</f>
        <v>7.9573</v>
      </c>
      <c r="E562" s="61">
        <f>9.2108 * CHOOSE(CONTROL!$C$19, $C$6, 100%, $E$6)</f>
        <v>9.2108000000000008</v>
      </c>
      <c r="F562" s="61">
        <f>9.2108 * CHOOSE(CONTROL!$C$19, $C$6, 100%, $E$6)</f>
        <v>9.2108000000000008</v>
      </c>
      <c r="G562" s="61">
        <f>9.211 * CHOOSE(CONTROL!$C$19, $C$6, 100%, $E$6)</f>
        <v>9.2110000000000003</v>
      </c>
      <c r="H562" s="61">
        <f>13.163* CHOOSE(CONTROL!$C$19, $C$6, 100%, $E$6)</f>
        <v>13.163</v>
      </c>
      <c r="I562" s="61">
        <f>13.1631 * CHOOSE(CONTROL!$C$19, $C$6, 100%, $E$6)</f>
        <v>13.1631</v>
      </c>
      <c r="J562" s="61">
        <f>9.2108 * CHOOSE(CONTROL!$C$19, $C$6, 100%, $E$6)</f>
        <v>9.2108000000000008</v>
      </c>
      <c r="K562" s="61">
        <f>9.211 * CHOOSE(CONTROL!$C$19, $C$6, 100%, $E$6)</f>
        <v>9.2110000000000003</v>
      </c>
    </row>
    <row r="563" spans="1:11" ht="15">
      <c r="A563" s="13">
        <v>59203</v>
      </c>
      <c r="B563" s="60">
        <f>7.9378 * CHOOSE(CONTROL!$C$19, $C$6, 100%, $E$6)</f>
        <v>7.9378000000000002</v>
      </c>
      <c r="C563" s="60">
        <f>7.9378 * CHOOSE(CONTROL!$C$19, $C$6, 100%, $E$6)</f>
        <v>7.9378000000000002</v>
      </c>
      <c r="D563" s="60">
        <f>7.9543 * CHOOSE(CONTROL!$C$19, $C$6, 100%, $E$6)</f>
        <v>7.9542999999999999</v>
      </c>
      <c r="E563" s="61">
        <f>9.0638 * CHOOSE(CONTROL!$C$19, $C$6, 100%, $E$6)</f>
        <v>9.0638000000000005</v>
      </c>
      <c r="F563" s="61">
        <f>9.0638 * CHOOSE(CONTROL!$C$19, $C$6, 100%, $E$6)</f>
        <v>9.0638000000000005</v>
      </c>
      <c r="G563" s="61">
        <f>9.064 * CHOOSE(CONTROL!$C$19, $C$6, 100%, $E$6)</f>
        <v>9.0640000000000001</v>
      </c>
      <c r="H563" s="61">
        <f>13.1904* CHOOSE(CONTROL!$C$19, $C$6, 100%, $E$6)</f>
        <v>13.1904</v>
      </c>
      <c r="I563" s="61">
        <f>13.1906 * CHOOSE(CONTROL!$C$19, $C$6, 100%, $E$6)</f>
        <v>13.1906</v>
      </c>
      <c r="J563" s="61">
        <f>9.0638 * CHOOSE(CONTROL!$C$19, $C$6, 100%, $E$6)</f>
        <v>9.0638000000000005</v>
      </c>
      <c r="K563" s="61">
        <f>9.064 * CHOOSE(CONTROL!$C$19, $C$6, 100%, $E$6)</f>
        <v>9.0640000000000001</v>
      </c>
    </row>
    <row r="564" spans="1:11" ht="15">
      <c r="A564" s="13">
        <v>59231</v>
      </c>
      <c r="B564" s="60">
        <f>7.9347 * CHOOSE(CONTROL!$C$19, $C$6, 100%, $E$6)</f>
        <v>7.9347000000000003</v>
      </c>
      <c r="C564" s="60">
        <f>7.9347 * CHOOSE(CONTROL!$C$19, $C$6, 100%, $E$6)</f>
        <v>7.9347000000000003</v>
      </c>
      <c r="D564" s="60">
        <f>7.9512 * CHOOSE(CONTROL!$C$19, $C$6, 100%, $E$6)</f>
        <v>7.9512</v>
      </c>
      <c r="E564" s="61">
        <f>9.1759 * CHOOSE(CONTROL!$C$19, $C$6, 100%, $E$6)</f>
        <v>9.1759000000000004</v>
      </c>
      <c r="F564" s="61">
        <f>9.1759 * CHOOSE(CONTROL!$C$19, $C$6, 100%, $E$6)</f>
        <v>9.1759000000000004</v>
      </c>
      <c r="G564" s="61">
        <f>9.1761 * CHOOSE(CONTROL!$C$19, $C$6, 100%, $E$6)</f>
        <v>9.1760999999999999</v>
      </c>
      <c r="H564" s="61">
        <f>13.2179* CHOOSE(CONTROL!$C$19, $C$6, 100%, $E$6)</f>
        <v>13.2179</v>
      </c>
      <c r="I564" s="61">
        <f>13.218 * CHOOSE(CONTROL!$C$19, $C$6, 100%, $E$6)</f>
        <v>13.218</v>
      </c>
      <c r="J564" s="61">
        <f>9.1759 * CHOOSE(CONTROL!$C$19, $C$6, 100%, $E$6)</f>
        <v>9.1759000000000004</v>
      </c>
      <c r="K564" s="61">
        <f>9.1761 * CHOOSE(CONTROL!$C$19, $C$6, 100%, $E$6)</f>
        <v>9.1760999999999999</v>
      </c>
    </row>
    <row r="565" spans="1:11" ht="15">
      <c r="A565" s="13">
        <v>59262</v>
      </c>
      <c r="B565" s="60">
        <f>7.9363 * CHOOSE(CONTROL!$C$19, $C$6, 100%, $E$6)</f>
        <v>7.9363000000000001</v>
      </c>
      <c r="C565" s="60">
        <f>7.9363 * CHOOSE(CONTROL!$C$19, $C$6, 100%, $E$6)</f>
        <v>7.9363000000000001</v>
      </c>
      <c r="D565" s="60">
        <f>7.9528 * CHOOSE(CONTROL!$C$19, $C$6, 100%, $E$6)</f>
        <v>7.9527999999999999</v>
      </c>
      <c r="E565" s="61">
        <f>9.2943 * CHOOSE(CONTROL!$C$19, $C$6, 100%, $E$6)</f>
        <v>9.2942999999999998</v>
      </c>
      <c r="F565" s="61">
        <f>9.2943 * CHOOSE(CONTROL!$C$19, $C$6, 100%, $E$6)</f>
        <v>9.2942999999999998</v>
      </c>
      <c r="G565" s="61">
        <f>9.2945 * CHOOSE(CONTROL!$C$19, $C$6, 100%, $E$6)</f>
        <v>9.2944999999999993</v>
      </c>
      <c r="H565" s="61">
        <f>13.2454* CHOOSE(CONTROL!$C$19, $C$6, 100%, $E$6)</f>
        <v>13.2454</v>
      </c>
      <c r="I565" s="61">
        <f>13.2456 * CHOOSE(CONTROL!$C$19, $C$6, 100%, $E$6)</f>
        <v>13.2456</v>
      </c>
      <c r="J565" s="61">
        <f>9.2943 * CHOOSE(CONTROL!$C$19, $C$6, 100%, $E$6)</f>
        <v>9.2942999999999998</v>
      </c>
      <c r="K565" s="61">
        <f>9.2945 * CHOOSE(CONTROL!$C$19, $C$6, 100%, $E$6)</f>
        <v>9.2944999999999993</v>
      </c>
    </row>
    <row r="566" spans="1:11" ht="15">
      <c r="A566" s="13">
        <v>59292</v>
      </c>
      <c r="B566" s="60">
        <f>7.9363 * CHOOSE(CONTROL!$C$19, $C$6, 100%, $E$6)</f>
        <v>7.9363000000000001</v>
      </c>
      <c r="C566" s="60">
        <f>7.9363 * CHOOSE(CONTROL!$C$19, $C$6, 100%, $E$6)</f>
        <v>7.9363000000000001</v>
      </c>
      <c r="D566" s="60">
        <f>7.9693 * CHOOSE(CONTROL!$C$19, $C$6, 100%, $E$6)</f>
        <v>7.9692999999999996</v>
      </c>
      <c r="E566" s="61">
        <f>9.3403 * CHOOSE(CONTROL!$C$19, $C$6, 100%, $E$6)</f>
        <v>9.3402999999999992</v>
      </c>
      <c r="F566" s="61">
        <f>9.3403 * CHOOSE(CONTROL!$C$19, $C$6, 100%, $E$6)</f>
        <v>9.3402999999999992</v>
      </c>
      <c r="G566" s="61">
        <f>9.3424 * CHOOSE(CONTROL!$C$19, $C$6, 100%, $E$6)</f>
        <v>9.3423999999999996</v>
      </c>
      <c r="H566" s="61">
        <f>13.273* CHOOSE(CONTROL!$C$19, $C$6, 100%, $E$6)</f>
        <v>13.273</v>
      </c>
      <c r="I566" s="61">
        <f>13.275 * CHOOSE(CONTROL!$C$19, $C$6, 100%, $E$6)</f>
        <v>13.275</v>
      </c>
      <c r="J566" s="61">
        <f>9.3403 * CHOOSE(CONTROL!$C$19, $C$6, 100%, $E$6)</f>
        <v>9.3402999999999992</v>
      </c>
      <c r="K566" s="61">
        <f>9.3424 * CHOOSE(CONTROL!$C$19, $C$6, 100%, $E$6)</f>
        <v>9.3423999999999996</v>
      </c>
    </row>
    <row r="567" spans="1:11" ht="15">
      <c r="A567" s="13">
        <v>59323</v>
      </c>
      <c r="B567" s="60">
        <f>7.9424 * CHOOSE(CONTROL!$C$19, $C$6, 100%, $E$6)</f>
        <v>7.9424000000000001</v>
      </c>
      <c r="C567" s="60">
        <f>7.9424 * CHOOSE(CONTROL!$C$19, $C$6, 100%, $E$6)</f>
        <v>7.9424000000000001</v>
      </c>
      <c r="D567" s="60">
        <f>7.9754 * CHOOSE(CONTROL!$C$19, $C$6, 100%, $E$6)</f>
        <v>7.9753999999999996</v>
      </c>
      <c r="E567" s="61">
        <f>9.2986 * CHOOSE(CONTROL!$C$19, $C$6, 100%, $E$6)</f>
        <v>9.2986000000000004</v>
      </c>
      <c r="F567" s="61">
        <f>9.2986 * CHOOSE(CONTROL!$C$19, $C$6, 100%, $E$6)</f>
        <v>9.2986000000000004</v>
      </c>
      <c r="G567" s="61">
        <f>9.3006 * CHOOSE(CONTROL!$C$19, $C$6, 100%, $E$6)</f>
        <v>9.3005999999999993</v>
      </c>
      <c r="H567" s="61">
        <f>13.3006* CHOOSE(CONTROL!$C$19, $C$6, 100%, $E$6)</f>
        <v>13.300599999999999</v>
      </c>
      <c r="I567" s="61">
        <f>13.3027 * CHOOSE(CONTROL!$C$19, $C$6, 100%, $E$6)</f>
        <v>13.3027</v>
      </c>
      <c r="J567" s="61">
        <f>9.2986 * CHOOSE(CONTROL!$C$19, $C$6, 100%, $E$6)</f>
        <v>9.2986000000000004</v>
      </c>
      <c r="K567" s="61">
        <f>9.3006 * CHOOSE(CONTROL!$C$19, $C$6, 100%, $E$6)</f>
        <v>9.3005999999999993</v>
      </c>
    </row>
    <row r="568" spans="1:11" ht="15">
      <c r="A568" s="13">
        <v>59353</v>
      </c>
      <c r="B568" s="60">
        <f>8.058 * CHOOSE(CONTROL!$C$19, $C$6, 100%, $E$6)</f>
        <v>8.0579999999999998</v>
      </c>
      <c r="C568" s="60">
        <f>8.058 * CHOOSE(CONTROL!$C$19, $C$6, 100%, $E$6)</f>
        <v>8.0579999999999998</v>
      </c>
      <c r="D568" s="60">
        <f>8.091 * CHOOSE(CONTROL!$C$19, $C$6, 100%, $E$6)</f>
        <v>8.0909999999999993</v>
      </c>
      <c r="E568" s="61">
        <f>9.4719 * CHOOSE(CONTROL!$C$19, $C$6, 100%, $E$6)</f>
        <v>9.4718999999999998</v>
      </c>
      <c r="F568" s="61">
        <f>9.4719 * CHOOSE(CONTROL!$C$19, $C$6, 100%, $E$6)</f>
        <v>9.4718999999999998</v>
      </c>
      <c r="G568" s="61">
        <f>9.4739 * CHOOSE(CONTROL!$C$19, $C$6, 100%, $E$6)</f>
        <v>9.4739000000000004</v>
      </c>
      <c r="H568" s="61">
        <f>13.3284* CHOOSE(CONTROL!$C$19, $C$6, 100%, $E$6)</f>
        <v>13.3284</v>
      </c>
      <c r="I568" s="61">
        <f>13.3304 * CHOOSE(CONTROL!$C$19, $C$6, 100%, $E$6)</f>
        <v>13.330399999999999</v>
      </c>
      <c r="J568" s="61">
        <f>9.4719 * CHOOSE(CONTROL!$C$19, $C$6, 100%, $E$6)</f>
        <v>9.4718999999999998</v>
      </c>
      <c r="K568" s="61">
        <f>9.4739 * CHOOSE(CONTROL!$C$19, $C$6, 100%, $E$6)</f>
        <v>9.4739000000000004</v>
      </c>
    </row>
    <row r="569" spans="1:11" ht="15">
      <c r="A569" s="13">
        <v>59384</v>
      </c>
      <c r="B569" s="60">
        <f>8.0647 * CHOOSE(CONTROL!$C$19, $C$6, 100%, $E$6)</f>
        <v>8.0647000000000002</v>
      </c>
      <c r="C569" s="60">
        <f>8.0647 * CHOOSE(CONTROL!$C$19, $C$6, 100%, $E$6)</f>
        <v>8.0647000000000002</v>
      </c>
      <c r="D569" s="60">
        <f>8.0977 * CHOOSE(CONTROL!$C$19, $C$6, 100%, $E$6)</f>
        <v>8.0976999999999997</v>
      </c>
      <c r="E569" s="61">
        <f>9.3385 * CHOOSE(CONTROL!$C$19, $C$6, 100%, $E$6)</f>
        <v>9.3384999999999998</v>
      </c>
      <c r="F569" s="61">
        <f>9.3385 * CHOOSE(CONTROL!$C$19, $C$6, 100%, $E$6)</f>
        <v>9.3384999999999998</v>
      </c>
      <c r="G569" s="61">
        <f>9.3406 * CHOOSE(CONTROL!$C$19, $C$6, 100%, $E$6)</f>
        <v>9.3406000000000002</v>
      </c>
      <c r="H569" s="61">
        <f>13.3561* CHOOSE(CONTROL!$C$19, $C$6, 100%, $E$6)</f>
        <v>13.3561</v>
      </c>
      <c r="I569" s="61">
        <f>13.3582 * CHOOSE(CONTROL!$C$19, $C$6, 100%, $E$6)</f>
        <v>13.3582</v>
      </c>
      <c r="J569" s="61">
        <f>9.3385 * CHOOSE(CONTROL!$C$19, $C$6, 100%, $E$6)</f>
        <v>9.3384999999999998</v>
      </c>
      <c r="K569" s="61">
        <f>9.3406 * CHOOSE(CONTROL!$C$19, $C$6, 100%, $E$6)</f>
        <v>9.3406000000000002</v>
      </c>
    </row>
    <row r="570" spans="1:11" ht="15">
      <c r="A570" s="13">
        <v>59415</v>
      </c>
      <c r="B570" s="60">
        <f>8.0616 * CHOOSE(CONTROL!$C$19, $C$6, 100%, $E$6)</f>
        <v>8.0616000000000003</v>
      </c>
      <c r="C570" s="60">
        <f>8.0616 * CHOOSE(CONTROL!$C$19, $C$6, 100%, $E$6)</f>
        <v>8.0616000000000003</v>
      </c>
      <c r="D570" s="60">
        <f>8.0947 * CHOOSE(CONTROL!$C$19, $C$6, 100%, $E$6)</f>
        <v>8.0946999999999996</v>
      </c>
      <c r="E570" s="61">
        <f>9.3211 * CHOOSE(CONTROL!$C$19, $C$6, 100%, $E$6)</f>
        <v>9.3210999999999995</v>
      </c>
      <c r="F570" s="61">
        <f>9.3211 * CHOOSE(CONTROL!$C$19, $C$6, 100%, $E$6)</f>
        <v>9.3210999999999995</v>
      </c>
      <c r="G570" s="61">
        <f>9.3231 * CHOOSE(CONTROL!$C$19, $C$6, 100%, $E$6)</f>
        <v>9.3231000000000002</v>
      </c>
      <c r="H570" s="61">
        <f>13.3839* CHOOSE(CONTROL!$C$19, $C$6, 100%, $E$6)</f>
        <v>13.383900000000001</v>
      </c>
      <c r="I570" s="61">
        <f>13.386 * CHOOSE(CONTROL!$C$19, $C$6, 100%, $E$6)</f>
        <v>13.385999999999999</v>
      </c>
      <c r="J570" s="61">
        <f>9.3211 * CHOOSE(CONTROL!$C$19, $C$6, 100%, $E$6)</f>
        <v>9.3210999999999995</v>
      </c>
      <c r="K570" s="61">
        <f>9.3231 * CHOOSE(CONTROL!$C$19, $C$6, 100%, $E$6)</f>
        <v>9.3231000000000002</v>
      </c>
    </row>
    <row r="571" spans="1:11" ht="15">
      <c r="A571" s="13">
        <v>59445</v>
      </c>
      <c r="B571" s="60">
        <f>8.0722 * CHOOSE(CONTROL!$C$19, $C$6, 100%, $E$6)</f>
        <v>8.0722000000000005</v>
      </c>
      <c r="C571" s="60">
        <f>8.0722 * CHOOSE(CONTROL!$C$19, $C$6, 100%, $E$6)</f>
        <v>8.0722000000000005</v>
      </c>
      <c r="D571" s="60">
        <f>8.0887 * CHOOSE(CONTROL!$C$19, $C$6, 100%, $E$6)</f>
        <v>8.0886999999999993</v>
      </c>
      <c r="E571" s="61">
        <f>9.369 * CHOOSE(CONTROL!$C$19, $C$6, 100%, $E$6)</f>
        <v>9.3689999999999998</v>
      </c>
      <c r="F571" s="61">
        <f>9.369 * CHOOSE(CONTROL!$C$19, $C$6, 100%, $E$6)</f>
        <v>9.3689999999999998</v>
      </c>
      <c r="G571" s="61">
        <f>9.3692 * CHOOSE(CONTROL!$C$19, $C$6, 100%, $E$6)</f>
        <v>9.3691999999999993</v>
      </c>
      <c r="H571" s="61">
        <f>13.4118* CHOOSE(CONTROL!$C$19, $C$6, 100%, $E$6)</f>
        <v>13.411799999999999</v>
      </c>
      <c r="I571" s="61">
        <f>13.412 * CHOOSE(CONTROL!$C$19, $C$6, 100%, $E$6)</f>
        <v>13.412000000000001</v>
      </c>
      <c r="J571" s="61">
        <f>9.369 * CHOOSE(CONTROL!$C$19, $C$6, 100%, $E$6)</f>
        <v>9.3689999999999998</v>
      </c>
      <c r="K571" s="61">
        <f>9.3692 * CHOOSE(CONTROL!$C$19, $C$6, 100%, $E$6)</f>
        <v>9.3691999999999993</v>
      </c>
    </row>
    <row r="572" spans="1:11" ht="15">
      <c r="A572" s="13">
        <v>59476</v>
      </c>
      <c r="B572" s="60">
        <f>8.0752 * CHOOSE(CONTROL!$C$19, $C$6, 100%, $E$6)</f>
        <v>8.0752000000000006</v>
      </c>
      <c r="C572" s="60">
        <f>8.0752 * CHOOSE(CONTROL!$C$19, $C$6, 100%, $E$6)</f>
        <v>8.0752000000000006</v>
      </c>
      <c r="D572" s="60">
        <f>8.0917 * CHOOSE(CONTROL!$C$19, $C$6, 100%, $E$6)</f>
        <v>8.0916999999999994</v>
      </c>
      <c r="E572" s="61">
        <f>9.4018 * CHOOSE(CONTROL!$C$19, $C$6, 100%, $E$6)</f>
        <v>9.4017999999999997</v>
      </c>
      <c r="F572" s="61">
        <f>9.4018 * CHOOSE(CONTROL!$C$19, $C$6, 100%, $E$6)</f>
        <v>9.4017999999999997</v>
      </c>
      <c r="G572" s="61">
        <f>9.402 * CHOOSE(CONTROL!$C$19, $C$6, 100%, $E$6)</f>
        <v>9.4019999999999992</v>
      </c>
      <c r="H572" s="61">
        <f>13.4398* CHOOSE(CONTROL!$C$19, $C$6, 100%, $E$6)</f>
        <v>13.4398</v>
      </c>
      <c r="I572" s="61">
        <f>13.4399 * CHOOSE(CONTROL!$C$19, $C$6, 100%, $E$6)</f>
        <v>13.4399</v>
      </c>
      <c r="J572" s="61">
        <f>9.4018 * CHOOSE(CONTROL!$C$19, $C$6, 100%, $E$6)</f>
        <v>9.4017999999999997</v>
      </c>
      <c r="K572" s="61">
        <f>9.402 * CHOOSE(CONTROL!$C$19, $C$6, 100%, $E$6)</f>
        <v>9.4019999999999992</v>
      </c>
    </row>
    <row r="573" spans="1:11" ht="15">
      <c r="A573" s="13">
        <v>59506</v>
      </c>
      <c r="B573" s="60">
        <f>8.0752 * CHOOSE(CONTROL!$C$19, $C$6, 100%, $E$6)</f>
        <v>8.0752000000000006</v>
      </c>
      <c r="C573" s="60">
        <f>8.0752 * CHOOSE(CONTROL!$C$19, $C$6, 100%, $E$6)</f>
        <v>8.0752000000000006</v>
      </c>
      <c r="D573" s="60">
        <f>8.0917 * CHOOSE(CONTROL!$C$19, $C$6, 100%, $E$6)</f>
        <v>8.0916999999999994</v>
      </c>
      <c r="E573" s="61">
        <f>9.3251 * CHOOSE(CONTROL!$C$19, $C$6, 100%, $E$6)</f>
        <v>9.3251000000000008</v>
      </c>
      <c r="F573" s="61">
        <f>9.3251 * CHOOSE(CONTROL!$C$19, $C$6, 100%, $E$6)</f>
        <v>9.3251000000000008</v>
      </c>
      <c r="G573" s="61">
        <f>9.3253 * CHOOSE(CONTROL!$C$19, $C$6, 100%, $E$6)</f>
        <v>9.3253000000000004</v>
      </c>
      <c r="H573" s="61">
        <f>13.4678* CHOOSE(CONTROL!$C$19, $C$6, 100%, $E$6)</f>
        <v>13.4678</v>
      </c>
      <c r="I573" s="61">
        <f>13.4679 * CHOOSE(CONTROL!$C$19, $C$6, 100%, $E$6)</f>
        <v>13.4679</v>
      </c>
      <c r="J573" s="61">
        <f>9.3251 * CHOOSE(CONTROL!$C$19, $C$6, 100%, $E$6)</f>
        <v>9.3251000000000008</v>
      </c>
      <c r="K573" s="61">
        <f>9.3253 * CHOOSE(CONTROL!$C$19, $C$6, 100%, $E$6)</f>
        <v>9.3253000000000004</v>
      </c>
    </row>
    <row r="574" spans="1:11" ht="15">
      <c r="A574" s="13">
        <v>59537</v>
      </c>
      <c r="B574" s="60">
        <f>8.1374 * CHOOSE(CONTROL!$C$19, $C$6, 100%, $E$6)</f>
        <v>8.1373999999999995</v>
      </c>
      <c r="C574" s="60">
        <f>8.1374 * CHOOSE(CONTROL!$C$19, $C$6, 100%, $E$6)</f>
        <v>8.1373999999999995</v>
      </c>
      <c r="D574" s="60">
        <f>8.1539 * CHOOSE(CONTROL!$C$19, $C$6, 100%, $E$6)</f>
        <v>8.1539000000000001</v>
      </c>
      <c r="E574" s="61">
        <f>9.4627 * CHOOSE(CONTROL!$C$19, $C$6, 100%, $E$6)</f>
        <v>9.4626999999999999</v>
      </c>
      <c r="F574" s="61">
        <f>9.4627 * CHOOSE(CONTROL!$C$19, $C$6, 100%, $E$6)</f>
        <v>9.4626999999999999</v>
      </c>
      <c r="G574" s="61">
        <f>9.4628 * CHOOSE(CONTROL!$C$19, $C$6, 100%, $E$6)</f>
        <v>9.4627999999999997</v>
      </c>
      <c r="H574" s="61">
        <f>13.4876* CHOOSE(CONTROL!$C$19, $C$6, 100%, $E$6)</f>
        <v>13.4876</v>
      </c>
      <c r="I574" s="61">
        <f>13.4878 * CHOOSE(CONTROL!$C$19, $C$6, 100%, $E$6)</f>
        <v>13.4878</v>
      </c>
      <c r="J574" s="61">
        <f>9.4627 * CHOOSE(CONTROL!$C$19, $C$6, 100%, $E$6)</f>
        <v>9.4626999999999999</v>
      </c>
      <c r="K574" s="61">
        <f>9.4628 * CHOOSE(CONTROL!$C$19, $C$6, 100%, $E$6)</f>
        <v>9.4627999999999997</v>
      </c>
    </row>
    <row r="575" spans="1:11" ht="15">
      <c r="A575" s="13">
        <v>59568</v>
      </c>
      <c r="B575" s="60">
        <f>8.1344 * CHOOSE(CONTROL!$C$19, $C$6, 100%, $E$6)</f>
        <v>8.1343999999999994</v>
      </c>
      <c r="C575" s="60">
        <f>8.1344 * CHOOSE(CONTROL!$C$19, $C$6, 100%, $E$6)</f>
        <v>8.1343999999999994</v>
      </c>
      <c r="D575" s="60">
        <f>8.1509 * CHOOSE(CONTROL!$C$19, $C$6, 100%, $E$6)</f>
        <v>8.1509</v>
      </c>
      <c r="E575" s="61">
        <f>9.3112 * CHOOSE(CONTROL!$C$19, $C$6, 100%, $E$6)</f>
        <v>9.3111999999999995</v>
      </c>
      <c r="F575" s="61">
        <f>9.3112 * CHOOSE(CONTROL!$C$19, $C$6, 100%, $E$6)</f>
        <v>9.3111999999999995</v>
      </c>
      <c r="G575" s="61">
        <f>9.3114 * CHOOSE(CONTROL!$C$19, $C$6, 100%, $E$6)</f>
        <v>9.3114000000000008</v>
      </c>
      <c r="H575" s="61">
        <f>13.5157* CHOOSE(CONTROL!$C$19, $C$6, 100%, $E$6)</f>
        <v>13.515700000000001</v>
      </c>
      <c r="I575" s="61">
        <f>13.5159 * CHOOSE(CONTROL!$C$19, $C$6, 100%, $E$6)</f>
        <v>13.5159</v>
      </c>
      <c r="J575" s="61">
        <f>9.3112 * CHOOSE(CONTROL!$C$19, $C$6, 100%, $E$6)</f>
        <v>9.3111999999999995</v>
      </c>
      <c r="K575" s="61">
        <f>9.3114 * CHOOSE(CONTROL!$C$19, $C$6, 100%, $E$6)</f>
        <v>9.3114000000000008</v>
      </c>
    </row>
    <row r="576" spans="1:11" ht="15">
      <c r="A576" s="13">
        <v>59596</v>
      </c>
      <c r="B576" s="60">
        <f>8.1314 * CHOOSE(CONTROL!$C$19, $C$6, 100%, $E$6)</f>
        <v>8.1313999999999993</v>
      </c>
      <c r="C576" s="60">
        <f>8.1314 * CHOOSE(CONTROL!$C$19, $C$6, 100%, $E$6)</f>
        <v>8.1313999999999993</v>
      </c>
      <c r="D576" s="60">
        <f>8.1479 * CHOOSE(CONTROL!$C$19, $C$6, 100%, $E$6)</f>
        <v>8.1478999999999999</v>
      </c>
      <c r="E576" s="61">
        <f>9.4268 * CHOOSE(CONTROL!$C$19, $C$6, 100%, $E$6)</f>
        <v>9.4268000000000001</v>
      </c>
      <c r="F576" s="61">
        <f>9.4268 * CHOOSE(CONTROL!$C$19, $C$6, 100%, $E$6)</f>
        <v>9.4268000000000001</v>
      </c>
      <c r="G576" s="61">
        <f>9.427 * CHOOSE(CONTROL!$C$19, $C$6, 100%, $E$6)</f>
        <v>9.4269999999999996</v>
      </c>
      <c r="H576" s="61">
        <f>13.5439* CHOOSE(CONTROL!$C$19, $C$6, 100%, $E$6)</f>
        <v>13.543900000000001</v>
      </c>
      <c r="I576" s="61">
        <f>13.5441 * CHOOSE(CONTROL!$C$19, $C$6, 100%, $E$6)</f>
        <v>13.5441</v>
      </c>
      <c r="J576" s="61">
        <f>9.4268 * CHOOSE(CONTROL!$C$19, $C$6, 100%, $E$6)</f>
        <v>9.4268000000000001</v>
      </c>
      <c r="K576" s="61">
        <f>9.427 * CHOOSE(CONTROL!$C$19, $C$6, 100%, $E$6)</f>
        <v>9.4269999999999996</v>
      </c>
    </row>
    <row r="577" spans="1:11" ht="15">
      <c r="A577" s="13">
        <v>59627</v>
      </c>
      <c r="B577" s="60">
        <f>8.1331 * CHOOSE(CONTROL!$C$19, $C$6, 100%, $E$6)</f>
        <v>8.1331000000000007</v>
      </c>
      <c r="C577" s="60">
        <f>8.1331 * CHOOSE(CONTROL!$C$19, $C$6, 100%, $E$6)</f>
        <v>8.1331000000000007</v>
      </c>
      <c r="D577" s="60">
        <f>8.1496 * CHOOSE(CONTROL!$C$19, $C$6, 100%, $E$6)</f>
        <v>8.1495999999999995</v>
      </c>
      <c r="E577" s="61">
        <f>9.549 * CHOOSE(CONTROL!$C$19, $C$6, 100%, $E$6)</f>
        <v>9.5489999999999995</v>
      </c>
      <c r="F577" s="61">
        <f>9.549 * CHOOSE(CONTROL!$C$19, $C$6, 100%, $E$6)</f>
        <v>9.5489999999999995</v>
      </c>
      <c r="G577" s="61">
        <f>9.5492 * CHOOSE(CONTROL!$C$19, $C$6, 100%, $E$6)</f>
        <v>9.5492000000000008</v>
      </c>
      <c r="H577" s="61">
        <f>13.5721* CHOOSE(CONTROL!$C$19, $C$6, 100%, $E$6)</f>
        <v>13.572100000000001</v>
      </c>
      <c r="I577" s="61">
        <f>13.5723 * CHOOSE(CONTROL!$C$19, $C$6, 100%, $E$6)</f>
        <v>13.5723</v>
      </c>
      <c r="J577" s="61">
        <f>9.549 * CHOOSE(CONTROL!$C$19, $C$6, 100%, $E$6)</f>
        <v>9.5489999999999995</v>
      </c>
      <c r="K577" s="61">
        <f>9.5492 * CHOOSE(CONTROL!$C$19, $C$6, 100%, $E$6)</f>
        <v>9.5492000000000008</v>
      </c>
    </row>
    <row r="578" spans="1:11" ht="15">
      <c r="A578" s="13">
        <v>59657</v>
      </c>
      <c r="B578" s="60">
        <f>8.1331 * CHOOSE(CONTROL!$C$19, $C$6, 100%, $E$6)</f>
        <v>8.1331000000000007</v>
      </c>
      <c r="C578" s="60">
        <f>8.1331 * CHOOSE(CONTROL!$C$19, $C$6, 100%, $E$6)</f>
        <v>8.1331000000000007</v>
      </c>
      <c r="D578" s="60">
        <f>8.1661 * CHOOSE(CONTROL!$C$19, $C$6, 100%, $E$6)</f>
        <v>8.1661000000000001</v>
      </c>
      <c r="E578" s="61">
        <f>9.5964 * CHOOSE(CONTROL!$C$19, $C$6, 100%, $E$6)</f>
        <v>9.5963999999999992</v>
      </c>
      <c r="F578" s="61">
        <f>9.5964 * CHOOSE(CONTROL!$C$19, $C$6, 100%, $E$6)</f>
        <v>9.5963999999999992</v>
      </c>
      <c r="G578" s="61">
        <f>9.5985 * CHOOSE(CONTROL!$C$19, $C$6, 100%, $E$6)</f>
        <v>9.5984999999999996</v>
      </c>
      <c r="H578" s="61">
        <f>13.6004* CHOOSE(CONTROL!$C$19, $C$6, 100%, $E$6)</f>
        <v>13.6004</v>
      </c>
      <c r="I578" s="61">
        <f>13.6024 * CHOOSE(CONTROL!$C$19, $C$6, 100%, $E$6)</f>
        <v>13.602399999999999</v>
      </c>
      <c r="J578" s="61">
        <f>9.5964 * CHOOSE(CONTROL!$C$19, $C$6, 100%, $E$6)</f>
        <v>9.5963999999999992</v>
      </c>
      <c r="K578" s="61">
        <f>9.5985 * CHOOSE(CONTROL!$C$19, $C$6, 100%, $E$6)</f>
        <v>9.5984999999999996</v>
      </c>
    </row>
    <row r="579" spans="1:11" ht="15">
      <c r="A579" s="13">
        <v>59688</v>
      </c>
      <c r="B579" s="60">
        <f>8.1392 * CHOOSE(CONTROL!$C$19, $C$6, 100%, $E$6)</f>
        <v>8.1392000000000007</v>
      </c>
      <c r="C579" s="60">
        <f>8.1392 * CHOOSE(CONTROL!$C$19, $C$6, 100%, $E$6)</f>
        <v>8.1392000000000007</v>
      </c>
      <c r="D579" s="60">
        <f>8.1722 * CHOOSE(CONTROL!$C$19, $C$6, 100%, $E$6)</f>
        <v>8.1722000000000001</v>
      </c>
      <c r="E579" s="61">
        <f>9.5533 * CHOOSE(CONTROL!$C$19, $C$6, 100%, $E$6)</f>
        <v>9.5533000000000001</v>
      </c>
      <c r="F579" s="61">
        <f>9.5533 * CHOOSE(CONTROL!$C$19, $C$6, 100%, $E$6)</f>
        <v>9.5533000000000001</v>
      </c>
      <c r="G579" s="61">
        <f>9.5553 * CHOOSE(CONTROL!$C$19, $C$6, 100%, $E$6)</f>
        <v>9.5553000000000008</v>
      </c>
      <c r="H579" s="61">
        <f>13.6287* CHOOSE(CONTROL!$C$19, $C$6, 100%, $E$6)</f>
        <v>13.6287</v>
      </c>
      <c r="I579" s="61">
        <f>13.6308 * CHOOSE(CONTROL!$C$19, $C$6, 100%, $E$6)</f>
        <v>13.630800000000001</v>
      </c>
      <c r="J579" s="61">
        <f>9.5533 * CHOOSE(CONTROL!$C$19, $C$6, 100%, $E$6)</f>
        <v>9.5533000000000001</v>
      </c>
      <c r="K579" s="61">
        <f>9.5553 * CHOOSE(CONTROL!$C$19, $C$6, 100%, $E$6)</f>
        <v>9.5553000000000008</v>
      </c>
    </row>
    <row r="580" spans="1:11" ht="15">
      <c r="A580" s="13">
        <v>59718</v>
      </c>
      <c r="B580" s="60">
        <f>8.2573 * CHOOSE(CONTROL!$C$19, $C$6, 100%, $E$6)</f>
        <v>8.2573000000000008</v>
      </c>
      <c r="C580" s="60">
        <f>8.2573 * CHOOSE(CONTROL!$C$19, $C$6, 100%, $E$6)</f>
        <v>8.2573000000000008</v>
      </c>
      <c r="D580" s="60">
        <f>8.2903 * CHOOSE(CONTROL!$C$19, $C$6, 100%, $E$6)</f>
        <v>8.2903000000000002</v>
      </c>
      <c r="E580" s="61">
        <f>9.731 * CHOOSE(CONTROL!$C$19, $C$6, 100%, $E$6)</f>
        <v>9.7309999999999999</v>
      </c>
      <c r="F580" s="61">
        <f>9.731 * CHOOSE(CONTROL!$C$19, $C$6, 100%, $E$6)</f>
        <v>9.7309999999999999</v>
      </c>
      <c r="G580" s="61">
        <f>9.733 * CHOOSE(CONTROL!$C$19, $C$6, 100%, $E$6)</f>
        <v>9.7330000000000005</v>
      </c>
      <c r="H580" s="61">
        <f>13.6571* CHOOSE(CONTROL!$C$19, $C$6, 100%, $E$6)</f>
        <v>13.6571</v>
      </c>
      <c r="I580" s="61">
        <f>13.6591 * CHOOSE(CONTROL!$C$19, $C$6, 100%, $E$6)</f>
        <v>13.6591</v>
      </c>
      <c r="J580" s="61">
        <f>9.731 * CHOOSE(CONTROL!$C$19, $C$6, 100%, $E$6)</f>
        <v>9.7309999999999999</v>
      </c>
      <c r="K580" s="61">
        <f>9.733 * CHOOSE(CONTROL!$C$19, $C$6, 100%, $E$6)</f>
        <v>9.7330000000000005</v>
      </c>
    </row>
    <row r="581" spans="1:11" ht="15">
      <c r="A581" s="13">
        <v>59749</v>
      </c>
      <c r="B581" s="60">
        <f>8.264 * CHOOSE(CONTROL!$C$19, $C$6, 100%, $E$6)</f>
        <v>8.2639999999999993</v>
      </c>
      <c r="C581" s="60">
        <f>8.264 * CHOOSE(CONTROL!$C$19, $C$6, 100%, $E$6)</f>
        <v>8.2639999999999993</v>
      </c>
      <c r="D581" s="60">
        <f>8.297 * CHOOSE(CONTROL!$C$19, $C$6, 100%, $E$6)</f>
        <v>8.2970000000000006</v>
      </c>
      <c r="E581" s="61">
        <f>9.5934 * CHOOSE(CONTROL!$C$19, $C$6, 100%, $E$6)</f>
        <v>9.5934000000000008</v>
      </c>
      <c r="F581" s="61">
        <f>9.5934 * CHOOSE(CONTROL!$C$19, $C$6, 100%, $E$6)</f>
        <v>9.5934000000000008</v>
      </c>
      <c r="G581" s="61">
        <f>9.5954 * CHOOSE(CONTROL!$C$19, $C$6, 100%, $E$6)</f>
        <v>9.5953999999999997</v>
      </c>
      <c r="H581" s="61">
        <f>13.6855* CHOOSE(CONTROL!$C$19, $C$6, 100%, $E$6)</f>
        <v>13.685499999999999</v>
      </c>
      <c r="I581" s="61">
        <f>13.6876 * CHOOSE(CONTROL!$C$19, $C$6, 100%, $E$6)</f>
        <v>13.6876</v>
      </c>
      <c r="J581" s="61">
        <f>9.5934 * CHOOSE(CONTROL!$C$19, $C$6, 100%, $E$6)</f>
        <v>9.5934000000000008</v>
      </c>
      <c r="K581" s="61">
        <f>9.5954 * CHOOSE(CONTROL!$C$19, $C$6, 100%, $E$6)</f>
        <v>9.5953999999999997</v>
      </c>
    </row>
    <row r="582" spans="1:11" ht="15">
      <c r="A582" s="13">
        <v>59780</v>
      </c>
      <c r="B582" s="60">
        <f>8.261 * CHOOSE(CONTROL!$C$19, $C$6, 100%, $E$6)</f>
        <v>8.2609999999999992</v>
      </c>
      <c r="C582" s="60">
        <f>8.261 * CHOOSE(CONTROL!$C$19, $C$6, 100%, $E$6)</f>
        <v>8.2609999999999992</v>
      </c>
      <c r="D582" s="60">
        <f>8.294 * CHOOSE(CONTROL!$C$19, $C$6, 100%, $E$6)</f>
        <v>8.2940000000000005</v>
      </c>
      <c r="E582" s="61">
        <f>9.5755 * CHOOSE(CONTROL!$C$19, $C$6, 100%, $E$6)</f>
        <v>9.5754999999999999</v>
      </c>
      <c r="F582" s="61">
        <f>9.5755 * CHOOSE(CONTROL!$C$19, $C$6, 100%, $E$6)</f>
        <v>9.5754999999999999</v>
      </c>
      <c r="G582" s="61">
        <f>9.5775 * CHOOSE(CONTROL!$C$19, $C$6, 100%, $E$6)</f>
        <v>9.5775000000000006</v>
      </c>
      <c r="H582" s="61">
        <f>13.7141* CHOOSE(CONTROL!$C$19, $C$6, 100%, $E$6)</f>
        <v>13.7141</v>
      </c>
      <c r="I582" s="61">
        <f>13.7161 * CHOOSE(CONTROL!$C$19, $C$6, 100%, $E$6)</f>
        <v>13.716100000000001</v>
      </c>
      <c r="J582" s="61">
        <f>9.5755 * CHOOSE(CONTROL!$C$19, $C$6, 100%, $E$6)</f>
        <v>9.5754999999999999</v>
      </c>
      <c r="K582" s="61">
        <f>9.5775 * CHOOSE(CONTROL!$C$19, $C$6, 100%, $E$6)</f>
        <v>9.5775000000000006</v>
      </c>
    </row>
    <row r="583" spans="1:11" ht="15">
      <c r="A583" s="13">
        <v>59810</v>
      </c>
      <c r="B583" s="60">
        <f>8.2722 * CHOOSE(CONTROL!$C$19, $C$6, 100%, $E$6)</f>
        <v>8.2721999999999998</v>
      </c>
      <c r="C583" s="60">
        <f>8.2722 * CHOOSE(CONTROL!$C$19, $C$6, 100%, $E$6)</f>
        <v>8.2721999999999998</v>
      </c>
      <c r="D583" s="60">
        <f>8.2887 * CHOOSE(CONTROL!$C$19, $C$6, 100%, $E$6)</f>
        <v>8.2887000000000004</v>
      </c>
      <c r="E583" s="61">
        <f>9.6253 * CHOOSE(CONTROL!$C$19, $C$6, 100%, $E$6)</f>
        <v>9.6252999999999993</v>
      </c>
      <c r="F583" s="61">
        <f>9.6253 * CHOOSE(CONTROL!$C$19, $C$6, 100%, $E$6)</f>
        <v>9.6252999999999993</v>
      </c>
      <c r="G583" s="61">
        <f>9.6254 * CHOOSE(CONTROL!$C$19, $C$6, 100%, $E$6)</f>
        <v>9.6254000000000008</v>
      </c>
      <c r="H583" s="61">
        <f>13.7426* CHOOSE(CONTROL!$C$19, $C$6, 100%, $E$6)</f>
        <v>13.742599999999999</v>
      </c>
      <c r="I583" s="61">
        <f>13.7428 * CHOOSE(CONTROL!$C$19, $C$6, 100%, $E$6)</f>
        <v>13.742800000000001</v>
      </c>
      <c r="J583" s="61">
        <f>9.6253 * CHOOSE(CONTROL!$C$19, $C$6, 100%, $E$6)</f>
        <v>9.6252999999999993</v>
      </c>
      <c r="K583" s="61">
        <f>9.6254 * CHOOSE(CONTROL!$C$19, $C$6, 100%, $E$6)</f>
        <v>9.6254000000000008</v>
      </c>
    </row>
    <row r="584" spans="1:11" ht="15">
      <c r="A584" s="13">
        <v>59841</v>
      </c>
      <c r="B584" s="60">
        <f>8.2753 * CHOOSE(CONTROL!$C$19, $C$6, 100%, $E$6)</f>
        <v>8.2752999999999997</v>
      </c>
      <c r="C584" s="60">
        <f>8.2753 * CHOOSE(CONTROL!$C$19, $C$6, 100%, $E$6)</f>
        <v>8.2752999999999997</v>
      </c>
      <c r="D584" s="60">
        <f>8.2918 * CHOOSE(CONTROL!$C$19, $C$6, 100%, $E$6)</f>
        <v>8.2918000000000003</v>
      </c>
      <c r="E584" s="61">
        <f>9.659 * CHOOSE(CONTROL!$C$19, $C$6, 100%, $E$6)</f>
        <v>9.6590000000000007</v>
      </c>
      <c r="F584" s="61">
        <f>9.659 * CHOOSE(CONTROL!$C$19, $C$6, 100%, $E$6)</f>
        <v>9.6590000000000007</v>
      </c>
      <c r="G584" s="61">
        <f>9.6592 * CHOOSE(CONTROL!$C$19, $C$6, 100%, $E$6)</f>
        <v>9.6592000000000002</v>
      </c>
      <c r="H584" s="61">
        <f>13.7713* CHOOSE(CONTROL!$C$19, $C$6, 100%, $E$6)</f>
        <v>13.7713</v>
      </c>
      <c r="I584" s="61">
        <f>13.7714 * CHOOSE(CONTROL!$C$19, $C$6, 100%, $E$6)</f>
        <v>13.7714</v>
      </c>
      <c r="J584" s="61">
        <f>9.659 * CHOOSE(CONTROL!$C$19, $C$6, 100%, $E$6)</f>
        <v>9.6590000000000007</v>
      </c>
      <c r="K584" s="61">
        <f>9.6592 * CHOOSE(CONTROL!$C$19, $C$6, 100%, $E$6)</f>
        <v>9.6592000000000002</v>
      </c>
    </row>
    <row r="585" spans="1:11" ht="15">
      <c r="A585" s="13">
        <v>59871</v>
      </c>
      <c r="B585" s="60">
        <f>8.2753 * CHOOSE(CONTROL!$C$19, $C$6, 100%, $E$6)</f>
        <v>8.2752999999999997</v>
      </c>
      <c r="C585" s="60">
        <f>8.2753 * CHOOSE(CONTROL!$C$19, $C$6, 100%, $E$6)</f>
        <v>8.2752999999999997</v>
      </c>
      <c r="D585" s="60">
        <f>8.2918 * CHOOSE(CONTROL!$C$19, $C$6, 100%, $E$6)</f>
        <v>8.2918000000000003</v>
      </c>
      <c r="E585" s="61">
        <f>9.58 * CHOOSE(CONTROL!$C$19, $C$6, 100%, $E$6)</f>
        <v>9.58</v>
      </c>
      <c r="F585" s="61">
        <f>9.58 * CHOOSE(CONTROL!$C$19, $C$6, 100%, $E$6)</f>
        <v>9.58</v>
      </c>
      <c r="G585" s="61">
        <f>9.5801 * CHOOSE(CONTROL!$C$19, $C$6, 100%, $E$6)</f>
        <v>9.5800999999999998</v>
      </c>
      <c r="H585" s="61">
        <f>13.7999* CHOOSE(CONTROL!$C$19, $C$6, 100%, $E$6)</f>
        <v>13.799899999999999</v>
      </c>
      <c r="I585" s="61">
        <f>13.8001 * CHOOSE(CONTROL!$C$19, $C$6, 100%, $E$6)</f>
        <v>13.8001</v>
      </c>
      <c r="J585" s="61">
        <f>9.58 * CHOOSE(CONTROL!$C$19, $C$6, 100%, $E$6)</f>
        <v>9.58</v>
      </c>
      <c r="K585" s="61">
        <f>9.5801 * CHOOSE(CONTROL!$C$19, $C$6, 100%, $E$6)</f>
        <v>9.5800999999999998</v>
      </c>
    </row>
    <row r="586" spans="1:11" ht="15">
      <c r="A586" s="13">
        <v>59902</v>
      </c>
      <c r="B586" s="60">
        <f>8.3341 * CHOOSE(CONTROL!$C$19, $C$6, 100%, $E$6)</f>
        <v>8.3340999999999994</v>
      </c>
      <c r="C586" s="60">
        <f>8.3341 * CHOOSE(CONTROL!$C$19, $C$6, 100%, $E$6)</f>
        <v>8.3340999999999994</v>
      </c>
      <c r="D586" s="60">
        <f>8.3506 * CHOOSE(CONTROL!$C$19, $C$6, 100%, $E$6)</f>
        <v>8.3506</v>
      </c>
      <c r="E586" s="61">
        <f>9.7145 * CHOOSE(CONTROL!$C$19, $C$6, 100%, $E$6)</f>
        <v>9.7144999999999992</v>
      </c>
      <c r="F586" s="61">
        <f>9.7145 * CHOOSE(CONTROL!$C$19, $C$6, 100%, $E$6)</f>
        <v>9.7144999999999992</v>
      </c>
      <c r="G586" s="61">
        <f>9.7147 * CHOOSE(CONTROL!$C$19, $C$6, 100%, $E$6)</f>
        <v>9.7147000000000006</v>
      </c>
      <c r="H586" s="61">
        <f>13.8123* CHOOSE(CONTROL!$C$19, $C$6, 100%, $E$6)</f>
        <v>13.8123</v>
      </c>
      <c r="I586" s="61">
        <f>13.8125 * CHOOSE(CONTROL!$C$19, $C$6, 100%, $E$6)</f>
        <v>13.8125</v>
      </c>
      <c r="J586" s="61">
        <f>9.7145 * CHOOSE(CONTROL!$C$19, $C$6, 100%, $E$6)</f>
        <v>9.7144999999999992</v>
      </c>
      <c r="K586" s="61">
        <f>9.7147 * CHOOSE(CONTROL!$C$19, $C$6, 100%, $E$6)</f>
        <v>9.7147000000000006</v>
      </c>
    </row>
    <row r="587" spans="1:11" ht="15">
      <c r="A587" s="13">
        <v>59933</v>
      </c>
      <c r="B587" s="60">
        <f>8.331 * CHOOSE(CONTROL!$C$19, $C$6, 100%, $E$6)</f>
        <v>8.3309999999999995</v>
      </c>
      <c r="C587" s="60">
        <f>8.331 * CHOOSE(CONTROL!$C$19, $C$6, 100%, $E$6)</f>
        <v>8.3309999999999995</v>
      </c>
      <c r="D587" s="60">
        <f>8.3475 * CHOOSE(CONTROL!$C$19, $C$6, 100%, $E$6)</f>
        <v>8.3475000000000001</v>
      </c>
      <c r="E587" s="61">
        <f>9.5585 * CHOOSE(CONTROL!$C$19, $C$6, 100%, $E$6)</f>
        <v>9.5585000000000004</v>
      </c>
      <c r="F587" s="61">
        <f>9.5585 * CHOOSE(CONTROL!$C$19, $C$6, 100%, $E$6)</f>
        <v>9.5585000000000004</v>
      </c>
      <c r="G587" s="61">
        <f>9.5587 * CHOOSE(CONTROL!$C$19, $C$6, 100%, $E$6)</f>
        <v>9.5587</v>
      </c>
      <c r="H587" s="61">
        <f>13.8411* CHOOSE(CONTROL!$C$19, $C$6, 100%, $E$6)</f>
        <v>13.841100000000001</v>
      </c>
      <c r="I587" s="61">
        <f>13.8412 * CHOOSE(CONTROL!$C$19, $C$6, 100%, $E$6)</f>
        <v>13.841200000000001</v>
      </c>
      <c r="J587" s="61">
        <f>9.5585 * CHOOSE(CONTROL!$C$19, $C$6, 100%, $E$6)</f>
        <v>9.5585000000000004</v>
      </c>
      <c r="K587" s="61">
        <f>9.5587 * CHOOSE(CONTROL!$C$19, $C$6, 100%, $E$6)</f>
        <v>9.5587</v>
      </c>
    </row>
    <row r="588" spans="1:11" ht="15">
      <c r="A588" s="13">
        <v>59962</v>
      </c>
      <c r="B588" s="60">
        <f>8.328 * CHOOSE(CONTROL!$C$19, $C$6, 100%, $E$6)</f>
        <v>8.3279999999999994</v>
      </c>
      <c r="C588" s="60">
        <f>8.328 * CHOOSE(CONTROL!$C$19, $C$6, 100%, $E$6)</f>
        <v>8.3279999999999994</v>
      </c>
      <c r="D588" s="60">
        <f>8.3445 * CHOOSE(CONTROL!$C$19, $C$6, 100%, $E$6)</f>
        <v>8.3445</v>
      </c>
      <c r="E588" s="61">
        <f>9.6777 * CHOOSE(CONTROL!$C$19, $C$6, 100%, $E$6)</f>
        <v>9.6776999999999997</v>
      </c>
      <c r="F588" s="61">
        <f>9.6777 * CHOOSE(CONTROL!$C$19, $C$6, 100%, $E$6)</f>
        <v>9.6776999999999997</v>
      </c>
      <c r="G588" s="61">
        <f>9.6779 * CHOOSE(CONTROL!$C$19, $C$6, 100%, $E$6)</f>
        <v>9.6778999999999993</v>
      </c>
      <c r="H588" s="61">
        <f>13.8699* CHOOSE(CONTROL!$C$19, $C$6, 100%, $E$6)</f>
        <v>13.869899999999999</v>
      </c>
      <c r="I588" s="61">
        <f>13.8701 * CHOOSE(CONTROL!$C$19, $C$6, 100%, $E$6)</f>
        <v>13.870100000000001</v>
      </c>
      <c r="J588" s="61">
        <f>9.6777 * CHOOSE(CONTROL!$C$19, $C$6, 100%, $E$6)</f>
        <v>9.6776999999999997</v>
      </c>
      <c r="K588" s="61">
        <f>9.6779 * CHOOSE(CONTROL!$C$19, $C$6, 100%, $E$6)</f>
        <v>9.6778999999999993</v>
      </c>
    </row>
    <row r="589" spans="1:11" ht="15">
      <c r="A589" s="13">
        <v>59993</v>
      </c>
      <c r="B589" s="60">
        <f>8.3299 * CHOOSE(CONTROL!$C$19, $C$6, 100%, $E$6)</f>
        <v>8.3299000000000003</v>
      </c>
      <c r="C589" s="60">
        <f>8.3299 * CHOOSE(CONTROL!$C$19, $C$6, 100%, $E$6)</f>
        <v>8.3299000000000003</v>
      </c>
      <c r="D589" s="60">
        <f>8.3464 * CHOOSE(CONTROL!$C$19, $C$6, 100%, $E$6)</f>
        <v>8.3463999999999992</v>
      </c>
      <c r="E589" s="61">
        <f>9.8037 * CHOOSE(CONTROL!$C$19, $C$6, 100%, $E$6)</f>
        <v>9.8036999999999992</v>
      </c>
      <c r="F589" s="61">
        <f>9.8037 * CHOOSE(CONTROL!$C$19, $C$6, 100%, $E$6)</f>
        <v>9.8036999999999992</v>
      </c>
      <c r="G589" s="61">
        <f>9.8039 * CHOOSE(CONTROL!$C$19, $C$6, 100%, $E$6)</f>
        <v>9.8039000000000005</v>
      </c>
      <c r="H589" s="61">
        <f>13.8988* CHOOSE(CONTROL!$C$19, $C$6, 100%, $E$6)</f>
        <v>13.8988</v>
      </c>
      <c r="I589" s="61">
        <f>13.899 * CHOOSE(CONTROL!$C$19, $C$6, 100%, $E$6)</f>
        <v>13.898999999999999</v>
      </c>
      <c r="J589" s="61">
        <f>9.8037 * CHOOSE(CONTROL!$C$19, $C$6, 100%, $E$6)</f>
        <v>9.8036999999999992</v>
      </c>
      <c r="K589" s="61">
        <f>9.8039 * CHOOSE(CONTROL!$C$19, $C$6, 100%, $E$6)</f>
        <v>9.8039000000000005</v>
      </c>
    </row>
    <row r="590" spans="1:11" ht="15">
      <c r="A590" s="13">
        <v>60023</v>
      </c>
      <c r="B590" s="60">
        <f>8.3299 * CHOOSE(CONTROL!$C$19, $C$6, 100%, $E$6)</f>
        <v>8.3299000000000003</v>
      </c>
      <c r="C590" s="60">
        <f>8.3299 * CHOOSE(CONTROL!$C$19, $C$6, 100%, $E$6)</f>
        <v>8.3299000000000003</v>
      </c>
      <c r="D590" s="60">
        <f>8.3629 * CHOOSE(CONTROL!$C$19, $C$6, 100%, $E$6)</f>
        <v>8.3628999999999998</v>
      </c>
      <c r="E590" s="61">
        <f>9.8525 * CHOOSE(CONTROL!$C$19, $C$6, 100%, $E$6)</f>
        <v>9.8524999999999991</v>
      </c>
      <c r="F590" s="61">
        <f>9.8525 * CHOOSE(CONTROL!$C$19, $C$6, 100%, $E$6)</f>
        <v>9.8524999999999991</v>
      </c>
      <c r="G590" s="61">
        <f>9.8546 * CHOOSE(CONTROL!$C$19, $C$6, 100%, $E$6)</f>
        <v>9.8545999999999996</v>
      </c>
      <c r="H590" s="61">
        <f>13.9277* CHOOSE(CONTROL!$C$19, $C$6, 100%, $E$6)</f>
        <v>13.9277</v>
      </c>
      <c r="I590" s="61">
        <f>13.9298 * CHOOSE(CONTROL!$C$19, $C$6, 100%, $E$6)</f>
        <v>13.9298</v>
      </c>
      <c r="J590" s="61">
        <f>9.8525 * CHOOSE(CONTROL!$C$19, $C$6, 100%, $E$6)</f>
        <v>9.8524999999999991</v>
      </c>
      <c r="K590" s="61">
        <f>9.8546 * CHOOSE(CONTROL!$C$19, $C$6, 100%, $E$6)</f>
        <v>9.8545999999999996</v>
      </c>
    </row>
    <row r="591" spans="1:11" ht="15">
      <c r="A591" s="13">
        <v>60054</v>
      </c>
      <c r="B591" s="60">
        <f>8.336 * CHOOSE(CONTROL!$C$19, $C$6, 100%, $E$6)</f>
        <v>8.3360000000000003</v>
      </c>
      <c r="C591" s="60">
        <f>8.336 * CHOOSE(CONTROL!$C$19, $C$6, 100%, $E$6)</f>
        <v>8.3360000000000003</v>
      </c>
      <c r="D591" s="60">
        <f>8.369 * CHOOSE(CONTROL!$C$19, $C$6, 100%, $E$6)</f>
        <v>8.3689999999999998</v>
      </c>
      <c r="E591" s="61">
        <f>9.8079 * CHOOSE(CONTROL!$C$19, $C$6, 100%, $E$6)</f>
        <v>9.8079000000000001</v>
      </c>
      <c r="F591" s="61">
        <f>9.8079 * CHOOSE(CONTROL!$C$19, $C$6, 100%, $E$6)</f>
        <v>9.8079000000000001</v>
      </c>
      <c r="G591" s="61">
        <f>9.81 * CHOOSE(CONTROL!$C$19, $C$6, 100%, $E$6)</f>
        <v>9.81</v>
      </c>
      <c r="H591" s="61">
        <f>13.9568* CHOOSE(CONTROL!$C$19, $C$6, 100%, $E$6)</f>
        <v>13.956799999999999</v>
      </c>
      <c r="I591" s="61">
        <f>13.9588 * CHOOSE(CONTROL!$C$19, $C$6, 100%, $E$6)</f>
        <v>13.9588</v>
      </c>
      <c r="J591" s="61">
        <f>9.8079 * CHOOSE(CONTROL!$C$19, $C$6, 100%, $E$6)</f>
        <v>9.8079000000000001</v>
      </c>
      <c r="K591" s="61">
        <f>9.81 * CHOOSE(CONTROL!$C$19, $C$6, 100%, $E$6)</f>
        <v>9.81</v>
      </c>
    </row>
    <row r="592" spans="1:11" ht="15">
      <c r="A592" s="13">
        <v>60084</v>
      </c>
      <c r="B592" s="60">
        <f>8.4566 * CHOOSE(CONTROL!$C$19, $C$6, 100%, $E$6)</f>
        <v>8.4565999999999999</v>
      </c>
      <c r="C592" s="60">
        <f>8.4566 * CHOOSE(CONTROL!$C$19, $C$6, 100%, $E$6)</f>
        <v>8.4565999999999999</v>
      </c>
      <c r="D592" s="60">
        <f>8.4896 * CHOOSE(CONTROL!$C$19, $C$6, 100%, $E$6)</f>
        <v>8.4895999999999994</v>
      </c>
      <c r="E592" s="61">
        <f>9.9901 * CHOOSE(CONTROL!$C$19, $C$6, 100%, $E$6)</f>
        <v>9.9901</v>
      </c>
      <c r="F592" s="61">
        <f>9.9901 * CHOOSE(CONTROL!$C$19, $C$6, 100%, $E$6)</f>
        <v>9.9901</v>
      </c>
      <c r="G592" s="61">
        <f>9.9921 * CHOOSE(CONTROL!$C$19, $C$6, 100%, $E$6)</f>
        <v>9.9921000000000006</v>
      </c>
      <c r="H592" s="61">
        <f>13.9858* CHOOSE(CONTROL!$C$19, $C$6, 100%, $E$6)</f>
        <v>13.985799999999999</v>
      </c>
      <c r="I592" s="61">
        <f>13.9879 * CHOOSE(CONTROL!$C$19, $C$6, 100%, $E$6)</f>
        <v>13.9879</v>
      </c>
      <c r="J592" s="61">
        <f>9.9901 * CHOOSE(CONTROL!$C$19, $C$6, 100%, $E$6)</f>
        <v>9.9901</v>
      </c>
      <c r="K592" s="61">
        <f>9.9921 * CHOOSE(CONTROL!$C$19, $C$6, 100%, $E$6)</f>
        <v>9.9921000000000006</v>
      </c>
    </row>
    <row r="593" spans="1:11" ht="15">
      <c r="A593" s="13">
        <v>60115</v>
      </c>
      <c r="B593" s="60">
        <f>8.4633 * CHOOSE(CONTROL!$C$19, $C$6, 100%, $E$6)</f>
        <v>8.4633000000000003</v>
      </c>
      <c r="C593" s="60">
        <f>8.4633 * CHOOSE(CONTROL!$C$19, $C$6, 100%, $E$6)</f>
        <v>8.4633000000000003</v>
      </c>
      <c r="D593" s="60">
        <f>8.4963 * CHOOSE(CONTROL!$C$19, $C$6, 100%, $E$6)</f>
        <v>8.4962999999999997</v>
      </c>
      <c r="E593" s="61">
        <f>9.8482 * CHOOSE(CONTROL!$C$19, $C$6, 100%, $E$6)</f>
        <v>9.8482000000000003</v>
      </c>
      <c r="F593" s="61">
        <f>9.8482 * CHOOSE(CONTROL!$C$19, $C$6, 100%, $E$6)</f>
        <v>9.8482000000000003</v>
      </c>
      <c r="G593" s="61">
        <f>9.8503 * CHOOSE(CONTROL!$C$19, $C$6, 100%, $E$6)</f>
        <v>9.8503000000000007</v>
      </c>
      <c r="H593" s="61">
        <f>14.015* CHOOSE(CONTROL!$C$19, $C$6, 100%, $E$6)</f>
        <v>14.015000000000001</v>
      </c>
      <c r="I593" s="61">
        <f>14.017 * CHOOSE(CONTROL!$C$19, $C$6, 100%, $E$6)</f>
        <v>14.016999999999999</v>
      </c>
      <c r="J593" s="61">
        <f>9.8482 * CHOOSE(CONTROL!$C$19, $C$6, 100%, $E$6)</f>
        <v>9.8482000000000003</v>
      </c>
      <c r="K593" s="61">
        <f>9.8503 * CHOOSE(CONTROL!$C$19, $C$6, 100%, $E$6)</f>
        <v>9.8503000000000007</v>
      </c>
    </row>
    <row r="594" spans="1:11" ht="15">
      <c r="A594" s="13">
        <v>60146</v>
      </c>
      <c r="B594" s="60">
        <f>8.4603 * CHOOSE(CONTROL!$C$19, $C$6, 100%, $E$6)</f>
        <v>8.4603000000000002</v>
      </c>
      <c r="C594" s="60">
        <f>8.4603 * CHOOSE(CONTROL!$C$19, $C$6, 100%, $E$6)</f>
        <v>8.4603000000000002</v>
      </c>
      <c r="D594" s="60">
        <f>8.4933 * CHOOSE(CONTROL!$C$19, $C$6, 100%, $E$6)</f>
        <v>8.4932999999999996</v>
      </c>
      <c r="E594" s="61">
        <f>9.8298 * CHOOSE(CONTROL!$C$19, $C$6, 100%, $E$6)</f>
        <v>9.8298000000000005</v>
      </c>
      <c r="F594" s="61">
        <f>9.8298 * CHOOSE(CONTROL!$C$19, $C$6, 100%, $E$6)</f>
        <v>9.8298000000000005</v>
      </c>
      <c r="G594" s="61">
        <f>9.8319 * CHOOSE(CONTROL!$C$19, $C$6, 100%, $E$6)</f>
        <v>9.8318999999999992</v>
      </c>
      <c r="H594" s="61">
        <f>14.0442* CHOOSE(CONTROL!$C$19, $C$6, 100%, $E$6)</f>
        <v>14.0442</v>
      </c>
      <c r="I594" s="61">
        <f>14.0462 * CHOOSE(CONTROL!$C$19, $C$6, 100%, $E$6)</f>
        <v>14.046200000000001</v>
      </c>
      <c r="J594" s="61">
        <f>9.8298 * CHOOSE(CONTROL!$C$19, $C$6, 100%, $E$6)</f>
        <v>9.8298000000000005</v>
      </c>
      <c r="K594" s="61">
        <f>9.8319 * CHOOSE(CONTROL!$C$19, $C$6, 100%, $E$6)</f>
        <v>9.8318999999999992</v>
      </c>
    </row>
    <row r="595" spans="1:11" ht="15">
      <c r="A595" s="13">
        <v>60176</v>
      </c>
      <c r="B595" s="60">
        <f>8.4723 * CHOOSE(CONTROL!$C$19, $C$6, 100%, $E$6)</f>
        <v>8.4723000000000006</v>
      </c>
      <c r="C595" s="60">
        <f>8.4723 * CHOOSE(CONTROL!$C$19, $C$6, 100%, $E$6)</f>
        <v>8.4723000000000006</v>
      </c>
      <c r="D595" s="60">
        <f>8.4888 * CHOOSE(CONTROL!$C$19, $C$6, 100%, $E$6)</f>
        <v>8.4887999999999995</v>
      </c>
      <c r="E595" s="61">
        <f>9.8815 * CHOOSE(CONTROL!$C$19, $C$6, 100%, $E$6)</f>
        <v>9.8815000000000008</v>
      </c>
      <c r="F595" s="61">
        <f>9.8815 * CHOOSE(CONTROL!$C$19, $C$6, 100%, $E$6)</f>
        <v>9.8815000000000008</v>
      </c>
      <c r="G595" s="61">
        <f>9.8817 * CHOOSE(CONTROL!$C$19, $C$6, 100%, $E$6)</f>
        <v>9.8817000000000004</v>
      </c>
      <c r="H595" s="61">
        <f>14.0734* CHOOSE(CONTROL!$C$19, $C$6, 100%, $E$6)</f>
        <v>14.073399999999999</v>
      </c>
      <c r="I595" s="61">
        <f>14.0736 * CHOOSE(CONTROL!$C$19, $C$6, 100%, $E$6)</f>
        <v>14.073600000000001</v>
      </c>
      <c r="J595" s="61">
        <f>9.8815 * CHOOSE(CONTROL!$C$19, $C$6, 100%, $E$6)</f>
        <v>9.8815000000000008</v>
      </c>
      <c r="K595" s="61">
        <f>9.8817 * CHOOSE(CONTROL!$C$19, $C$6, 100%, $E$6)</f>
        <v>9.8817000000000004</v>
      </c>
    </row>
    <row r="596" spans="1:11" ht="15">
      <c r="A596" s="13">
        <v>60207</v>
      </c>
      <c r="B596" s="60">
        <f>8.4753 * CHOOSE(CONTROL!$C$19, $C$6, 100%, $E$6)</f>
        <v>8.4753000000000007</v>
      </c>
      <c r="C596" s="60">
        <f>8.4753 * CHOOSE(CONTROL!$C$19, $C$6, 100%, $E$6)</f>
        <v>8.4753000000000007</v>
      </c>
      <c r="D596" s="60">
        <f>8.4918 * CHOOSE(CONTROL!$C$19, $C$6, 100%, $E$6)</f>
        <v>8.4917999999999996</v>
      </c>
      <c r="E596" s="61">
        <f>9.9162 * CHOOSE(CONTROL!$C$19, $C$6, 100%, $E$6)</f>
        <v>9.9161999999999999</v>
      </c>
      <c r="F596" s="61">
        <f>9.9162 * CHOOSE(CONTROL!$C$19, $C$6, 100%, $E$6)</f>
        <v>9.9161999999999999</v>
      </c>
      <c r="G596" s="61">
        <f>9.9164 * CHOOSE(CONTROL!$C$19, $C$6, 100%, $E$6)</f>
        <v>9.9163999999999994</v>
      </c>
      <c r="H596" s="61">
        <f>14.1027* CHOOSE(CONTROL!$C$19, $C$6, 100%, $E$6)</f>
        <v>14.1027</v>
      </c>
      <c r="I596" s="61">
        <f>14.1029 * CHOOSE(CONTROL!$C$19, $C$6, 100%, $E$6)</f>
        <v>14.1029</v>
      </c>
      <c r="J596" s="61">
        <f>9.9162 * CHOOSE(CONTROL!$C$19, $C$6, 100%, $E$6)</f>
        <v>9.9161999999999999</v>
      </c>
      <c r="K596" s="61">
        <f>9.9164 * CHOOSE(CONTROL!$C$19, $C$6, 100%, $E$6)</f>
        <v>9.9163999999999994</v>
      </c>
    </row>
    <row r="597" spans="1:11" ht="15">
      <c r="A597" s="13">
        <v>60237</v>
      </c>
      <c r="B597" s="60">
        <f>8.4753 * CHOOSE(CONTROL!$C$19, $C$6, 100%, $E$6)</f>
        <v>8.4753000000000007</v>
      </c>
      <c r="C597" s="60">
        <f>8.4753 * CHOOSE(CONTROL!$C$19, $C$6, 100%, $E$6)</f>
        <v>8.4753000000000007</v>
      </c>
      <c r="D597" s="60">
        <f>8.4918 * CHOOSE(CONTROL!$C$19, $C$6, 100%, $E$6)</f>
        <v>8.4917999999999996</v>
      </c>
      <c r="E597" s="61">
        <f>9.8348 * CHOOSE(CONTROL!$C$19, $C$6, 100%, $E$6)</f>
        <v>9.8347999999999995</v>
      </c>
      <c r="F597" s="61">
        <f>9.8348 * CHOOSE(CONTROL!$C$19, $C$6, 100%, $E$6)</f>
        <v>9.8347999999999995</v>
      </c>
      <c r="G597" s="61">
        <f>9.835 * CHOOSE(CONTROL!$C$19, $C$6, 100%, $E$6)</f>
        <v>9.8350000000000009</v>
      </c>
      <c r="H597" s="61">
        <f>14.1321* CHOOSE(CONTROL!$C$19, $C$6, 100%, $E$6)</f>
        <v>14.132099999999999</v>
      </c>
      <c r="I597" s="61">
        <f>14.1323 * CHOOSE(CONTROL!$C$19, $C$6, 100%, $E$6)</f>
        <v>14.132300000000001</v>
      </c>
      <c r="J597" s="61">
        <f>9.8348 * CHOOSE(CONTROL!$C$19, $C$6, 100%, $E$6)</f>
        <v>9.8347999999999995</v>
      </c>
      <c r="K597" s="61">
        <f>9.835 * CHOOSE(CONTROL!$C$19, $C$6, 100%, $E$6)</f>
        <v>9.8350000000000009</v>
      </c>
    </row>
    <row r="598" spans="1:11" ht="15">
      <c r="A598" s="13">
        <v>60268</v>
      </c>
      <c r="B598" s="60">
        <f>8.5307 * CHOOSE(CONTROL!$C$19, $C$6, 100%, $E$6)</f>
        <v>8.5306999999999995</v>
      </c>
      <c r="C598" s="60">
        <f>8.5307 * CHOOSE(CONTROL!$C$19, $C$6, 100%, $E$6)</f>
        <v>8.5306999999999995</v>
      </c>
      <c r="D598" s="60">
        <f>8.5472 * CHOOSE(CONTROL!$C$19, $C$6, 100%, $E$6)</f>
        <v>8.5472000000000001</v>
      </c>
      <c r="E598" s="61">
        <f>9.9663 * CHOOSE(CONTROL!$C$19, $C$6, 100%, $E$6)</f>
        <v>9.9663000000000004</v>
      </c>
      <c r="F598" s="61">
        <f>9.9663 * CHOOSE(CONTROL!$C$19, $C$6, 100%, $E$6)</f>
        <v>9.9663000000000004</v>
      </c>
      <c r="G598" s="61">
        <f>9.9665 * CHOOSE(CONTROL!$C$19, $C$6, 100%, $E$6)</f>
        <v>9.9664999999999999</v>
      </c>
      <c r="H598" s="61">
        <f>14.1369* CHOOSE(CONTROL!$C$19, $C$6, 100%, $E$6)</f>
        <v>14.136900000000001</v>
      </c>
      <c r="I598" s="61">
        <f>14.1371 * CHOOSE(CONTROL!$C$19, $C$6, 100%, $E$6)</f>
        <v>14.1371</v>
      </c>
      <c r="J598" s="61">
        <f>9.9663 * CHOOSE(CONTROL!$C$19, $C$6, 100%, $E$6)</f>
        <v>9.9663000000000004</v>
      </c>
      <c r="K598" s="61">
        <f>9.9665 * CHOOSE(CONTROL!$C$19, $C$6, 100%, $E$6)</f>
        <v>9.9664999999999999</v>
      </c>
    </row>
    <row r="599" spans="1:11" ht="15">
      <c r="A599" s="13">
        <v>60299</v>
      </c>
      <c r="B599" s="60">
        <f>8.5276 * CHOOSE(CONTROL!$C$19, $C$6, 100%, $E$6)</f>
        <v>8.5275999999999996</v>
      </c>
      <c r="C599" s="60">
        <f>8.5276 * CHOOSE(CONTROL!$C$19, $C$6, 100%, $E$6)</f>
        <v>8.5275999999999996</v>
      </c>
      <c r="D599" s="60">
        <f>8.5441 * CHOOSE(CONTROL!$C$19, $C$6, 100%, $E$6)</f>
        <v>8.5441000000000003</v>
      </c>
      <c r="E599" s="61">
        <f>9.8059 * CHOOSE(CONTROL!$C$19, $C$6, 100%, $E$6)</f>
        <v>9.8058999999999994</v>
      </c>
      <c r="F599" s="61">
        <f>9.8059 * CHOOSE(CONTROL!$C$19, $C$6, 100%, $E$6)</f>
        <v>9.8058999999999994</v>
      </c>
      <c r="G599" s="61">
        <f>9.8061 * CHOOSE(CONTROL!$C$19, $C$6, 100%, $E$6)</f>
        <v>9.8061000000000007</v>
      </c>
      <c r="H599" s="61">
        <f>14.1664* CHOOSE(CONTROL!$C$19, $C$6, 100%, $E$6)</f>
        <v>14.166399999999999</v>
      </c>
      <c r="I599" s="61">
        <f>14.1666 * CHOOSE(CONTROL!$C$19, $C$6, 100%, $E$6)</f>
        <v>14.166600000000001</v>
      </c>
      <c r="J599" s="61">
        <f>9.8059 * CHOOSE(CONTROL!$C$19, $C$6, 100%, $E$6)</f>
        <v>9.8058999999999994</v>
      </c>
      <c r="K599" s="61">
        <f>9.8061 * CHOOSE(CONTROL!$C$19, $C$6, 100%, $E$6)</f>
        <v>9.8061000000000007</v>
      </c>
    </row>
    <row r="600" spans="1:11" ht="15">
      <c r="A600" s="13">
        <v>60327</v>
      </c>
      <c r="B600" s="60">
        <f>8.5246 * CHOOSE(CONTROL!$C$19, $C$6, 100%, $E$6)</f>
        <v>8.5245999999999995</v>
      </c>
      <c r="C600" s="60">
        <f>8.5246 * CHOOSE(CONTROL!$C$19, $C$6, 100%, $E$6)</f>
        <v>8.5245999999999995</v>
      </c>
      <c r="D600" s="60">
        <f>8.5411 * CHOOSE(CONTROL!$C$19, $C$6, 100%, $E$6)</f>
        <v>8.5411000000000001</v>
      </c>
      <c r="E600" s="61">
        <f>9.9286 * CHOOSE(CONTROL!$C$19, $C$6, 100%, $E$6)</f>
        <v>9.9285999999999994</v>
      </c>
      <c r="F600" s="61">
        <f>9.9286 * CHOOSE(CONTROL!$C$19, $C$6, 100%, $E$6)</f>
        <v>9.9285999999999994</v>
      </c>
      <c r="G600" s="61">
        <f>9.9288 * CHOOSE(CONTROL!$C$19, $C$6, 100%, $E$6)</f>
        <v>9.9288000000000007</v>
      </c>
      <c r="H600" s="61">
        <f>14.1959* CHOOSE(CONTROL!$C$19, $C$6, 100%, $E$6)</f>
        <v>14.1959</v>
      </c>
      <c r="I600" s="61">
        <f>14.1961 * CHOOSE(CONTROL!$C$19, $C$6, 100%, $E$6)</f>
        <v>14.196099999999999</v>
      </c>
      <c r="J600" s="61">
        <f>9.9286 * CHOOSE(CONTROL!$C$19, $C$6, 100%, $E$6)</f>
        <v>9.9285999999999994</v>
      </c>
      <c r="K600" s="61">
        <f>9.9288 * CHOOSE(CONTROL!$C$19, $C$6, 100%, $E$6)</f>
        <v>9.9288000000000007</v>
      </c>
    </row>
    <row r="601" spans="1:11" ht="15">
      <c r="A601" s="13">
        <v>60358</v>
      </c>
      <c r="B601" s="60">
        <f>8.5267 * CHOOSE(CONTROL!$C$19, $C$6, 100%, $E$6)</f>
        <v>8.5266999999999999</v>
      </c>
      <c r="C601" s="60">
        <f>8.5267 * CHOOSE(CONTROL!$C$19, $C$6, 100%, $E$6)</f>
        <v>8.5266999999999999</v>
      </c>
      <c r="D601" s="60">
        <f>8.5432 * CHOOSE(CONTROL!$C$19, $C$6, 100%, $E$6)</f>
        <v>8.5432000000000006</v>
      </c>
      <c r="E601" s="61">
        <f>10.0584 * CHOOSE(CONTROL!$C$19, $C$6, 100%, $E$6)</f>
        <v>10.058400000000001</v>
      </c>
      <c r="F601" s="61">
        <f>10.0584 * CHOOSE(CONTROL!$C$19, $C$6, 100%, $E$6)</f>
        <v>10.058400000000001</v>
      </c>
      <c r="G601" s="61">
        <f>10.0585 * CHOOSE(CONTROL!$C$19, $C$6, 100%, $E$6)</f>
        <v>10.0585</v>
      </c>
      <c r="H601" s="61">
        <f>14.2255* CHOOSE(CONTROL!$C$19, $C$6, 100%, $E$6)</f>
        <v>14.2255</v>
      </c>
      <c r="I601" s="61">
        <f>14.2257 * CHOOSE(CONTROL!$C$19, $C$6, 100%, $E$6)</f>
        <v>14.2257</v>
      </c>
      <c r="J601" s="61">
        <f>10.0584 * CHOOSE(CONTROL!$C$19, $C$6, 100%, $E$6)</f>
        <v>10.058400000000001</v>
      </c>
      <c r="K601" s="61">
        <f>10.0585 * CHOOSE(CONTROL!$C$19, $C$6, 100%, $E$6)</f>
        <v>10.0585</v>
      </c>
    </row>
    <row r="602" spans="1:11" ht="15">
      <c r="A602" s="13">
        <v>60388</v>
      </c>
      <c r="B602" s="60">
        <f>8.5267 * CHOOSE(CONTROL!$C$19, $C$6, 100%, $E$6)</f>
        <v>8.5266999999999999</v>
      </c>
      <c r="C602" s="60">
        <f>8.5267 * CHOOSE(CONTROL!$C$19, $C$6, 100%, $E$6)</f>
        <v>8.5266999999999999</v>
      </c>
      <c r="D602" s="60">
        <f>8.5597 * CHOOSE(CONTROL!$C$19, $C$6, 100%, $E$6)</f>
        <v>8.5596999999999994</v>
      </c>
      <c r="E602" s="61">
        <f>10.1086 * CHOOSE(CONTROL!$C$19, $C$6, 100%, $E$6)</f>
        <v>10.108599999999999</v>
      </c>
      <c r="F602" s="61">
        <f>10.1086 * CHOOSE(CONTROL!$C$19, $C$6, 100%, $E$6)</f>
        <v>10.108599999999999</v>
      </c>
      <c r="G602" s="61">
        <f>10.1107 * CHOOSE(CONTROL!$C$19, $C$6, 100%, $E$6)</f>
        <v>10.1107</v>
      </c>
      <c r="H602" s="61">
        <f>14.2551* CHOOSE(CONTROL!$C$19, $C$6, 100%, $E$6)</f>
        <v>14.255100000000001</v>
      </c>
      <c r="I602" s="61">
        <f>14.2572 * CHOOSE(CONTROL!$C$19, $C$6, 100%, $E$6)</f>
        <v>14.257199999999999</v>
      </c>
      <c r="J602" s="61">
        <f>10.1086 * CHOOSE(CONTROL!$C$19, $C$6, 100%, $E$6)</f>
        <v>10.108599999999999</v>
      </c>
      <c r="K602" s="61">
        <f>10.1107 * CHOOSE(CONTROL!$C$19, $C$6, 100%, $E$6)</f>
        <v>10.1107</v>
      </c>
    </row>
    <row r="603" spans="1:11" ht="15">
      <c r="A603" s="13">
        <v>60419</v>
      </c>
      <c r="B603" s="60">
        <f>8.5328 * CHOOSE(CONTROL!$C$19, $C$6, 100%, $E$6)</f>
        <v>8.5327999999999999</v>
      </c>
      <c r="C603" s="60">
        <f>8.5328 * CHOOSE(CONTROL!$C$19, $C$6, 100%, $E$6)</f>
        <v>8.5327999999999999</v>
      </c>
      <c r="D603" s="60">
        <f>8.5658 * CHOOSE(CONTROL!$C$19, $C$6, 100%, $E$6)</f>
        <v>8.5657999999999994</v>
      </c>
      <c r="E603" s="61">
        <f>10.0626 * CHOOSE(CONTROL!$C$19, $C$6, 100%, $E$6)</f>
        <v>10.0626</v>
      </c>
      <c r="F603" s="61">
        <f>10.0626 * CHOOSE(CONTROL!$C$19, $C$6, 100%, $E$6)</f>
        <v>10.0626</v>
      </c>
      <c r="G603" s="61">
        <f>10.0647 * CHOOSE(CONTROL!$C$19, $C$6, 100%, $E$6)</f>
        <v>10.0647</v>
      </c>
      <c r="H603" s="61">
        <f>14.2848* CHOOSE(CONTROL!$C$19, $C$6, 100%, $E$6)</f>
        <v>14.284800000000001</v>
      </c>
      <c r="I603" s="61">
        <f>14.2869 * CHOOSE(CONTROL!$C$19, $C$6, 100%, $E$6)</f>
        <v>14.286899999999999</v>
      </c>
      <c r="J603" s="61">
        <f>10.0626 * CHOOSE(CONTROL!$C$19, $C$6, 100%, $E$6)</f>
        <v>10.0626</v>
      </c>
      <c r="K603" s="61">
        <f>10.0647 * CHOOSE(CONTROL!$C$19, $C$6, 100%, $E$6)</f>
        <v>10.0647</v>
      </c>
    </row>
    <row r="604" spans="1:11" ht="15">
      <c r="A604" s="13">
        <v>60449</v>
      </c>
      <c r="B604" s="60">
        <f>8.6559 * CHOOSE(CONTROL!$C$19, $C$6, 100%, $E$6)</f>
        <v>8.6559000000000008</v>
      </c>
      <c r="C604" s="60">
        <f>8.6559 * CHOOSE(CONTROL!$C$19, $C$6, 100%, $E$6)</f>
        <v>8.6559000000000008</v>
      </c>
      <c r="D604" s="60">
        <f>8.6889 * CHOOSE(CONTROL!$C$19, $C$6, 100%, $E$6)</f>
        <v>8.6889000000000003</v>
      </c>
      <c r="E604" s="61">
        <f>10.2492 * CHOOSE(CONTROL!$C$19, $C$6, 100%, $E$6)</f>
        <v>10.2492</v>
      </c>
      <c r="F604" s="61">
        <f>10.2492 * CHOOSE(CONTROL!$C$19, $C$6, 100%, $E$6)</f>
        <v>10.2492</v>
      </c>
      <c r="G604" s="61">
        <f>10.2512 * CHOOSE(CONTROL!$C$19, $C$6, 100%, $E$6)</f>
        <v>10.251200000000001</v>
      </c>
      <c r="H604" s="61">
        <f>14.3146* CHOOSE(CONTROL!$C$19, $C$6, 100%, $E$6)</f>
        <v>14.3146</v>
      </c>
      <c r="I604" s="61">
        <f>14.3166 * CHOOSE(CONTROL!$C$19, $C$6, 100%, $E$6)</f>
        <v>14.316599999999999</v>
      </c>
      <c r="J604" s="61">
        <f>10.2492 * CHOOSE(CONTROL!$C$19, $C$6, 100%, $E$6)</f>
        <v>10.2492</v>
      </c>
      <c r="K604" s="61">
        <f>10.2512 * CHOOSE(CONTROL!$C$19, $C$6, 100%, $E$6)</f>
        <v>10.251200000000001</v>
      </c>
    </row>
    <row r="605" spans="1:11" ht="15">
      <c r="A605" s="13">
        <v>60480</v>
      </c>
      <c r="B605" s="60">
        <f>8.6626 * CHOOSE(CONTROL!$C$19, $C$6, 100%, $E$6)</f>
        <v>8.6625999999999994</v>
      </c>
      <c r="C605" s="60">
        <f>8.6626 * CHOOSE(CONTROL!$C$19, $C$6, 100%, $E$6)</f>
        <v>8.6625999999999994</v>
      </c>
      <c r="D605" s="60">
        <f>8.6956 * CHOOSE(CONTROL!$C$19, $C$6, 100%, $E$6)</f>
        <v>8.6956000000000007</v>
      </c>
      <c r="E605" s="61">
        <f>10.1031 * CHOOSE(CONTROL!$C$19, $C$6, 100%, $E$6)</f>
        <v>10.1031</v>
      </c>
      <c r="F605" s="61">
        <f>10.1031 * CHOOSE(CONTROL!$C$19, $C$6, 100%, $E$6)</f>
        <v>10.1031</v>
      </c>
      <c r="G605" s="61">
        <f>10.1051 * CHOOSE(CONTROL!$C$19, $C$6, 100%, $E$6)</f>
        <v>10.1051</v>
      </c>
      <c r="H605" s="61">
        <f>14.3444* CHOOSE(CONTROL!$C$19, $C$6, 100%, $E$6)</f>
        <v>14.3444</v>
      </c>
      <c r="I605" s="61">
        <f>14.3464 * CHOOSE(CONTROL!$C$19, $C$6, 100%, $E$6)</f>
        <v>14.346399999999999</v>
      </c>
      <c r="J605" s="61">
        <f>10.1031 * CHOOSE(CONTROL!$C$19, $C$6, 100%, $E$6)</f>
        <v>10.1031</v>
      </c>
      <c r="K605" s="61">
        <f>10.1051 * CHOOSE(CONTROL!$C$19, $C$6, 100%, $E$6)</f>
        <v>10.1051</v>
      </c>
    </row>
    <row r="606" spans="1:11" ht="15">
      <c r="A606" s="13">
        <v>60511</v>
      </c>
      <c r="B606" s="60">
        <f>8.6596 * CHOOSE(CONTROL!$C$19, $C$6, 100%, $E$6)</f>
        <v>8.6595999999999993</v>
      </c>
      <c r="C606" s="60">
        <f>8.6596 * CHOOSE(CONTROL!$C$19, $C$6, 100%, $E$6)</f>
        <v>8.6595999999999993</v>
      </c>
      <c r="D606" s="60">
        <f>8.6926 * CHOOSE(CONTROL!$C$19, $C$6, 100%, $E$6)</f>
        <v>8.6926000000000005</v>
      </c>
      <c r="E606" s="61">
        <f>10.0842 * CHOOSE(CONTROL!$C$19, $C$6, 100%, $E$6)</f>
        <v>10.084199999999999</v>
      </c>
      <c r="F606" s="61">
        <f>10.0842 * CHOOSE(CONTROL!$C$19, $C$6, 100%, $E$6)</f>
        <v>10.084199999999999</v>
      </c>
      <c r="G606" s="61">
        <f>10.0862 * CHOOSE(CONTROL!$C$19, $C$6, 100%, $E$6)</f>
        <v>10.0862</v>
      </c>
      <c r="H606" s="61">
        <f>14.3743* CHOOSE(CONTROL!$C$19, $C$6, 100%, $E$6)</f>
        <v>14.3743</v>
      </c>
      <c r="I606" s="61">
        <f>14.3763 * CHOOSE(CONTROL!$C$19, $C$6, 100%, $E$6)</f>
        <v>14.376300000000001</v>
      </c>
      <c r="J606" s="61">
        <f>10.0842 * CHOOSE(CONTROL!$C$19, $C$6, 100%, $E$6)</f>
        <v>10.084199999999999</v>
      </c>
      <c r="K606" s="61">
        <f>10.0862 * CHOOSE(CONTROL!$C$19, $C$6, 100%, $E$6)</f>
        <v>10.0862</v>
      </c>
    </row>
    <row r="607" spans="1:11" ht="15">
      <c r="A607" s="13">
        <v>60541</v>
      </c>
      <c r="B607" s="60">
        <f>8.6724 * CHOOSE(CONTROL!$C$19, $C$6, 100%, $E$6)</f>
        <v>8.6723999999999997</v>
      </c>
      <c r="C607" s="60">
        <f>8.6724 * CHOOSE(CONTROL!$C$19, $C$6, 100%, $E$6)</f>
        <v>8.6723999999999997</v>
      </c>
      <c r="D607" s="60">
        <f>8.6889 * CHOOSE(CONTROL!$C$19, $C$6, 100%, $E$6)</f>
        <v>8.6889000000000003</v>
      </c>
      <c r="E607" s="61">
        <f>10.1378 * CHOOSE(CONTROL!$C$19, $C$6, 100%, $E$6)</f>
        <v>10.1378</v>
      </c>
      <c r="F607" s="61">
        <f>10.1378 * CHOOSE(CONTROL!$C$19, $C$6, 100%, $E$6)</f>
        <v>10.1378</v>
      </c>
      <c r="G607" s="61">
        <f>10.138 * CHOOSE(CONTROL!$C$19, $C$6, 100%, $E$6)</f>
        <v>10.138</v>
      </c>
      <c r="H607" s="61">
        <f>14.4042* CHOOSE(CONTROL!$C$19, $C$6, 100%, $E$6)</f>
        <v>14.404199999999999</v>
      </c>
      <c r="I607" s="61">
        <f>14.4044 * CHOOSE(CONTROL!$C$19, $C$6, 100%, $E$6)</f>
        <v>14.404400000000001</v>
      </c>
      <c r="J607" s="61">
        <f>10.1378 * CHOOSE(CONTROL!$C$19, $C$6, 100%, $E$6)</f>
        <v>10.1378</v>
      </c>
      <c r="K607" s="61">
        <f>10.138 * CHOOSE(CONTROL!$C$19, $C$6, 100%, $E$6)</f>
        <v>10.138</v>
      </c>
    </row>
    <row r="608" spans="1:11" ht="15">
      <c r="A608" s="13">
        <v>60572</v>
      </c>
      <c r="B608" s="60">
        <f>8.6754 * CHOOSE(CONTROL!$C$19, $C$6, 100%, $E$6)</f>
        <v>8.6753999999999998</v>
      </c>
      <c r="C608" s="60">
        <f>8.6754 * CHOOSE(CONTROL!$C$19, $C$6, 100%, $E$6)</f>
        <v>8.6753999999999998</v>
      </c>
      <c r="D608" s="60">
        <f>8.6919 * CHOOSE(CONTROL!$C$19, $C$6, 100%, $E$6)</f>
        <v>8.6919000000000004</v>
      </c>
      <c r="E608" s="61">
        <f>10.1734 * CHOOSE(CONTROL!$C$19, $C$6, 100%, $E$6)</f>
        <v>10.173400000000001</v>
      </c>
      <c r="F608" s="61">
        <f>10.1734 * CHOOSE(CONTROL!$C$19, $C$6, 100%, $E$6)</f>
        <v>10.173400000000001</v>
      </c>
      <c r="G608" s="61">
        <f>10.1736 * CHOOSE(CONTROL!$C$19, $C$6, 100%, $E$6)</f>
        <v>10.1736</v>
      </c>
      <c r="H608" s="61">
        <f>14.4342* CHOOSE(CONTROL!$C$19, $C$6, 100%, $E$6)</f>
        <v>14.434200000000001</v>
      </c>
      <c r="I608" s="61">
        <f>14.4344 * CHOOSE(CONTROL!$C$19, $C$6, 100%, $E$6)</f>
        <v>14.4344</v>
      </c>
      <c r="J608" s="61">
        <f>10.1734 * CHOOSE(CONTROL!$C$19, $C$6, 100%, $E$6)</f>
        <v>10.173400000000001</v>
      </c>
      <c r="K608" s="61">
        <f>10.1736 * CHOOSE(CONTROL!$C$19, $C$6, 100%, $E$6)</f>
        <v>10.1736</v>
      </c>
    </row>
    <row r="609" spans="1:11" ht="15">
      <c r="A609" s="13">
        <v>60602</v>
      </c>
      <c r="B609" s="60">
        <f>8.6754 * CHOOSE(CONTROL!$C$19, $C$6, 100%, $E$6)</f>
        <v>8.6753999999999998</v>
      </c>
      <c r="C609" s="60">
        <f>8.6754 * CHOOSE(CONTROL!$C$19, $C$6, 100%, $E$6)</f>
        <v>8.6753999999999998</v>
      </c>
      <c r="D609" s="60">
        <f>8.6919 * CHOOSE(CONTROL!$C$19, $C$6, 100%, $E$6)</f>
        <v>8.6919000000000004</v>
      </c>
      <c r="E609" s="61">
        <f>10.0896 * CHOOSE(CONTROL!$C$19, $C$6, 100%, $E$6)</f>
        <v>10.089600000000001</v>
      </c>
      <c r="F609" s="61">
        <f>10.0896 * CHOOSE(CONTROL!$C$19, $C$6, 100%, $E$6)</f>
        <v>10.089600000000001</v>
      </c>
      <c r="G609" s="61">
        <f>10.0898 * CHOOSE(CONTROL!$C$19, $C$6, 100%, $E$6)</f>
        <v>10.0898</v>
      </c>
      <c r="H609" s="61">
        <f>14.4643* CHOOSE(CONTROL!$C$19, $C$6, 100%, $E$6)</f>
        <v>14.4643</v>
      </c>
      <c r="I609" s="61">
        <f>14.4645 * CHOOSE(CONTROL!$C$19, $C$6, 100%, $E$6)</f>
        <v>14.464499999999999</v>
      </c>
      <c r="J609" s="61">
        <f>10.0896 * CHOOSE(CONTROL!$C$19, $C$6, 100%, $E$6)</f>
        <v>10.089600000000001</v>
      </c>
      <c r="K609" s="61">
        <f>10.0898 * CHOOSE(CONTROL!$C$19, $C$6, 100%, $E$6)</f>
        <v>10.0898</v>
      </c>
    </row>
    <row r="610" spans="1:11" ht="15">
      <c r="A610" s="13">
        <v>60633</v>
      </c>
      <c r="B610" s="60">
        <f>8.7273 * CHOOSE(CONTROL!$C$19, $C$6, 100%, $E$6)</f>
        <v>8.7272999999999996</v>
      </c>
      <c r="C610" s="60">
        <f>8.7273 * CHOOSE(CONTROL!$C$19, $C$6, 100%, $E$6)</f>
        <v>8.7272999999999996</v>
      </c>
      <c r="D610" s="60">
        <f>8.7438 * CHOOSE(CONTROL!$C$19, $C$6, 100%, $E$6)</f>
        <v>8.7438000000000002</v>
      </c>
      <c r="E610" s="61">
        <f>10.2182 * CHOOSE(CONTROL!$C$19, $C$6, 100%, $E$6)</f>
        <v>10.2182</v>
      </c>
      <c r="F610" s="61">
        <f>10.2182 * CHOOSE(CONTROL!$C$19, $C$6, 100%, $E$6)</f>
        <v>10.2182</v>
      </c>
      <c r="G610" s="61">
        <f>10.2183 * CHOOSE(CONTROL!$C$19, $C$6, 100%, $E$6)</f>
        <v>10.218299999999999</v>
      </c>
      <c r="H610" s="61">
        <f>14.4616* CHOOSE(CONTROL!$C$19, $C$6, 100%, $E$6)</f>
        <v>14.461600000000001</v>
      </c>
      <c r="I610" s="61">
        <f>14.4618 * CHOOSE(CONTROL!$C$19, $C$6, 100%, $E$6)</f>
        <v>14.4618</v>
      </c>
      <c r="J610" s="61">
        <f>10.2182 * CHOOSE(CONTROL!$C$19, $C$6, 100%, $E$6)</f>
        <v>10.2182</v>
      </c>
      <c r="K610" s="61">
        <f>10.2183 * CHOOSE(CONTROL!$C$19, $C$6, 100%, $E$6)</f>
        <v>10.218299999999999</v>
      </c>
    </row>
    <row r="611" spans="1:11" ht="15">
      <c r="A611" s="13">
        <v>60664</v>
      </c>
      <c r="B611" s="60">
        <f>8.7243 * CHOOSE(CONTROL!$C$19, $C$6, 100%, $E$6)</f>
        <v>8.7242999999999995</v>
      </c>
      <c r="C611" s="60">
        <f>8.7243 * CHOOSE(CONTROL!$C$19, $C$6, 100%, $E$6)</f>
        <v>8.7242999999999995</v>
      </c>
      <c r="D611" s="60">
        <f>8.7408 * CHOOSE(CONTROL!$C$19, $C$6, 100%, $E$6)</f>
        <v>8.7408000000000001</v>
      </c>
      <c r="E611" s="61">
        <f>10.0533 * CHOOSE(CONTROL!$C$19, $C$6, 100%, $E$6)</f>
        <v>10.0533</v>
      </c>
      <c r="F611" s="61">
        <f>10.0533 * CHOOSE(CONTROL!$C$19, $C$6, 100%, $E$6)</f>
        <v>10.0533</v>
      </c>
      <c r="G611" s="61">
        <f>10.0535 * CHOOSE(CONTROL!$C$19, $C$6, 100%, $E$6)</f>
        <v>10.0535</v>
      </c>
      <c r="H611" s="61">
        <f>14.4917* CHOOSE(CONTROL!$C$19, $C$6, 100%, $E$6)</f>
        <v>14.4917</v>
      </c>
      <c r="I611" s="61">
        <f>14.4919 * CHOOSE(CONTROL!$C$19, $C$6, 100%, $E$6)</f>
        <v>14.491899999999999</v>
      </c>
      <c r="J611" s="61">
        <f>10.0533 * CHOOSE(CONTROL!$C$19, $C$6, 100%, $E$6)</f>
        <v>10.0533</v>
      </c>
      <c r="K611" s="61">
        <f>10.0535 * CHOOSE(CONTROL!$C$19, $C$6, 100%, $E$6)</f>
        <v>10.0535</v>
      </c>
    </row>
    <row r="612" spans="1:11" ht="15">
      <c r="A612" s="13">
        <v>60692</v>
      </c>
      <c r="B612" s="60">
        <f>8.7212 * CHOOSE(CONTROL!$C$19, $C$6, 100%, $E$6)</f>
        <v>8.7211999999999996</v>
      </c>
      <c r="C612" s="60">
        <f>8.7212 * CHOOSE(CONTROL!$C$19, $C$6, 100%, $E$6)</f>
        <v>8.7211999999999996</v>
      </c>
      <c r="D612" s="60">
        <f>8.7377 * CHOOSE(CONTROL!$C$19, $C$6, 100%, $E$6)</f>
        <v>8.7377000000000002</v>
      </c>
      <c r="E612" s="61">
        <f>10.1795 * CHOOSE(CONTROL!$C$19, $C$6, 100%, $E$6)</f>
        <v>10.179500000000001</v>
      </c>
      <c r="F612" s="61">
        <f>10.1795 * CHOOSE(CONTROL!$C$19, $C$6, 100%, $E$6)</f>
        <v>10.179500000000001</v>
      </c>
      <c r="G612" s="61">
        <f>10.1797 * CHOOSE(CONTROL!$C$19, $C$6, 100%, $E$6)</f>
        <v>10.1797</v>
      </c>
      <c r="H612" s="61">
        <f>14.5219* CHOOSE(CONTROL!$C$19, $C$6, 100%, $E$6)</f>
        <v>14.5219</v>
      </c>
      <c r="I612" s="61">
        <f>14.5221 * CHOOSE(CONTROL!$C$19, $C$6, 100%, $E$6)</f>
        <v>14.5221</v>
      </c>
      <c r="J612" s="61">
        <f>10.1795 * CHOOSE(CONTROL!$C$19, $C$6, 100%, $E$6)</f>
        <v>10.179500000000001</v>
      </c>
      <c r="K612" s="61">
        <f>10.1797 * CHOOSE(CONTROL!$C$19, $C$6, 100%, $E$6)</f>
        <v>10.1797</v>
      </c>
    </row>
    <row r="613" spans="1:11" ht="15">
      <c r="A613" s="13">
        <v>60723</v>
      </c>
      <c r="B613" s="60">
        <f>8.7235 * CHOOSE(CONTROL!$C$19, $C$6, 100%, $E$6)</f>
        <v>8.7234999999999996</v>
      </c>
      <c r="C613" s="60">
        <f>8.7235 * CHOOSE(CONTROL!$C$19, $C$6, 100%, $E$6)</f>
        <v>8.7234999999999996</v>
      </c>
      <c r="D613" s="60">
        <f>8.74 * CHOOSE(CONTROL!$C$19, $C$6, 100%, $E$6)</f>
        <v>8.74</v>
      </c>
      <c r="E613" s="61">
        <f>10.313 * CHOOSE(CONTROL!$C$19, $C$6, 100%, $E$6)</f>
        <v>10.313000000000001</v>
      </c>
      <c r="F613" s="61">
        <f>10.313 * CHOOSE(CONTROL!$C$19, $C$6, 100%, $E$6)</f>
        <v>10.313000000000001</v>
      </c>
      <c r="G613" s="61">
        <f>10.3132 * CHOOSE(CONTROL!$C$19, $C$6, 100%, $E$6)</f>
        <v>10.3132</v>
      </c>
      <c r="H613" s="61">
        <f>14.5522* CHOOSE(CONTROL!$C$19, $C$6, 100%, $E$6)</f>
        <v>14.552199999999999</v>
      </c>
      <c r="I613" s="61">
        <f>14.5524 * CHOOSE(CONTROL!$C$19, $C$6, 100%, $E$6)</f>
        <v>14.5524</v>
      </c>
      <c r="J613" s="61">
        <f>10.313 * CHOOSE(CONTROL!$C$19, $C$6, 100%, $E$6)</f>
        <v>10.313000000000001</v>
      </c>
      <c r="K613" s="61">
        <f>10.3132 * CHOOSE(CONTROL!$C$19, $C$6, 100%, $E$6)</f>
        <v>10.3132</v>
      </c>
    </row>
    <row r="614" spans="1:11" ht="15">
      <c r="A614" s="13">
        <v>60753</v>
      </c>
      <c r="B614" s="60">
        <f>8.7235 * CHOOSE(CONTROL!$C$19, $C$6, 100%, $E$6)</f>
        <v>8.7234999999999996</v>
      </c>
      <c r="C614" s="60">
        <f>8.7235 * CHOOSE(CONTROL!$C$19, $C$6, 100%, $E$6)</f>
        <v>8.7234999999999996</v>
      </c>
      <c r="D614" s="60">
        <f>8.7565 * CHOOSE(CONTROL!$C$19, $C$6, 100%, $E$6)</f>
        <v>8.7565000000000008</v>
      </c>
      <c r="E614" s="61">
        <f>10.3647 * CHOOSE(CONTROL!$C$19, $C$6, 100%, $E$6)</f>
        <v>10.364699999999999</v>
      </c>
      <c r="F614" s="61">
        <f>10.3647 * CHOOSE(CONTROL!$C$19, $C$6, 100%, $E$6)</f>
        <v>10.364699999999999</v>
      </c>
      <c r="G614" s="61">
        <f>10.3668 * CHOOSE(CONTROL!$C$19, $C$6, 100%, $E$6)</f>
        <v>10.3668</v>
      </c>
      <c r="H614" s="61">
        <f>14.5825* CHOOSE(CONTROL!$C$19, $C$6, 100%, $E$6)</f>
        <v>14.5825</v>
      </c>
      <c r="I614" s="61">
        <f>14.5845 * CHOOSE(CONTROL!$C$19, $C$6, 100%, $E$6)</f>
        <v>14.5845</v>
      </c>
      <c r="J614" s="61">
        <f>10.3647 * CHOOSE(CONTROL!$C$19, $C$6, 100%, $E$6)</f>
        <v>10.364699999999999</v>
      </c>
      <c r="K614" s="61">
        <f>10.3668 * CHOOSE(CONTROL!$C$19, $C$6, 100%, $E$6)</f>
        <v>10.3668</v>
      </c>
    </row>
    <row r="615" spans="1:11" ht="15">
      <c r="A615" s="13">
        <v>60784</v>
      </c>
      <c r="B615" s="60">
        <f>8.7296 * CHOOSE(CONTROL!$C$19, $C$6, 100%, $E$6)</f>
        <v>8.7295999999999996</v>
      </c>
      <c r="C615" s="60">
        <f>8.7296 * CHOOSE(CONTROL!$C$19, $C$6, 100%, $E$6)</f>
        <v>8.7295999999999996</v>
      </c>
      <c r="D615" s="60">
        <f>8.7626 * CHOOSE(CONTROL!$C$19, $C$6, 100%, $E$6)</f>
        <v>8.7626000000000008</v>
      </c>
      <c r="E615" s="61">
        <f>10.3173 * CHOOSE(CONTROL!$C$19, $C$6, 100%, $E$6)</f>
        <v>10.317299999999999</v>
      </c>
      <c r="F615" s="61">
        <f>10.3173 * CHOOSE(CONTROL!$C$19, $C$6, 100%, $E$6)</f>
        <v>10.317299999999999</v>
      </c>
      <c r="G615" s="61">
        <f>10.3193 * CHOOSE(CONTROL!$C$19, $C$6, 100%, $E$6)</f>
        <v>10.3193</v>
      </c>
      <c r="H615" s="61">
        <f>14.6129* CHOOSE(CONTROL!$C$19, $C$6, 100%, $E$6)</f>
        <v>14.6129</v>
      </c>
      <c r="I615" s="61">
        <f>14.6149 * CHOOSE(CONTROL!$C$19, $C$6, 100%, $E$6)</f>
        <v>14.6149</v>
      </c>
      <c r="J615" s="61">
        <f>10.3173 * CHOOSE(CONTROL!$C$19, $C$6, 100%, $E$6)</f>
        <v>10.317299999999999</v>
      </c>
      <c r="K615" s="61">
        <f>10.3193 * CHOOSE(CONTROL!$C$19, $C$6, 100%, $E$6)</f>
        <v>10.3193</v>
      </c>
    </row>
    <row r="616" spans="1:11" ht="15">
      <c r="A616" s="13">
        <v>60814</v>
      </c>
      <c r="B616" s="60">
        <f>8.8553 * CHOOSE(CONTROL!$C$19, $C$6, 100%, $E$6)</f>
        <v>8.8552999999999997</v>
      </c>
      <c r="C616" s="60">
        <f>8.8553 * CHOOSE(CONTROL!$C$19, $C$6, 100%, $E$6)</f>
        <v>8.8552999999999997</v>
      </c>
      <c r="D616" s="60">
        <f>8.8883 * CHOOSE(CONTROL!$C$19, $C$6, 100%, $E$6)</f>
        <v>8.8882999999999992</v>
      </c>
      <c r="E616" s="61">
        <f>10.5083 * CHOOSE(CONTROL!$C$19, $C$6, 100%, $E$6)</f>
        <v>10.5083</v>
      </c>
      <c r="F616" s="61">
        <f>10.5083 * CHOOSE(CONTROL!$C$19, $C$6, 100%, $E$6)</f>
        <v>10.5083</v>
      </c>
      <c r="G616" s="61">
        <f>10.5103 * CHOOSE(CONTROL!$C$19, $C$6, 100%, $E$6)</f>
        <v>10.510300000000001</v>
      </c>
      <c r="H616" s="61">
        <f>14.6433* CHOOSE(CONTROL!$C$19, $C$6, 100%, $E$6)</f>
        <v>14.6433</v>
      </c>
      <c r="I616" s="61">
        <f>14.6454 * CHOOSE(CONTROL!$C$19, $C$6, 100%, $E$6)</f>
        <v>14.6454</v>
      </c>
      <c r="J616" s="61">
        <f>10.5083 * CHOOSE(CONTROL!$C$19, $C$6, 100%, $E$6)</f>
        <v>10.5083</v>
      </c>
      <c r="K616" s="61">
        <f>10.5103 * CHOOSE(CONTROL!$C$19, $C$6, 100%, $E$6)</f>
        <v>10.510300000000001</v>
      </c>
    </row>
    <row r="617" spans="1:11" ht="15">
      <c r="A617" s="13">
        <v>60845</v>
      </c>
      <c r="B617" s="60">
        <f>8.8619 * CHOOSE(CONTROL!$C$19, $C$6, 100%, $E$6)</f>
        <v>8.8619000000000003</v>
      </c>
      <c r="C617" s="60">
        <f>8.8619 * CHOOSE(CONTROL!$C$19, $C$6, 100%, $E$6)</f>
        <v>8.8619000000000003</v>
      </c>
      <c r="D617" s="60">
        <f>8.8949 * CHOOSE(CONTROL!$C$19, $C$6, 100%, $E$6)</f>
        <v>8.8948999999999998</v>
      </c>
      <c r="E617" s="61">
        <f>10.3579 * CHOOSE(CONTROL!$C$19, $C$6, 100%, $E$6)</f>
        <v>10.357900000000001</v>
      </c>
      <c r="F617" s="61">
        <f>10.3579 * CHOOSE(CONTROL!$C$19, $C$6, 100%, $E$6)</f>
        <v>10.357900000000001</v>
      </c>
      <c r="G617" s="61">
        <f>10.36 * CHOOSE(CONTROL!$C$19, $C$6, 100%, $E$6)</f>
        <v>10.36</v>
      </c>
      <c r="H617" s="61">
        <f>14.6738* CHOOSE(CONTROL!$C$19, $C$6, 100%, $E$6)</f>
        <v>14.6738</v>
      </c>
      <c r="I617" s="61">
        <f>14.6759 * CHOOSE(CONTROL!$C$19, $C$6, 100%, $E$6)</f>
        <v>14.6759</v>
      </c>
      <c r="J617" s="61">
        <f>10.3579 * CHOOSE(CONTROL!$C$19, $C$6, 100%, $E$6)</f>
        <v>10.357900000000001</v>
      </c>
      <c r="K617" s="61">
        <f>10.36 * CHOOSE(CONTROL!$C$19, $C$6, 100%, $E$6)</f>
        <v>10.36</v>
      </c>
    </row>
    <row r="618" spans="1:11" ht="15">
      <c r="A618" s="13">
        <v>60876</v>
      </c>
      <c r="B618" s="60">
        <f>8.8589 * CHOOSE(CONTROL!$C$19, $C$6, 100%, $E$6)</f>
        <v>8.8589000000000002</v>
      </c>
      <c r="C618" s="60">
        <f>8.8589 * CHOOSE(CONTROL!$C$19, $C$6, 100%, $E$6)</f>
        <v>8.8589000000000002</v>
      </c>
      <c r="D618" s="60">
        <f>8.8919 * CHOOSE(CONTROL!$C$19, $C$6, 100%, $E$6)</f>
        <v>8.8918999999999997</v>
      </c>
      <c r="E618" s="61">
        <f>10.3386 * CHOOSE(CONTROL!$C$19, $C$6, 100%, $E$6)</f>
        <v>10.3386</v>
      </c>
      <c r="F618" s="61">
        <f>10.3386 * CHOOSE(CONTROL!$C$19, $C$6, 100%, $E$6)</f>
        <v>10.3386</v>
      </c>
      <c r="G618" s="61">
        <f>10.3406 * CHOOSE(CONTROL!$C$19, $C$6, 100%, $E$6)</f>
        <v>10.3406</v>
      </c>
      <c r="H618" s="61">
        <f>14.7044* CHOOSE(CONTROL!$C$19, $C$6, 100%, $E$6)</f>
        <v>14.7044</v>
      </c>
      <c r="I618" s="61">
        <f>14.7064 * CHOOSE(CONTROL!$C$19, $C$6, 100%, $E$6)</f>
        <v>14.7064</v>
      </c>
      <c r="J618" s="61">
        <f>10.3386 * CHOOSE(CONTROL!$C$19, $C$6, 100%, $E$6)</f>
        <v>10.3386</v>
      </c>
      <c r="K618" s="61">
        <f>10.3406 * CHOOSE(CONTROL!$C$19, $C$6, 100%, $E$6)</f>
        <v>10.3406</v>
      </c>
    </row>
    <row r="619" spans="1:11" ht="15">
      <c r="A619" s="13">
        <v>60906</v>
      </c>
      <c r="B619" s="60">
        <f>8.8724 * CHOOSE(CONTROL!$C$19, $C$6, 100%, $E$6)</f>
        <v>8.8724000000000007</v>
      </c>
      <c r="C619" s="60">
        <f>8.8724 * CHOOSE(CONTROL!$C$19, $C$6, 100%, $E$6)</f>
        <v>8.8724000000000007</v>
      </c>
      <c r="D619" s="60">
        <f>8.8889 * CHOOSE(CONTROL!$C$19, $C$6, 100%, $E$6)</f>
        <v>8.8888999999999996</v>
      </c>
      <c r="E619" s="61">
        <f>10.394 * CHOOSE(CONTROL!$C$19, $C$6, 100%, $E$6)</f>
        <v>10.394</v>
      </c>
      <c r="F619" s="61">
        <f>10.394 * CHOOSE(CONTROL!$C$19, $C$6, 100%, $E$6)</f>
        <v>10.394</v>
      </c>
      <c r="G619" s="61">
        <f>10.3942 * CHOOSE(CONTROL!$C$19, $C$6, 100%, $E$6)</f>
        <v>10.3942</v>
      </c>
      <c r="H619" s="61">
        <f>14.735* CHOOSE(CONTROL!$C$19, $C$6, 100%, $E$6)</f>
        <v>14.734999999999999</v>
      </c>
      <c r="I619" s="61">
        <f>14.7352 * CHOOSE(CONTROL!$C$19, $C$6, 100%, $E$6)</f>
        <v>14.735200000000001</v>
      </c>
      <c r="J619" s="61">
        <f>10.394 * CHOOSE(CONTROL!$C$19, $C$6, 100%, $E$6)</f>
        <v>10.394</v>
      </c>
      <c r="K619" s="61">
        <f>10.3942 * CHOOSE(CONTROL!$C$19, $C$6, 100%, $E$6)</f>
        <v>10.3942</v>
      </c>
    </row>
    <row r="620" spans="1:11" ht="15">
      <c r="A620" s="13">
        <v>60937</v>
      </c>
      <c r="B620" s="60">
        <f>8.8755 * CHOOSE(CONTROL!$C$19, $C$6, 100%, $E$6)</f>
        <v>8.8755000000000006</v>
      </c>
      <c r="C620" s="60">
        <f>8.8755 * CHOOSE(CONTROL!$C$19, $C$6, 100%, $E$6)</f>
        <v>8.8755000000000006</v>
      </c>
      <c r="D620" s="60">
        <f>8.892 * CHOOSE(CONTROL!$C$19, $C$6, 100%, $E$6)</f>
        <v>8.8919999999999995</v>
      </c>
      <c r="E620" s="61">
        <f>10.4306 * CHOOSE(CONTROL!$C$19, $C$6, 100%, $E$6)</f>
        <v>10.4306</v>
      </c>
      <c r="F620" s="61">
        <f>10.4306 * CHOOSE(CONTROL!$C$19, $C$6, 100%, $E$6)</f>
        <v>10.4306</v>
      </c>
      <c r="G620" s="61">
        <f>10.4308 * CHOOSE(CONTROL!$C$19, $C$6, 100%, $E$6)</f>
        <v>10.4308</v>
      </c>
      <c r="H620" s="61">
        <f>14.7657* CHOOSE(CONTROL!$C$19, $C$6, 100%, $E$6)</f>
        <v>14.765700000000001</v>
      </c>
      <c r="I620" s="61">
        <f>14.7659 * CHOOSE(CONTROL!$C$19, $C$6, 100%, $E$6)</f>
        <v>14.7659</v>
      </c>
      <c r="J620" s="61">
        <f>10.4306 * CHOOSE(CONTROL!$C$19, $C$6, 100%, $E$6)</f>
        <v>10.4306</v>
      </c>
      <c r="K620" s="61">
        <f>10.4308 * CHOOSE(CONTROL!$C$19, $C$6, 100%, $E$6)</f>
        <v>10.4308</v>
      </c>
    </row>
    <row r="621" spans="1:11" ht="15">
      <c r="A621" s="13">
        <v>60967</v>
      </c>
      <c r="B621" s="60">
        <f>8.8755 * CHOOSE(CONTROL!$C$19, $C$6, 100%, $E$6)</f>
        <v>8.8755000000000006</v>
      </c>
      <c r="C621" s="60">
        <f>8.8755 * CHOOSE(CONTROL!$C$19, $C$6, 100%, $E$6)</f>
        <v>8.8755000000000006</v>
      </c>
      <c r="D621" s="60">
        <f>8.892 * CHOOSE(CONTROL!$C$19, $C$6, 100%, $E$6)</f>
        <v>8.8919999999999995</v>
      </c>
      <c r="E621" s="61">
        <f>10.3445 * CHOOSE(CONTROL!$C$19, $C$6, 100%, $E$6)</f>
        <v>10.3445</v>
      </c>
      <c r="F621" s="61">
        <f>10.3445 * CHOOSE(CONTROL!$C$19, $C$6, 100%, $E$6)</f>
        <v>10.3445</v>
      </c>
      <c r="G621" s="61">
        <f>10.3447 * CHOOSE(CONTROL!$C$19, $C$6, 100%, $E$6)</f>
        <v>10.3447</v>
      </c>
      <c r="H621" s="61">
        <f>14.7965* CHOOSE(CONTROL!$C$19, $C$6, 100%, $E$6)</f>
        <v>14.7965</v>
      </c>
      <c r="I621" s="61">
        <f>14.7967 * CHOOSE(CONTROL!$C$19, $C$6, 100%, $E$6)</f>
        <v>14.7967</v>
      </c>
      <c r="J621" s="61">
        <f>10.3445 * CHOOSE(CONTROL!$C$19, $C$6, 100%, $E$6)</f>
        <v>10.3445</v>
      </c>
      <c r="K621" s="61">
        <f>10.3447 * CHOOSE(CONTROL!$C$19, $C$6, 100%, $E$6)</f>
        <v>10.3447</v>
      </c>
    </row>
    <row r="622" spans="1:11" ht="15">
      <c r="A622" s="13">
        <v>60998</v>
      </c>
      <c r="B622" s="60">
        <f>8.9239 * CHOOSE(CONTROL!$C$19, $C$6, 100%, $E$6)</f>
        <v>8.9238999999999997</v>
      </c>
      <c r="C622" s="60">
        <f>8.9239 * CHOOSE(CONTROL!$C$19, $C$6, 100%, $E$6)</f>
        <v>8.9238999999999997</v>
      </c>
      <c r="D622" s="60">
        <f>8.9404 * CHOOSE(CONTROL!$C$19, $C$6, 100%, $E$6)</f>
        <v>8.9404000000000003</v>
      </c>
      <c r="E622" s="61">
        <f>10.47 * CHOOSE(CONTROL!$C$19, $C$6, 100%, $E$6)</f>
        <v>10.47</v>
      </c>
      <c r="F622" s="61">
        <f>10.47 * CHOOSE(CONTROL!$C$19, $C$6, 100%, $E$6)</f>
        <v>10.47</v>
      </c>
      <c r="G622" s="61">
        <f>10.4702 * CHOOSE(CONTROL!$C$19, $C$6, 100%, $E$6)</f>
        <v>10.4702</v>
      </c>
      <c r="H622" s="61">
        <f>14.7863* CHOOSE(CONTROL!$C$19, $C$6, 100%, $E$6)</f>
        <v>14.786300000000001</v>
      </c>
      <c r="I622" s="61">
        <f>14.7864 * CHOOSE(CONTROL!$C$19, $C$6, 100%, $E$6)</f>
        <v>14.7864</v>
      </c>
      <c r="J622" s="61">
        <f>10.47 * CHOOSE(CONTROL!$C$19, $C$6, 100%, $E$6)</f>
        <v>10.47</v>
      </c>
      <c r="K622" s="61">
        <f>10.4702 * CHOOSE(CONTROL!$C$19, $C$6, 100%, $E$6)</f>
        <v>10.4702</v>
      </c>
    </row>
    <row r="623" spans="1:11" ht="15">
      <c r="A623" s="13">
        <v>61029</v>
      </c>
      <c r="B623" s="60">
        <f>8.9209 * CHOOSE(CONTROL!$C$19, $C$6, 100%, $E$6)</f>
        <v>8.9208999999999996</v>
      </c>
      <c r="C623" s="60">
        <f>8.9209 * CHOOSE(CONTROL!$C$19, $C$6, 100%, $E$6)</f>
        <v>8.9208999999999996</v>
      </c>
      <c r="D623" s="60">
        <f>8.9374 * CHOOSE(CONTROL!$C$19, $C$6, 100%, $E$6)</f>
        <v>8.9374000000000002</v>
      </c>
      <c r="E623" s="61">
        <f>10.3006 * CHOOSE(CONTROL!$C$19, $C$6, 100%, $E$6)</f>
        <v>10.300599999999999</v>
      </c>
      <c r="F623" s="61">
        <f>10.3006 * CHOOSE(CONTROL!$C$19, $C$6, 100%, $E$6)</f>
        <v>10.300599999999999</v>
      </c>
      <c r="G623" s="61">
        <f>10.3008 * CHOOSE(CONTROL!$C$19, $C$6, 100%, $E$6)</f>
        <v>10.300800000000001</v>
      </c>
      <c r="H623" s="61">
        <f>14.8171* CHOOSE(CONTROL!$C$19, $C$6, 100%, $E$6)</f>
        <v>14.8171</v>
      </c>
      <c r="I623" s="61">
        <f>14.8172 * CHOOSE(CONTROL!$C$19, $C$6, 100%, $E$6)</f>
        <v>14.8172</v>
      </c>
      <c r="J623" s="61">
        <f>10.3006 * CHOOSE(CONTROL!$C$19, $C$6, 100%, $E$6)</f>
        <v>10.300599999999999</v>
      </c>
      <c r="K623" s="61">
        <f>10.3008 * CHOOSE(CONTROL!$C$19, $C$6, 100%, $E$6)</f>
        <v>10.300800000000001</v>
      </c>
    </row>
    <row r="624" spans="1:11" ht="15">
      <c r="A624" s="13">
        <v>61057</v>
      </c>
      <c r="B624" s="60">
        <f>8.9178 * CHOOSE(CONTROL!$C$19, $C$6, 100%, $E$6)</f>
        <v>8.9177999999999997</v>
      </c>
      <c r="C624" s="60">
        <f>8.9178 * CHOOSE(CONTROL!$C$19, $C$6, 100%, $E$6)</f>
        <v>8.9177999999999997</v>
      </c>
      <c r="D624" s="60">
        <f>8.9343 * CHOOSE(CONTROL!$C$19, $C$6, 100%, $E$6)</f>
        <v>8.9343000000000004</v>
      </c>
      <c r="E624" s="61">
        <f>10.4304 * CHOOSE(CONTROL!$C$19, $C$6, 100%, $E$6)</f>
        <v>10.430400000000001</v>
      </c>
      <c r="F624" s="61">
        <f>10.4304 * CHOOSE(CONTROL!$C$19, $C$6, 100%, $E$6)</f>
        <v>10.430400000000001</v>
      </c>
      <c r="G624" s="61">
        <f>10.4305 * CHOOSE(CONTROL!$C$19, $C$6, 100%, $E$6)</f>
        <v>10.4305</v>
      </c>
      <c r="H624" s="61">
        <f>14.8479* CHOOSE(CONTROL!$C$19, $C$6, 100%, $E$6)</f>
        <v>14.847899999999999</v>
      </c>
      <c r="I624" s="61">
        <f>14.8481 * CHOOSE(CONTROL!$C$19, $C$6, 100%, $E$6)</f>
        <v>14.848100000000001</v>
      </c>
      <c r="J624" s="61">
        <f>10.4304 * CHOOSE(CONTROL!$C$19, $C$6, 100%, $E$6)</f>
        <v>10.430400000000001</v>
      </c>
      <c r="K624" s="61">
        <f>10.4305 * CHOOSE(CONTROL!$C$19, $C$6, 100%, $E$6)</f>
        <v>10.4305</v>
      </c>
    </row>
    <row r="625" spans="1:11" ht="15">
      <c r="A625" s="13">
        <v>61088</v>
      </c>
      <c r="B625" s="60">
        <f>8.9203 * CHOOSE(CONTROL!$C$19, $C$6, 100%, $E$6)</f>
        <v>8.9202999999999992</v>
      </c>
      <c r="C625" s="60">
        <f>8.9203 * CHOOSE(CONTROL!$C$19, $C$6, 100%, $E$6)</f>
        <v>8.9202999999999992</v>
      </c>
      <c r="D625" s="60">
        <f>8.9369 * CHOOSE(CONTROL!$C$19, $C$6, 100%, $E$6)</f>
        <v>8.9368999999999996</v>
      </c>
      <c r="E625" s="61">
        <f>10.5677 * CHOOSE(CONTROL!$C$19, $C$6, 100%, $E$6)</f>
        <v>10.5677</v>
      </c>
      <c r="F625" s="61">
        <f>10.5677 * CHOOSE(CONTROL!$C$19, $C$6, 100%, $E$6)</f>
        <v>10.5677</v>
      </c>
      <c r="G625" s="61">
        <f>10.5679 * CHOOSE(CONTROL!$C$19, $C$6, 100%, $E$6)</f>
        <v>10.5679</v>
      </c>
      <c r="H625" s="61">
        <f>14.8789* CHOOSE(CONTROL!$C$19, $C$6, 100%, $E$6)</f>
        <v>14.8789</v>
      </c>
      <c r="I625" s="61">
        <f>14.879 * CHOOSE(CONTROL!$C$19, $C$6, 100%, $E$6)</f>
        <v>14.879</v>
      </c>
      <c r="J625" s="61">
        <f>10.5677 * CHOOSE(CONTROL!$C$19, $C$6, 100%, $E$6)</f>
        <v>10.5677</v>
      </c>
      <c r="K625" s="61">
        <f>10.5679 * CHOOSE(CONTROL!$C$19, $C$6, 100%, $E$6)</f>
        <v>10.5679</v>
      </c>
    </row>
    <row r="626" spans="1:11" ht="15">
      <c r="A626" s="13">
        <v>61118</v>
      </c>
      <c r="B626" s="60">
        <f>8.9203 * CHOOSE(CONTROL!$C$19, $C$6, 100%, $E$6)</f>
        <v>8.9202999999999992</v>
      </c>
      <c r="C626" s="60">
        <f>8.9203 * CHOOSE(CONTROL!$C$19, $C$6, 100%, $E$6)</f>
        <v>8.9202999999999992</v>
      </c>
      <c r="D626" s="60">
        <f>8.9534 * CHOOSE(CONTROL!$C$19, $C$6, 100%, $E$6)</f>
        <v>8.9534000000000002</v>
      </c>
      <c r="E626" s="61">
        <f>10.6208 * CHOOSE(CONTROL!$C$19, $C$6, 100%, $E$6)</f>
        <v>10.620799999999999</v>
      </c>
      <c r="F626" s="61">
        <f>10.6208 * CHOOSE(CONTROL!$C$19, $C$6, 100%, $E$6)</f>
        <v>10.620799999999999</v>
      </c>
      <c r="G626" s="61">
        <f>10.6229 * CHOOSE(CONTROL!$C$19, $C$6, 100%, $E$6)</f>
        <v>10.6229</v>
      </c>
      <c r="H626" s="61">
        <f>14.9099* CHOOSE(CONTROL!$C$19, $C$6, 100%, $E$6)</f>
        <v>14.9099</v>
      </c>
      <c r="I626" s="61">
        <f>14.9119 * CHOOSE(CONTROL!$C$19, $C$6, 100%, $E$6)</f>
        <v>14.911899999999999</v>
      </c>
      <c r="J626" s="61">
        <f>10.6208 * CHOOSE(CONTROL!$C$19, $C$6, 100%, $E$6)</f>
        <v>10.620799999999999</v>
      </c>
      <c r="K626" s="61">
        <f>10.6229 * CHOOSE(CONTROL!$C$19, $C$6, 100%, $E$6)</f>
        <v>10.6229</v>
      </c>
    </row>
    <row r="627" spans="1:11" ht="15">
      <c r="A627" s="13">
        <v>61149</v>
      </c>
      <c r="B627" s="60">
        <f>8.9264 * CHOOSE(CONTROL!$C$19, $C$6, 100%, $E$6)</f>
        <v>8.9263999999999992</v>
      </c>
      <c r="C627" s="60">
        <f>8.9264 * CHOOSE(CONTROL!$C$19, $C$6, 100%, $E$6)</f>
        <v>8.9263999999999992</v>
      </c>
      <c r="D627" s="60">
        <f>8.9594 * CHOOSE(CONTROL!$C$19, $C$6, 100%, $E$6)</f>
        <v>8.9594000000000005</v>
      </c>
      <c r="E627" s="61">
        <f>10.572 * CHOOSE(CONTROL!$C$19, $C$6, 100%, $E$6)</f>
        <v>10.571999999999999</v>
      </c>
      <c r="F627" s="61">
        <f>10.572 * CHOOSE(CONTROL!$C$19, $C$6, 100%, $E$6)</f>
        <v>10.571999999999999</v>
      </c>
      <c r="G627" s="61">
        <f>10.574 * CHOOSE(CONTROL!$C$19, $C$6, 100%, $E$6)</f>
        <v>10.574</v>
      </c>
      <c r="H627" s="61">
        <f>14.9409* CHOOSE(CONTROL!$C$19, $C$6, 100%, $E$6)</f>
        <v>14.940899999999999</v>
      </c>
      <c r="I627" s="61">
        <f>14.943 * CHOOSE(CONTROL!$C$19, $C$6, 100%, $E$6)</f>
        <v>14.943</v>
      </c>
      <c r="J627" s="61">
        <f>10.572 * CHOOSE(CONTROL!$C$19, $C$6, 100%, $E$6)</f>
        <v>10.571999999999999</v>
      </c>
      <c r="K627" s="61">
        <f>10.574 * CHOOSE(CONTROL!$C$19, $C$6, 100%, $E$6)</f>
        <v>10.574</v>
      </c>
    </row>
    <row r="628" spans="1:11" ht="15">
      <c r="A628" s="13">
        <v>61179</v>
      </c>
      <c r="B628" s="60">
        <f>9.0546 * CHOOSE(CONTROL!$C$19, $C$6, 100%, $E$6)</f>
        <v>9.0546000000000006</v>
      </c>
      <c r="C628" s="60">
        <f>9.0546 * CHOOSE(CONTROL!$C$19, $C$6, 100%, $E$6)</f>
        <v>9.0546000000000006</v>
      </c>
      <c r="D628" s="60">
        <f>9.0876 * CHOOSE(CONTROL!$C$19, $C$6, 100%, $E$6)</f>
        <v>9.0876000000000001</v>
      </c>
      <c r="E628" s="61">
        <f>10.7674 * CHOOSE(CONTROL!$C$19, $C$6, 100%, $E$6)</f>
        <v>10.7674</v>
      </c>
      <c r="F628" s="61">
        <f>10.7674 * CHOOSE(CONTROL!$C$19, $C$6, 100%, $E$6)</f>
        <v>10.7674</v>
      </c>
      <c r="G628" s="61">
        <f>10.7694 * CHOOSE(CONTROL!$C$19, $C$6, 100%, $E$6)</f>
        <v>10.769399999999999</v>
      </c>
      <c r="H628" s="61">
        <f>14.9721* CHOOSE(CONTROL!$C$19, $C$6, 100%, $E$6)</f>
        <v>14.972099999999999</v>
      </c>
      <c r="I628" s="61">
        <f>14.9741 * CHOOSE(CONTROL!$C$19, $C$6, 100%, $E$6)</f>
        <v>14.9741</v>
      </c>
      <c r="J628" s="61">
        <f>10.7674 * CHOOSE(CONTROL!$C$19, $C$6, 100%, $E$6)</f>
        <v>10.7674</v>
      </c>
      <c r="K628" s="61">
        <f>10.7694 * CHOOSE(CONTROL!$C$19, $C$6, 100%, $E$6)</f>
        <v>10.769399999999999</v>
      </c>
    </row>
    <row r="629" spans="1:11" ht="15">
      <c r="A629" s="13">
        <v>61210</v>
      </c>
      <c r="B629" s="60">
        <f>9.0613 * CHOOSE(CONTROL!$C$19, $C$6, 100%, $E$6)</f>
        <v>9.0612999999999992</v>
      </c>
      <c r="C629" s="60">
        <f>9.0613 * CHOOSE(CONTROL!$C$19, $C$6, 100%, $E$6)</f>
        <v>9.0612999999999992</v>
      </c>
      <c r="D629" s="60">
        <f>9.0943 * CHOOSE(CONTROL!$C$19, $C$6, 100%, $E$6)</f>
        <v>9.0943000000000005</v>
      </c>
      <c r="E629" s="61">
        <f>10.6127 * CHOOSE(CONTROL!$C$19, $C$6, 100%, $E$6)</f>
        <v>10.6127</v>
      </c>
      <c r="F629" s="61">
        <f>10.6127 * CHOOSE(CONTROL!$C$19, $C$6, 100%, $E$6)</f>
        <v>10.6127</v>
      </c>
      <c r="G629" s="61">
        <f>10.6148 * CHOOSE(CONTROL!$C$19, $C$6, 100%, $E$6)</f>
        <v>10.614800000000001</v>
      </c>
      <c r="H629" s="61">
        <f>15.0032* CHOOSE(CONTROL!$C$19, $C$6, 100%, $E$6)</f>
        <v>15.0032</v>
      </c>
      <c r="I629" s="61">
        <f>15.0053 * CHOOSE(CONTROL!$C$19, $C$6, 100%, $E$6)</f>
        <v>15.0053</v>
      </c>
      <c r="J629" s="61">
        <f>10.6127 * CHOOSE(CONTROL!$C$19, $C$6, 100%, $E$6)</f>
        <v>10.6127</v>
      </c>
      <c r="K629" s="61">
        <f>10.6148 * CHOOSE(CONTROL!$C$19, $C$6, 100%, $E$6)</f>
        <v>10.614800000000001</v>
      </c>
    </row>
    <row r="630" spans="1:11" ht="15">
      <c r="A630" s="13">
        <v>61241</v>
      </c>
      <c r="B630" s="60">
        <f>9.0582 * CHOOSE(CONTROL!$C$19, $C$6, 100%, $E$6)</f>
        <v>9.0581999999999994</v>
      </c>
      <c r="C630" s="60">
        <f>9.0582 * CHOOSE(CONTROL!$C$19, $C$6, 100%, $E$6)</f>
        <v>9.0581999999999994</v>
      </c>
      <c r="D630" s="60">
        <f>9.0912 * CHOOSE(CONTROL!$C$19, $C$6, 100%, $E$6)</f>
        <v>9.0912000000000006</v>
      </c>
      <c r="E630" s="61">
        <f>10.5929 * CHOOSE(CONTROL!$C$19, $C$6, 100%, $E$6)</f>
        <v>10.5929</v>
      </c>
      <c r="F630" s="61">
        <f>10.5929 * CHOOSE(CONTROL!$C$19, $C$6, 100%, $E$6)</f>
        <v>10.5929</v>
      </c>
      <c r="G630" s="61">
        <f>10.595 * CHOOSE(CONTROL!$C$19, $C$6, 100%, $E$6)</f>
        <v>10.595000000000001</v>
      </c>
      <c r="H630" s="61">
        <f>15.0345* CHOOSE(CONTROL!$C$19, $C$6, 100%, $E$6)</f>
        <v>15.0345</v>
      </c>
      <c r="I630" s="61">
        <f>15.0366 * CHOOSE(CONTROL!$C$19, $C$6, 100%, $E$6)</f>
        <v>15.0366</v>
      </c>
      <c r="J630" s="61">
        <f>10.5929 * CHOOSE(CONTROL!$C$19, $C$6, 100%, $E$6)</f>
        <v>10.5929</v>
      </c>
      <c r="K630" s="61">
        <f>10.595 * CHOOSE(CONTROL!$C$19, $C$6, 100%, $E$6)</f>
        <v>10.595000000000001</v>
      </c>
    </row>
    <row r="631" spans="1:11" ht="15">
      <c r="A631" s="13">
        <v>61271</v>
      </c>
      <c r="B631" s="60">
        <f>9.0725 * CHOOSE(CONTROL!$C$19, $C$6, 100%, $E$6)</f>
        <v>9.0724999999999998</v>
      </c>
      <c r="C631" s="60">
        <f>9.0725 * CHOOSE(CONTROL!$C$19, $C$6, 100%, $E$6)</f>
        <v>9.0724999999999998</v>
      </c>
      <c r="D631" s="60">
        <f>9.089 * CHOOSE(CONTROL!$C$19, $C$6, 100%, $E$6)</f>
        <v>9.0890000000000004</v>
      </c>
      <c r="E631" s="61">
        <f>10.6503 * CHOOSE(CONTROL!$C$19, $C$6, 100%, $E$6)</f>
        <v>10.6503</v>
      </c>
      <c r="F631" s="61">
        <f>10.6503 * CHOOSE(CONTROL!$C$19, $C$6, 100%, $E$6)</f>
        <v>10.6503</v>
      </c>
      <c r="G631" s="61">
        <f>10.6505 * CHOOSE(CONTROL!$C$19, $C$6, 100%, $E$6)</f>
        <v>10.650499999999999</v>
      </c>
      <c r="H631" s="61">
        <f>15.0658* CHOOSE(CONTROL!$C$19, $C$6, 100%, $E$6)</f>
        <v>15.065799999999999</v>
      </c>
      <c r="I631" s="61">
        <f>15.066 * CHOOSE(CONTROL!$C$19, $C$6, 100%, $E$6)</f>
        <v>15.066000000000001</v>
      </c>
      <c r="J631" s="61">
        <f>10.6503 * CHOOSE(CONTROL!$C$19, $C$6, 100%, $E$6)</f>
        <v>10.6503</v>
      </c>
      <c r="K631" s="61">
        <f>10.6505 * CHOOSE(CONTROL!$C$19, $C$6, 100%, $E$6)</f>
        <v>10.650499999999999</v>
      </c>
    </row>
    <row r="632" spans="1:11" ht="15">
      <c r="A632" s="13">
        <v>61302</v>
      </c>
      <c r="B632" s="60">
        <f>9.0756 * CHOOSE(CONTROL!$C$19, $C$6, 100%, $E$6)</f>
        <v>9.0755999999999997</v>
      </c>
      <c r="C632" s="60">
        <f>9.0756 * CHOOSE(CONTROL!$C$19, $C$6, 100%, $E$6)</f>
        <v>9.0755999999999997</v>
      </c>
      <c r="D632" s="60">
        <f>9.0921 * CHOOSE(CONTROL!$C$19, $C$6, 100%, $E$6)</f>
        <v>9.0921000000000003</v>
      </c>
      <c r="E632" s="61">
        <f>10.6878 * CHOOSE(CONTROL!$C$19, $C$6, 100%, $E$6)</f>
        <v>10.687799999999999</v>
      </c>
      <c r="F632" s="61">
        <f>10.6878 * CHOOSE(CONTROL!$C$19, $C$6, 100%, $E$6)</f>
        <v>10.687799999999999</v>
      </c>
      <c r="G632" s="61">
        <f>10.688 * CHOOSE(CONTROL!$C$19, $C$6, 100%, $E$6)</f>
        <v>10.688000000000001</v>
      </c>
      <c r="H632" s="61">
        <f>15.0972* CHOOSE(CONTROL!$C$19, $C$6, 100%, $E$6)</f>
        <v>15.097200000000001</v>
      </c>
      <c r="I632" s="61">
        <f>15.0974 * CHOOSE(CONTROL!$C$19, $C$6, 100%, $E$6)</f>
        <v>15.0974</v>
      </c>
      <c r="J632" s="61">
        <f>10.6878 * CHOOSE(CONTROL!$C$19, $C$6, 100%, $E$6)</f>
        <v>10.687799999999999</v>
      </c>
      <c r="K632" s="61">
        <f>10.688 * CHOOSE(CONTROL!$C$19, $C$6, 100%, $E$6)</f>
        <v>10.688000000000001</v>
      </c>
    </row>
    <row r="633" spans="1:11" ht="15">
      <c r="A633" s="13">
        <v>61332</v>
      </c>
      <c r="B633" s="60">
        <f>9.0756 * CHOOSE(CONTROL!$C$19, $C$6, 100%, $E$6)</f>
        <v>9.0755999999999997</v>
      </c>
      <c r="C633" s="60">
        <f>9.0756 * CHOOSE(CONTROL!$C$19, $C$6, 100%, $E$6)</f>
        <v>9.0755999999999997</v>
      </c>
      <c r="D633" s="60">
        <f>9.0921 * CHOOSE(CONTROL!$C$19, $C$6, 100%, $E$6)</f>
        <v>9.0921000000000003</v>
      </c>
      <c r="E633" s="61">
        <f>10.5993 * CHOOSE(CONTROL!$C$19, $C$6, 100%, $E$6)</f>
        <v>10.599299999999999</v>
      </c>
      <c r="F633" s="61">
        <f>10.5993 * CHOOSE(CONTROL!$C$19, $C$6, 100%, $E$6)</f>
        <v>10.599299999999999</v>
      </c>
      <c r="G633" s="61">
        <f>10.5995 * CHOOSE(CONTROL!$C$19, $C$6, 100%, $E$6)</f>
        <v>10.599500000000001</v>
      </c>
      <c r="H633" s="61">
        <f>15.1287* CHOOSE(CONTROL!$C$19, $C$6, 100%, $E$6)</f>
        <v>15.1287</v>
      </c>
      <c r="I633" s="61">
        <f>15.1288 * CHOOSE(CONTROL!$C$19, $C$6, 100%, $E$6)</f>
        <v>15.1288</v>
      </c>
      <c r="J633" s="61">
        <f>10.5993 * CHOOSE(CONTROL!$C$19, $C$6, 100%, $E$6)</f>
        <v>10.599299999999999</v>
      </c>
      <c r="K633" s="61">
        <f>10.5995 * CHOOSE(CONTROL!$C$19, $C$6, 100%, $E$6)</f>
        <v>10.599500000000001</v>
      </c>
    </row>
    <row r="634" spans="1:11" ht="15">
      <c r="A634" s="13">
        <v>61363</v>
      </c>
      <c r="B634" s="60">
        <f>9.1205 * CHOOSE(CONTROL!$C$19, $C$6, 100%, $E$6)</f>
        <v>9.1204999999999998</v>
      </c>
      <c r="C634" s="60">
        <f>9.1205 * CHOOSE(CONTROL!$C$19, $C$6, 100%, $E$6)</f>
        <v>9.1204999999999998</v>
      </c>
      <c r="D634" s="60">
        <f>9.137 * CHOOSE(CONTROL!$C$19, $C$6, 100%, $E$6)</f>
        <v>9.1370000000000005</v>
      </c>
      <c r="E634" s="61">
        <f>10.7218 * CHOOSE(CONTROL!$C$19, $C$6, 100%, $E$6)</f>
        <v>10.7218</v>
      </c>
      <c r="F634" s="61">
        <f>10.7218 * CHOOSE(CONTROL!$C$19, $C$6, 100%, $E$6)</f>
        <v>10.7218</v>
      </c>
      <c r="G634" s="61">
        <f>10.722 * CHOOSE(CONTROL!$C$19, $C$6, 100%, $E$6)</f>
        <v>10.722</v>
      </c>
      <c r="H634" s="61">
        <f>15.1109* CHOOSE(CONTROL!$C$19, $C$6, 100%, $E$6)</f>
        <v>15.110900000000001</v>
      </c>
      <c r="I634" s="61">
        <f>15.1111 * CHOOSE(CONTROL!$C$19, $C$6, 100%, $E$6)</f>
        <v>15.1111</v>
      </c>
      <c r="J634" s="61">
        <f>10.7218 * CHOOSE(CONTROL!$C$19, $C$6, 100%, $E$6)</f>
        <v>10.7218</v>
      </c>
      <c r="K634" s="61">
        <f>10.722 * CHOOSE(CONTROL!$C$19, $C$6, 100%, $E$6)</f>
        <v>10.722</v>
      </c>
    </row>
    <row r="635" spans="1:11" ht="15">
      <c r="A635" s="13">
        <v>61394</v>
      </c>
      <c r="B635" s="60">
        <f>9.1175 * CHOOSE(CONTROL!$C$19, $C$6, 100%, $E$6)</f>
        <v>9.1174999999999997</v>
      </c>
      <c r="C635" s="60">
        <f>9.1175 * CHOOSE(CONTROL!$C$19, $C$6, 100%, $E$6)</f>
        <v>9.1174999999999997</v>
      </c>
      <c r="D635" s="60">
        <f>9.134 * CHOOSE(CONTROL!$C$19, $C$6, 100%, $E$6)</f>
        <v>9.1340000000000003</v>
      </c>
      <c r="E635" s="61">
        <f>10.548 * CHOOSE(CONTROL!$C$19, $C$6, 100%, $E$6)</f>
        <v>10.548</v>
      </c>
      <c r="F635" s="61">
        <f>10.548 * CHOOSE(CONTROL!$C$19, $C$6, 100%, $E$6)</f>
        <v>10.548</v>
      </c>
      <c r="G635" s="61">
        <f>10.5482 * CHOOSE(CONTROL!$C$19, $C$6, 100%, $E$6)</f>
        <v>10.5482</v>
      </c>
      <c r="H635" s="61">
        <f>15.1424* CHOOSE(CONTROL!$C$19, $C$6, 100%, $E$6)</f>
        <v>15.1424</v>
      </c>
      <c r="I635" s="61">
        <f>15.1426 * CHOOSE(CONTROL!$C$19, $C$6, 100%, $E$6)</f>
        <v>15.1426</v>
      </c>
      <c r="J635" s="61">
        <f>10.548 * CHOOSE(CONTROL!$C$19, $C$6, 100%, $E$6)</f>
        <v>10.548</v>
      </c>
      <c r="K635" s="61">
        <f>10.5482 * CHOOSE(CONTROL!$C$19, $C$6, 100%, $E$6)</f>
        <v>10.5482</v>
      </c>
    </row>
    <row r="636" spans="1:11" ht="15">
      <c r="A636" s="13">
        <v>61423</v>
      </c>
      <c r="B636" s="60">
        <f>9.1145 * CHOOSE(CONTROL!$C$19, $C$6, 100%, $E$6)</f>
        <v>9.1144999999999996</v>
      </c>
      <c r="C636" s="60">
        <f>9.1145 * CHOOSE(CONTROL!$C$19, $C$6, 100%, $E$6)</f>
        <v>9.1144999999999996</v>
      </c>
      <c r="D636" s="60">
        <f>9.131 * CHOOSE(CONTROL!$C$19, $C$6, 100%, $E$6)</f>
        <v>9.1310000000000002</v>
      </c>
      <c r="E636" s="61">
        <f>10.6813 * CHOOSE(CONTROL!$C$19, $C$6, 100%, $E$6)</f>
        <v>10.6813</v>
      </c>
      <c r="F636" s="61">
        <f>10.6813 * CHOOSE(CONTROL!$C$19, $C$6, 100%, $E$6)</f>
        <v>10.6813</v>
      </c>
      <c r="G636" s="61">
        <f>10.6814 * CHOOSE(CONTROL!$C$19, $C$6, 100%, $E$6)</f>
        <v>10.6814</v>
      </c>
      <c r="H636" s="61">
        <f>15.1739* CHOOSE(CONTROL!$C$19, $C$6, 100%, $E$6)</f>
        <v>15.1739</v>
      </c>
      <c r="I636" s="61">
        <f>15.1741 * CHOOSE(CONTROL!$C$19, $C$6, 100%, $E$6)</f>
        <v>15.174099999999999</v>
      </c>
      <c r="J636" s="61">
        <f>10.6813 * CHOOSE(CONTROL!$C$19, $C$6, 100%, $E$6)</f>
        <v>10.6813</v>
      </c>
      <c r="K636" s="61">
        <f>10.6814 * CHOOSE(CONTROL!$C$19, $C$6, 100%, $E$6)</f>
        <v>10.6814</v>
      </c>
    </row>
    <row r="637" spans="1:11" ht="15">
      <c r="A637" s="13">
        <v>61454</v>
      </c>
      <c r="B637" s="60">
        <f>9.1172 * CHOOSE(CONTROL!$C$19, $C$6, 100%, $E$6)</f>
        <v>9.1172000000000004</v>
      </c>
      <c r="C637" s="60">
        <f>9.1172 * CHOOSE(CONTROL!$C$19, $C$6, 100%, $E$6)</f>
        <v>9.1172000000000004</v>
      </c>
      <c r="D637" s="60">
        <f>9.1337 * CHOOSE(CONTROL!$C$19, $C$6, 100%, $E$6)</f>
        <v>9.1336999999999993</v>
      </c>
      <c r="E637" s="61">
        <f>10.8224 * CHOOSE(CONTROL!$C$19, $C$6, 100%, $E$6)</f>
        <v>10.8224</v>
      </c>
      <c r="F637" s="61">
        <f>10.8224 * CHOOSE(CONTROL!$C$19, $C$6, 100%, $E$6)</f>
        <v>10.8224</v>
      </c>
      <c r="G637" s="61">
        <f>10.8226 * CHOOSE(CONTROL!$C$19, $C$6, 100%, $E$6)</f>
        <v>10.8226</v>
      </c>
      <c r="H637" s="61">
        <f>15.2056* CHOOSE(CONTROL!$C$19, $C$6, 100%, $E$6)</f>
        <v>15.2056</v>
      </c>
      <c r="I637" s="61">
        <f>15.2057 * CHOOSE(CONTROL!$C$19, $C$6, 100%, $E$6)</f>
        <v>15.2057</v>
      </c>
      <c r="J637" s="61">
        <f>10.8224 * CHOOSE(CONTROL!$C$19, $C$6, 100%, $E$6)</f>
        <v>10.8224</v>
      </c>
      <c r="K637" s="61">
        <f>10.8226 * CHOOSE(CONTROL!$C$19, $C$6, 100%, $E$6)</f>
        <v>10.8226</v>
      </c>
    </row>
    <row r="638" spans="1:11" ht="15">
      <c r="A638" s="13">
        <v>61484</v>
      </c>
      <c r="B638" s="60">
        <f>9.1172 * CHOOSE(CONTROL!$C$19, $C$6, 100%, $E$6)</f>
        <v>9.1172000000000004</v>
      </c>
      <c r="C638" s="60">
        <f>9.1172 * CHOOSE(CONTROL!$C$19, $C$6, 100%, $E$6)</f>
        <v>9.1172000000000004</v>
      </c>
      <c r="D638" s="60">
        <f>9.1502 * CHOOSE(CONTROL!$C$19, $C$6, 100%, $E$6)</f>
        <v>9.1501999999999999</v>
      </c>
      <c r="E638" s="61">
        <f>10.8769 * CHOOSE(CONTROL!$C$19, $C$6, 100%, $E$6)</f>
        <v>10.876899999999999</v>
      </c>
      <c r="F638" s="61">
        <f>10.8769 * CHOOSE(CONTROL!$C$19, $C$6, 100%, $E$6)</f>
        <v>10.876899999999999</v>
      </c>
      <c r="G638" s="61">
        <f>10.879 * CHOOSE(CONTROL!$C$19, $C$6, 100%, $E$6)</f>
        <v>10.879</v>
      </c>
      <c r="H638" s="61">
        <f>15.2372* CHOOSE(CONTROL!$C$19, $C$6, 100%, $E$6)</f>
        <v>15.2372</v>
      </c>
      <c r="I638" s="61">
        <f>15.2393 * CHOOSE(CONTROL!$C$19, $C$6, 100%, $E$6)</f>
        <v>15.2393</v>
      </c>
      <c r="J638" s="61">
        <f>10.8769 * CHOOSE(CONTROL!$C$19, $C$6, 100%, $E$6)</f>
        <v>10.876899999999999</v>
      </c>
      <c r="K638" s="61">
        <f>10.879 * CHOOSE(CONTROL!$C$19, $C$6, 100%, $E$6)</f>
        <v>10.879</v>
      </c>
    </row>
    <row r="639" spans="1:11" ht="15">
      <c r="A639" s="13">
        <v>61515</v>
      </c>
      <c r="B639" s="60">
        <f>9.1232 * CHOOSE(CONTROL!$C$19, $C$6, 100%, $E$6)</f>
        <v>9.1232000000000006</v>
      </c>
      <c r="C639" s="60">
        <f>9.1232 * CHOOSE(CONTROL!$C$19, $C$6, 100%, $E$6)</f>
        <v>9.1232000000000006</v>
      </c>
      <c r="D639" s="60">
        <f>9.1562 * CHOOSE(CONTROL!$C$19, $C$6, 100%, $E$6)</f>
        <v>9.1562000000000001</v>
      </c>
      <c r="E639" s="61">
        <f>10.8266 * CHOOSE(CONTROL!$C$19, $C$6, 100%, $E$6)</f>
        <v>10.826599999999999</v>
      </c>
      <c r="F639" s="61">
        <f>10.8266 * CHOOSE(CONTROL!$C$19, $C$6, 100%, $E$6)</f>
        <v>10.826599999999999</v>
      </c>
      <c r="G639" s="61">
        <f>10.8287 * CHOOSE(CONTROL!$C$19, $C$6, 100%, $E$6)</f>
        <v>10.8287</v>
      </c>
      <c r="H639" s="61">
        <f>15.269* CHOOSE(CONTROL!$C$19, $C$6, 100%, $E$6)</f>
        <v>15.269</v>
      </c>
      <c r="I639" s="61">
        <f>15.271 * CHOOSE(CONTROL!$C$19, $C$6, 100%, $E$6)</f>
        <v>15.271000000000001</v>
      </c>
      <c r="J639" s="61">
        <f>10.8266 * CHOOSE(CONTROL!$C$19, $C$6, 100%, $E$6)</f>
        <v>10.826599999999999</v>
      </c>
      <c r="K639" s="61">
        <f>10.8287 * CHOOSE(CONTROL!$C$19, $C$6, 100%, $E$6)</f>
        <v>10.8287</v>
      </c>
    </row>
    <row r="640" spans="1:11" ht="15">
      <c r="A640" s="13">
        <v>61545</v>
      </c>
      <c r="B640" s="60">
        <f>9.2539 * CHOOSE(CONTROL!$C$19, $C$6, 100%, $E$6)</f>
        <v>9.2538999999999998</v>
      </c>
      <c r="C640" s="60">
        <f>9.2539 * CHOOSE(CONTROL!$C$19, $C$6, 100%, $E$6)</f>
        <v>9.2538999999999998</v>
      </c>
      <c r="D640" s="60">
        <f>9.2869 * CHOOSE(CONTROL!$C$19, $C$6, 100%, $E$6)</f>
        <v>9.2868999999999993</v>
      </c>
      <c r="E640" s="61">
        <f>11.0265 * CHOOSE(CONTROL!$C$19, $C$6, 100%, $E$6)</f>
        <v>11.0265</v>
      </c>
      <c r="F640" s="61">
        <f>11.0265 * CHOOSE(CONTROL!$C$19, $C$6, 100%, $E$6)</f>
        <v>11.0265</v>
      </c>
      <c r="G640" s="61">
        <f>11.0285 * CHOOSE(CONTROL!$C$19, $C$6, 100%, $E$6)</f>
        <v>11.028499999999999</v>
      </c>
      <c r="H640" s="61">
        <f>15.3008* CHOOSE(CONTROL!$C$19, $C$6, 100%, $E$6)</f>
        <v>15.300800000000001</v>
      </c>
      <c r="I640" s="61">
        <f>15.3028 * CHOOSE(CONTROL!$C$19, $C$6, 100%, $E$6)</f>
        <v>15.3028</v>
      </c>
      <c r="J640" s="61">
        <f>11.0265 * CHOOSE(CONTROL!$C$19, $C$6, 100%, $E$6)</f>
        <v>11.0265</v>
      </c>
      <c r="K640" s="61">
        <f>11.0285 * CHOOSE(CONTROL!$C$19, $C$6, 100%, $E$6)</f>
        <v>11.028499999999999</v>
      </c>
    </row>
    <row r="641" spans="1:11" ht="15">
      <c r="A641" s="13">
        <v>61576</v>
      </c>
      <c r="B641" s="60">
        <f>9.2606 * CHOOSE(CONTROL!$C$19, $C$6, 100%, $E$6)</f>
        <v>9.2606000000000002</v>
      </c>
      <c r="C641" s="60">
        <f>9.2606 * CHOOSE(CONTROL!$C$19, $C$6, 100%, $E$6)</f>
        <v>9.2606000000000002</v>
      </c>
      <c r="D641" s="60">
        <f>9.2936 * CHOOSE(CONTROL!$C$19, $C$6, 100%, $E$6)</f>
        <v>9.2935999999999996</v>
      </c>
      <c r="E641" s="61">
        <f>10.8676 * CHOOSE(CONTROL!$C$19, $C$6, 100%, $E$6)</f>
        <v>10.867599999999999</v>
      </c>
      <c r="F641" s="61">
        <f>10.8676 * CHOOSE(CONTROL!$C$19, $C$6, 100%, $E$6)</f>
        <v>10.867599999999999</v>
      </c>
      <c r="G641" s="61">
        <f>10.8696 * CHOOSE(CONTROL!$C$19, $C$6, 100%, $E$6)</f>
        <v>10.8696</v>
      </c>
      <c r="H641" s="61">
        <f>15.3327* CHOOSE(CONTROL!$C$19, $C$6, 100%, $E$6)</f>
        <v>15.332700000000001</v>
      </c>
      <c r="I641" s="61">
        <f>15.3347 * CHOOSE(CONTROL!$C$19, $C$6, 100%, $E$6)</f>
        <v>15.3347</v>
      </c>
      <c r="J641" s="61">
        <f>10.8676 * CHOOSE(CONTROL!$C$19, $C$6, 100%, $E$6)</f>
        <v>10.867599999999999</v>
      </c>
      <c r="K641" s="61">
        <f>10.8696 * CHOOSE(CONTROL!$C$19, $C$6, 100%, $E$6)</f>
        <v>10.8696</v>
      </c>
    </row>
    <row r="642" spans="1:11" ht="15">
      <c r="A642" s="13">
        <v>61607</v>
      </c>
      <c r="B642" s="60">
        <f>9.2575 * CHOOSE(CONTROL!$C$19, $C$6, 100%, $E$6)</f>
        <v>9.2575000000000003</v>
      </c>
      <c r="C642" s="60">
        <f>9.2575 * CHOOSE(CONTROL!$C$19, $C$6, 100%, $E$6)</f>
        <v>9.2575000000000003</v>
      </c>
      <c r="D642" s="60">
        <f>9.2905 * CHOOSE(CONTROL!$C$19, $C$6, 100%, $E$6)</f>
        <v>9.2904999999999998</v>
      </c>
      <c r="E642" s="61">
        <f>10.8473 * CHOOSE(CONTROL!$C$19, $C$6, 100%, $E$6)</f>
        <v>10.847300000000001</v>
      </c>
      <c r="F642" s="61">
        <f>10.8473 * CHOOSE(CONTROL!$C$19, $C$6, 100%, $E$6)</f>
        <v>10.847300000000001</v>
      </c>
      <c r="G642" s="61">
        <f>10.8494 * CHOOSE(CONTROL!$C$19, $C$6, 100%, $E$6)</f>
        <v>10.849399999999999</v>
      </c>
      <c r="H642" s="61">
        <f>15.3646* CHOOSE(CONTROL!$C$19, $C$6, 100%, $E$6)</f>
        <v>15.364599999999999</v>
      </c>
      <c r="I642" s="61">
        <f>15.3667 * CHOOSE(CONTROL!$C$19, $C$6, 100%, $E$6)</f>
        <v>15.3667</v>
      </c>
      <c r="J642" s="61">
        <f>10.8473 * CHOOSE(CONTROL!$C$19, $C$6, 100%, $E$6)</f>
        <v>10.847300000000001</v>
      </c>
      <c r="K642" s="61">
        <f>10.8494 * CHOOSE(CONTROL!$C$19, $C$6, 100%, $E$6)</f>
        <v>10.849399999999999</v>
      </c>
    </row>
    <row r="643" spans="1:11" ht="15">
      <c r="A643" s="13">
        <v>61637</v>
      </c>
      <c r="B643" s="60">
        <f>9.2726 * CHOOSE(CONTROL!$C$19, $C$6, 100%, $E$6)</f>
        <v>9.2726000000000006</v>
      </c>
      <c r="C643" s="60">
        <f>9.2726 * CHOOSE(CONTROL!$C$19, $C$6, 100%, $E$6)</f>
        <v>9.2726000000000006</v>
      </c>
      <c r="D643" s="60">
        <f>9.2891 * CHOOSE(CONTROL!$C$19, $C$6, 100%, $E$6)</f>
        <v>9.2890999999999995</v>
      </c>
      <c r="E643" s="61">
        <f>10.9066 * CHOOSE(CONTROL!$C$19, $C$6, 100%, $E$6)</f>
        <v>10.906599999999999</v>
      </c>
      <c r="F643" s="61">
        <f>10.9066 * CHOOSE(CONTROL!$C$19, $C$6, 100%, $E$6)</f>
        <v>10.906599999999999</v>
      </c>
      <c r="G643" s="61">
        <f>10.9067 * CHOOSE(CONTROL!$C$19, $C$6, 100%, $E$6)</f>
        <v>10.906700000000001</v>
      </c>
      <c r="H643" s="61">
        <f>15.3966* CHOOSE(CONTROL!$C$19, $C$6, 100%, $E$6)</f>
        <v>15.396599999999999</v>
      </c>
      <c r="I643" s="61">
        <f>15.3968 * CHOOSE(CONTROL!$C$19, $C$6, 100%, $E$6)</f>
        <v>15.396800000000001</v>
      </c>
      <c r="J643" s="61">
        <f>10.9066 * CHOOSE(CONTROL!$C$19, $C$6, 100%, $E$6)</f>
        <v>10.906599999999999</v>
      </c>
      <c r="K643" s="61">
        <f>10.9067 * CHOOSE(CONTROL!$C$19, $C$6, 100%, $E$6)</f>
        <v>10.906700000000001</v>
      </c>
    </row>
    <row r="644" spans="1:11" ht="15">
      <c r="A644" s="13">
        <v>61668</v>
      </c>
      <c r="B644" s="60">
        <f>9.2756 * CHOOSE(CONTROL!$C$19, $C$6, 100%, $E$6)</f>
        <v>9.2756000000000007</v>
      </c>
      <c r="C644" s="60">
        <f>9.2756 * CHOOSE(CONTROL!$C$19, $C$6, 100%, $E$6)</f>
        <v>9.2756000000000007</v>
      </c>
      <c r="D644" s="60">
        <f>9.2921 * CHOOSE(CONTROL!$C$19, $C$6, 100%, $E$6)</f>
        <v>9.2920999999999996</v>
      </c>
      <c r="E644" s="61">
        <f>10.945 * CHOOSE(CONTROL!$C$19, $C$6, 100%, $E$6)</f>
        <v>10.945</v>
      </c>
      <c r="F644" s="61">
        <f>10.945 * CHOOSE(CONTROL!$C$19, $C$6, 100%, $E$6)</f>
        <v>10.945</v>
      </c>
      <c r="G644" s="61">
        <f>10.9452 * CHOOSE(CONTROL!$C$19, $C$6, 100%, $E$6)</f>
        <v>10.9452</v>
      </c>
      <c r="H644" s="61">
        <f>15.4287* CHOOSE(CONTROL!$C$19, $C$6, 100%, $E$6)</f>
        <v>15.428699999999999</v>
      </c>
      <c r="I644" s="61">
        <f>15.4289 * CHOOSE(CONTROL!$C$19, $C$6, 100%, $E$6)</f>
        <v>15.428900000000001</v>
      </c>
      <c r="J644" s="61">
        <f>10.945 * CHOOSE(CONTROL!$C$19, $C$6, 100%, $E$6)</f>
        <v>10.945</v>
      </c>
      <c r="K644" s="61">
        <f>10.9452 * CHOOSE(CONTROL!$C$19, $C$6, 100%, $E$6)</f>
        <v>10.9452</v>
      </c>
    </row>
    <row r="645" spans="1:11" ht="15">
      <c r="A645" s="13">
        <v>61698</v>
      </c>
      <c r="B645" s="60">
        <f>9.2756 * CHOOSE(CONTROL!$C$19, $C$6, 100%, $E$6)</f>
        <v>9.2756000000000007</v>
      </c>
      <c r="C645" s="60">
        <f>9.2756 * CHOOSE(CONTROL!$C$19, $C$6, 100%, $E$6)</f>
        <v>9.2756000000000007</v>
      </c>
      <c r="D645" s="60">
        <f>9.2921 * CHOOSE(CONTROL!$C$19, $C$6, 100%, $E$6)</f>
        <v>9.2920999999999996</v>
      </c>
      <c r="E645" s="61">
        <f>10.8542 * CHOOSE(CONTROL!$C$19, $C$6, 100%, $E$6)</f>
        <v>10.854200000000001</v>
      </c>
      <c r="F645" s="61">
        <f>10.8542 * CHOOSE(CONTROL!$C$19, $C$6, 100%, $E$6)</f>
        <v>10.854200000000001</v>
      </c>
      <c r="G645" s="61">
        <f>10.8544 * CHOOSE(CONTROL!$C$19, $C$6, 100%, $E$6)</f>
        <v>10.8544</v>
      </c>
      <c r="H645" s="61">
        <f>15.4608* CHOOSE(CONTROL!$C$19, $C$6, 100%, $E$6)</f>
        <v>15.460800000000001</v>
      </c>
      <c r="I645" s="61">
        <f>15.461 * CHOOSE(CONTROL!$C$19, $C$6, 100%, $E$6)</f>
        <v>15.461</v>
      </c>
      <c r="J645" s="61">
        <f>10.8542 * CHOOSE(CONTROL!$C$19, $C$6, 100%, $E$6)</f>
        <v>10.854200000000001</v>
      </c>
      <c r="K645" s="61">
        <f>10.8544 * CHOOSE(CONTROL!$C$19, $C$6, 100%, $E$6)</f>
        <v>10.8544</v>
      </c>
    </row>
    <row r="646" spans="1:11" ht="15">
      <c r="A646" s="13">
        <v>61729</v>
      </c>
      <c r="B646" s="60">
        <f>9.3172 * CHOOSE(CONTROL!$C$19, $C$6, 100%, $E$6)</f>
        <v>9.3171999999999997</v>
      </c>
      <c r="C646" s="60">
        <f>9.3172 * CHOOSE(CONTROL!$C$19, $C$6, 100%, $E$6)</f>
        <v>9.3171999999999997</v>
      </c>
      <c r="D646" s="60">
        <f>9.3337 * CHOOSE(CONTROL!$C$19, $C$6, 100%, $E$6)</f>
        <v>9.3337000000000003</v>
      </c>
      <c r="E646" s="61">
        <f>10.9737 * CHOOSE(CONTROL!$C$19, $C$6, 100%, $E$6)</f>
        <v>10.973699999999999</v>
      </c>
      <c r="F646" s="61">
        <f>10.9737 * CHOOSE(CONTROL!$C$19, $C$6, 100%, $E$6)</f>
        <v>10.973699999999999</v>
      </c>
      <c r="G646" s="61">
        <f>10.9738 * CHOOSE(CONTROL!$C$19, $C$6, 100%, $E$6)</f>
        <v>10.973800000000001</v>
      </c>
      <c r="H646" s="61">
        <f>15.4356* CHOOSE(CONTROL!$C$19, $C$6, 100%, $E$6)</f>
        <v>15.435600000000001</v>
      </c>
      <c r="I646" s="61">
        <f>15.4358 * CHOOSE(CONTROL!$C$19, $C$6, 100%, $E$6)</f>
        <v>15.4358</v>
      </c>
      <c r="J646" s="61">
        <f>10.9737 * CHOOSE(CONTROL!$C$19, $C$6, 100%, $E$6)</f>
        <v>10.973699999999999</v>
      </c>
      <c r="K646" s="61">
        <f>10.9738 * CHOOSE(CONTROL!$C$19, $C$6, 100%, $E$6)</f>
        <v>10.973800000000001</v>
      </c>
    </row>
    <row r="647" spans="1:11" ht="15">
      <c r="A647" s="13">
        <v>61760</v>
      </c>
      <c r="B647" s="60">
        <f>9.3141 * CHOOSE(CONTROL!$C$19, $C$6, 100%, $E$6)</f>
        <v>9.3140999999999998</v>
      </c>
      <c r="C647" s="60">
        <f>9.3141 * CHOOSE(CONTROL!$C$19, $C$6, 100%, $E$6)</f>
        <v>9.3140999999999998</v>
      </c>
      <c r="D647" s="60">
        <f>9.3306 * CHOOSE(CONTROL!$C$19, $C$6, 100%, $E$6)</f>
        <v>9.3306000000000004</v>
      </c>
      <c r="E647" s="61">
        <f>10.7954 * CHOOSE(CONTROL!$C$19, $C$6, 100%, $E$6)</f>
        <v>10.795400000000001</v>
      </c>
      <c r="F647" s="61">
        <f>10.7954 * CHOOSE(CONTROL!$C$19, $C$6, 100%, $E$6)</f>
        <v>10.795400000000001</v>
      </c>
      <c r="G647" s="61">
        <f>10.7956 * CHOOSE(CONTROL!$C$19, $C$6, 100%, $E$6)</f>
        <v>10.7956</v>
      </c>
      <c r="H647" s="61">
        <f>15.4677* CHOOSE(CONTROL!$C$19, $C$6, 100%, $E$6)</f>
        <v>15.467700000000001</v>
      </c>
      <c r="I647" s="61">
        <f>15.4679 * CHOOSE(CONTROL!$C$19, $C$6, 100%, $E$6)</f>
        <v>15.4679</v>
      </c>
      <c r="J647" s="61">
        <f>10.7954 * CHOOSE(CONTROL!$C$19, $C$6, 100%, $E$6)</f>
        <v>10.795400000000001</v>
      </c>
      <c r="K647" s="61">
        <f>10.7956 * CHOOSE(CONTROL!$C$19, $C$6, 100%, $E$6)</f>
        <v>10.7956</v>
      </c>
    </row>
    <row r="648" spans="1:11" ht="15">
      <c r="A648" s="13">
        <v>61788</v>
      </c>
      <c r="B648" s="60">
        <f>9.3111 * CHOOSE(CONTROL!$C$19, $C$6, 100%, $E$6)</f>
        <v>9.3110999999999997</v>
      </c>
      <c r="C648" s="60">
        <f>9.3111 * CHOOSE(CONTROL!$C$19, $C$6, 100%, $E$6)</f>
        <v>9.3110999999999997</v>
      </c>
      <c r="D648" s="60">
        <f>9.3276 * CHOOSE(CONTROL!$C$19, $C$6, 100%, $E$6)</f>
        <v>9.3276000000000003</v>
      </c>
      <c r="E648" s="61">
        <f>10.9321 * CHOOSE(CONTROL!$C$19, $C$6, 100%, $E$6)</f>
        <v>10.9321</v>
      </c>
      <c r="F648" s="61">
        <f>10.9321 * CHOOSE(CONTROL!$C$19, $C$6, 100%, $E$6)</f>
        <v>10.9321</v>
      </c>
      <c r="G648" s="61">
        <f>10.9323 * CHOOSE(CONTROL!$C$19, $C$6, 100%, $E$6)</f>
        <v>10.9323</v>
      </c>
      <c r="H648" s="61">
        <f>15.5* CHOOSE(CONTROL!$C$19, $C$6, 100%, $E$6)</f>
        <v>15.5</v>
      </c>
      <c r="I648" s="61">
        <f>15.5001 * CHOOSE(CONTROL!$C$19, $C$6, 100%, $E$6)</f>
        <v>15.5001</v>
      </c>
      <c r="J648" s="61">
        <f>10.9321 * CHOOSE(CONTROL!$C$19, $C$6, 100%, $E$6)</f>
        <v>10.9321</v>
      </c>
      <c r="K648" s="61">
        <f>10.9323 * CHOOSE(CONTROL!$C$19, $C$6, 100%, $E$6)</f>
        <v>10.9323</v>
      </c>
    </row>
    <row r="649" spans="1:11" ht="15">
      <c r="A649" s="13">
        <v>61819</v>
      </c>
      <c r="B649" s="60">
        <f>9.314 * CHOOSE(CONTROL!$C$19, $C$6, 100%, $E$6)</f>
        <v>9.3140000000000001</v>
      </c>
      <c r="C649" s="60">
        <f>9.314 * CHOOSE(CONTROL!$C$19, $C$6, 100%, $E$6)</f>
        <v>9.3140000000000001</v>
      </c>
      <c r="D649" s="60">
        <f>9.3305 * CHOOSE(CONTROL!$C$19, $C$6, 100%, $E$6)</f>
        <v>9.3305000000000007</v>
      </c>
      <c r="E649" s="61">
        <f>11.0771 * CHOOSE(CONTROL!$C$19, $C$6, 100%, $E$6)</f>
        <v>11.0771</v>
      </c>
      <c r="F649" s="61">
        <f>11.0771 * CHOOSE(CONTROL!$C$19, $C$6, 100%, $E$6)</f>
        <v>11.0771</v>
      </c>
      <c r="G649" s="61">
        <f>11.0772 * CHOOSE(CONTROL!$C$19, $C$6, 100%, $E$6)</f>
        <v>11.077199999999999</v>
      </c>
      <c r="H649" s="61">
        <f>15.5323* CHOOSE(CONTROL!$C$19, $C$6, 100%, $E$6)</f>
        <v>15.532299999999999</v>
      </c>
      <c r="I649" s="61">
        <f>15.5324 * CHOOSE(CONTROL!$C$19, $C$6, 100%, $E$6)</f>
        <v>15.532400000000001</v>
      </c>
      <c r="J649" s="61">
        <f>11.0771 * CHOOSE(CONTROL!$C$19, $C$6, 100%, $E$6)</f>
        <v>11.0771</v>
      </c>
      <c r="K649" s="61">
        <f>11.0772 * CHOOSE(CONTROL!$C$19, $C$6, 100%, $E$6)</f>
        <v>11.077199999999999</v>
      </c>
    </row>
    <row r="650" spans="1:11" ht="15">
      <c r="A650" s="13">
        <v>61849</v>
      </c>
      <c r="B650" s="60">
        <f>9.314 * CHOOSE(CONTROL!$C$19, $C$6, 100%, $E$6)</f>
        <v>9.3140000000000001</v>
      </c>
      <c r="C650" s="60">
        <f>9.314 * CHOOSE(CONTROL!$C$19, $C$6, 100%, $E$6)</f>
        <v>9.3140000000000001</v>
      </c>
      <c r="D650" s="60">
        <f>9.347 * CHOOSE(CONTROL!$C$19, $C$6, 100%, $E$6)</f>
        <v>9.3469999999999995</v>
      </c>
      <c r="E650" s="61">
        <f>11.133 * CHOOSE(CONTROL!$C$19, $C$6, 100%, $E$6)</f>
        <v>11.132999999999999</v>
      </c>
      <c r="F650" s="61">
        <f>11.133 * CHOOSE(CONTROL!$C$19, $C$6, 100%, $E$6)</f>
        <v>11.132999999999999</v>
      </c>
      <c r="G650" s="61">
        <f>11.135 * CHOOSE(CONTROL!$C$19, $C$6, 100%, $E$6)</f>
        <v>11.135</v>
      </c>
      <c r="H650" s="61">
        <f>15.5646* CHOOSE(CONTROL!$C$19, $C$6, 100%, $E$6)</f>
        <v>15.5646</v>
      </c>
      <c r="I650" s="61">
        <f>15.5667 * CHOOSE(CONTROL!$C$19, $C$6, 100%, $E$6)</f>
        <v>15.566700000000001</v>
      </c>
      <c r="J650" s="61">
        <f>11.133 * CHOOSE(CONTROL!$C$19, $C$6, 100%, $E$6)</f>
        <v>11.132999999999999</v>
      </c>
      <c r="K650" s="61">
        <f>11.135 * CHOOSE(CONTROL!$C$19, $C$6, 100%, $E$6)</f>
        <v>11.135</v>
      </c>
    </row>
    <row r="651" spans="1:11" ht="15">
      <c r="A651" s="13">
        <v>61880</v>
      </c>
      <c r="B651" s="60">
        <f>9.3201 * CHOOSE(CONTROL!$C$19, $C$6, 100%, $E$6)</f>
        <v>9.3201000000000001</v>
      </c>
      <c r="C651" s="60">
        <f>9.3201 * CHOOSE(CONTROL!$C$19, $C$6, 100%, $E$6)</f>
        <v>9.3201000000000001</v>
      </c>
      <c r="D651" s="60">
        <f>9.3531 * CHOOSE(CONTROL!$C$19, $C$6, 100%, $E$6)</f>
        <v>9.3530999999999995</v>
      </c>
      <c r="E651" s="61">
        <f>11.0813 * CHOOSE(CONTROL!$C$19, $C$6, 100%, $E$6)</f>
        <v>11.081300000000001</v>
      </c>
      <c r="F651" s="61">
        <f>11.0813 * CHOOSE(CONTROL!$C$19, $C$6, 100%, $E$6)</f>
        <v>11.081300000000001</v>
      </c>
      <c r="G651" s="61">
        <f>11.0834 * CHOOSE(CONTROL!$C$19, $C$6, 100%, $E$6)</f>
        <v>11.083399999999999</v>
      </c>
      <c r="H651" s="61">
        <f>15.597* CHOOSE(CONTROL!$C$19, $C$6, 100%, $E$6)</f>
        <v>15.597</v>
      </c>
      <c r="I651" s="61">
        <f>15.5991 * CHOOSE(CONTROL!$C$19, $C$6, 100%, $E$6)</f>
        <v>15.5991</v>
      </c>
      <c r="J651" s="61">
        <f>11.0813 * CHOOSE(CONTROL!$C$19, $C$6, 100%, $E$6)</f>
        <v>11.081300000000001</v>
      </c>
      <c r="K651" s="61">
        <f>11.0834 * CHOOSE(CONTROL!$C$19, $C$6, 100%, $E$6)</f>
        <v>11.083399999999999</v>
      </c>
    </row>
    <row r="652" spans="1:11" ht="15">
      <c r="A652" s="13">
        <v>61910</v>
      </c>
      <c r="B652" s="60">
        <f>9.4532 * CHOOSE(CONTROL!$C$19, $C$6, 100%, $E$6)</f>
        <v>9.4532000000000007</v>
      </c>
      <c r="C652" s="60">
        <f>9.4532 * CHOOSE(CONTROL!$C$19, $C$6, 100%, $E$6)</f>
        <v>9.4532000000000007</v>
      </c>
      <c r="D652" s="60">
        <f>9.4862 * CHOOSE(CONTROL!$C$19, $C$6, 100%, $E$6)</f>
        <v>9.4862000000000002</v>
      </c>
      <c r="E652" s="61">
        <f>11.2856 * CHOOSE(CONTROL!$C$19, $C$6, 100%, $E$6)</f>
        <v>11.285600000000001</v>
      </c>
      <c r="F652" s="61">
        <f>11.2856 * CHOOSE(CONTROL!$C$19, $C$6, 100%, $E$6)</f>
        <v>11.285600000000001</v>
      </c>
      <c r="G652" s="61">
        <f>11.2876 * CHOOSE(CONTROL!$C$19, $C$6, 100%, $E$6)</f>
        <v>11.287599999999999</v>
      </c>
      <c r="H652" s="61">
        <f>15.6295* CHOOSE(CONTROL!$C$19, $C$6, 100%, $E$6)</f>
        <v>15.6295</v>
      </c>
      <c r="I652" s="61">
        <f>15.6316 * CHOOSE(CONTROL!$C$19, $C$6, 100%, $E$6)</f>
        <v>15.631600000000001</v>
      </c>
      <c r="J652" s="61">
        <f>11.2856 * CHOOSE(CONTROL!$C$19, $C$6, 100%, $E$6)</f>
        <v>11.285600000000001</v>
      </c>
      <c r="K652" s="61">
        <f>11.2876 * CHOOSE(CONTROL!$C$19, $C$6, 100%, $E$6)</f>
        <v>11.287599999999999</v>
      </c>
    </row>
    <row r="653" spans="1:11" ht="15">
      <c r="A653" s="13">
        <v>61941</v>
      </c>
      <c r="B653" s="60">
        <f>9.4599 * CHOOSE(CONTROL!$C$19, $C$6, 100%, $E$6)</f>
        <v>9.4598999999999993</v>
      </c>
      <c r="C653" s="60">
        <f>9.4599 * CHOOSE(CONTROL!$C$19, $C$6, 100%, $E$6)</f>
        <v>9.4598999999999993</v>
      </c>
      <c r="D653" s="60">
        <f>9.4929 * CHOOSE(CONTROL!$C$19, $C$6, 100%, $E$6)</f>
        <v>9.4929000000000006</v>
      </c>
      <c r="E653" s="61">
        <f>11.1224 * CHOOSE(CONTROL!$C$19, $C$6, 100%, $E$6)</f>
        <v>11.122400000000001</v>
      </c>
      <c r="F653" s="61">
        <f>11.1224 * CHOOSE(CONTROL!$C$19, $C$6, 100%, $E$6)</f>
        <v>11.122400000000001</v>
      </c>
      <c r="G653" s="61">
        <f>11.1245 * CHOOSE(CONTROL!$C$19, $C$6, 100%, $E$6)</f>
        <v>11.124499999999999</v>
      </c>
      <c r="H653" s="61">
        <f>15.6621* CHOOSE(CONTROL!$C$19, $C$6, 100%, $E$6)</f>
        <v>15.662100000000001</v>
      </c>
      <c r="I653" s="61">
        <f>15.6641 * CHOOSE(CONTROL!$C$19, $C$6, 100%, $E$6)</f>
        <v>15.664099999999999</v>
      </c>
      <c r="J653" s="61">
        <f>11.1224 * CHOOSE(CONTROL!$C$19, $C$6, 100%, $E$6)</f>
        <v>11.122400000000001</v>
      </c>
      <c r="K653" s="61">
        <f>11.1245 * CHOOSE(CONTROL!$C$19, $C$6, 100%, $E$6)</f>
        <v>11.124499999999999</v>
      </c>
    </row>
    <row r="654" spans="1:11" ht="15">
      <c r="A654" s="13">
        <v>61972</v>
      </c>
      <c r="B654" s="60">
        <f>9.4568 * CHOOSE(CONTROL!$C$19, $C$6, 100%, $E$6)</f>
        <v>9.4567999999999994</v>
      </c>
      <c r="C654" s="60">
        <f>9.4568 * CHOOSE(CONTROL!$C$19, $C$6, 100%, $E$6)</f>
        <v>9.4567999999999994</v>
      </c>
      <c r="D654" s="60">
        <f>9.4898 * CHOOSE(CONTROL!$C$19, $C$6, 100%, $E$6)</f>
        <v>9.4898000000000007</v>
      </c>
      <c r="E654" s="61">
        <f>11.1017 * CHOOSE(CONTROL!$C$19, $C$6, 100%, $E$6)</f>
        <v>11.101699999999999</v>
      </c>
      <c r="F654" s="61">
        <f>11.1017 * CHOOSE(CONTROL!$C$19, $C$6, 100%, $E$6)</f>
        <v>11.101699999999999</v>
      </c>
      <c r="G654" s="61">
        <f>11.1037 * CHOOSE(CONTROL!$C$19, $C$6, 100%, $E$6)</f>
        <v>11.1037</v>
      </c>
      <c r="H654" s="61">
        <f>15.6947* CHOOSE(CONTROL!$C$19, $C$6, 100%, $E$6)</f>
        <v>15.694699999999999</v>
      </c>
      <c r="I654" s="61">
        <f>15.6968 * CHOOSE(CONTROL!$C$19, $C$6, 100%, $E$6)</f>
        <v>15.6968</v>
      </c>
      <c r="J654" s="61">
        <f>11.1017 * CHOOSE(CONTROL!$C$19, $C$6, 100%, $E$6)</f>
        <v>11.101699999999999</v>
      </c>
      <c r="K654" s="61">
        <f>11.1037 * CHOOSE(CONTROL!$C$19, $C$6, 100%, $E$6)</f>
        <v>11.1037</v>
      </c>
    </row>
    <row r="655" spans="1:11" ht="15">
      <c r="A655" s="13">
        <v>62002</v>
      </c>
      <c r="B655" s="60">
        <f>9.4727 * CHOOSE(CONTROL!$C$19, $C$6, 100%, $E$6)</f>
        <v>9.4726999999999997</v>
      </c>
      <c r="C655" s="60">
        <f>9.4727 * CHOOSE(CONTROL!$C$19, $C$6, 100%, $E$6)</f>
        <v>9.4726999999999997</v>
      </c>
      <c r="D655" s="60">
        <f>9.4892 * CHOOSE(CONTROL!$C$19, $C$6, 100%, $E$6)</f>
        <v>9.4892000000000003</v>
      </c>
      <c r="E655" s="61">
        <f>11.1628 * CHOOSE(CONTROL!$C$19, $C$6, 100%, $E$6)</f>
        <v>11.162800000000001</v>
      </c>
      <c r="F655" s="61">
        <f>11.1628 * CHOOSE(CONTROL!$C$19, $C$6, 100%, $E$6)</f>
        <v>11.162800000000001</v>
      </c>
      <c r="G655" s="61">
        <f>11.163 * CHOOSE(CONTROL!$C$19, $C$6, 100%, $E$6)</f>
        <v>11.163</v>
      </c>
      <c r="H655" s="61">
        <f>15.7274* CHOOSE(CONTROL!$C$19, $C$6, 100%, $E$6)</f>
        <v>15.727399999999999</v>
      </c>
      <c r="I655" s="61">
        <f>15.7276 * CHOOSE(CONTROL!$C$19, $C$6, 100%, $E$6)</f>
        <v>15.727600000000001</v>
      </c>
      <c r="J655" s="61">
        <f>11.1628 * CHOOSE(CONTROL!$C$19, $C$6, 100%, $E$6)</f>
        <v>11.162800000000001</v>
      </c>
      <c r="K655" s="61">
        <f>11.163 * CHOOSE(CONTROL!$C$19, $C$6, 100%, $E$6)</f>
        <v>11.163</v>
      </c>
    </row>
    <row r="656" spans="1:11" ht="15">
      <c r="A656" s="13">
        <v>62033</v>
      </c>
      <c r="B656" s="60">
        <f>9.4757 * CHOOSE(CONTROL!$C$19, $C$6, 100%, $E$6)</f>
        <v>9.4756999999999998</v>
      </c>
      <c r="C656" s="60">
        <f>9.4757 * CHOOSE(CONTROL!$C$19, $C$6, 100%, $E$6)</f>
        <v>9.4756999999999998</v>
      </c>
      <c r="D656" s="60">
        <f>9.4922 * CHOOSE(CONTROL!$C$19, $C$6, 100%, $E$6)</f>
        <v>9.4922000000000004</v>
      </c>
      <c r="E656" s="61">
        <f>11.2022 * CHOOSE(CONTROL!$C$19, $C$6, 100%, $E$6)</f>
        <v>11.202199999999999</v>
      </c>
      <c r="F656" s="61">
        <f>11.2022 * CHOOSE(CONTROL!$C$19, $C$6, 100%, $E$6)</f>
        <v>11.202199999999999</v>
      </c>
      <c r="G656" s="61">
        <f>11.2024 * CHOOSE(CONTROL!$C$19, $C$6, 100%, $E$6)</f>
        <v>11.202400000000001</v>
      </c>
      <c r="H656" s="61">
        <f>15.7602* CHOOSE(CONTROL!$C$19, $C$6, 100%, $E$6)</f>
        <v>15.760199999999999</v>
      </c>
      <c r="I656" s="61">
        <f>15.7604 * CHOOSE(CONTROL!$C$19, $C$6, 100%, $E$6)</f>
        <v>15.760400000000001</v>
      </c>
      <c r="J656" s="61">
        <f>11.2022 * CHOOSE(CONTROL!$C$19, $C$6, 100%, $E$6)</f>
        <v>11.202199999999999</v>
      </c>
      <c r="K656" s="61">
        <f>11.2024 * CHOOSE(CONTROL!$C$19, $C$6, 100%, $E$6)</f>
        <v>11.202400000000001</v>
      </c>
    </row>
    <row r="657" spans="1:11" ht="15">
      <c r="A657" s="13">
        <v>62063</v>
      </c>
      <c r="B657" s="60">
        <f>9.4757 * CHOOSE(CONTROL!$C$19, $C$6, 100%, $E$6)</f>
        <v>9.4756999999999998</v>
      </c>
      <c r="C657" s="60">
        <f>9.4757 * CHOOSE(CONTROL!$C$19, $C$6, 100%, $E$6)</f>
        <v>9.4756999999999998</v>
      </c>
      <c r="D657" s="60">
        <f>9.4922 * CHOOSE(CONTROL!$C$19, $C$6, 100%, $E$6)</f>
        <v>9.4922000000000004</v>
      </c>
      <c r="E657" s="61">
        <f>11.109 * CHOOSE(CONTROL!$C$19, $C$6, 100%, $E$6)</f>
        <v>11.109</v>
      </c>
      <c r="F657" s="61">
        <f>11.109 * CHOOSE(CONTROL!$C$19, $C$6, 100%, $E$6)</f>
        <v>11.109</v>
      </c>
      <c r="G657" s="61">
        <f>11.1092 * CHOOSE(CONTROL!$C$19, $C$6, 100%, $E$6)</f>
        <v>11.1092</v>
      </c>
      <c r="H657" s="61">
        <f>15.793* CHOOSE(CONTROL!$C$19, $C$6, 100%, $E$6)</f>
        <v>15.792999999999999</v>
      </c>
      <c r="I657" s="61">
        <f>15.7932 * CHOOSE(CONTROL!$C$19, $C$6, 100%, $E$6)</f>
        <v>15.793200000000001</v>
      </c>
      <c r="J657" s="61">
        <f>11.109 * CHOOSE(CONTROL!$C$19, $C$6, 100%, $E$6)</f>
        <v>11.109</v>
      </c>
      <c r="K657" s="61">
        <f>11.1092 * CHOOSE(CONTROL!$C$19, $C$6, 100%, $E$6)</f>
        <v>11.1092</v>
      </c>
    </row>
    <row r="658" spans="1:11" ht="15">
      <c r="A658" s="13">
        <v>62094</v>
      </c>
      <c r="B658" s="60">
        <f>9.5138 * CHOOSE(CONTROL!$C$19, $C$6, 100%, $E$6)</f>
        <v>9.5137999999999998</v>
      </c>
      <c r="C658" s="60">
        <f>9.5138 * CHOOSE(CONTROL!$C$19, $C$6, 100%, $E$6)</f>
        <v>9.5137999999999998</v>
      </c>
      <c r="D658" s="60">
        <f>9.5303 * CHOOSE(CONTROL!$C$19, $C$6, 100%, $E$6)</f>
        <v>9.5303000000000004</v>
      </c>
      <c r="E658" s="61">
        <f>11.2255 * CHOOSE(CONTROL!$C$19, $C$6, 100%, $E$6)</f>
        <v>11.2255</v>
      </c>
      <c r="F658" s="61">
        <f>11.2255 * CHOOSE(CONTROL!$C$19, $C$6, 100%, $E$6)</f>
        <v>11.2255</v>
      </c>
      <c r="G658" s="61">
        <f>11.2257 * CHOOSE(CONTROL!$C$19, $C$6, 100%, $E$6)</f>
        <v>11.2257</v>
      </c>
      <c r="H658" s="61">
        <f>15.7602* CHOOSE(CONTROL!$C$19, $C$6, 100%, $E$6)</f>
        <v>15.760199999999999</v>
      </c>
      <c r="I658" s="61">
        <f>15.7604 * CHOOSE(CONTROL!$C$19, $C$6, 100%, $E$6)</f>
        <v>15.760400000000001</v>
      </c>
      <c r="J658" s="61">
        <f>11.2255 * CHOOSE(CONTROL!$C$19, $C$6, 100%, $E$6)</f>
        <v>11.2255</v>
      </c>
      <c r="K658" s="61">
        <f>11.2257 * CHOOSE(CONTROL!$C$19, $C$6, 100%, $E$6)</f>
        <v>11.2257</v>
      </c>
    </row>
    <row r="659" spans="1:11" ht="15">
      <c r="A659" s="13">
        <v>62125</v>
      </c>
      <c r="B659" s="60">
        <f>9.5107 * CHOOSE(CONTROL!$C$19, $C$6, 100%, $E$6)</f>
        <v>9.5106999999999999</v>
      </c>
      <c r="C659" s="60">
        <f>9.5107 * CHOOSE(CONTROL!$C$19, $C$6, 100%, $E$6)</f>
        <v>9.5106999999999999</v>
      </c>
      <c r="D659" s="60">
        <f>9.5272 * CHOOSE(CONTROL!$C$19, $C$6, 100%, $E$6)</f>
        <v>9.5272000000000006</v>
      </c>
      <c r="E659" s="61">
        <f>11.0428 * CHOOSE(CONTROL!$C$19, $C$6, 100%, $E$6)</f>
        <v>11.0428</v>
      </c>
      <c r="F659" s="61">
        <f>11.0428 * CHOOSE(CONTROL!$C$19, $C$6, 100%, $E$6)</f>
        <v>11.0428</v>
      </c>
      <c r="G659" s="61">
        <f>11.0429 * CHOOSE(CONTROL!$C$19, $C$6, 100%, $E$6)</f>
        <v>11.042899999999999</v>
      </c>
      <c r="H659" s="61">
        <f>15.7931* CHOOSE(CONTROL!$C$19, $C$6, 100%, $E$6)</f>
        <v>15.793100000000001</v>
      </c>
      <c r="I659" s="61">
        <f>15.7933 * CHOOSE(CONTROL!$C$19, $C$6, 100%, $E$6)</f>
        <v>15.7933</v>
      </c>
      <c r="J659" s="61">
        <f>11.0428 * CHOOSE(CONTROL!$C$19, $C$6, 100%, $E$6)</f>
        <v>11.0428</v>
      </c>
      <c r="K659" s="61">
        <f>11.0429 * CHOOSE(CONTROL!$C$19, $C$6, 100%, $E$6)</f>
        <v>11.042899999999999</v>
      </c>
    </row>
    <row r="660" spans="1:11" ht="15">
      <c r="A660" s="13">
        <v>62153</v>
      </c>
      <c r="B660" s="60">
        <f>9.5077 * CHOOSE(CONTROL!$C$19, $C$6, 100%, $E$6)</f>
        <v>9.5076999999999998</v>
      </c>
      <c r="C660" s="60">
        <f>9.5077 * CHOOSE(CONTROL!$C$19, $C$6, 100%, $E$6)</f>
        <v>9.5076999999999998</v>
      </c>
      <c r="D660" s="60">
        <f>9.5242 * CHOOSE(CONTROL!$C$19, $C$6, 100%, $E$6)</f>
        <v>9.5242000000000004</v>
      </c>
      <c r="E660" s="61">
        <f>11.183 * CHOOSE(CONTROL!$C$19, $C$6, 100%, $E$6)</f>
        <v>11.183</v>
      </c>
      <c r="F660" s="61">
        <f>11.183 * CHOOSE(CONTROL!$C$19, $C$6, 100%, $E$6)</f>
        <v>11.183</v>
      </c>
      <c r="G660" s="61">
        <f>11.1832 * CHOOSE(CONTROL!$C$19, $C$6, 100%, $E$6)</f>
        <v>11.183199999999999</v>
      </c>
      <c r="H660" s="61">
        <f>15.826* CHOOSE(CONTROL!$C$19, $C$6, 100%, $E$6)</f>
        <v>15.826000000000001</v>
      </c>
      <c r="I660" s="61">
        <f>15.8262 * CHOOSE(CONTROL!$C$19, $C$6, 100%, $E$6)</f>
        <v>15.8262</v>
      </c>
      <c r="J660" s="61">
        <f>11.183 * CHOOSE(CONTROL!$C$19, $C$6, 100%, $E$6)</f>
        <v>11.183</v>
      </c>
      <c r="K660" s="61">
        <f>11.1832 * CHOOSE(CONTROL!$C$19, $C$6, 100%, $E$6)</f>
        <v>11.183199999999999</v>
      </c>
    </row>
    <row r="661" spans="1:11" ht="15">
      <c r="A661" s="13">
        <v>62184</v>
      </c>
      <c r="B661" s="60">
        <f>9.5108 * CHOOSE(CONTROL!$C$19, $C$6, 100%, $E$6)</f>
        <v>9.5107999999999997</v>
      </c>
      <c r="C661" s="60">
        <f>9.5108 * CHOOSE(CONTROL!$C$19, $C$6, 100%, $E$6)</f>
        <v>9.5107999999999997</v>
      </c>
      <c r="D661" s="60">
        <f>9.5273 * CHOOSE(CONTROL!$C$19, $C$6, 100%, $E$6)</f>
        <v>9.5273000000000003</v>
      </c>
      <c r="E661" s="61">
        <f>11.3317 * CHOOSE(CONTROL!$C$19, $C$6, 100%, $E$6)</f>
        <v>11.3317</v>
      </c>
      <c r="F661" s="61">
        <f>11.3317 * CHOOSE(CONTROL!$C$19, $C$6, 100%, $E$6)</f>
        <v>11.3317</v>
      </c>
      <c r="G661" s="61">
        <f>11.3319 * CHOOSE(CONTROL!$C$19, $C$6, 100%, $E$6)</f>
        <v>11.331899999999999</v>
      </c>
      <c r="H661" s="61">
        <f>15.859* CHOOSE(CONTROL!$C$19, $C$6, 100%, $E$6)</f>
        <v>15.859</v>
      </c>
      <c r="I661" s="61">
        <f>15.8591 * CHOOSE(CONTROL!$C$19, $C$6, 100%, $E$6)</f>
        <v>15.8591</v>
      </c>
      <c r="J661" s="61">
        <f>11.3317 * CHOOSE(CONTROL!$C$19, $C$6, 100%, $E$6)</f>
        <v>11.3317</v>
      </c>
      <c r="K661" s="61">
        <f>11.3319 * CHOOSE(CONTROL!$C$19, $C$6, 100%, $E$6)</f>
        <v>11.331899999999999</v>
      </c>
    </row>
    <row r="662" spans="1:11" ht="15">
      <c r="A662" s="13">
        <v>62214</v>
      </c>
      <c r="B662" s="60">
        <f>9.5108 * CHOOSE(CONTROL!$C$19, $C$6, 100%, $E$6)</f>
        <v>9.5107999999999997</v>
      </c>
      <c r="C662" s="60">
        <f>9.5108 * CHOOSE(CONTROL!$C$19, $C$6, 100%, $E$6)</f>
        <v>9.5107999999999997</v>
      </c>
      <c r="D662" s="60">
        <f>9.5438 * CHOOSE(CONTROL!$C$19, $C$6, 100%, $E$6)</f>
        <v>9.5437999999999992</v>
      </c>
      <c r="E662" s="61">
        <f>11.3891 * CHOOSE(CONTROL!$C$19, $C$6, 100%, $E$6)</f>
        <v>11.389099999999999</v>
      </c>
      <c r="F662" s="61">
        <f>11.3891 * CHOOSE(CONTROL!$C$19, $C$6, 100%, $E$6)</f>
        <v>11.389099999999999</v>
      </c>
      <c r="G662" s="61">
        <f>11.3911 * CHOOSE(CONTROL!$C$19, $C$6, 100%, $E$6)</f>
        <v>11.3911</v>
      </c>
      <c r="H662" s="61">
        <f>15.892* CHOOSE(CONTROL!$C$19, $C$6, 100%, $E$6)</f>
        <v>15.891999999999999</v>
      </c>
      <c r="I662" s="61">
        <f>15.894 * CHOOSE(CONTROL!$C$19, $C$6, 100%, $E$6)</f>
        <v>15.894</v>
      </c>
      <c r="J662" s="61">
        <f>11.3891 * CHOOSE(CONTROL!$C$19, $C$6, 100%, $E$6)</f>
        <v>11.389099999999999</v>
      </c>
      <c r="K662" s="61">
        <f>11.3911 * CHOOSE(CONTROL!$C$19, $C$6, 100%, $E$6)</f>
        <v>11.3911</v>
      </c>
    </row>
    <row r="663" spans="1:11" ht="15">
      <c r="A663" s="13">
        <v>62245</v>
      </c>
      <c r="B663" s="60">
        <f>9.5169 * CHOOSE(CONTROL!$C$19, $C$6, 100%, $E$6)</f>
        <v>9.5168999999999997</v>
      </c>
      <c r="C663" s="60">
        <f>9.5169 * CHOOSE(CONTROL!$C$19, $C$6, 100%, $E$6)</f>
        <v>9.5168999999999997</v>
      </c>
      <c r="D663" s="60">
        <f>9.5499 * CHOOSE(CONTROL!$C$19, $C$6, 100%, $E$6)</f>
        <v>9.5498999999999992</v>
      </c>
      <c r="E663" s="61">
        <f>11.336 * CHOOSE(CONTROL!$C$19, $C$6, 100%, $E$6)</f>
        <v>11.336</v>
      </c>
      <c r="F663" s="61">
        <f>11.336 * CHOOSE(CONTROL!$C$19, $C$6, 100%, $E$6)</f>
        <v>11.336</v>
      </c>
      <c r="G663" s="61">
        <f>11.338 * CHOOSE(CONTROL!$C$19, $C$6, 100%, $E$6)</f>
        <v>11.337999999999999</v>
      </c>
      <c r="H663" s="61">
        <f>15.9251* CHOOSE(CONTROL!$C$19, $C$6, 100%, $E$6)</f>
        <v>15.9251</v>
      </c>
      <c r="I663" s="61">
        <f>15.9271 * CHOOSE(CONTROL!$C$19, $C$6, 100%, $E$6)</f>
        <v>15.927099999999999</v>
      </c>
      <c r="J663" s="61">
        <f>11.336 * CHOOSE(CONTROL!$C$19, $C$6, 100%, $E$6)</f>
        <v>11.336</v>
      </c>
      <c r="K663" s="61">
        <f>11.338 * CHOOSE(CONTROL!$C$19, $C$6, 100%, $E$6)</f>
        <v>11.337999999999999</v>
      </c>
    </row>
    <row r="664" spans="1:11" ht="15">
      <c r="A664" s="13">
        <v>62275</v>
      </c>
      <c r="B664" s="60">
        <f>9.6525 * CHOOSE(CONTROL!$C$19, $C$6, 100%, $E$6)</f>
        <v>9.6524999999999999</v>
      </c>
      <c r="C664" s="60">
        <f>9.6525 * CHOOSE(CONTROL!$C$19, $C$6, 100%, $E$6)</f>
        <v>9.6524999999999999</v>
      </c>
      <c r="D664" s="60">
        <f>9.6855 * CHOOSE(CONTROL!$C$19, $C$6, 100%, $E$6)</f>
        <v>9.6854999999999993</v>
      </c>
      <c r="E664" s="61">
        <f>11.5447 * CHOOSE(CONTROL!$C$19, $C$6, 100%, $E$6)</f>
        <v>11.544700000000001</v>
      </c>
      <c r="F664" s="61">
        <f>11.5447 * CHOOSE(CONTROL!$C$19, $C$6, 100%, $E$6)</f>
        <v>11.544700000000001</v>
      </c>
      <c r="G664" s="61">
        <f>11.5467 * CHOOSE(CONTROL!$C$19, $C$6, 100%, $E$6)</f>
        <v>11.5467</v>
      </c>
      <c r="H664" s="61">
        <f>15.9583* CHOOSE(CONTROL!$C$19, $C$6, 100%, $E$6)</f>
        <v>15.958299999999999</v>
      </c>
      <c r="I664" s="61">
        <f>15.9603 * CHOOSE(CONTROL!$C$19, $C$6, 100%, $E$6)</f>
        <v>15.9603</v>
      </c>
      <c r="J664" s="61">
        <f>11.5447 * CHOOSE(CONTROL!$C$19, $C$6, 100%, $E$6)</f>
        <v>11.544700000000001</v>
      </c>
      <c r="K664" s="61">
        <f>11.5467 * CHOOSE(CONTROL!$C$19, $C$6, 100%, $E$6)</f>
        <v>11.5467</v>
      </c>
    </row>
    <row r="665" spans="1:11" ht="15">
      <c r="A665" s="13">
        <v>62306</v>
      </c>
      <c r="B665" s="60">
        <f>9.6592 * CHOOSE(CONTROL!$C$19, $C$6, 100%, $E$6)</f>
        <v>9.6592000000000002</v>
      </c>
      <c r="C665" s="60">
        <f>9.6592 * CHOOSE(CONTROL!$C$19, $C$6, 100%, $E$6)</f>
        <v>9.6592000000000002</v>
      </c>
      <c r="D665" s="60">
        <f>9.6922 * CHOOSE(CONTROL!$C$19, $C$6, 100%, $E$6)</f>
        <v>9.6921999999999997</v>
      </c>
      <c r="E665" s="61">
        <f>11.3773 * CHOOSE(CONTROL!$C$19, $C$6, 100%, $E$6)</f>
        <v>11.3773</v>
      </c>
      <c r="F665" s="61">
        <f>11.3773 * CHOOSE(CONTROL!$C$19, $C$6, 100%, $E$6)</f>
        <v>11.3773</v>
      </c>
      <c r="G665" s="61">
        <f>11.3793 * CHOOSE(CONTROL!$C$19, $C$6, 100%, $E$6)</f>
        <v>11.379300000000001</v>
      </c>
      <c r="H665" s="61">
        <f>15.9915* CHOOSE(CONTROL!$C$19, $C$6, 100%, $E$6)</f>
        <v>15.9915</v>
      </c>
      <c r="I665" s="61">
        <f>15.9936 * CHOOSE(CONTROL!$C$19, $C$6, 100%, $E$6)</f>
        <v>15.993600000000001</v>
      </c>
      <c r="J665" s="61">
        <f>11.3773 * CHOOSE(CONTROL!$C$19, $C$6, 100%, $E$6)</f>
        <v>11.3773</v>
      </c>
      <c r="K665" s="61">
        <f>11.3793 * CHOOSE(CONTROL!$C$19, $C$6, 100%, $E$6)</f>
        <v>11.379300000000001</v>
      </c>
    </row>
    <row r="666" spans="1:11" ht="15">
      <c r="A666" s="13">
        <v>62337</v>
      </c>
      <c r="B666" s="60">
        <f>9.6562 * CHOOSE(CONTROL!$C$19, $C$6, 100%, $E$6)</f>
        <v>9.6562000000000001</v>
      </c>
      <c r="C666" s="60">
        <f>9.6562 * CHOOSE(CONTROL!$C$19, $C$6, 100%, $E$6)</f>
        <v>9.6562000000000001</v>
      </c>
      <c r="D666" s="60">
        <f>9.6892 * CHOOSE(CONTROL!$C$19, $C$6, 100%, $E$6)</f>
        <v>9.6891999999999996</v>
      </c>
      <c r="E666" s="61">
        <f>11.356 * CHOOSE(CONTROL!$C$19, $C$6, 100%, $E$6)</f>
        <v>11.356</v>
      </c>
      <c r="F666" s="61">
        <f>11.356 * CHOOSE(CONTROL!$C$19, $C$6, 100%, $E$6)</f>
        <v>11.356</v>
      </c>
      <c r="G666" s="61">
        <f>11.3581 * CHOOSE(CONTROL!$C$19, $C$6, 100%, $E$6)</f>
        <v>11.3581</v>
      </c>
      <c r="H666" s="61">
        <f>16.0248* CHOOSE(CONTROL!$C$19, $C$6, 100%, $E$6)</f>
        <v>16.024799999999999</v>
      </c>
      <c r="I666" s="61">
        <f>16.0269 * CHOOSE(CONTROL!$C$19, $C$6, 100%, $E$6)</f>
        <v>16.026900000000001</v>
      </c>
      <c r="J666" s="61">
        <f>11.356 * CHOOSE(CONTROL!$C$19, $C$6, 100%, $E$6)</f>
        <v>11.356</v>
      </c>
      <c r="K666" s="61">
        <f>11.3581 * CHOOSE(CONTROL!$C$19, $C$6, 100%, $E$6)</f>
        <v>11.3581</v>
      </c>
    </row>
    <row r="667" spans="1:11" ht="15">
      <c r="A667" s="13">
        <v>62367</v>
      </c>
      <c r="B667" s="60">
        <f>9.6727 * CHOOSE(CONTROL!$C$19, $C$6, 100%, $E$6)</f>
        <v>9.6727000000000007</v>
      </c>
      <c r="C667" s="60">
        <f>9.6727 * CHOOSE(CONTROL!$C$19, $C$6, 100%, $E$6)</f>
        <v>9.6727000000000007</v>
      </c>
      <c r="D667" s="60">
        <f>9.6892 * CHOOSE(CONTROL!$C$19, $C$6, 100%, $E$6)</f>
        <v>9.6891999999999996</v>
      </c>
      <c r="E667" s="61">
        <f>11.4191 * CHOOSE(CONTROL!$C$19, $C$6, 100%, $E$6)</f>
        <v>11.4191</v>
      </c>
      <c r="F667" s="61">
        <f>11.4191 * CHOOSE(CONTROL!$C$19, $C$6, 100%, $E$6)</f>
        <v>11.4191</v>
      </c>
      <c r="G667" s="61">
        <f>11.4193 * CHOOSE(CONTROL!$C$19, $C$6, 100%, $E$6)</f>
        <v>11.4193</v>
      </c>
      <c r="H667" s="61">
        <f>16.0582* CHOOSE(CONTROL!$C$19, $C$6, 100%, $E$6)</f>
        <v>16.058199999999999</v>
      </c>
      <c r="I667" s="61">
        <f>16.0584 * CHOOSE(CONTROL!$C$19, $C$6, 100%, $E$6)</f>
        <v>16.058399999999999</v>
      </c>
      <c r="J667" s="61">
        <f>11.4191 * CHOOSE(CONTROL!$C$19, $C$6, 100%, $E$6)</f>
        <v>11.4191</v>
      </c>
      <c r="K667" s="61">
        <f>11.4193 * CHOOSE(CONTROL!$C$19, $C$6, 100%, $E$6)</f>
        <v>11.4193</v>
      </c>
    </row>
    <row r="668" spans="1:11" ht="15">
      <c r="A668" s="13">
        <v>62398</v>
      </c>
      <c r="B668" s="60">
        <f>9.6758 * CHOOSE(CONTROL!$C$19, $C$6, 100%, $E$6)</f>
        <v>9.6758000000000006</v>
      </c>
      <c r="C668" s="60">
        <f>9.6758 * CHOOSE(CONTROL!$C$19, $C$6, 100%, $E$6)</f>
        <v>9.6758000000000006</v>
      </c>
      <c r="D668" s="60">
        <f>9.6923 * CHOOSE(CONTROL!$C$19, $C$6, 100%, $E$6)</f>
        <v>9.6922999999999995</v>
      </c>
      <c r="E668" s="61">
        <f>11.4594 * CHOOSE(CONTROL!$C$19, $C$6, 100%, $E$6)</f>
        <v>11.4594</v>
      </c>
      <c r="F668" s="61">
        <f>11.4594 * CHOOSE(CONTROL!$C$19, $C$6, 100%, $E$6)</f>
        <v>11.4594</v>
      </c>
      <c r="G668" s="61">
        <f>11.4596 * CHOOSE(CONTROL!$C$19, $C$6, 100%, $E$6)</f>
        <v>11.4596</v>
      </c>
      <c r="H668" s="61">
        <f>16.0917* CHOOSE(CONTROL!$C$19, $C$6, 100%, $E$6)</f>
        <v>16.091699999999999</v>
      </c>
      <c r="I668" s="61">
        <f>16.0919 * CHOOSE(CONTROL!$C$19, $C$6, 100%, $E$6)</f>
        <v>16.091899999999999</v>
      </c>
      <c r="J668" s="61">
        <f>11.4594 * CHOOSE(CONTROL!$C$19, $C$6, 100%, $E$6)</f>
        <v>11.4594</v>
      </c>
      <c r="K668" s="61">
        <f>11.4596 * CHOOSE(CONTROL!$C$19, $C$6, 100%, $E$6)</f>
        <v>11.4596</v>
      </c>
    </row>
    <row r="669" spans="1:11" ht="15">
      <c r="A669" s="13">
        <v>62428</v>
      </c>
      <c r="B669" s="60">
        <f>9.6758 * CHOOSE(CONTROL!$C$19, $C$6, 100%, $E$6)</f>
        <v>9.6758000000000006</v>
      </c>
      <c r="C669" s="60">
        <f>9.6758 * CHOOSE(CONTROL!$C$19, $C$6, 100%, $E$6)</f>
        <v>9.6758000000000006</v>
      </c>
      <c r="D669" s="60">
        <f>9.6923 * CHOOSE(CONTROL!$C$19, $C$6, 100%, $E$6)</f>
        <v>9.6922999999999995</v>
      </c>
      <c r="E669" s="61">
        <f>11.3639 * CHOOSE(CONTROL!$C$19, $C$6, 100%, $E$6)</f>
        <v>11.363899999999999</v>
      </c>
      <c r="F669" s="61">
        <f>11.3639 * CHOOSE(CONTROL!$C$19, $C$6, 100%, $E$6)</f>
        <v>11.363899999999999</v>
      </c>
      <c r="G669" s="61">
        <f>11.364 * CHOOSE(CONTROL!$C$19, $C$6, 100%, $E$6)</f>
        <v>11.364000000000001</v>
      </c>
      <c r="H669" s="61">
        <f>16.1252* CHOOSE(CONTROL!$C$19, $C$6, 100%, $E$6)</f>
        <v>16.1252</v>
      </c>
      <c r="I669" s="61">
        <f>16.1254 * CHOOSE(CONTROL!$C$19, $C$6, 100%, $E$6)</f>
        <v>16.125399999999999</v>
      </c>
      <c r="J669" s="61">
        <f>11.3639 * CHOOSE(CONTROL!$C$19, $C$6, 100%, $E$6)</f>
        <v>11.363899999999999</v>
      </c>
      <c r="K669" s="61">
        <f>11.364 * CHOOSE(CONTROL!$C$19, $C$6, 100%, $E$6)</f>
        <v>11.364000000000001</v>
      </c>
    </row>
    <row r="670" spans="1:11" ht="15">
      <c r="A670" s="13">
        <v>62459</v>
      </c>
      <c r="B670" s="60">
        <f>9.7104 * CHOOSE(CONTROL!$C$19, $C$6, 100%, $E$6)</f>
        <v>9.7103999999999999</v>
      </c>
      <c r="C670" s="60">
        <f>9.7104 * CHOOSE(CONTROL!$C$19, $C$6, 100%, $E$6)</f>
        <v>9.7103999999999999</v>
      </c>
      <c r="D670" s="60">
        <f>9.7269 * CHOOSE(CONTROL!$C$19, $C$6, 100%, $E$6)</f>
        <v>9.7269000000000005</v>
      </c>
      <c r="E670" s="61">
        <f>11.4773 * CHOOSE(CONTROL!$C$19, $C$6, 100%, $E$6)</f>
        <v>11.4773</v>
      </c>
      <c r="F670" s="61">
        <f>11.4773 * CHOOSE(CONTROL!$C$19, $C$6, 100%, $E$6)</f>
        <v>11.4773</v>
      </c>
      <c r="G670" s="61">
        <f>11.4775 * CHOOSE(CONTROL!$C$19, $C$6, 100%, $E$6)</f>
        <v>11.477499999999999</v>
      </c>
      <c r="H670" s="61">
        <f>16.0849* CHOOSE(CONTROL!$C$19, $C$6, 100%, $E$6)</f>
        <v>16.084900000000001</v>
      </c>
      <c r="I670" s="61">
        <f>16.0851 * CHOOSE(CONTROL!$C$19, $C$6, 100%, $E$6)</f>
        <v>16.085100000000001</v>
      </c>
      <c r="J670" s="61">
        <f>11.4773 * CHOOSE(CONTROL!$C$19, $C$6, 100%, $E$6)</f>
        <v>11.4773</v>
      </c>
      <c r="K670" s="61">
        <f>11.4775 * CHOOSE(CONTROL!$C$19, $C$6, 100%, $E$6)</f>
        <v>11.477499999999999</v>
      </c>
    </row>
    <row r="671" spans="1:11" ht="15">
      <c r="A671" s="13">
        <v>62490</v>
      </c>
      <c r="B671" s="60">
        <f>9.7074 * CHOOSE(CONTROL!$C$19, $C$6, 100%, $E$6)</f>
        <v>9.7073999999999998</v>
      </c>
      <c r="C671" s="60">
        <f>9.7074 * CHOOSE(CONTROL!$C$19, $C$6, 100%, $E$6)</f>
        <v>9.7073999999999998</v>
      </c>
      <c r="D671" s="60">
        <f>9.7239 * CHOOSE(CONTROL!$C$19, $C$6, 100%, $E$6)</f>
        <v>9.7239000000000004</v>
      </c>
      <c r="E671" s="61">
        <f>11.2901 * CHOOSE(CONTROL!$C$19, $C$6, 100%, $E$6)</f>
        <v>11.290100000000001</v>
      </c>
      <c r="F671" s="61">
        <f>11.2901 * CHOOSE(CONTROL!$C$19, $C$6, 100%, $E$6)</f>
        <v>11.290100000000001</v>
      </c>
      <c r="G671" s="61">
        <f>11.2903 * CHOOSE(CONTROL!$C$19, $C$6, 100%, $E$6)</f>
        <v>11.2903</v>
      </c>
      <c r="H671" s="61">
        <f>16.1184* CHOOSE(CONTROL!$C$19, $C$6, 100%, $E$6)</f>
        <v>16.118400000000001</v>
      </c>
      <c r="I671" s="61">
        <f>16.1186 * CHOOSE(CONTROL!$C$19, $C$6, 100%, $E$6)</f>
        <v>16.118600000000001</v>
      </c>
      <c r="J671" s="61">
        <f>11.2901 * CHOOSE(CONTROL!$C$19, $C$6, 100%, $E$6)</f>
        <v>11.290100000000001</v>
      </c>
      <c r="K671" s="61">
        <f>11.2903 * CHOOSE(CONTROL!$C$19, $C$6, 100%, $E$6)</f>
        <v>11.2903</v>
      </c>
    </row>
    <row r="672" spans="1:11" ht="15">
      <c r="A672" s="13">
        <v>62518</v>
      </c>
      <c r="B672" s="60">
        <f>9.7043 * CHOOSE(CONTROL!$C$19, $C$6, 100%, $E$6)</f>
        <v>9.7042999999999999</v>
      </c>
      <c r="C672" s="60">
        <f>9.7043 * CHOOSE(CONTROL!$C$19, $C$6, 100%, $E$6)</f>
        <v>9.7042999999999999</v>
      </c>
      <c r="D672" s="60">
        <f>9.7208 * CHOOSE(CONTROL!$C$19, $C$6, 100%, $E$6)</f>
        <v>9.7208000000000006</v>
      </c>
      <c r="E672" s="61">
        <f>11.4339 * CHOOSE(CONTROL!$C$19, $C$6, 100%, $E$6)</f>
        <v>11.4339</v>
      </c>
      <c r="F672" s="61">
        <f>11.4339 * CHOOSE(CONTROL!$C$19, $C$6, 100%, $E$6)</f>
        <v>11.4339</v>
      </c>
      <c r="G672" s="61">
        <f>11.4341 * CHOOSE(CONTROL!$C$19, $C$6, 100%, $E$6)</f>
        <v>11.434100000000001</v>
      </c>
      <c r="H672" s="61">
        <f>16.152* CHOOSE(CONTROL!$C$19, $C$6, 100%, $E$6)</f>
        <v>16.152000000000001</v>
      </c>
      <c r="I672" s="61">
        <f>16.1522 * CHOOSE(CONTROL!$C$19, $C$6, 100%, $E$6)</f>
        <v>16.152200000000001</v>
      </c>
      <c r="J672" s="61">
        <f>11.4339 * CHOOSE(CONTROL!$C$19, $C$6, 100%, $E$6)</f>
        <v>11.4339</v>
      </c>
      <c r="K672" s="61">
        <f>11.4341 * CHOOSE(CONTROL!$C$19, $C$6, 100%, $E$6)</f>
        <v>11.434100000000001</v>
      </c>
    </row>
    <row r="673" spans="1:11" ht="15">
      <c r="A673" s="13">
        <v>62549</v>
      </c>
      <c r="B673" s="60">
        <f>9.7076 * CHOOSE(CONTROL!$C$19, $C$6, 100%, $E$6)</f>
        <v>9.7075999999999993</v>
      </c>
      <c r="C673" s="60">
        <f>9.7076 * CHOOSE(CONTROL!$C$19, $C$6, 100%, $E$6)</f>
        <v>9.7075999999999993</v>
      </c>
      <c r="D673" s="60">
        <f>9.7241 * CHOOSE(CONTROL!$C$19, $C$6, 100%, $E$6)</f>
        <v>9.7241</v>
      </c>
      <c r="E673" s="61">
        <f>11.5864 * CHOOSE(CONTROL!$C$19, $C$6, 100%, $E$6)</f>
        <v>11.586399999999999</v>
      </c>
      <c r="F673" s="61">
        <f>11.5864 * CHOOSE(CONTROL!$C$19, $C$6, 100%, $E$6)</f>
        <v>11.586399999999999</v>
      </c>
      <c r="G673" s="61">
        <f>11.5866 * CHOOSE(CONTROL!$C$19, $C$6, 100%, $E$6)</f>
        <v>11.586600000000001</v>
      </c>
      <c r="H673" s="61">
        <f>16.1856* CHOOSE(CONTROL!$C$19, $C$6, 100%, $E$6)</f>
        <v>16.185600000000001</v>
      </c>
      <c r="I673" s="61">
        <f>16.1858 * CHOOSE(CONTROL!$C$19, $C$6, 100%, $E$6)</f>
        <v>16.1858</v>
      </c>
      <c r="J673" s="61">
        <f>11.5864 * CHOOSE(CONTROL!$C$19, $C$6, 100%, $E$6)</f>
        <v>11.586399999999999</v>
      </c>
      <c r="K673" s="61">
        <f>11.5866 * CHOOSE(CONTROL!$C$19, $C$6, 100%, $E$6)</f>
        <v>11.586600000000001</v>
      </c>
    </row>
    <row r="674" spans="1:11" ht="15">
      <c r="A674" s="13">
        <v>62579</v>
      </c>
      <c r="B674" s="60">
        <f>9.7076 * CHOOSE(CONTROL!$C$19, $C$6, 100%, $E$6)</f>
        <v>9.7075999999999993</v>
      </c>
      <c r="C674" s="60">
        <f>9.7076 * CHOOSE(CONTROL!$C$19, $C$6, 100%, $E$6)</f>
        <v>9.7075999999999993</v>
      </c>
      <c r="D674" s="60">
        <f>9.7406 * CHOOSE(CONTROL!$C$19, $C$6, 100%, $E$6)</f>
        <v>9.7406000000000006</v>
      </c>
      <c r="E674" s="61">
        <f>11.6452 * CHOOSE(CONTROL!$C$19, $C$6, 100%, $E$6)</f>
        <v>11.645200000000001</v>
      </c>
      <c r="F674" s="61">
        <f>11.6452 * CHOOSE(CONTROL!$C$19, $C$6, 100%, $E$6)</f>
        <v>11.645200000000001</v>
      </c>
      <c r="G674" s="61">
        <f>11.6472 * CHOOSE(CONTROL!$C$19, $C$6, 100%, $E$6)</f>
        <v>11.6472</v>
      </c>
      <c r="H674" s="61">
        <f>16.2194* CHOOSE(CONTROL!$C$19, $C$6, 100%, $E$6)</f>
        <v>16.2194</v>
      </c>
      <c r="I674" s="61">
        <f>16.2214 * CHOOSE(CONTROL!$C$19, $C$6, 100%, $E$6)</f>
        <v>16.221399999999999</v>
      </c>
      <c r="J674" s="61">
        <f>11.6452 * CHOOSE(CONTROL!$C$19, $C$6, 100%, $E$6)</f>
        <v>11.645200000000001</v>
      </c>
      <c r="K674" s="61">
        <f>11.6472 * CHOOSE(CONTROL!$C$19, $C$6, 100%, $E$6)</f>
        <v>11.6472</v>
      </c>
    </row>
    <row r="675" spans="1:11" ht="15">
      <c r="A675" s="13">
        <v>62610</v>
      </c>
      <c r="B675" s="60">
        <f>9.7137 * CHOOSE(CONTROL!$C$19, $C$6, 100%, $E$6)</f>
        <v>9.7136999999999993</v>
      </c>
      <c r="C675" s="60">
        <f>9.7137 * CHOOSE(CONTROL!$C$19, $C$6, 100%, $E$6)</f>
        <v>9.7136999999999993</v>
      </c>
      <c r="D675" s="60">
        <f>9.7467 * CHOOSE(CONTROL!$C$19, $C$6, 100%, $E$6)</f>
        <v>9.7467000000000006</v>
      </c>
      <c r="E675" s="61">
        <f>11.5907 * CHOOSE(CONTROL!$C$19, $C$6, 100%, $E$6)</f>
        <v>11.5907</v>
      </c>
      <c r="F675" s="61">
        <f>11.5907 * CHOOSE(CONTROL!$C$19, $C$6, 100%, $E$6)</f>
        <v>11.5907</v>
      </c>
      <c r="G675" s="61">
        <f>11.5927 * CHOOSE(CONTROL!$C$19, $C$6, 100%, $E$6)</f>
        <v>11.592700000000001</v>
      </c>
      <c r="H675" s="61">
        <f>16.2532* CHOOSE(CONTROL!$C$19, $C$6, 100%, $E$6)</f>
        <v>16.2532</v>
      </c>
      <c r="I675" s="61">
        <f>16.2552 * CHOOSE(CONTROL!$C$19, $C$6, 100%, $E$6)</f>
        <v>16.255199999999999</v>
      </c>
      <c r="J675" s="61">
        <f>11.5907 * CHOOSE(CONTROL!$C$19, $C$6, 100%, $E$6)</f>
        <v>11.5907</v>
      </c>
      <c r="K675" s="61">
        <f>11.5927 * CHOOSE(CONTROL!$C$19, $C$6, 100%, $E$6)</f>
        <v>11.592700000000001</v>
      </c>
    </row>
    <row r="676" spans="1:11" ht="15">
      <c r="A676" s="13">
        <v>62640</v>
      </c>
      <c r="B676" s="60">
        <f>9.8518 * CHOOSE(CONTROL!$C$19, $C$6, 100%, $E$6)</f>
        <v>9.8518000000000008</v>
      </c>
      <c r="C676" s="60">
        <f>9.8518 * CHOOSE(CONTROL!$C$19, $C$6, 100%, $E$6)</f>
        <v>9.8518000000000008</v>
      </c>
      <c r="D676" s="60">
        <f>9.8848 * CHOOSE(CONTROL!$C$19, $C$6, 100%, $E$6)</f>
        <v>9.8848000000000003</v>
      </c>
      <c r="E676" s="61">
        <f>11.8038 * CHOOSE(CONTROL!$C$19, $C$6, 100%, $E$6)</f>
        <v>11.803800000000001</v>
      </c>
      <c r="F676" s="61">
        <f>11.8038 * CHOOSE(CONTROL!$C$19, $C$6, 100%, $E$6)</f>
        <v>11.803800000000001</v>
      </c>
      <c r="G676" s="61">
        <f>11.8058 * CHOOSE(CONTROL!$C$19, $C$6, 100%, $E$6)</f>
        <v>11.8058</v>
      </c>
      <c r="H676" s="61">
        <f>16.287* CHOOSE(CONTROL!$C$19, $C$6, 100%, $E$6)</f>
        <v>16.286999999999999</v>
      </c>
      <c r="I676" s="61">
        <f>16.2891 * CHOOSE(CONTROL!$C$19, $C$6, 100%, $E$6)</f>
        <v>16.289100000000001</v>
      </c>
      <c r="J676" s="61">
        <f>11.8038 * CHOOSE(CONTROL!$C$19, $C$6, 100%, $E$6)</f>
        <v>11.803800000000001</v>
      </c>
      <c r="K676" s="61">
        <f>11.8058 * CHOOSE(CONTROL!$C$19, $C$6, 100%, $E$6)</f>
        <v>11.8058</v>
      </c>
    </row>
    <row r="677" spans="1:11" ht="15">
      <c r="A677" s="13">
        <v>62671</v>
      </c>
      <c r="B677" s="60">
        <f>9.8585 * CHOOSE(CONTROL!$C$19, $C$6, 100%, $E$6)</f>
        <v>9.8584999999999994</v>
      </c>
      <c r="C677" s="60">
        <f>9.8585 * CHOOSE(CONTROL!$C$19, $C$6, 100%, $E$6)</f>
        <v>9.8584999999999994</v>
      </c>
      <c r="D677" s="60">
        <f>9.8915 * CHOOSE(CONTROL!$C$19, $C$6, 100%, $E$6)</f>
        <v>9.8915000000000006</v>
      </c>
      <c r="E677" s="61">
        <f>11.6321 * CHOOSE(CONTROL!$C$19, $C$6, 100%, $E$6)</f>
        <v>11.632099999999999</v>
      </c>
      <c r="F677" s="61">
        <f>11.6321 * CHOOSE(CONTROL!$C$19, $C$6, 100%, $E$6)</f>
        <v>11.632099999999999</v>
      </c>
      <c r="G677" s="61">
        <f>11.6342 * CHOOSE(CONTROL!$C$19, $C$6, 100%, $E$6)</f>
        <v>11.6342</v>
      </c>
      <c r="H677" s="61">
        <f>16.3209* CHOOSE(CONTROL!$C$19, $C$6, 100%, $E$6)</f>
        <v>16.320900000000002</v>
      </c>
      <c r="I677" s="61">
        <f>16.323 * CHOOSE(CONTROL!$C$19, $C$6, 100%, $E$6)</f>
        <v>16.323</v>
      </c>
      <c r="J677" s="61">
        <f>11.6321 * CHOOSE(CONTROL!$C$19, $C$6, 100%, $E$6)</f>
        <v>11.632099999999999</v>
      </c>
      <c r="K677" s="61">
        <f>11.6342 * CHOOSE(CONTROL!$C$19, $C$6, 100%, $E$6)</f>
        <v>11.6342</v>
      </c>
    </row>
    <row r="678" spans="1:11" ht="15">
      <c r="A678" s="13">
        <v>62702</v>
      </c>
      <c r="B678" s="60">
        <f>9.8555 * CHOOSE(CONTROL!$C$19, $C$6, 100%, $E$6)</f>
        <v>9.8554999999999993</v>
      </c>
      <c r="C678" s="60">
        <f>9.8555 * CHOOSE(CONTROL!$C$19, $C$6, 100%, $E$6)</f>
        <v>9.8554999999999993</v>
      </c>
      <c r="D678" s="60">
        <f>9.8885 * CHOOSE(CONTROL!$C$19, $C$6, 100%, $E$6)</f>
        <v>9.8885000000000005</v>
      </c>
      <c r="E678" s="61">
        <f>11.6104 * CHOOSE(CONTROL!$C$19, $C$6, 100%, $E$6)</f>
        <v>11.6104</v>
      </c>
      <c r="F678" s="61">
        <f>11.6104 * CHOOSE(CONTROL!$C$19, $C$6, 100%, $E$6)</f>
        <v>11.6104</v>
      </c>
      <c r="G678" s="61">
        <f>11.6125 * CHOOSE(CONTROL!$C$19, $C$6, 100%, $E$6)</f>
        <v>11.612500000000001</v>
      </c>
      <c r="H678" s="61">
        <f>16.3549* CHOOSE(CONTROL!$C$19, $C$6, 100%, $E$6)</f>
        <v>16.354900000000001</v>
      </c>
      <c r="I678" s="61">
        <f>16.357 * CHOOSE(CONTROL!$C$19, $C$6, 100%, $E$6)</f>
        <v>16.356999999999999</v>
      </c>
      <c r="J678" s="61">
        <f>11.6104 * CHOOSE(CONTROL!$C$19, $C$6, 100%, $E$6)</f>
        <v>11.6104</v>
      </c>
      <c r="K678" s="61">
        <f>11.6125 * CHOOSE(CONTROL!$C$19, $C$6, 100%, $E$6)</f>
        <v>11.612500000000001</v>
      </c>
    </row>
    <row r="679" spans="1:11" ht="15">
      <c r="A679" s="13">
        <v>62732</v>
      </c>
      <c r="B679" s="60">
        <f>9.8728 * CHOOSE(CONTROL!$C$19, $C$6, 100%, $E$6)</f>
        <v>9.8727999999999998</v>
      </c>
      <c r="C679" s="60">
        <f>9.8728 * CHOOSE(CONTROL!$C$19, $C$6, 100%, $E$6)</f>
        <v>9.8727999999999998</v>
      </c>
      <c r="D679" s="60">
        <f>9.8893 * CHOOSE(CONTROL!$C$19, $C$6, 100%, $E$6)</f>
        <v>9.8893000000000004</v>
      </c>
      <c r="E679" s="61">
        <f>11.6754 * CHOOSE(CONTROL!$C$19, $C$6, 100%, $E$6)</f>
        <v>11.6754</v>
      </c>
      <c r="F679" s="61">
        <f>11.6754 * CHOOSE(CONTROL!$C$19, $C$6, 100%, $E$6)</f>
        <v>11.6754</v>
      </c>
      <c r="G679" s="61">
        <f>11.6755 * CHOOSE(CONTROL!$C$19, $C$6, 100%, $E$6)</f>
        <v>11.6755</v>
      </c>
      <c r="H679" s="61">
        <f>16.389* CHOOSE(CONTROL!$C$19, $C$6, 100%, $E$6)</f>
        <v>16.388999999999999</v>
      </c>
      <c r="I679" s="61">
        <f>16.3892 * CHOOSE(CONTROL!$C$19, $C$6, 100%, $E$6)</f>
        <v>16.389199999999999</v>
      </c>
      <c r="J679" s="61">
        <f>11.6754 * CHOOSE(CONTROL!$C$19, $C$6, 100%, $E$6)</f>
        <v>11.6754</v>
      </c>
      <c r="K679" s="61">
        <f>11.6755 * CHOOSE(CONTROL!$C$19, $C$6, 100%, $E$6)</f>
        <v>11.6755</v>
      </c>
    </row>
    <row r="680" spans="1:11" ht="15">
      <c r="A680" s="13">
        <v>62763</v>
      </c>
      <c r="B680" s="60">
        <f>9.8758 * CHOOSE(CONTROL!$C$19, $C$6, 100%, $E$6)</f>
        <v>9.8757999999999999</v>
      </c>
      <c r="C680" s="60">
        <f>9.8758 * CHOOSE(CONTROL!$C$19, $C$6, 100%, $E$6)</f>
        <v>9.8757999999999999</v>
      </c>
      <c r="D680" s="60">
        <f>9.8923 * CHOOSE(CONTROL!$C$19, $C$6, 100%, $E$6)</f>
        <v>9.8923000000000005</v>
      </c>
      <c r="E680" s="61">
        <f>11.7167 * CHOOSE(CONTROL!$C$19, $C$6, 100%, $E$6)</f>
        <v>11.716699999999999</v>
      </c>
      <c r="F680" s="61">
        <f>11.7167 * CHOOSE(CONTROL!$C$19, $C$6, 100%, $E$6)</f>
        <v>11.716699999999999</v>
      </c>
      <c r="G680" s="61">
        <f>11.7168 * CHOOSE(CONTROL!$C$19, $C$6, 100%, $E$6)</f>
        <v>11.716799999999999</v>
      </c>
      <c r="H680" s="61">
        <f>16.4232* CHOOSE(CONTROL!$C$19, $C$6, 100%, $E$6)</f>
        <v>16.423200000000001</v>
      </c>
      <c r="I680" s="61">
        <f>16.4233 * CHOOSE(CONTROL!$C$19, $C$6, 100%, $E$6)</f>
        <v>16.423300000000001</v>
      </c>
      <c r="J680" s="61">
        <f>11.7167 * CHOOSE(CONTROL!$C$19, $C$6, 100%, $E$6)</f>
        <v>11.716699999999999</v>
      </c>
      <c r="K680" s="61">
        <f>11.7168 * CHOOSE(CONTROL!$C$19, $C$6, 100%, $E$6)</f>
        <v>11.716799999999999</v>
      </c>
    </row>
    <row r="681" spans="1:11" ht="15">
      <c r="A681" s="13">
        <v>62793</v>
      </c>
      <c r="B681" s="60">
        <f>9.8758 * CHOOSE(CONTROL!$C$19, $C$6, 100%, $E$6)</f>
        <v>9.8757999999999999</v>
      </c>
      <c r="C681" s="60">
        <f>9.8758 * CHOOSE(CONTROL!$C$19, $C$6, 100%, $E$6)</f>
        <v>9.8757999999999999</v>
      </c>
      <c r="D681" s="60">
        <f>9.8923 * CHOOSE(CONTROL!$C$19, $C$6, 100%, $E$6)</f>
        <v>9.8923000000000005</v>
      </c>
      <c r="E681" s="61">
        <f>11.6187 * CHOOSE(CONTROL!$C$19, $C$6, 100%, $E$6)</f>
        <v>11.6187</v>
      </c>
      <c r="F681" s="61">
        <f>11.6187 * CHOOSE(CONTROL!$C$19, $C$6, 100%, $E$6)</f>
        <v>11.6187</v>
      </c>
      <c r="G681" s="61">
        <f>11.6189 * CHOOSE(CONTROL!$C$19, $C$6, 100%, $E$6)</f>
        <v>11.6189</v>
      </c>
      <c r="H681" s="61">
        <f>16.4574* CHOOSE(CONTROL!$C$19, $C$6, 100%, $E$6)</f>
        <v>16.4574</v>
      </c>
      <c r="I681" s="61">
        <f>16.4576 * CHOOSE(CONTROL!$C$19, $C$6, 100%, $E$6)</f>
        <v>16.457599999999999</v>
      </c>
      <c r="J681" s="61">
        <f>11.6187 * CHOOSE(CONTROL!$C$19, $C$6, 100%, $E$6)</f>
        <v>11.6187</v>
      </c>
      <c r="K681" s="61">
        <f>11.6189 * CHOOSE(CONTROL!$C$19, $C$6, 100%, $E$6)</f>
        <v>11.6189</v>
      </c>
    </row>
    <row r="682" spans="1:11" ht="15">
      <c r="A682" s="13">
        <v>62824</v>
      </c>
      <c r="B682" s="60">
        <f>9.907 * CHOOSE(CONTROL!$C$19, $C$6, 100%, $E$6)</f>
        <v>9.907</v>
      </c>
      <c r="C682" s="60">
        <f>9.907 * CHOOSE(CONTROL!$C$19, $C$6, 100%, $E$6)</f>
        <v>9.907</v>
      </c>
      <c r="D682" s="60">
        <f>9.9235 * CHOOSE(CONTROL!$C$19, $C$6, 100%, $E$6)</f>
        <v>9.9235000000000007</v>
      </c>
      <c r="E682" s="61">
        <f>11.7292 * CHOOSE(CONTROL!$C$19, $C$6, 100%, $E$6)</f>
        <v>11.729200000000001</v>
      </c>
      <c r="F682" s="61">
        <f>11.7292 * CHOOSE(CONTROL!$C$19, $C$6, 100%, $E$6)</f>
        <v>11.729200000000001</v>
      </c>
      <c r="G682" s="61">
        <f>11.7294 * CHOOSE(CONTROL!$C$19, $C$6, 100%, $E$6)</f>
        <v>11.7294</v>
      </c>
      <c r="H682" s="61">
        <f>16.4096* CHOOSE(CONTROL!$C$19, $C$6, 100%, $E$6)</f>
        <v>16.409600000000001</v>
      </c>
      <c r="I682" s="61">
        <f>16.4097 * CHOOSE(CONTROL!$C$19, $C$6, 100%, $E$6)</f>
        <v>16.409700000000001</v>
      </c>
      <c r="J682" s="61">
        <f>11.7292 * CHOOSE(CONTROL!$C$19, $C$6, 100%, $E$6)</f>
        <v>11.729200000000001</v>
      </c>
      <c r="K682" s="61">
        <f>11.7294 * CHOOSE(CONTROL!$C$19, $C$6, 100%, $E$6)</f>
        <v>11.7294</v>
      </c>
    </row>
    <row r="683" spans="1:11" ht="15">
      <c r="A683" s="13">
        <v>62855</v>
      </c>
      <c r="B683" s="60">
        <f>9.904 * CHOOSE(CONTROL!$C$19, $C$6, 100%, $E$6)</f>
        <v>9.9039999999999999</v>
      </c>
      <c r="C683" s="60">
        <f>9.904 * CHOOSE(CONTROL!$C$19, $C$6, 100%, $E$6)</f>
        <v>9.9039999999999999</v>
      </c>
      <c r="D683" s="60">
        <f>9.9205 * CHOOSE(CONTROL!$C$19, $C$6, 100%, $E$6)</f>
        <v>9.9205000000000005</v>
      </c>
      <c r="E683" s="61">
        <f>11.5375 * CHOOSE(CONTROL!$C$19, $C$6, 100%, $E$6)</f>
        <v>11.5375</v>
      </c>
      <c r="F683" s="61">
        <f>11.5375 * CHOOSE(CONTROL!$C$19, $C$6, 100%, $E$6)</f>
        <v>11.5375</v>
      </c>
      <c r="G683" s="61">
        <f>11.5377 * CHOOSE(CONTROL!$C$19, $C$6, 100%, $E$6)</f>
        <v>11.537699999999999</v>
      </c>
      <c r="H683" s="61">
        <f>16.4438* CHOOSE(CONTROL!$C$19, $C$6, 100%, $E$6)</f>
        <v>16.4438</v>
      </c>
      <c r="I683" s="61">
        <f>16.4439 * CHOOSE(CONTROL!$C$19, $C$6, 100%, $E$6)</f>
        <v>16.443899999999999</v>
      </c>
      <c r="J683" s="61">
        <f>11.5375 * CHOOSE(CONTROL!$C$19, $C$6, 100%, $E$6)</f>
        <v>11.5375</v>
      </c>
      <c r="K683" s="61">
        <f>11.5377 * CHOOSE(CONTROL!$C$19, $C$6, 100%, $E$6)</f>
        <v>11.537699999999999</v>
      </c>
    </row>
    <row r="684" spans="1:11" ht="15">
      <c r="A684" s="13">
        <v>62884</v>
      </c>
      <c r="B684" s="60">
        <f>9.9009 * CHOOSE(CONTROL!$C$19, $C$6, 100%, $E$6)</f>
        <v>9.9009</v>
      </c>
      <c r="C684" s="60">
        <f>9.9009 * CHOOSE(CONTROL!$C$19, $C$6, 100%, $E$6)</f>
        <v>9.9009</v>
      </c>
      <c r="D684" s="60">
        <f>9.9174 * CHOOSE(CONTROL!$C$19, $C$6, 100%, $E$6)</f>
        <v>9.9174000000000007</v>
      </c>
      <c r="E684" s="61">
        <f>11.6848 * CHOOSE(CONTROL!$C$19, $C$6, 100%, $E$6)</f>
        <v>11.684799999999999</v>
      </c>
      <c r="F684" s="61">
        <f>11.6848 * CHOOSE(CONTROL!$C$19, $C$6, 100%, $E$6)</f>
        <v>11.684799999999999</v>
      </c>
      <c r="G684" s="61">
        <f>11.685 * CHOOSE(CONTROL!$C$19, $C$6, 100%, $E$6)</f>
        <v>11.685</v>
      </c>
      <c r="H684" s="61">
        <f>16.478* CHOOSE(CONTROL!$C$19, $C$6, 100%, $E$6)</f>
        <v>16.478000000000002</v>
      </c>
      <c r="I684" s="61">
        <f>16.4782 * CHOOSE(CONTROL!$C$19, $C$6, 100%, $E$6)</f>
        <v>16.478200000000001</v>
      </c>
      <c r="J684" s="61">
        <f>11.6848 * CHOOSE(CONTROL!$C$19, $C$6, 100%, $E$6)</f>
        <v>11.684799999999999</v>
      </c>
      <c r="K684" s="61">
        <f>11.685 * CHOOSE(CONTROL!$C$19, $C$6, 100%, $E$6)</f>
        <v>11.685</v>
      </c>
    </row>
    <row r="685" spans="1:11" ht="15">
      <c r="A685" s="13">
        <v>62915</v>
      </c>
      <c r="B685" s="60">
        <f>9.9044 * CHOOSE(CONTROL!$C$19, $C$6, 100%, $E$6)</f>
        <v>9.9044000000000008</v>
      </c>
      <c r="C685" s="60">
        <f>9.9044 * CHOOSE(CONTROL!$C$19, $C$6, 100%, $E$6)</f>
        <v>9.9044000000000008</v>
      </c>
      <c r="D685" s="60">
        <f>9.9209 * CHOOSE(CONTROL!$C$19, $C$6, 100%, $E$6)</f>
        <v>9.9208999999999996</v>
      </c>
      <c r="E685" s="61">
        <f>11.8411 * CHOOSE(CONTROL!$C$19, $C$6, 100%, $E$6)</f>
        <v>11.841100000000001</v>
      </c>
      <c r="F685" s="61">
        <f>11.8411 * CHOOSE(CONTROL!$C$19, $C$6, 100%, $E$6)</f>
        <v>11.841100000000001</v>
      </c>
      <c r="G685" s="61">
        <f>11.8413 * CHOOSE(CONTROL!$C$19, $C$6, 100%, $E$6)</f>
        <v>11.8413</v>
      </c>
      <c r="H685" s="61">
        <f>16.5123* CHOOSE(CONTROL!$C$19, $C$6, 100%, $E$6)</f>
        <v>16.5123</v>
      </c>
      <c r="I685" s="61">
        <f>16.5125 * CHOOSE(CONTROL!$C$19, $C$6, 100%, $E$6)</f>
        <v>16.512499999999999</v>
      </c>
      <c r="J685" s="61">
        <f>11.8411 * CHOOSE(CONTROL!$C$19, $C$6, 100%, $E$6)</f>
        <v>11.841100000000001</v>
      </c>
      <c r="K685" s="61">
        <f>11.8413 * CHOOSE(CONTROL!$C$19, $C$6, 100%, $E$6)</f>
        <v>11.8413</v>
      </c>
    </row>
    <row r="686" spans="1:11" ht="15">
      <c r="A686" s="13">
        <v>62945</v>
      </c>
      <c r="B686" s="60">
        <f>9.9044 * CHOOSE(CONTROL!$C$19, $C$6, 100%, $E$6)</f>
        <v>9.9044000000000008</v>
      </c>
      <c r="C686" s="60">
        <f>9.9044 * CHOOSE(CONTROL!$C$19, $C$6, 100%, $E$6)</f>
        <v>9.9044000000000008</v>
      </c>
      <c r="D686" s="60">
        <f>9.9374 * CHOOSE(CONTROL!$C$19, $C$6, 100%, $E$6)</f>
        <v>9.9374000000000002</v>
      </c>
      <c r="E686" s="61">
        <f>11.9013 * CHOOSE(CONTROL!$C$19, $C$6, 100%, $E$6)</f>
        <v>11.901300000000001</v>
      </c>
      <c r="F686" s="61">
        <f>11.9013 * CHOOSE(CONTROL!$C$19, $C$6, 100%, $E$6)</f>
        <v>11.901300000000001</v>
      </c>
      <c r="G686" s="61">
        <f>11.9033 * CHOOSE(CONTROL!$C$19, $C$6, 100%, $E$6)</f>
        <v>11.9033</v>
      </c>
      <c r="H686" s="61">
        <f>16.5467* CHOOSE(CONTROL!$C$19, $C$6, 100%, $E$6)</f>
        <v>16.546700000000001</v>
      </c>
      <c r="I686" s="61">
        <f>16.5488 * CHOOSE(CONTROL!$C$19, $C$6, 100%, $E$6)</f>
        <v>16.5488</v>
      </c>
      <c r="J686" s="61">
        <f>11.9013 * CHOOSE(CONTROL!$C$19, $C$6, 100%, $E$6)</f>
        <v>11.901300000000001</v>
      </c>
      <c r="K686" s="61">
        <f>11.9033 * CHOOSE(CONTROL!$C$19, $C$6, 100%, $E$6)</f>
        <v>11.9033</v>
      </c>
    </row>
    <row r="687" spans="1:11" ht="15">
      <c r="A687" s="13">
        <v>62976</v>
      </c>
      <c r="B687" s="60">
        <f>9.9105 * CHOOSE(CONTROL!$C$19, $C$6, 100%, $E$6)</f>
        <v>9.9105000000000008</v>
      </c>
      <c r="C687" s="60">
        <f>9.9105 * CHOOSE(CONTROL!$C$19, $C$6, 100%, $E$6)</f>
        <v>9.9105000000000008</v>
      </c>
      <c r="D687" s="60">
        <f>9.9435 * CHOOSE(CONTROL!$C$19, $C$6, 100%, $E$6)</f>
        <v>9.9435000000000002</v>
      </c>
      <c r="E687" s="61">
        <f>11.8453 * CHOOSE(CONTROL!$C$19, $C$6, 100%, $E$6)</f>
        <v>11.8453</v>
      </c>
      <c r="F687" s="61">
        <f>11.8453 * CHOOSE(CONTROL!$C$19, $C$6, 100%, $E$6)</f>
        <v>11.8453</v>
      </c>
      <c r="G687" s="61">
        <f>11.8474 * CHOOSE(CONTROL!$C$19, $C$6, 100%, $E$6)</f>
        <v>11.8474</v>
      </c>
      <c r="H687" s="61">
        <f>16.5812* CHOOSE(CONTROL!$C$19, $C$6, 100%, $E$6)</f>
        <v>16.581199999999999</v>
      </c>
      <c r="I687" s="61">
        <f>16.5833 * CHOOSE(CONTROL!$C$19, $C$6, 100%, $E$6)</f>
        <v>16.583300000000001</v>
      </c>
      <c r="J687" s="61">
        <f>11.8453 * CHOOSE(CONTROL!$C$19, $C$6, 100%, $E$6)</f>
        <v>11.8453</v>
      </c>
      <c r="K687" s="61">
        <f>11.8474 * CHOOSE(CONTROL!$C$19, $C$6, 100%, $E$6)</f>
        <v>11.8474</v>
      </c>
    </row>
    <row r="688" spans="1:11" ht="15">
      <c r="A688" s="13">
        <v>63006</v>
      </c>
      <c r="B688" s="60">
        <f>10.0511 * CHOOSE(CONTROL!$C$19, $C$6, 100%, $E$6)</f>
        <v>10.0511</v>
      </c>
      <c r="C688" s="60">
        <f>10.0511 * CHOOSE(CONTROL!$C$19, $C$6, 100%, $E$6)</f>
        <v>10.0511</v>
      </c>
      <c r="D688" s="60">
        <f>10.0841 * CHOOSE(CONTROL!$C$19, $C$6, 100%, $E$6)</f>
        <v>10.084099999999999</v>
      </c>
      <c r="E688" s="61">
        <f>12.0629 * CHOOSE(CONTROL!$C$19, $C$6, 100%, $E$6)</f>
        <v>12.062900000000001</v>
      </c>
      <c r="F688" s="61">
        <f>12.0629 * CHOOSE(CONTROL!$C$19, $C$6, 100%, $E$6)</f>
        <v>12.062900000000001</v>
      </c>
      <c r="G688" s="61">
        <f>12.0649 * CHOOSE(CONTROL!$C$19, $C$6, 100%, $E$6)</f>
        <v>12.0649</v>
      </c>
      <c r="H688" s="61">
        <f>16.6158* CHOOSE(CONTROL!$C$19, $C$6, 100%, $E$6)</f>
        <v>16.6158</v>
      </c>
      <c r="I688" s="61">
        <f>16.6178 * CHOOSE(CONTROL!$C$19, $C$6, 100%, $E$6)</f>
        <v>16.617799999999999</v>
      </c>
      <c r="J688" s="61">
        <f>12.0629 * CHOOSE(CONTROL!$C$19, $C$6, 100%, $E$6)</f>
        <v>12.062900000000001</v>
      </c>
      <c r="K688" s="61">
        <f>12.0649 * CHOOSE(CONTROL!$C$19, $C$6, 100%, $E$6)</f>
        <v>12.0649</v>
      </c>
    </row>
    <row r="689" spans="1:11" ht="15">
      <c r="A689" s="13">
        <v>63037</v>
      </c>
      <c r="B689" s="60">
        <f>10.0578 * CHOOSE(CONTROL!$C$19, $C$6, 100%, $E$6)</f>
        <v>10.0578</v>
      </c>
      <c r="C689" s="60">
        <f>10.0578 * CHOOSE(CONTROL!$C$19, $C$6, 100%, $E$6)</f>
        <v>10.0578</v>
      </c>
      <c r="D689" s="60">
        <f>10.0908 * CHOOSE(CONTROL!$C$19, $C$6, 100%, $E$6)</f>
        <v>10.0908</v>
      </c>
      <c r="E689" s="61">
        <f>11.887 * CHOOSE(CONTROL!$C$19, $C$6, 100%, $E$6)</f>
        <v>11.887</v>
      </c>
      <c r="F689" s="61">
        <f>11.887 * CHOOSE(CONTROL!$C$19, $C$6, 100%, $E$6)</f>
        <v>11.887</v>
      </c>
      <c r="G689" s="61">
        <f>11.889 * CHOOSE(CONTROL!$C$19, $C$6, 100%, $E$6)</f>
        <v>11.888999999999999</v>
      </c>
      <c r="H689" s="61">
        <f>16.6504* CHOOSE(CONTROL!$C$19, $C$6, 100%, $E$6)</f>
        <v>16.650400000000001</v>
      </c>
      <c r="I689" s="61">
        <f>16.6524 * CHOOSE(CONTROL!$C$19, $C$6, 100%, $E$6)</f>
        <v>16.6524</v>
      </c>
      <c r="J689" s="61">
        <f>11.887 * CHOOSE(CONTROL!$C$19, $C$6, 100%, $E$6)</f>
        <v>11.887</v>
      </c>
      <c r="K689" s="61">
        <f>11.889 * CHOOSE(CONTROL!$C$19, $C$6, 100%, $E$6)</f>
        <v>11.888999999999999</v>
      </c>
    </row>
    <row r="690" spans="1:11" ht="15">
      <c r="A690" s="13">
        <v>63068</v>
      </c>
      <c r="B690" s="60">
        <f>10.0548 * CHOOSE(CONTROL!$C$19, $C$6, 100%, $E$6)</f>
        <v>10.0548</v>
      </c>
      <c r="C690" s="60">
        <f>10.0548 * CHOOSE(CONTROL!$C$19, $C$6, 100%, $E$6)</f>
        <v>10.0548</v>
      </c>
      <c r="D690" s="60">
        <f>10.0878 * CHOOSE(CONTROL!$C$19, $C$6, 100%, $E$6)</f>
        <v>10.0878</v>
      </c>
      <c r="E690" s="61">
        <f>11.8648 * CHOOSE(CONTROL!$C$19, $C$6, 100%, $E$6)</f>
        <v>11.864800000000001</v>
      </c>
      <c r="F690" s="61">
        <f>11.8648 * CHOOSE(CONTROL!$C$19, $C$6, 100%, $E$6)</f>
        <v>11.864800000000001</v>
      </c>
      <c r="G690" s="61">
        <f>11.8668 * CHOOSE(CONTROL!$C$19, $C$6, 100%, $E$6)</f>
        <v>11.8668</v>
      </c>
      <c r="H690" s="61">
        <f>16.6851* CHOOSE(CONTROL!$C$19, $C$6, 100%, $E$6)</f>
        <v>16.685099999999998</v>
      </c>
      <c r="I690" s="61">
        <f>16.6871 * CHOOSE(CONTROL!$C$19, $C$6, 100%, $E$6)</f>
        <v>16.687100000000001</v>
      </c>
      <c r="J690" s="61">
        <f>11.8648 * CHOOSE(CONTROL!$C$19, $C$6, 100%, $E$6)</f>
        <v>11.864800000000001</v>
      </c>
      <c r="K690" s="61">
        <f>11.8668 * CHOOSE(CONTROL!$C$19, $C$6, 100%, $E$6)</f>
        <v>11.8668</v>
      </c>
    </row>
    <row r="691" spans="1:11" ht="15">
      <c r="A691" s="13">
        <v>63098</v>
      </c>
      <c r="B691" s="60">
        <f>10.0729 * CHOOSE(CONTROL!$C$19, $C$6, 100%, $E$6)</f>
        <v>10.072900000000001</v>
      </c>
      <c r="C691" s="60">
        <f>10.0729 * CHOOSE(CONTROL!$C$19, $C$6, 100%, $E$6)</f>
        <v>10.072900000000001</v>
      </c>
      <c r="D691" s="60">
        <f>10.0894 * CHOOSE(CONTROL!$C$19, $C$6, 100%, $E$6)</f>
        <v>10.089399999999999</v>
      </c>
      <c r="E691" s="61">
        <f>11.9316 * CHOOSE(CONTROL!$C$19, $C$6, 100%, $E$6)</f>
        <v>11.9316</v>
      </c>
      <c r="F691" s="61">
        <f>11.9316 * CHOOSE(CONTROL!$C$19, $C$6, 100%, $E$6)</f>
        <v>11.9316</v>
      </c>
      <c r="G691" s="61">
        <f>11.9318 * CHOOSE(CONTROL!$C$19, $C$6, 100%, $E$6)</f>
        <v>11.931800000000001</v>
      </c>
      <c r="H691" s="61">
        <f>16.7198* CHOOSE(CONTROL!$C$19, $C$6, 100%, $E$6)</f>
        <v>16.719799999999999</v>
      </c>
      <c r="I691" s="61">
        <f>16.72 * CHOOSE(CONTROL!$C$19, $C$6, 100%, $E$6)</f>
        <v>16.72</v>
      </c>
      <c r="J691" s="61">
        <f>11.9316 * CHOOSE(CONTROL!$C$19, $C$6, 100%, $E$6)</f>
        <v>11.9316</v>
      </c>
      <c r="K691" s="61">
        <f>11.9318 * CHOOSE(CONTROL!$C$19, $C$6, 100%, $E$6)</f>
        <v>11.931800000000001</v>
      </c>
    </row>
    <row r="692" spans="1:11" ht="15">
      <c r="A692" s="13">
        <v>63129</v>
      </c>
      <c r="B692" s="60">
        <f>10.0759 * CHOOSE(CONTROL!$C$19, $C$6, 100%, $E$6)</f>
        <v>10.075900000000001</v>
      </c>
      <c r="C692" s="60">
        <f>10.0759 * CHOOSE(CONTROL!$C$19, $C$6, 100%, $E$6)</f>
        <v>10.075900000000001</v>
      </c>
      <c r="D692" s="60">
        <f>10.0924 * CHOOSE(CONTROL!$C$19, $C$6, 100%, $E$6)</f>
        <v>10.0924</v>
      </c>
      <c r="E692" s="61">
        <f>11.9739 * CHOOSE(CONTROL!$C$19, $C$6, 100%, $E$6)</f>
        <v>11.9739</v>
      </c>
      <c r="F692" s="61">
        <f>11.9739 * CHOOSE(CONTROL!$C$19, $C$6, 100%, $E$6)</f>
        <v>11.9739</v>
      </c>
      <c r="G692" s="61">
        <f>11.974 * CHOOSE(CONTROL!$C$19, $C$6, 100%, $E$6)</f>
        <v>11.974</v>
      </c>
      <c r="H692" s="61">
        <f>16.7547* CHOOSE(CONTROL!$C$19, $C$6, 100%, $E$6)</f>
        <v>16.7547</v>
      </c>
      <c r="I692" s="61">
        <f>16.7548 * CHOOSE(CONTROL!$C$19, $C$6, 100%, $E$6)</f>
        <v>16.754799999999999</v>
      </c>
      <c r="J692" s="61">
        <f>11.9739 * CHOOSE(CONTROL!$C$19, $C$6, 100%, $E$6)</f>
        <v>11.9739</v>
      </c>
      <c r="K692" s="61">
        <f>11.974 * CHOOSE(CONTROL!$C$19, $C$6, 100%, $E$6)</f>
        <v>11.974</v>
      </c>
    </row>
    <row r="693" spans="1:11" ht="15">
      <c r="A693" s="13">
        <v>63159</v>
      </c>
      <c r="B693" s="60">
        <f>10.0759 * CHOOSE(CONTROL!$C$19, $C$6, 100%, $E$6)</f>
        <v>10.075900000000001</v>
      </c>
      <c r="C693" s="60">
        <f>10.0759 * CHOOSE(CONTROL!$C$19, $C$6, 100%, $E$6)</f>
        <v>10.075900000000001</v>
      </c>
      <c r="D693" s="60">
        <f>10.0924 * CHOOSE(CONTROL!$C$19, $C$6, 100%, $E$6)</f>
        <v>10.0924</v>
      </c>
      <c r="E693" s="61">
        <f>11.8735 * CHOOSE(CONTROL!$C$19, $C$6, 100%, $E$6)</f>
        <v>11.8735</v>
      </c>
      <c r="F693" s="61">
        <f>11.8735 * CHOOSE(CONTROL!$C$19, $C$6, 100%, $E$6)</f>
        <v>11.8735</v>
      </c>
      <c r="G693" s="61">
        <f>11.8737 * CHOOSE(CONTROL!$C$19, $C$6, 100%, $E$6)</f>
        <v>11.873699999999999</v>
      </c>
      <c r="H693" s="61">
        <f>16.7896* CHOOSE(CONTROL!$C$19, $C$6, 100%, $E$6)</f>
        <v>16.7896</v>
      </c>
      <c r="I693" s="61">
        <f>16.7897 * CHOOSE(CONTROL!$C$19, $C$6, 100%, $E$6)</f>
        <v>16.7897</v>
      </c>
      <c r="J693" s="61">
        <f>11.8735 * CHOOSE(CONTROL!$C$19, $C$6, 100%, $E$6)</f>
        <v>11.8735</v>
      </c>
      <c r="K693" s="61">
        <f>11.8737 * CHOOSE(CONTROL!$C$19, $C$6, 100%, $E$6)</f>
        <v>11.873699999999999</v>
      </c>
    </row>
    <row r="694" spans="1:11" ht="15">
      <c r="A694" s="13">
        <v>63190</v>
      </c>
      <c r="B694" s="60">
        <f>10.1036 * CHOOSE(CONTROL!$C$19, $C$6, 100%, $E$6)</f>
        <v>10.1036</v>
      </c>
      <c r="C694" s="60">
        <f>10.1036 * CHOOSE(CONTROL!$C$19, $C$6, 100%, $E$6)</f>
        <v>10.1036</v>
      </c>
      <c r="D694" s="60">
        <f>10.1201 * CHOOSE(CONTROL!$C$19, $C$6, 100%, $E$6)</f>
        <v>10.120100000000001</v>
      </c>
      <c r="E694" s="61">
        <f>11.981 * CHOOSE(CONTROL!$C$19, $C$6, 100%, $E$6)</f>
        <v>11.981</v>
      </c>
      <c r="F694" s="61">
        <f>11.981 * CHOOSE(CONTROL!$C$19, $C$6, 100%, $E$6)</f>
        <v>11.981</v>
      </c>
      <c r="G694" s="61">
        <f>11.9812 * CHOOSE(CONTROL!$C$19, $C$6, 100%, $E$6)</f>
        <v>11.981199999999999</v>
      </c>
      <c r="H694" s="61">
        <f>16.7342* CHOOSE(CONTROL!$C$19, $C$6, 100%, $E$6)</f>
        <v>16.734200000000001</v>
      </c>
      <c r="I694" s="61">
        <f>16.7344 * CHOOSE(CONTROL!$C$19, $C$6, 100%, $E$6)</f>
        <v>16.734400000000001</v>
      </c>
      <c r="J694" s="61">
        <f>11.981 * CHOOSE(CONTROL!$C$19, $C$6, 100%, $E$6)</f>
        <v>11.981</v>
      </c>
      <c r="K694" s="61">
        <f>11.9812 * CHOOSE(CONTROL!$C$19, $C$6, 100%, $E$6)</f>
        <v>11.981199999999999</v>
      </c>
    </row>
    <row r="695" spans="1:11" ht="15">
      <c r="A695" s="13">
        <v>63221</v>
      </c>
      <c r="B695" s="60">
        <f>10.1006 * CHOOSE(CONTROL!$C$19, $C$6, 100%, $E$6)</f>
        <v>10.1006</v>
      </c>
      <c r="C695" s="60">
        <f>10.1006 * CHOOSE(CONTROL!$C$19, $C$6, 100%, $E$6)</f>
        <v>10.1006</v>
      </c>
      <c r="D695" s="60">
        <f>10.1171 * CHOOSE(CONTROL!$C$19, $C$6, 100%, $E$6)</f>
        <v>10.117100000000001</v>
      </c>
      <c r="E695" s="61">
        <f>11.7849 * CHOOSE(CONTROL!$C$19, $C$6, 100%, $E$6)</f>
        <v>11.7849</v>
      </c>
      <c r="F695" s="61">
        <f>11.7849 * CHOOSE(CONTROL!$C$19, $C$6, 100%, $E$6)</f>
        <v>11.7849</v>
      </c>
      <c r="G695" s="61">
        <f>11.785 * CHOOSE(CONTROL!$C$19, $C$6, 100%, $E$6)</f>
        <v>11.785</v>
      </c>
      <c r="H695" s="61">
        <f>16.7691* CHOOSE(CONTROL!$C$19, $C$6, 100%, $E$6)</f>
        <v>16.769100000000002</v>
      </c>
      <c r="I695" s="61">
        <f>16.7693 * CHOOSE(CONTROL!$C$19, $C$6, 100%, $E$6)</f>
        <v>16.769300000000001</v>
      </c>
      <c r="J695" s="61">
        <f>11.7849 * CHOOSE(CONTROL!$C$19, $C$6, 100%, $E$6)</f>
        <v>11.7849</v>
      </c>
      <c r="K695" s="61">
        <f>11.785 * CHOOSE(CONTROL!$C$19, $C$6, 100%, $E$6)</f>
        <v>11.785</v>
      </c>
    </row>
    <row r="696" spans="1:11" ht="15">
      <c r="A696" s="13">
        <v>63249</v>
      </c>
      <c r="B696" s="60">
        <f>10.0976 * CHOOSE(CONTROL!$C$19, $C$6, 100%, $E$6)</f>
        <v>10.0976</v>
      </c>
      <c r="C696" s="60">
        <f>10.0976 * CHOOSE(CONTROL!$C$19, $C$6, 100%, $E$6)</f>
        <v>10.0976</v>
      </c>
      <c r="D696" s="60">
        <f>10.1141 * CHOOSE(CONTROL!$C$19, $C$6, 100%, $E$6)</f>
        <v>10.114100000000001</v>
      </c>
      <c r="E696" s="61">
        <f>11.9357 * CHOOSE(CONTROL!$C$19, $C$6, 100%, $E$6)</f>
        <v>11.935700000000001</v>
      </c>
      <c r="F696" s="61">
        <f>11.9357 * CHOOSE(CONTROL!$C$19, $C$6, 100%, $E$6)</f>
        <v>11.935700000000001</v>
      </c>
      <c r="G696" s="61">
        <f>11.9359 * CHOOSE(CONTROL!$C$19, $C$6, 100%, $E$6)</f>
        <v>11.9359</v>
      </c>
      <c r="H696" s="61">
        <f>16.804* CHOOSE(CONTROL!$C$19, $C$6, 100%, $E$6)</f>
        <v>16.803999999999998</v>
      </c>
      <c r="I696" s="61">
        <f>16.8042 * CHOOSE(CONTROL!$C$19, $C$6, 100%, $E$6)</f>
        <v>16.804200000000002</v>
      </c>
      <c r="J696" s="61">
        <f>11.9357 * CHOOSE(CONTROL!$C$19, $C$6, 100%, $E$6)</f>
        <v>11.935700000000001</v>
      </c>
      <c r="K696" s="61">
        <f>11.9359 * CHOOSE(CONTROL!$C$19, $C$6, 100%, $E$6)</f>
        <v>11.9359</v>
      </c>
    </row>
    <row r="697" spans="1:11" ht="15">
      <c r="A697" s="13">
        <v>63280</v>
      </c>
      <c r="B697" s="60">
        <f>10.1012 * CHOOSE(CONTROL!$C$19, $C$6, 100%, $E$6)</f>
        <v>10.1012</v>
      </c>
      <c r="C697" s="60">
        <f>10.1012 * CHOOSE(CONTROL!$C$19, $C$6, 100%, $E$6)</f>
        <v>10.1012</v>
      </c>
      <c r="D697" s="60">
        <f>10.1177 * CHOOSE(CONTROL!$C$19, $C$6, 100%, $E$6)</f>
        <v>10.117699999999999</v>
      </c>
      <c r="E697" s="61">
        <f>12.0958 * CHOOSE(CONTROL!$C$19, $C$6, 100%, $E$6)</f>
        <v>12.095800000000001</v>
      </c>
      <c r="F697" s="61">
        <f>12.0958 * CHOOSE(CONTROL!$C$19, $C$6, 100%, $E$6)</f>
        <v>12.095800000000001</v>
      </c>
      <c r="G697" s="61">
        <f>12.0959 * CHOOSE(CONTROL!$C$19, $C$6, 100%, $E$6)</f>
        <v>12.0959</v>
      </c>
      <c r="H697" s="61">
        <f>16.839* CHOOSE(CONTROL!$C$19, $C$6, 100%, $E$6)</f>
        <v>16.838999999999999</v>
      </c>
      <c r="I697" s="61">
        <f>16.8392 * CHOOSE(CONTROL!$C$19, $C$6, 100%, $E$6)</f>
        <v>16.839200000000002</v>
      </c>
      <c r="J697" s="61">
        <f>12.0958 * CHOOSE(CONTROL!$C$19, $C$6, 100%, $E$6)</f>
        <v>12.095800000000001</v>
      </c>
      <c r="K697" s="61">
        <f>12.0959 * CHOOSE(CONTROL!$C$19, $C$6, 100%, $E$6)</f>
        <v>12.0959</v>
      </c>
    </row>
    <row r="698" spans="1:11" ht="15">
      <c r="A698" s="13">
        <v>63310</v>
      </c>
      <c r="B698" s="60">
        <f>10.1012 * CHOOSE(CONTROL!$C$19, $C$6, 100%, $E$6)</f>
        <v>10.1012</v>
      </c>
      <c r="C698" s="60">
        <f>10.1012 * CHOOSE(CONTROL!$C$19, $C$6, 100%, $E$6)</f>
        <v>10.1012</v>
      </c>
      <c r="D698" s="60">
        <f>10.1342 * CHOOSE(CONTROL!$C$19, $C$6, 100%, $E$6)</f>
        <v>10.1342</v>
      </c>
      <c r="E698" s="61">
        <f>12.1574 * CHOOSE(CONTROL!$C$19, $C$6, 100%, $E$6)</f>
        <v>12.157400000000001</v>
      </c>
      <c r="F698" s="61">
        <f>12.1574 * CHOOSE(CONTROL!$C$19, $C$6, 100%, $E$6)</f>
        <v>12.157400000000001</v>
      </c>
      <c r="G698" s="61">
        <f>12.1594 * CHOOSE(CONTROL!$C$19, $C$6, 100%, $E$6)</f>
        <v>12.1594</v>
      </c>
      <c r="H698" s="61">
        <f>16.8741* CHOOSE(CONTROL!$C$19, $C$6, 100%, $E$6)</f>
        <v>16.874099999999999</v>
      </c>
      <c r="I698" s="61">
        <f>16.8762 * CHOOSE(CONTROL!$C$19, $C$6, 100%, $E$6)</f>
        <v>16.876200000000001</v>
      </c>
      <c r="J698" s="61">
        <f>12.1574 * CHOOSE(CONTROL!$C$19, $C$6, 100%, $E$6)</f>
        <v>12.157400000000001</v>
      </c>
      <c r="K698" s="61">
        <f>12.1594 * CHOOSE(CONTROL!$C$19, $C$6, 100%, $E$6)</f>
        <v>12.1594</v>
      </c>
    </row>
    <row r="699" spans="1:11" ht="15">
      <c r="A699" s="13">
        <v>63341</v>
      </c>
      <c r="B699" s="60">
        <f>10.1073 * CHOOSE(CONTROL!$C$19, $C$6, 100%, $E$6)</f>
        <v>10.1073</v>
      </c>
      <c r="C699" s="60">
        <f>10.1073 * CHOOSE(CONTROL!$C$19, $C$6, 100%, $E$6)</f>
        <v>10.1073</v>
      </c>
      <c r="D699" s="60">
        <f>10.1403 * CHOOSE(CONTROL!$C$19, $C$6, 100%, $E$6)</f>
        <v>10.1403</v>
      </c>
      <c r="E699" s="61">
        <f>12.1 * CHOOSE(CONTROL!$C$19, $C$6, 100%, $E$6)</f>
        <v>12.1</v>
      </c>
      <c r="F699" s="61">
        <f>12.1 * CHOOSE(CONTROL!$C$19, $C$6, 100%, $E$6)</f>
        <v>12.1</v>
      </c>
      <c r="G699" s="61">
        <f>12.1021 * CHOOSE(CONTROL!$C$19, $C$6, 100%, $E$6)</f>
        <v>12.1021</v>
      </c>
      <c r="H699" s="61">
        <f>16.9093* CHOOSE(CONTROL!$C$19, $C$6, 100%, $E$6)</f>
        <v>16.909300000000002</v>
      </c>
      <c r="I699" s="61">
        <f>16.9113 * CHOOSE(CONTROL!$C$19, $C$6, 100%, $E$6)</f>
        <v>16.911300000000001</v>
      </c>
      <c r="J699" s="61">
        <f>12.1 * CHOOSE(CONTROL!$C$19, $C$6, 100%, $E$6)</f>
        <v>12.1</v>
      </c>
      <c r="K699" s="61">
        <f>12.1021 * CHOOSE(CONTROL!$C$19, $C$6, 100%, $E$6)</f>
        <v>12.1021</v>
      </c>
    </row>
    <row r="700" spans="1:11" ht="15">
      <c r="A700" s="13">
        <v>63371</v>
      </c>
      <c r="B700" s="60">
        <f>10.2505 * CHOOSE(CONTROL!$C$19, $C$6, 100%, $E$6)</f>
        <v>10.250500000000001</v>
      </c>
      <c r="C700" s="60">
        <f>10.2505 * CHOOSE(CONTROL!$C$19, $C$6, 100%, $E$6)</f>
        <v>10.250500000000001</v>
      </c>
      <c r="D700" s="60">
        <f>10.2835 * CHOOSE(CONTROL!$C$19, $C$6, 100%, $E$6)</f>
        <v>10.2835</v>
      </c>
      <c r="E700" s="61">
        <f>12.322 * CHOOSE(CONTROL!$C$19, $C$6, 100%, $E$6)</f>
        <v>12.321999999999999</v>
      </c>
      <c r="F700" s="61">
        <f>12.322 * CHOOSE(CONTROL!$C$19, $C$6, 100%, $E$6)</f>
        <v>12.321999999999999</v>
      </c>
      <c r="G700" s="61">
        <f>12.324 * CHOOSE(CONTROL!$C$19, $C$6, 100%, $E$6)</f>
        <v>12.324</v>
      </c>
      <c r="H700" s="61">
        <f>16.9445* CHOOSE(CONTROL!$C$19, $C$6, 100%, $E$6)</f>
        <v>16.944500000000001</v>
      </c>
      <c r="I700" s="61">
        <f>16.9465 * CHOOSE(CONTROL!$C$19, $C$6, 100%, $E$6)</f>
        <v>16.9465</v>
      </c>
      <c r="J700" s="61">
        <f>12.322 * CHOOSE(CONTROL!$C$19, $C$6, 100%, $E$6)</f>
        <v>12.321999999999999</v>
      </c>
      <c r="K700" s="61">
        <f>12.324 * CHOOSE(CONTROL!$C$19, $C$6, 100%, $E$6)</f>
        <v>12.324</v>
      </c>
    </row>
    <row r="701" spans="1:11" ht="15">
      <c r="A701" s="13">
        <v>63402</v>
      </c>
      <c r="B701" s="60">
        <f>10.2571 * CHOOSE(CONTROL!$C$19, $C$6, 100%, $E$6)</f>
        <v>10.257099999999999</v>
      </c>
      <c r="C701" s="60">
        <f>10.2571 * CHOOSE(CONTROL!$C$19, $C$6, 100%, $E$6)</f>
        <v>10.257099999999999</v>
      </c>
      <c r="D701" s="60">
        <f>10.2901 * CHOOSE(CONTROL!$C$19, $C$6, 100%, $E$6)</f>
        <v>10.290100000000001</v>
      </c>
      <c r="E701" s="61">
        <f>12.1418 * CHOOSE(CONTROL!$C$19, $C$6, 100%, $E$6)</f>
        <v>12.1418</v>
      </c>
      <c r="F701" s="61">
        <f>12.1418 * CHOOSE(CONTROL!$C$19, $C$6, 100%, $E$6)</f>
        <v>12.1418</v>
      </c>
      <c r="G701" s="61">
        <f>12.1439 * CHOOSE(CONTROL!$C$19, $C$6, 100%, $E$6)</f>
        <v>12.1439</v>
      </c>
      <c r="H701" s="61">
        <f>16.9798* CHOOSE(CONTROL!$C$19, $C$6, 100%, $E$6)</f>
        <v>16.979800000000001</v>
      </c>
      <c r="I701" s="61">
        <f>16.9818 * CHOOSE(CONTROL!$C$19, $C$6, 100%, $E$6)</f>
        <v>16.9818</v>
      </c>
      <c r="J701" s="61">
        <f>12.1418 * CHOOSE(CONTROL!$C$19, $C$6, 100%, $E$6)</f>
        <v>12.1418</v>
      </c>
      <c r="K701" s="61">
        <f>12.1439 * CHOOSE(CONTROL!$C$19, $C$6, 100%, $E$6)</f>
        <v>12.1439</v>
      </c>
    </row>
    <row r="702" spans="1:11" ht="15">
      <c r="A702" s="13">
        <v>63433</v>
      </c>
      <c r="B702" s="60">
        <f>10.2541 * CHOOSE(CONTROL!$C$19, $C$6, 100%, $E$6)</f>
        <v>10.254099999999999</v>
      </c>
      <c r="C702" s="60">
        <f>10.2541 * CHOOSE(CONTROL!$C$19, $C$6, 100%, $E$6)</f>
        <v>10.254099999999999</v>
      </c>
      <c r="D702" s="60">
        <f>10.2871 * CHOOSE(CONTROL!$C$19, $C$6, 100%, $E$6)</f>
        <v>10.287100000000001</v>
      </c>
      <c r="E702" s="61">
        <f>12.1192 * CHOOSE(CONTROL!$C$19, $C$6, 100%, $E$6)</f>
        <v>12.119199999999999</v>
      </c>
      <c r="F702" s="61">
        <f>12.1192 * CHOOSE(CONTROL!$C$19, $C$6, 100%, $E$6)</f>
        <v>12.119199999999999</v>
      </c>
      <c r="G702" s="61">
        <f>12.1212 * CHOOSE(CONTROL!$C$19, $C$6, 100%, $E$6)</f>
        <v>12.1212</v>
      </c>
      <c r="H702" s="61">
        <f>17.0152* CHOOSE(CONTROL!$C$19, $C$6, 100%, $E$6)</f>
        <v>17.0152</v>
      </c>
      <c r="I702" s="61">
        <f>17.0172 * CHOOSE(CONTROL!$C$19, $C$6, 100%, $E$6)</f>
        <v>17.017199999999999</v>
      </c>
      <c r="J702" s="61">
        <f>12.1192 * CHOOSE(CONTROL!$C$19, $C$6, 100%, $E$6)</f>
        <v>12.119199999999999</v>
      </c>
      <c r="K702" s="61">
        <f>12.1212 * CHOOSE(CONTROL!$C$19, $C$6, 100%, $E$6)</f>
        <v>12.1212</v>
      </c>
    </row>
    <row r="703" spans="1:11" ht="15">
      <c r="A703" s="13">
        <v>63463</v>
      </c>
      <c r="B703" s="60">
        <f>10.2729 * CHOOSE(CONTROL!$C$19, $C$6, 100%, $E$6)</f>
        <v>10.2729</v>
      </c>
      <c r="C703" s="60">
        <f>10.2729 * CHOOSE(CONTROL!$C$19, $C$6, 100%, $E$6)</f>
        <v>10.2729</v>
      </c>
      <c r="D703" s="60">
        <f>10.2894 * CHOOSE(CONTROL!$C$19, $C$6, 100%, $E$6)</f>
        <v>10.289400000000001</v>
      </c>
      <c r="E703" s="61">
        <f>12.1879 * CHOOSE(CONTROL!$C$19, $C$6, 100%, $E$6)</f>
        <v>12.187900000000001</v>
      </c>
      <c r="F703" s="61">
        <f>12.1879 * CHOOSE(CONTROL!$C$19, $C$6, 100%, $E$6)</f>
        <v>12.187900000000001</v>
      </c>
      <c r="G703" s="61">
        <f>12.1881 * CHOOSE(CONTROL!$C$19, $C$6, 100%, $E$6)</f>
        <v>12.1881</v>
      </c>
      <c r="H703" s="61">
        <f>17.0506* CHOOSE(CONTROL!$C$19, $C$6, 100%, $E$6)</f>
        <v>17.050599999999999</v>
      </c>
      <c r="I703" s="61">
        <f>17.0508 * CHOOSE(CONTROL!$C$19, $C$6, 100%, $E$6)</f>
        <v>17.050799999999999</v>
      </c>
      <c r="J703" s="61">
        <f>12.1879 * CHOOSE(CONTROL!$C$19, $C$6, 100%, $E$6)</f>
        <v>12.187900000000001</v>
      </c>
      <c r="K703" s="61">
        <f>12.1881 * CHOOSE(CONTROL!$C$19, $C$6, 100%, $E$6)</f>
        <v>12.1881</v>
      </c>
    </row>
    <row r="704" spans="1:11" ht="15">
      <c r="A704" s="13">
        <v>63494</v>
      </c>
      <c r="B704" s="60">
        <f>10.276 * CHOOSE(CONTROL!$C$19, $C$6, 100%, $E$6)</f>
        <v>10.276</v>
      </c>
      <c r="C704" s="60">
        <f>10.276 * CHOOSE(CONTROL!$C$19, $C$6, 100%, $E$6)</f>
        <v>10.276</v>
      </c>
      <c r="D704" s="60">
        <f>10.2925 * CHOOSE(CONTROL!$C$19, $C$6, 100%, $E$6)</f>
        <v>10.2925</v>
      </c>
      <c r="E704" s="61">
        <f>12.2311 * CHOOSE(CONTROL!$C$19, $C$6, 100%, $E$6)</f>
        <v>12.2311</v>
      </c>
      <c r="F704" s="61">
        <f>12.2311 * CHOOSE(CONTROL!$C$19, $C$6, 100%, $E$6)</f>
        <v>12.2311</v>
      </c>
      <c r="G704" s="61">
        <f>12.2312 * CHOOSE(CONTROL!$C$19, $C$6, 100%, $E$6)</f>
        <v>12.231199999999999</v>
      </c>
      <c r="H704" s="61">
        <f>17.0861* CHOOSE(CONTROL!$C$19, $C$6, 100%, $E$6)</f>
        <v>17.086099999999998</v>
      </c>
      <c r="I704" s="61">
        <f>17.0863 * CHOOSE(CONTROL!$C$19, $C$6, 100%, $E$6)</f>
        <v>17.086300000000001</v>
      </c>
      <c r="J704" s="61">
        <f>12.2311 * CHOOSE(CONTROL!$C$19, $C$6, 100%, $E$6)</f>
        <v>12.2311</v>
      </c>
      <c r="K704" s="61">
        <f>12.2312 * CHOOSE(CONTROL!$C$19, $C$6, 100%, $E$6)</f>
        <v>12.231199999999999</v>
      </c>
    </row>
    <row r="705" spans="1:11" ht="15">
      <c r="A705" s="13">
        <v>63524</v>
      </c>
      <c r="B705" s="60">
        <f>10.276 * CHOOSE(CONTROL!$C$19, $C$6, 100%, $E$6)</f>
        <v>10.276</v>
      </c>
      <c r="C705" s="60">
        <f>10.276 * CHOOSE(CONTROL!$C$19, $C$6, 100%, $E$6)</f>
        <v>10.276</v>
      </c>
      <c r="D705" s="60">
        <f>10.2925 * CHOOSE(CONTROL!$C$19, $C$6, 100%, $E$6)</f>
        <v>10.2925</v>
      </c>
      <c r="E705" s="61">
        <f>12.1284 * CHOOSE(CONTROL!$C$19, $C$6, 100%, $E$6)</f>
        <v>12.128399999999999</v>
      </c>
      <c r="F705" s="61">
        <f>12.1284 * CHOOSE(CONTROL!$C$19, $C$6, 100%, $E$6)</f>
        <v>12.128399999999999</v>
      </c>
      <c r="G705" s="61">
        <f>12.1286 * CHOOSE(CONTROL!$C$19, $C$6, 100%, $E$6)</f>
        <v>12.1286</v>
      </c>
      <c r="H705" s="61">
        <f>17.1217* CHOOSE(CONTROL!$C$19, $C$6, 100%, $E$6)</f>
        <v>17.121700000000001</v>
      </c>
      <c r="I705" s="61">
        <f>17.1219 * CHOOSE(CONTROL!$C$19, $C$6, 100%, $E$6)</f>
        <v>17.1219</v>
      </c>
      <c r="J705" s="61">
        <f>12.1284 * CHOOSE(CONTROL!$C$19, $C$6, 100%, $E$6)</f>
        <v>12.128399999999999</v>
      </c>
      <c r="K705" s="61">
        <f>12.1286 * CHOOSE(CONTROL!$C$19, $C$6, 100%, $E$6)</f>
        <v>12.1286</v>
      </c>
    </row>
    <row r="706" spans="1:11" ht="15">
      <c r="A706" s="13">
        <v>63555</v>
      </c>
      <c r="B706" s="60">
        <f>10.3002 * CHOOSE(CONTROL!$C$19, $C$6, 100%, $E$6)</f>
        <v>10.3002</v>
      </c>
      <c r="C706" s="60">
        <f>10.3002 * CHOOSE(CONTROL!$C$19, $C$6, 100%, $E$6)</f>
        <v>10.3002</v>
      </c>
      <c r="D706" s="60">
        <f>10.3168 * CHOOSE(CONTROL!$C$19, $C$6, 100%, $E$6)</f>
        <v>10.316800000000001</v>
      </c>
      <c r="E706" s="61">
        <f>12.2329 * CHOOSE(CONTROL!$C$19, $C$6, 100%, $E$6)</f>
        <v>12.232900000000001</v>
      </c>
      <c r="F706" s="61">
        <f>12.2329 * CHOOSE(CONTROL!$C$19, $C$6, 100%, $E$6)</f>
        <v>12.232900000000001</v>
      </c>
      <c r="G706" s="61">
        <f>12.233 * CHOOSE(CONTROL!$C$19, $C$6, 100%, $E$6)</f>
        <v>12.233000000000001</v>
      </c>
      <c r="H706" s="61">
        <f>17.0589* CHOOSE(CONTROL!$C$19, $C$6, 100%, $E$6)</f>
        <v>17.058900000000001</v>
      </c>
      <c r="I706" s="61">
        <f>17.0591 * CHOOSE(CONTROL!$C$19, $C$6, 100%, $E$6)</f>
        <v>17.059100000000001</v>
      </c>
      <c r="J706" s="61">
        <f>12.2329 * CHOOSE(CONTROL!$C$19, $C$6, 100%, $E$6)</f>
        <v>12.232900000000001</v>
      </c>
      <c r="K706" s="61">
        <f>12.233 * CHOOSE(CONTROL!$C$19, $C$6, 100%, $E$6)</f>
        <v>12.233000000000001</v>
      </c>
    </row>
    <row r="707" spans="1:11" ht="15">
      <c r="A707" s="13">
        <v>63586</v>
      </c>
      <c r="B707" s="60">
        <f>10.2972 * CHOOSE(CONTROL!$C$19, $C$6, 100%, $E$6)</f>
        <v>10.2972</v>
      </c>
      <c r="C707" s="60">
        <f>10.2972 * CHOOSE(CONTROL!$C$19, $C$6, 100%, $E$6)</f>
        <v>10.2972</v>
      </c>
      <c r="D707" s="60">
        <f>10.3137 * CHOOSE(CONTROL!$C$19, $C$6, 100%, $E$6)</f>
        <v>10.313700000000001</v>
      </c>
      <c r="E707" s="61">
        <f>12.0322 * CHOOSE(CONTROL!$C$19, $C$6, 100%, $E$6)</f>
        <v>12.0322</v>
      </c>
      <c r="F707" s="61">
        <f>12.0322 * CHOOSE(CONTROL!$C$19, $C$6, 100%, $E$6)</f>
        <v>12.0322</v>
      </c>
      <c r="G707" s="61">
        <f>12.0324 * CHOOSE(CONTROL!$C$19, $C$6, 100%, $E$6)</f>
        <v>12.032400000000001</v>
      </c>
      <c r="H707" s="61">
        <f>17.0944* CHOOSE(CONTROL!$C$19, $C$6, 100%, $E$6)</f>
        <v>17.0944</v>
      </c>
      <c r="I707" s="61">
        <f>17.0946 * CHOOSE(CONTROL!$C$19, $C$6, 100%, $E$6)</f>
        <v>17.0946</v>
      </c>
      <c r="J707" s="61">
        <f>12.0322 * CHOOSE(CONTROL!$C$19, $C$6, 100%, $E$6)</f>
        <v>12.0322</v>
      </c>
      <c r="K707" s="61">
        <f>12.0324 * CHOOSE(CONTROL!$C$19, $C$6, 100%, $E$6)</f>
        <v>12.032400000000001</v>
      </c>
    </row>
    <row r="708" spans="1:11" ht="15">
      <c r="A708" s="13">
        <v>63614</v>
      </c>
      <c r="B708" s="60">
        <f>10.2942 * CHOOSE(CONTROL!$C$19, $C$6, 100%, $E$6)</f>
        <v>10.2942</v>
      </c>
      <c r="C708" s="60">
        <f>10.2942 * CHOOSE(CONTROL!$C$19, $C$6, 100%, $E$6)</f>
        <v>10.2942</v>
      </c>
      <c r="D708" s="60">
        <f>10.3107 * CHOOSE(CONTROL!$C$19, $C$6, 100%, $E$6)</f>
        <v>10.310700000000001</v>
      </c>
      <c r="E708" s="61">
        <f>12.1866 * CHOOSE(CONTROL!$C$19, $C$6, 100%, $E$6)</f>
        <v>12.1866</v>
      </c>
      <c r="F708" s="61">
        <f>12.1866 * CHOOSE(CONTROL!$C$19, $C$6, 100%, $E$6)</f>
        <v>12.1866</v>
      </c>
      <c r="G708" s="61">
        <f>12.1868 * CHOOSE(CONTROL!$C$19, $C$6, 100%, $E$6)</f>
        <v>12.1868</v>
      </c>
      <c r="H708" s="61">
        <f>17.13* CHOOSE(CONTROL!$C$19, $C$6, 100%, $E$6)</f>
        <v>17.13</v>
      </c>
      <c r="I708" s="61">
        <f>17.1302 * CHOOSE(CONTROL!$C$19, $C$6, 100%, $E$6)</f>
        <v>17.130199999999999</v>
      </c>
      <c r="J708" s="61">
        <f>12.1866 * CHOOSE(CONTROL!$C$19, $C$6, 100%, $E$6)</f>
        <v>12.1866</v>
      </c>
      <c r="K708" s="61">
        <f>12.1868 * CHOOSE(CONTROL!$C$19, $C$6, 100%, $E$6)</f>
        <v>12.1868</v>
      </c>
    </row>
    <row r="709" spans="1:11" ht="15">
      <c r="A709" s="13">
        <v>63645</v>
      </c>
      <c r="B709" s="60">
        <f>10.298 * CHOOSE(CONTROL!$C$19, $C$6, 100%, $E$6)</f>
        <v>10.298</v>
      </c>
      <c r="C709" s="60">
        <f>10.298 * CHOOSE(CONTROL!$C$19, $C$6, 100%, $E$6)</f>
        <v>10.298</v>
      </c>
      <c r="D709" s="60">
        <f>10.3145 * CHOOSE(CONTROL!$C$19, $C$6, 100%, $E$6)</f>
        <v>10.314500000000001</v>
      </c>
      <c r="E709" s="61">
        <f>12.3504 * CHOOSE(CONTROL!$C$19, $C$6, 100%, $E$6)</f>
        <v>12.3504</v>
      </c>
      <c r="F709" s="61">
        <f>12.3504 * CHOOSE(CONTROL!$C$19, $C$6, 100%, $E$6)</f>
        <v>12.3504</v>
      </c>
      <c r="G709" s="61">
        <f>12.3506 * CHOOSE(CONTROL!$C$19, $C$6, 100%, $E$6)</f>
        <v>12.3506</v>
      </c>
      <c r="H709" s="61">
        <f>17.1657* CHOOSE(CONTROL!$C$19, $C$6, 100%, $E$6)</f>
        <v>17.165700000000001</v>
      </c>
      <c r="I709" s="61">
        <f>17.1659 * CHOOSE(CONTROL!$C$19, $C$6, 100%, $E$6)</f>
        <v>17.165900000000001</v>
      </c>
      <c r="J709" s="61">
        <f>12.3504 * CHOOSE(CONTROL!$C$19, $C$6, 100%, $E$6)</f>
        <v>12.3504</v>
      </c>
      <c r="K709" s="61">
        <f>12.3506 * CHOOSE(CONTROL!$C$19, $C$6, 100%, $E$6)</f>
        <v>12.3506</v>
      </c>
    </row>
    <row r="710" spans="1:11" ht="15">
      <c r="A710" s="13">
        <v>63675</v>
      </c>
      <c r="B710" s="60">
        <f>10.298 * CHOOSE(CONTROL!$C$19, $C$6, 100%, $E$6)</f>
        <v>10.298</v>
      </c>
      <c r="C710" s="60">
        <f>10.298 * CHOOSE(CONTROL!$C$19, $C$6, 100%, $E$6)</f>
        <v>10.298</v>
      </c>
      <c r="D710" s="60">
        <f>10.331 * CHOOSE(CONTROL!$C$19, $C$6, 100%, $E$6)</f>
        <v>10.331</v>
      </c>
      <c r="E710" s="61">
        <f>12.4135 * CHOOSE(CONTROL!$C$19, $C$6, 100%, $E$6)</f>
        <v>12.413500000000001</v>
      </c>
      <c r="F710" s="61">
        <f>12.4135 * CHOOSE(CONTROL!$C$19, $C$6, 100%, $E$6)</f>
        <v>12.413500000000001</v>
      </c>
      <c r="G710" s="61">
        <f>12.4155 * CHOOSE(CONTROL!$C$19, $C$6, 100%, $E$6)</f>
        <v>12.4155</v>
      </c>
      <c r="H710" s="61">
        <f>17.2015* CHOOSE(CONTROL!$C$19, $C$6, 100%, $E$6)</f>
        <v>17.201499999999999</v>
      </c>
      <c r="I710" s="61">
        <f>17.2035 * CHOOSE(CONTROL!$C$19, $C$6, 100%, $E$6)</f>
        <v>17.203499999999998</v>
      </c>
      <c r="J710" s="61">
        <f>12.4135 * CHOOSE(CONTROL!$C$19, $C$6, 100%, $E$6)</f>
        <v>12.413500000000001</v>
      </c>
      <c r="K710" s="61">
        <f>12.4155 * CHOOSE(CONTROL!$C$19, $C$6, 100%, $E$6)</f>
        <v>12.4155</v>
      </c>
    </row>
    <row r="711" spans="1:11" ht="15">
      <c r="A711" s="13">
        <v>63706</v>
      </c>
      <c r="B711" s="60">
        <f>10.3041 * CHOOSE(CONTROL!$C$19, $C$6, 100%, $E$6)</f>
        <v>10.3041</v>
      </c>
      <c r="C711" s="60">
        <f>10.3041 * CHOOSE(CONTROL!$C$19, $C$6, 100%, $E$6)</f>
        <v>10.3041</v>
      </c>
      <c r="D711" s="60">
        <f>10.3371 * CHOOSE(CONTROL!$C$19, $C$6, 100%, $E$6)</f>
        <v>10.3371</v>
      </c>
      <c r="E711" s="61">
        <f>12.3547 * CHOOSE(CONTROL!$C$19, $C$6, 100%, $E$6)</f>
        <v>12.354699999999999</v>
      </c>
      <c r="F711" s="61">
        <f>12.3547 * CHOOSE(CONTROL!$C$19, $C$6, 100%, $E$6)</f>
        <v>12.354699999999999</v>
      </c>
      <c r="G711" s="61">
        <f>12.3567 * CHOOSE(CONTROL!$C$19, $C$6, 100%, $E$6)</f>
        <v>12.3567</v>
      </c>
      <c r="H711" s="61">
        <f>17.2373* CHOOSE(CONTROL!$C$19, $C$6, 100%, $E$6)</f>
        <v>17.237300000000001</v>
      </c>
      <c r="I711" s="61">
        <f>17.2394 * CHOOSE(CONTROL!$C$19, $C$6, 100%, $E$6)</f>
        <v>17.2394</v>
      </c>
      <c r="J711" s="61">
        <f>12.3547 * CHOOSE(CONTROL!$C$19, $C$6, 100%, $E$6)</f>
        <v>12.354699999999999</v>
      </c>
      <c r="K711" s="61">
        <f>12.3567 * CHOOSE(CONTROL!$C$19, $C$6, 100%, $E$6)</f>
        <v>12.3567</v>
      </c>
    </row>
    <row r="712" spans="1:11" ht="15">
      <c r="A712" s="13">
        <v>63736</v>
      </c>
      <c r="B712" s="60">
        <f>10.4498 * CHOOSE(CONTROL!$C$19, $C$6, 100%, $E$6)</f>
        <v>10.4498</v>
      </c>
      <c r="C712" s="60">
        <f>10.4498 * CHOOSE(CONTROL!$C$19, $C$6, 100%, $E$6)</f>
        <v>10.4498</v>
      </c>
      <c r="D712" s="60">
        <f>10.4828 * CHOOSE(CONTROL!$C$19, $C$6, 100%, $E$6)</f>
        <v>10.482799999999999</v>
      </c>
      <c r="E712" s="61">
        <f>12.5811 * CHOOSE(CONTROL!$C$19, $C$6, 100%, $E$6)</f>
        <v>12.581099999999999</v>
      </c>
      <c r="F712" s="61">
        <f>12.5811 * CHOOSE(CONTROL!$C$19, $C$6, 100%, $E$6)</f>
        <v>12.581099999999999</v>
      </c>
      <c r="G712" s="61">
        <f>12.5831 * CHOOSE(CONTROL!$C$19, $C$6, 100%, $E$6)</f>
        <v>12.5831</v>
      </c>
      <c r="H712" s="61">
        <f>17.2732* CHOOSE(CONTROL!$C$19, $C$6, 100%, $E$6)</f>
        <v>17.273199999999999</v>
      </c>
      <c r="I712" s="61">
        <f>17.2753 * CHOOSE(CONTROL!$C$19, $C$6, 100%, $E$6)</f>
        <v>17.275300000000001</v>
      </c>
      <c r="J712" s="61">
        <f>12.5811 * CHOOSE(CONTROL!$C$19, $C$6, 100%, $E$6)</f>
        <v>12.581099999999999</v>
      </c>
      <c r="K712" s="61">
        <f>12.5831 * CHOOSE(CONTROL!$C$19, $C$6, 100%, $E$6)</f>
        <v>12.5831</v>
      </c>
    </row>
    <row r="713" spans="1:11" ht="15">
      <c r="A713" s="13">
        <v>63767</v>
      </c>
      <c r="B713" s="60">
        <f>10.4565 * CHOOSE(CONTROL!$C$19, $C$6, 100%, $E$6)</f>
        <v>10.4565</v>
      </c>
      <c r="C713" s="60">
        <f>10.4565 * CHOOSE(CONTROL!$C$19, $C$6, 100%, $E$6)</f>
        <v>10.4565</v>
      </c>
      <c r="D713" s="60">
        <f>10.4895 * CHOOSE(CONTROL!$C$19, $C$6, 100%, $E$6)</f>
        <v>10.4895</v>
      </c>
      <c r="E713" s="61">
        <f>12.3967 * CHOOSE(CONTROL!$C$19, $C$6, 100%, $E$6)</f>
        <v>12.396699999999999</v>
      </c>
      <c r="F713" s="61">
        <f>12.3967 * CHOOSE(CONTROL!$C$19, $C$6, 100%, $E$6)</f>
        <v>12.396699999999999</v>
      </c>
      <c r="G713" s="61">
        <f>12.3987 * CHOOSE(CONTROL!$C$19, $C$6, 100%, $E$6)</f>
        <v>12.3987</v>
      </c>
      <c r="H713" s="61">
        <f>17.3092* CHOOSE(CONTROL!$C$19, $C$6, 100%, $E$6)</f>
        <v>17.309200000000001</v>
      </c>
      <c r="I713" s="61">
        <f>17.3113 * CHOOSE(CONTROL!$C$19, $C$6, 100%, $E$6)</f>
        <v>17.311299999999999</v>
      </c>
      <c r="J713" s="61">
        <f>12.3967 * CHOOSE(CONTROL!$C$19, $C$6, 100%, $E$6)</f>
        <v>12.396699999999999</v>
      </c>
      <c r="K713" s="61">
        <f>12.3987 * CHOOSE(CONTROL!$C$19, $C$6, 100%, $E$6)</f>
        <v>12.3987</v>
      </c>
    </row>
    <row r="714" spans="1:11" ht="15">
      <c r="A714" s="13">
        <v>63798</v>
      </c>
      <c r="B714" s="60">
        <f>10.4534 * CHOOSE(CONTROL!$C$19, $C$6, 100%, $E$6)</f>
        <v>10.4534</v>
      </c>
      <c r="C714" s="60">
        <f>10.4534 * CHOOSE(CONTROL!$C$19, $C$6, 100%, $E$6)</f>
        <v>10.4534</v>
      </c>
      <c r="D714" s="60">
        <f>10.4864 * CHOOSE(CONTROL!$C$19, $C$6, 100%, $E$6)</f>
        <v>10.4864</v>
      </c>
      <c r="E714" s="61">
        <f>12.3735 * CHOOSE(CONTROL!$C$19, $C$6, 100%, $E$6)</f>
        <v>12.3735</v>
      </c>
      <c r="F714" s="61">
        <f>12.3735 * CHOOSE(CONTROL!$C$19, $C$6, 100%, $E$6)</f>
        <v>12.3735</v>
      </c>
      <c r="G714" s="61">
        <f>12.3756 * CHOOSE(CONTROL!$C$19, $C$6, 100%, $E$6)</f>
        <v>12.3756</v>
      </c>
      <c r="H714" s="61">
        <f>17.3453* CHOOSE(CONTROL!$C$19, $C$6, 100%, $E$6)</f>
        <v>17.345300000000002</v>
      </c>
      <c r="I714" s="61">
        <f>17.3473 * CHOOSE(CONTROL!$C$19, $C$6, 100%, $E$6)</f>
        <v>17.347300000000001</v>
      </c>
      <c r="J714" s="61">
        <f>12.3735 * CHOOSE(CONTROL!$C$19, $C$6, 100%, $E$6)</f>
        <v>12.3735</v>
      </c>
      <c r="K714" s="61">
        <f>12.3756 * CHOOSE(CONTROL!$C$19, $C$6, 100%, $E$6)</f>
        <v>12.3756</v>
      </c>
    </row>
    <row r="715" spans="1:11" ht="15">
      <c r="A715" s="13">
        <v>63828</v>
      </c>
      <c r="B715" s="60">
        <f>10.473 * CHOOSE(CONTROL!$C$19, $C$6, 100%, $E$6)</f>
        <v>10.473000000000001</v>
      </c>
      <c r="C715" s="60">
        <f>10.473 * CHOOSE(CONTROL!$C$19, $C$6, 100%, $E$6)</f>
        <v>10.473000000000001</v>
      </c>
      <c r="D715" s="60">
        <f>10.4895 * CHOOSE(CONTROL!$C$19, $C$6, 100%, $E$6)</f>
        <v>10.4895</v>
      </c>
      <c r="E715" s="61">
        <f>12.4441 * CHOOSE(CONTROL!$C$19, $C$6, 100%, $E$6)</f>
        <v>12.444100000000001</v>
      </c>
      <c r="F715" s="61">
        <f>12.4441 * CHOOSE(CONTROL!$C$19, $C$6, 100%, $E$6)</f>
        <v>12.444100000000001</v>
      </c>
      <c r="G715" s="61">
        <f>12.4443 * CHOOSE(CONTROL!$C$19, $C$6, 100%, $E$6)</f>
        <v>12.4443</v>
      </c>
      <c r="H715" s="61">
        <f>17.3814* CHOOSE(CONTROL!$C$19, $C$6, 100%, $E$6)</f>
        <v>17.381399999999999</v>
      </c>
      <c r="I715" s="61">
        <f>17.3816 * CHOOSE(CONTROL!$C$19, $C$6, 100%, $E$6)</f>
        <v>17.381599999999999</v>
      </c>
      <c r="J715" s="61">
        <f>12.4441 * CHOOSE(CONTROL!$C$19, $C$6, 100%, $E$6)</f>
        <v>12.444100000000001</v>
      </c>
      <c r="K715" s="61">
        <f>12.4443 * CHOOSE(CONTROL!$C$19, $C$6, 100%, $E$6)</f>
        <v>12.4443</v>
      </c>
    </row>
    <row r="716" spans="1:11" ht="15">
      <c r="A716" s="13">
        <v>63859</v>
      </c>
      <c r="B716" s="60">
        <f>10.476 * CHOOSE(CONTROL!$C$19, $C$6, 100%, $E$6)</f>
        <v>10.476000000000001</v>
      </c>
      <c r="C716" s="60">
        <f>10.476 * CHOOSE(CONTROL!$C$19, $C$6, 100%, $E$6)</f>
        <v>10.476000000000001</v>
      </c>
      <c r="D716" s="60">
        <f>10.4925 * CHOOSE(CONTROL!$C$19, $C$6, 100%, $E$6)</f>
        <v>10.4925</v>
      </c>
      <c r="E716" s="61">
        <f>12.4883 * CHOOSE(CONTROL!$C$19, $C$6, 100%, $E$6)</f>
        <v>12.488300000000001</v>
      </c>
      <c r="F716" s="61">
        <f>12.4883 * CHOOSE(CONTROL!$C$19, $C$6, 100%, $E$6)</f>
        <v>12.488300000000001</v>
      </c>
      <c r="G716" s="61">
        <f>12.4885 * CHOOSE(CONTROL!$C$19, $C$6, 100%, $E$6)</f>
        <v>12.4885</v>
      </c>
      <c r="H716" s="61">
        <f>17.4176* CHOOSE(CONTROL!$C$19, $C$6, 100%, $E$6)</f>
        <v>17.4176</v>
      </c>
      <c r="I716" s="61">
        <f>17.4178 * CHOOSE(CONTROL!$C$19, $C$6, 100%, $E$6)</f>
        <v>17.4178</v>
      </c>
      <c r="J716" s="61">
        <f>12.4883 * CHOOSE(CONTROL!$C$19, $C$6, 100%, $E$6)</f>
        <v>12.488300000000001</v>
      </c>
      <c r="K716" s="61">
        <f>12.4885 * CHOOSE(CONTROL!$C$19, $C$6, 100%, $E$6)</f>
        <v>12.4885</v>
      </c>
    </row>
    <row r="717" spans="1:11" ht="15">
      <c r="A717" s="13">
        <v>63889</v>
      </c>
      <c r="B717" s="60">
        <f>10.476 * CHOOSE(CONTROL!$C$19, $C$6, 100%, $E$6)</f>
        <v>10.476000000000001</v>
      </c>
      <c r="C717" s="60">
        <f>10.476 * CHOOSE(CONTROL!$C$19, $C$6, 100%, $E$6)</f>
        <v>10.476000000000001</v>
      </c>
      <c r="D717" s="60">
        <f>10.4925 * CHOOSE(CONTROL!$C$19, $C$6, 100%, $E$6)</f>
        <v>10.4925</v>
      </c>
      <c r="E717" s="61">
        <f>12.3832 * CHOOSE(CONTROL!$C$19, $C$6, 100%, $E$6)</f>
        <v>12.3832</v>
      </c>
      <c r="F717" s="61">
        <f>12.3832 * CHOOSE(CONTROL!$C$19, $C$6, 100%, $E$6)</f>
        <v>12.3832</v>
      </c>
      <c r="G717" s="61">
        <f>12.3834 * CHOOSE(CONTROL!$C$19, $C$6, 100%, $E$6)</f>
        <v>12.3834</v>
      </c>
      <c r="H717" s="61">
        <f>17.4539* CHOOSE(CONTROL!$C$19, $C$6, 100%, $E$6)</f>
        <v>17.453900000000001</v>
      </c>
      <c r="I717" s="61">
        <f>17.4541 * CHOOSE(CONTROL!$C$19, $C$6, 100%, $E$6)</f>
        <v>17.4541</v>
      </c>
      <c r="J717" s="61">
        <f>12.3832 * CHOOSE(CONTROL!$C$19, $C$6, 100%, $E$6)</f>
        <v>12.3832</v>
      </c>
      <c r="K717" s="61">
        <f>12.3834 * CHOOSE(CONTROL!$C$19, $C$6, 100%, $E$6)</f>
        <v>12.3834</v>
      </c>
    </row>
    <row r="718" spans="1:11" ht="15">
      <c r="A718" s="13">
        <v>63920</v>
      </c>
      <c r="B718" s="60">
        <f>10.4969 * CHOOSE(CONTROL!$C$19, $C$6, 100%, $E$6)</f>
        <v>10.4969</v>
      </c>
      <c r="C718" s="60">
        <f>10.4969 * CHOOSE(CONTROL!$C$19, $C$6, 100%, $E$6)</f>
        <v>10.4969</v>
      </c>
      <c r="D718" s="60">
        <f>10.5134 * CHOOSE(CONTROL!$C$19, $C$6, 100%, $E$6)</f>
        <v>10.513400000000001</v>
      </c>
      <c r="E718" s="61">
        <f>12.4847 * CHOOSE(CONTROL!$C$19, $C$6, 100%, $E$6)</f>
        <v>12.4847</v>
      </c>
      <c r="F718" s="61">
        <f>12.4847 * CHOOSE(CONTROL!$C$19, $C$6, 100%, $E$6)</f>
        <v>12.4847</v>
      </c>
      <c r="G718" s="61">
        <f>12.4849 * CHOOSE(CONTROL!$C$19, $C$6, 100%, $E$6)</f>
        <v>12.4849</v>
      </c>
      <c r="H718" s="61">
        <f>17.3835* CHOOSE(CONTROL!$C$19, $C$6, 100%, $E$6)</f>
        <v>17.383500000000002</v>
      </c>
      <c r="I718" s="61">
        <f>17.3837 * CHOOSE(CONTROL!$C$19, $C$6, 100%, $E$6)</f>
        <v>17.383700000000001</v>
      </c>
      <c r="J718" s="61">
        <f>12.4847 * CHOOSE(CONTROL!$C$19, $C$6, 100%, $E$6)</f>
        <v>12.4847</v>
      </c>
      <c r="K718" s="61">
        <f>12.4849 * CHOOSE(CONTROL!$C$19, $C$6, 100%, $E$6)</f>
        <v>12.4849</v>
      </c>
    </row>
    <row r="719" spans="1:11" ht="15">
      <c r="A719" s="13">
        <v>63951</v>
      </c>
      <c r="B719" s="60">
        <f>10.4938 * CHOOSE(CONTROL!$C$19, $C$6, 100%, $E$6)</f>
        <v>10.4938</v>
      </c>
      <c r="C719" s="60">
        <f>10.4938 * CHOOSE(CONTROL!$C$19, $C$6, 100%, $E$6)</f>
        <v>10.4938</v>
      </c>
      <c r="D719" s="60">
        <f>10.5103 * CHOOSE(CONTROL!$C$19, $C$6, 100%, $E$6)</f>
        <v>10.510300000000001</v>
      </c>
      <c r="E719" s="61">
        <f>12.2796 * CHOOSE(CONTROL!$C$19, $C$6, 100%, $E$6)</f>
        <v>12.2796</v>
      </c>
      <c r="F719" s="61">
        <f>12.2796 * CHOOSE(CONTROL!$C$19, $C$6, 100%, $E$6)</f>
        <v>12.2796</v>
      </c>
      <c r="G719" s="61">
        <f>12.2798 * CHOOSE(CONTROL!$C$19, $C$6, 100%, $E$6)</f>
        <v>12.2798</v>
      </c>
      <c r="H719" s="61">
        <f>17.4198* CHOOSE(CONTROL!$C$19, $C$6, 100%, $E$6)</f>
        <v>17.419799999999999</v>
      </c>
      <c r="I719" s="61">
        <f>17.4199 * CHOOSE(CONTROL!$C$19, $C$6, 100%, $E$6)</f>
        <v>17.419899999999998</v>
      </c>
      <c r="J719" s="61">
        <f>12.2796 * CHOOSE(CONTROL!$C$19, $C$6, 100%, $E$6)</f>
        <v>12.2796</v>
      </c>
      <c r="K719" s="61">
        <f>12.2798 * CHOOSE(CONTROL!$C$19, $C$6, 100%, $E$6)</f>
        <v>12.2798</v>
      </c>
    </row>
    <row r="720" spans="1:11" ht="15">
      <c r="A720" s="13">
        <v>63979</v>
      </c>
      <c r="B720" s="60">
        <f>10.4908 * CHOOSE(CONTROL!$C$19, $C$6, 100%, $E$6)</f>
        <v>10.4908</v>
      </c>
      <c r="C720" s="60">
        <f>10.4908 * CHOOSE(CONTROL!$C$19, $C$6, 100%, $E$6)</f>
        <v>10.4908</v>
      </c>
      <c r="D720" s="60">
        <f>10.5073 * CHOOSE(CONTROL!$C$19, $C$6, 100%, $E$6)</f>
        <v>10.507300000000001</v>
      </c>
      <c r="E720" s="61">
        <f>12.4375 * CHOOSE(CONTROL!$C$19, $C$6, 100%, $E$6)</f>
        <v>12.4375</v>
      </c>
      <c r="F720" s="61">
        <f>12.4375 * CHOOSE(CONTROL!$C$19, $C$6, 100%, $E$6)</f>
        <v>12.4375</v>
      </c>
      <c r="G720" s="61">
        <f>12.4377 * CHOOSE(CONTROL!$C$19, $C$6, 100%, $E$6)</f>
        <v>12.4377</v>
      </c>
      <c r="H720" s="61">
        <f>17.4561* CHOOSE(CONTROL!$C$19, $C$6, 100%, $E$6)</f>
        <v>17.456099999999999</v>
      </c>
      <c r="I720" s="61">
        <f>17.4562 * CHOOSE(CONTROL!$C$19, $C$6, 100%, $E$6)</f>
        <v>17.456199999999999</v>
      </c>
      <c r="J720" s="61">
        <f>12.4375 * CHOOSE(CONTROL!$C$19, $C$6, 100%, $E$6)</f>
        <v>12.4375</v>
      </c>
      <c r="K720" s="61">
        <f>12.4377 * CHOOSE(CONTROL!$C$19, $C$6, 100%, $E$6)</f>
        <v>12.4377</v>
      </c>
    </row>
    <row r="721" spans="1:11" ht="15">
      <c r="A721" s="13">
        <v>64010</v>
      </c>
      <c r="B721" s="60">
        <f>10.4948 * CHOOSE(CONTROL!$C$19, $C$6, 100%, $E$6)</f>
        <v>10.4948</v>
      </c>
      <c r="C721" s="60">
        <f>10.4948 * CHOOSE(CONTROL!$C$19, $C$6, 100%, $E$6)</f>
        <v>10.4948</v>
      </c>
      <c r="D721" s="60">
        <f>10.5114 * CHOOSE(CONTROL!$C$19, $C$6, 100%, $E$6)</f>
        <v>10.5114</v>
      </c>
      <c r="E721" s="61">
        <f>12.6051 * CHOOSE(CONTROL!$C$19, $C$6, 100%, $E$6)</f>
        <v>12.6051</v>
      </c>
      <c r="F721" s="61">
        <f>12.6051 * CHOOSE(CONTROL!$C$19, $C$6, 100%, $E$6)</f>
        <v>12.6051</v>
      </c>
      <c r="G721" s="61">
        <f>12.6053 * CHOOSE(CONTROL!$C$19, $C$6, 100%, $E$6)</f>
        <v>12.6053</v>
      </c>
      <c r="H721" s="61">
        <f>17.4924* CHOOSE(CONTROL!$C$19, $C$6, 100%, $E$6)</f>
        <v>17.4924</v>
      </c>
      <c r="I721" s="61">
        <f>17.4926 * CHOOSE(CONTROL!$C$19, $C$6, 100%, $E$6)</f>
        <v>17.492599999999999</v>
      </c>
      <c r="J721" s="61">
        <f>12.6051 * CHOOSE(CONTROL!$C$19, $C$6, 100%, $E$6)</f>
        <v>12.6051</v>
      </c>
      <c r="K721" s="61">
        <f>12.6053 * CHOOSE(CONTROL!$C$19, $C$6, 100%, $E$6)</f>
        <v>12.6053</v>
      </c>
    </row>
    <row r="722" spans="1:11" ht="15">
      <c r="A722" s="13">
        <v>64040</v>
      </c>
      <c r="B722" s="60">
        <f>10.4948 * CHOOSE(CONTROL!$C$19, $C$6, 100%, $E$6)</f>
        <v>10.4948</v>
      </c>
      <c r="C722" s="60">
        <f>10.4948 * CHOOSE(CONTROL!$C$19, $C$6, 100%, $E$6)</f>
        <v>10.4948</v>
      </c>
      <c r="D722" s="60">
        <f>10.5279 * CHOOSE(CONTROL!$C$19, $C$6, 100%, $E$6)</f>
        <v>10.527900000000001</v>
      </c>
      <c r="E722" s="61">
        <f>12.6696 * CHOOSE(CONTROL!$C$19, $C$6, 100%, $E$6)</f>
        <v>12.669600000000001</v>
      </c>
      <c r="F722" s="61">
        <f>12.6696 * CHOOSE(CONTROL!$C$19, $C$6, 100%, $E$6)</f>
        <v>12.669600000000001</v>
      </c>
      <c r="G722" s="61">
        <f>12.6716 * CHOOSE(CONTROL!$C$19, $C$6, 100%, $E$6)</f>
        <v>12.6716</v>
      </c>
      <c r="H722" s="61">
        <f>17.5289* CHOOSE(CONTROL!$C$19, $C$6, 100%, $E$6)</f>
        <v>17.5289</v>
      </c>
      <c r="I722" s="61">
        <f>17.5309 * CHOOSE(CONTROL!$C$19, $C$6, 100%, $E$6)</f>
        <v>17.530899999999999</v>
      </c>
      <c r="J722" s="61">
        <f>12.6696 * CHOOSE(CONTROL!$C$19, $C$6, 100%, $E$6)</f>
        <v>12.669600000000001</v>
      </c>
      <c r="K722" s="61">
        <f>12.6716 * CHOOSE(CONTROL!$C$19, $C$6, 100%, $E$6)</f>
        <v>12.6716</v>
      </c>
    </row>
    <row r="723" spans="1:11" ht="15">
      <c r="A723" s="13">
        <v>64071</v>
      </c>
      <c r="B723" s="60">
        <f>10.5009 * CHOOSE(CONTROL!$C$19, $C$6, 100%, $E$6)</f>
        <v>10.5009</v>
      </c>
      <c r="C723" s="60">
        <f>10.5009 * CHOOSE(CONTROL!$C$19, $C$6, 100%, $E$6)</f>
        <v>10.5009</v>
      </c>
      <c r="D723" s="60">
        <f>10.5339 * CHOOSE(CONTROL!$C$19, $C$6, 100%, $E$6)</f>
        <v>10.533899999999999</v>
      </c>
      <c r="E723" s="61">
        <f>12.6093 * CHOOSE(CONTROL!$C$19, $C$6, 100%, $E$6)</f>
        <v>12.609299999999999</v>
      </c>
      <c r="F723" s="61">
        <f>12.6093 * CHOOSE(CONTROL!$C$19, $C$6, 100%, $E$6)</f>
        <v>12.609299999999999</v>
      </c>
      <c r="G723" s="61">
        <f>12.6114 * CHOOSE(CONTROL!$C$19, $C$6, 100%, $E$6)</f>
        <v>12.6114</v>
      </c>
      <c r="H723" s="61">
        <f>17.5654* CHOOSE(CONTROL!$C$19, $C$6, 100%, $E$6)</f>
        <v>17.5654</v>
      </c>
      <c r="I723" s="61">
        <f>17.5674 * CHOOSE(CONTROL!$C$19, $C$6, 100%, $E$6)</f>
        <v>17.567399999999999</v>
      </c>
      <c r="J723" s="61">
        <f>12.6093 * CHOOSE(CONTROL!$C$19, $C$6, 100%, $E$6)</f>
        <v>12.609299999999999</v>
      </c>
      <c r="K723" s="61">
        <f>12.6114 * CHOOSE(CONTROL!$C$19, $C$6, 100%, $E$6)</f>
        <v>12.6114</v>
      </c>
    </row>
    <row r="724" spans="1:11" ht="15">
      <c r="A724" s="13">
        <v>64101</v>
      </c>
      <c r="B724" s="60">
        <f>10.6491 * CHOOSE(CONTROL!$C$19, $C$6, 100%, $E$6)</f>
        <v>10.649100000000001</v>
      </c>
      <c r="C724" s="60">
        <f>10.6491 * CHOOSE(CONTROL!$C$19, $C$6, 100%, $E$6)</f>
        <v>10.649100000000001</v>
      </c>
      <c r="D724" s="60">
        <f>10.6821 * CHOOSE(CONTROL!$C$19, $C$6, 100%, $E$6)</f>
        <v>10.6821</v>
      </c>
      <c r="E724" s="61">
        <f>12.8402 * CHOOSE(CONTROL!$C$19, $C$6, 100%, $E$6)</f>
        <v>12.840199999999999</v>
      </c>
      <c r="F724" s="61">
        <f>12.8402 * CHOOSE(CONTROL!$C$19, $C$6, 100%, $E$6)</f>
        <v>12.840199999999999</v>
      </c>
      <c r="G724" s="61">
        <f>12.8422 * CHOOSE(CONTROL!$C$19, $C$6, 100%, $E$6)</f>
        <v>12.8422</v>
      </c>
      <c r="H724" s="61">
        <f>17.602* CHOOSE(CONTROL!$C$19, $C$6, 100%, $E$6)</f>
        <v>17.602</v>
      </c>
      <c r="I724" s="61">
        <f>17.604 * CHOOSE(CONTROL!$C$19, $C$6, 100%, $E$6)</f>
        <v>17.603999999999999</v>
      </c>
      <c r="J724" s="61">
        <f>12.8402 * CHOOSE(CONTROL!$C$19, $C$6, 100%, $E$6)</f>
        <v>12.840199999999999</v>
      </c>
      <c r="K724" s="61">
        <f>12.8422 * CHOOSE(CONTROL!$C$19, $C$6, 100%, $E$6)</f>
        <v>12.8422</v>
      </c>
    </row>
    <row r="725" spans="1:11" ht="15">
      <c r="A725" s="13">
        <v>64132</v>
      </c>
      <c r="B725" s="60">
        <f>10.6558 * CHOOSE(CONTROL!$C$19, $C$6, 100%, $E$6)</f>
        <v>10.655799999999999</v>
      </c>
      <c r="C725" s="60">
        <f>10.6558 * CHOOSE(CONTROL!$C$19, $C$6, 100%, $E$6)</f>
        <v>10.655799999999999</v>
      </c>
      <c r="D725" s="60">
        <f>10.6888 * CHOOSE(CONTROL!$C$19, $C$6, 100%, $E$6)</f>
        <v>10.688800000000001</v>
      </c>
      <c r="E725" s="61">
        <f>12.6515 * CHOOSE(CONTROL!$C$19, $C$6, 100%, $E$6)</f>
        <v>12.6515</v>
      </c>
      <c r="F725" s="61">
        <f>12.6515 * CHOOSE(CONTROL!$C$19, $C$6, 100%, $E$6)</f>
        <v>12.6515</v>
      </c>
      <c r="G725" s="61">
        <f>12.6535 * CHOOSE(CONTROL!$C$19, $C$6, 100%, $E$6)</f>
        <v>12.653499999999999</v>
      </c>
      <c r="H725" s="61">
        <f>17.6386* CHOOSE(CONTROL!$C$19, $C$6, 100%, $E$6)</f>
        <v>17.6386</v>
      </c>
      <c r="I725" s="61">
        <f>17.6407 * CHOOSE(CONTROL!$C$19, $C$6, 100%, $E$6)</f>
        <v>17.640699999999999</v>
      </c>
      <c r="J725" s="61">
        <f>12.6515 * CHOOSE(CONTROL!$C$19, $C$6, 100%, $E$6)</f>
        <v>12.6515</v>
      </c>
      <c r="K725" s="61">
        <f>12.6535 * CHOOSE(CONTROL!$C$19, $C$6, 100%, $E$6)</f>
        <v>12.653499999999999</v>
      </c>
    </row>
    <row r="726" spans="1:11" ht="15">
      <c r="A726" s="13">
        <v>64163</v>
      </c>
      <c r="B726" s="60">
        <f>10.6527 * CHOOSE(CONTROL!$C$19, $C$6, 100%, $E$6)</f>
        <v>10.652699999999999</v>
      </c>
      <c r="C726" s="60">
        <f>10.6527 * CHOOSE(CONTROL!$C$19, $C$6, 100%, $E$6)</f>
        <v>10.652699999999999</v>
      </c>
      <c r="D726" s="60">
        <f>10.6857 * CHOOSE(CONTROL!$C$19, $C$6, 100%, $E$6)</f>
        <v>10.685700000000001</v>
      </c>
      <c r="E726" s="61">
        <f>12.6279 * CHOOSE(CONTROL!$C$19, $C$6, 100%, $E$6)</f>
        <v>12.6279</v>
      </c>
      <c r="F726" s="61">
        <f>12.6279 * CHOOSE(CONTROL!$C$19, $C$6, 100%, $E$6)</f>
        <v>12.6279</v>
      </c>
      <c r="G726" s="61">
        <f>12.6299 * CHOOSE(CONTROL!$C$19, $C$6, 100%, $E$6)</f>
        <v>12.629899999999999</v>
      </c>
      <c r="H726" s="61">
        <f>17.6754* CHOOSE(CONTROL!$C$19, $C$6, 100%, $E$6)</f>
        <v>17.6754</v>
      </c>
      <c r="I726" s="61">
        <f>17.6774 * CHOOSE(CONTROL!$C$19, $C$6, 100%, $E$6)</f>
        <v>17.677399999999999</v>
      </c>
      <c r="J726" s="61">
        <f>12.6279 * CHOOSE(CONTROL!$C$19, $C$6, 100%, $E$6)</f>
        <v>12.6279</v>
      </c>
      <c r="K726" s="61">
        <f>12.6299 * CHOOSE(CONTROL!$C$19, $C$6, 100%, $E$6)</f>
        <v>12.629899999999999</v>
      </c>
    </row>
    <row r="727" spans="1:11" ht="15">
      <c r="A727" s="13">
        <v>64193</v>
      </c>
      <c r="B727" s="60">
        <f>10.6731 * CHOOSE(CONTROL!$C$19, $C$6, 100%, $E$6)</f>
        <v>10.6731</v>
      </c>
      <c r="C727" s="60">
        <f>10.6731 * CHOOSE(CONTROL!$C$19, $C$6, 100%, $E$6)</f>
        <v>10.6731</v>
      </c>
      <c r="D727" s="60">
        <f>10.6896 * CHOOSE(CONTROL!$C$19, $C$6, 100%, $E$6)</f>
        <v>10.6896</v>
      </c>
      <c r="E727" s="61">
        <f>12.7004 * CHOOSE(CONTROL!$C$19, $C$6, 100%, $E$6)</f>
        <v>12.7004</v>
      </c>
      <c r="F727" s="61">
        <f>12.7004 * CHOOSE(CONTROL!$C$19, $C$6, 100%, $E$6)</f>
        <v>12.7004</v>
      </c>
      <c r="G727" s="61">
        <f>12.7006 * CHOOSE(CONTROL!$C$19, $C$6, 100%, $E$6)</f>
        <v>12.7006</v>
      </c>
      <c r="H727" s="61">
        <f>17.7122* CHOOSE(CONTROL!$C$19, $C$6, 100%, $E$6)</f>
        <v>17.712199999999999</v>
      </c>
      <c r="I727" s="61">
        <f>17.7124 * CHOOSE(CONTROL!$C$19, $C$6, 100%, $E$6)</f>
        <v>17.712399999999999</v>
      </c>
      <c r="J727" s="61">
        <f>12.7004 * CHOOSE(CONTROL!$C$19, $C$6, 100%, $E$6)</f>
        <v>12.7004</v>
      </c>
      <c r="K727" s="61">
        <f>12.7006 * CHOOSE(CONTROL!$C$19, $C$6, 100%, $E$6)</f>
        <v>12.7006</v>
      </c>
    </row>
    <row r="728" spans="1:11" ht="15">
      <c r="A728" s="13">
        <v>64224</v>
      </c>
      <c r="B728" s="60">
        <f>10.6761 * CHOOSE(CONTROL!$C$19, $C$6, 100%, $E$6)</f>
        <v>10.6761</v>
      </c>
      <c r="C728" s="60">
        <f>10.6761 * CHOOSE(CONTROL!$C$19, $C$6, 100%, $E$6)</f>
        <v>10.6761</v>
      </c>
      <c r="D728" s="60">
        <f>10.6926 * CHOOSE(CONTROL!$C$19, $C$6, 100%, $E$6)</f>
        <v>10.692600000000001</v>
      </c>
      <c r="E728" s="61">
        <f>12.7455 * CHOOSE(CONTROL!$C$19, $C$6, 100%, $E$6)</f>
        <v>12.7455</v>
      </c>
      <c r="F728" s="61">
        <f>12.7455 * CHOOSE(CONTROL!$C$19, $C$6, 100%, $E$6)</f>
        <v>12.7455</v>
      </c>
      <c r="G728" s="61">
        <f>12.7457 * CHOOSE(CONTROL!$C$19, $C$6, 100%, $E$6)</f>
        <v>12.745699999999999</v>
      </c>
      <c r="H728" s="61">
        <f>17.7491* CHOOSE(CONTROL!$C$19, $C$6, 100%, $E$6)</f>
        <v>17.749099999999999</v>
      </c>
      <c r="I728" s="61">
        <f>17.7493 * CHOOSE(CONTROL!$C$19, $C$6, 100%, $E$6)</f>
        <v>17.749300000000002</v>
      </c>
      <c r="J728" s="61">
        <f>12.7455 * CHOOSE(CONTROL!$C$19, $C$6, 100%, $E$6)</f>
        <v>12.7455</v>
      </c>
      <c r="K728" s="61">
        <f>12.7457 * CHOOSE(CONTROL!$C$19, $C$6, 100%, $E$6)</f>
        <v>12.745699999999999</v>
      </c>
    </row>
    <row r="729" spans="1:11" ht="15">
      <c r="A729" s="13">
        <v>64254</v>
      </c>
      <c r="B729" s="60">
        <f>10.6761 * CHOOSE(CONTROL!$C$19, $C$6, 100%, $E$6)</f>
        <v>10.6761</v>
      </c>
      <c r="C729" s="60">
        <f>10.6761 * CHOOSE(CONTROL!$C$19, $C$6, 100%, $E$6)</f>
        <v>10.6761</v>
      </c>
      <c r="D729" s="60">
        <f>10.6926 * CHOOSE(CONTROL!$C$19, $C$6, 100%, $E$6)</f>
        <v>10.692600000000001</v>
      </c>
      <c r="E729" s="61">
        <f>12.6381 * CHOOSE(CONTROL!$C$19, $C$6, 100%, $E$6)</f>
        <v>12.6381</v>
      </c>
      <c r="F729" s="61">
        <f>12.6381 * CHOOSE(CONTROL!$C$19, $C$6, 100%, $E$6)</f>
        <v>12.6381</v>
      </c>
      <c r="G729" s="61">
        <f>12.6383 * CHOOSE(CONTROL!$C$19, $C$6, 100%, $E$6)</f>
        <v>12.638299999999999</v>
      </c>
      <c r="H729" s="61">
        <f>17.7861* CHOOSE(CONTROL!$C$19, $C$6, 100%, $E$6)</f>
        <v>17.786100000000001</v>
      </c>
      <c r="I729" s="61">
        <f>17.7863 * CHOOSE(CONTROL!$C$19, $C$6, 100%, $E$6)</f>
        <v>17.786300000000001</v>
      </c>
      <c r="J729" s="61">
        <f>12.6381 * CHOOSE(CONTROL!$C$19, $C$6, 100%, $E$6)</f>
        <v>12.6381</v>
      </c>
      <c r="K729" s="61">
        <f>12.6383 * CHOOSE(CONTROL!$C$19, $C$6, 100%, $E$6)</f>
        <v>12.638299999999999</v>
      </c>
    </row>
    <row r="730" spans="1:11" ht="15">
      <c r="A730" s="13">
        <v>64285</v>
      </c>
      <c r="B730" s="60">
        <f>10.6935 * CHOOSE(CONTROL!$C$19, $C$6, 100%, $E$6)</f>
        <v>10.6935</v>
      </c>
      <c r="C730" s="60">
        <f>10.6935 * CHOOSE(CONTROL!$C$19, $C$6, 100%, $E$6)</f>
        <v>10.6935</v>
      </c>
      <c r="D730" s="60">
        <f>10.71 * CHOOSE(CONTROL!$C$19, $C$6, 100%, $E$6)</f>
        <v>10.71</v>
      </c>
      <c r="E730" s="61">
        <f>12.7365 * CHOOSE(CONTROL!$C$19, $C$6, 100%, $E$6)</f>
        <v>12.736499999999999</v>
      </c>
      <c r="F730" s="61">
        <f>12.7365 * CHOOSE(CONTROL!$C$19, $C$6, 100%, $E$6)</f>
        <v>12.736499999999999</v>
      </c>
      <c r="G730" s="61">
        <f>12.7367 * CHOOSE(CONTROL!$C$19, $C$6, 100%, $E$6)</f>
        <v>12.736700000000001</v>
      </c>
      <c r="H730" s="61">
        <f>17.7082* CHOOSE(CONTROL!$C$19, $C$6, 100%, $E$6)</f>
        <v>17.708200000000001</v>
      </c>
      <c r="I730" s="61">
        <f>17.7084 * CHOOSE(CONTROL!$C$19, $C$6, 100%, $E$6)</f>
        <v>17.708400000000001</v>
      </c>
      <c r="J730" s="61">
        <f>12.7365 * CHOOSE(CONTROL!$C$19, $C$6, 100%, $E$6)</f>
        <v>12.736499999999999</v>
      </c>
      <c r="K730" s="61">
        <f>12.7367 * CHOOSE(CONTROL!$C$19, $C$6, 100%, $E$6)</f>
        <v>12.736700000000001</v>
      </c>
    </row>
    <row r="731" spans="1:11" ht="15">
      <c r="A731" s="13">
        <v>64316</v>
      </c>
      <c r="B731" s="60">
        <f>10.6904 * CHOOSE(CONTROL!$C$19, $C$6, 100%, $E$6)</f>
        <v>10.6904</v>
      </c>
      <c r="C731" s="60">
        <f>10.6904 * CHOOSE(CONTROL!$C$19, $C$6, 100%, $E$6)</f>
        <v>10.6904</v>
      </c>
      <c r="D731" s="60">
        <f>10.707 * CHOOSE(CONTROL!$C$19, $C$6, 100%, $E$6)</f>
        <v>10.707000000000001</v>
      </c>
      <c r="E731" s="61">
        <f>12.527 * CHOOSE(CONTROL!$C$19, $C$6, 100%, $E$6)</f>
        <v>12.526999999999999</v>
      </c>
      <c r="F731" s="61">
        <f>12.527 * CHOOSE(CONTROL!$C$19, $C$6, 100%, $E$6)</f>
        <v>12.526999999999999</v>
      </c>
      <c r="G731" s="61">
        <f>12.5271 * CHOOSE(CONTROL!$C$19, $C$6, 100%, $E$6)</f>
        <v>12.527100000000001</v>
      </c>
      <c r="H731" s="61">
        <f>17.7451* CHOOSE(CONTROL!$C$19, $C$6, 100%, $E$6)</f>
        <v>17.745100000000001</v>
      </c>
      <c r="I731" s="61">
        <f>17.7453 * CHOOSE(CONTROL!$C$19, $C$6, 100%, $E$6)</f>
        <v>17.7453</v>
      </c>
      <c r="J731" s="61">
        <f>12.527 * CHOOSE(CONTROL!$C$19, $C$6, 100%, $E$6)</f>
        <v>12.526999999999999</v>
      </c>
      <c r="K731" s="61">
        <f>12.5271 * CHOOSE(CONTROL!$C$19, $C$6, 100%, $E$6)</f>
        <v>12.527100000000001</v>
      </c>
    </row>
    <row r="732" spans="1:11" ht="15">
      <c r="A732" s="13">
        <v>64345</v>
      </c>
      <c r="B732" s="60">
        <f>10.6874 * CHOOSE(CONTROL!$C$19, $C$6, 100%, $E$6)</f>
        <v>10.6874</v>
      </c>
      <c r="C732" s="60">
        <f>10.6874 * CHOOSE(CONTROL!$C$19, $C$6, 100%, $E$6)</f>
        <v>10.6874</v>
      </c>
      <c r="D732" s="60">
        <f>10.7039 * CHOOSE(CONTROL!$C$19, $C$6, 100%, $E$6)</f>
        <v>10.703900000000001</v>
      </c>
      <c r="E732" s="61">
        <f>12.6884 * CHOOSE(CONTROL!$C$19, $C$6, 100%, $E$6)</f>
        <v>12.6884</v>
      </c>
      <c r="F732" s="61">
        <f>12.6884 * CHOOSE(CONTROL!$C$19, $C$6, 100%, $E$6)</f>
        <v>12.6884</v>
      </c>
      <c r="G732" s="61">
        <f>12.6886 * CHOOSE(CONTROL!$C$19, $C$6, 100%, $E$6)</f>
        <v>12.688599999999999</v>
      </c>
      <c r="H732" s="61">
        <f>17.7821* CHOOSE(CONTROL!$C$19, $C$6, 100%, $E$6)</f>
        <v>17.7821</v>
      </c>
      <c r="I732" s="61">
        <f>17.7822 * CHOOSE(CONTROL!$C$19, $C$6, 100%, $E$6)</f>
        <v>17.7822</v>
      </c>
      <c r="J732" s="61">
        <f>12.6884 * CHOOSE(CONTROL!$C$19, $C$6, 100%, $E$6)</f>
        <v>12.6884</v>
      </c>
      <c r="K732" s="61">
        <f>12.6886 * CHOOSE(CONTROL!$C$19, $C$6, 100%, $E$6)</f>
        <v>12.688599999999999</v>
      </c>
    </row>
    <row r="733" spans="1:11" ht="15">
      <c r="A733" s="13">
        <v>64376</v>
      </c>
      <c r="B733" s="60">
        <f>10.6917 * CHOOSE(CONTROL!$C$19, $C$6, 100%, $E$6)</f>
        <v>10.691700000000001</v>
      </c>
      <c r="C733" s="60">
        <f>10.6917 * CHOOSE(CONTROL!$C$19, $C$6, 100%, $E$6)</f>
        <v>10.691700000000001</v>
      </c>
      <c r="D733" s="60">
        <f>10.7082 * CHOOSE(CONTROL!$C$19, $C$6, 100%, $E$6)</f>
        <v>10.7082</v>
      </c>
      <c r="E733" s="61">
        <f>12.8598 * CHOOSE(CONTROL!$C$19, $C$6, 100%, $E$6)</f>
        <v>12.8598</v>
      </c>
      <c r="F733" s="61">
        <f>12.8598 * CHOOSE(CONTROL!$C$19, $C$6, 100%, $E$6)</f>
        <v>12.8598</v>
      </c>
      <c r="G733" s="61">
        <f>12.86 * CHOOSE(CONTROL!$C$19, $C$6, 100%, $E$6)</f>
        <v>12.86</v>
      </c>
      <c r="H733" s="61">
        <f>17.8191* CHOOSE(CONTROL!$C$19, $C$6, 100%, $E$6)</f>
        <v>17.819099999999999</v>
      </c>
      <c r="I733" s="61">
        <f>17.8193 * CHOOSE(CONTROL!$C$19, $C$6, 100%, $E$6)</f>
        <v>17.819299999999998</v>
      </c>
      <c r="J733" s="61">
        <f>12.8598 * CHOOSE(CONTROL!$C$19, $C$6, 100%, $E$6)</f>
        <v>12.8598</v>
      </c>
      <c r="K733" s="61">
        <f>12.86 * CHOOSE(CONTROL!$C$19, $C$6, 100%, $E$6)</f>
        <v>12.86</v>
      </c>
    </row>
    <row r="734" spans="1:11" ht="15">
      <c r="A734" s="13">
        <v>64406</v>
      </c>
      <c r="B734" s="60">
        <f>10.6917 * CHOOSE(CONTROL!$C$19, $C$6, 100%, $E$6)</f>
        <v>10.691700000000001</v>
      </c>
      <c r="C734" s="60">
        <f>10.6917 * CHOOSE(CONTROL!$C$19, $C$6, 100%, $E$6)</f>
        <v>10.691700000000001</v>
      </c>
      <c r="D734" s="60">
        <f>10.7247 * CHOOSE(CONTROL!$C$19, $C$6, 100%, $E$6)</f>
        <v>10.7247</v>
      </c>
      <c r="E734" s="61">
        <f>12.9257 * CHOOSE(CONTROL!$C$19, $C$6, 100%, $E$6)</f>
        <v>12.925700000000001</v>
      </c>
      <c r="F734" s="61">
        <f>12.9257 * CHOOSE(CONTROL!$C$19, $C$6, 100%, $E$6)</f>
        <v>12.925700000000001</v>
      </c>
      <c r="G734" s="61">
        <f>12.9277 * CHOOSE(CONTROL!$C$19, $C$6, 100%, $E$6)</f>
        <v>12.9277</v>
      </c>
      <c r="H734" s="61">
        <f>17.8562* CHOOSE(CONTROL!$C$19, $C$6, 100%, $E$6)</f>
        <v>17.856200000000001</v>
      </c>
      <c r="I734" s="61">
        <f>17.8583 * CHOOSE(CONTROL!$C$19, $C$6, 100%, $E$6)</f>
        <v>17.8583</v>
      </c>
      <c r="J734" s="61">
        <f>12.9257 * CHOOSE(CONTROL!$C$19, $C$6, 100%, $E$6)</f>
        <v>12.925700000000001</v>
      </c>
      <c r="K734" s="61">
        <f>12.9277 * CHOOSE(CONTROL!$C$19, $C$6, 100%, $E$6)</f>
        <v>12.9277</v>
      </c>
    </row>
    <row r="735" spans="1:11" ht="15">
      <c r="A735" s="13">
        <v>64437</v>
      </c>
      <c r="B735" s="60">
        <f>10.6977 * CHOOSE(CONTROL!$C$19, $C$6, 100%, $E$6)</f>
        <v>10.697699999999999</v>
      </c>
      <c r="C735" s="60">
        <f>10.6977 * CHOOSE(CONTROL!$C$19, $C$6, 100%, $E$6)</f>
        <v>10.697699999999999</v>
      </c>
      <c r="D735" s="60">
        <f>10.7307 * CHOOSE(CONTROL!$C$19, $C$6, 100%, $E$6)</f>
        <v>10.730700000000001</v>
      </c>
      <c r="E735" s="61">
        <f>12.864 * CHOOSE(CONTROL!$C$19, $C$6, 100%, $E$6)</f>
        <v>12.864000000000001</v>
      </c>
      <c r="F735" s="61">
        <f>12.864 * CHOOSE(CONTROL!$C$19, $C$6, 100%, $E$6)</f>
        <v>12.864000000000001</v>
      </c>
      <c r="G735" s="61">
        <f>12.8661 * CHOOSE(CONTROL!$C$19, $C$6, 100%, $E$6)</f>
        <v>12.866099999999999</v>
      </c>
      <c r="H735" s="61">
        <f>17.8934* CHOOSE(CONTROL!$C$19, $C$6, 100%, $E$6)</f>
        <v>17.8934</v>
      </c>
      <c r="I735" s="61">
        <f>17.8955 * CHOOSE(CONTROL!$C$19, $C$6, 100%, $E$6)</f>
        <v>17.895499999999998</v>
      </c>
      <c r="J735" s="61">
        <f>12.864 * CHOOSE(CONTROL!$C$19, $C$6, 100%, $E$6)</f>
        <v>12.864000000000001</v>
      </c>
      <c r="K735" s="61">
        <f>12.8661 * CHOOSE(CONTROL!$C$19, $C$6, 100%, $E$6)</f>
        <v>12.866099999999999</v>
      </c>
    </row>
    <row r="736" spans="1:11" ht="15">
      <c r="A736" s="13">
        <v>64467</v>
      </c>
      <c r="B736" s="60">
        <f>10.8484 * CHOOSE(CONTROL!$C$19, $C$6, 100%, $E$6)</f>
        <v>10.8484</v>
      </c>
      <c r="C736" s="60">
        <f>10.8484 * CHOOSE(CONTROL!$C$19, $C$6, 100%, $E$6)</f>
        <v>10.8484</v>
      </c>
      <c r="D736" s="60">
        <f>10.8814 * CHOOSE(CONTROL!$C$19, $C$6, 100%, $E$6)</f>
        <v>10.881399999999999</v>
      </c>
      <c r="E736" s="61">
        <f>13.0993 * CHOOSE(CONTROL!$C$19, $C$6, 100%, $E$6)</f>
        <v>13.099299999999999</v>
      </c>
      <c r="F736" s="61">
        <f>13.0993 * CHOOSE(CONTROL!$C$19, $C$6, 100%, $E$6)</f>
        <v>13.099299999999999</v>
      </c>
      <c r="G736" s="61">
        <f>13.1013 * CHOOSE(CONTROL!$C$19, $C$6, 100%, $E$6)</f>
        <v>13.1013</v>
      </c>
      <c r="H736" s="61">
        <f>17.9307* CHOOSE(CONTROL!$C$19, $C$6, 100%, $E$6)</f>
        <v>17.930700000000002</v>
      </c>
      <c r="I736" s="61">
        <f>17.9328 * CHOOSE(CONTROL!$C$19, $C$6, 100%, $E$6)</f>
        <v>17.9328</v>
      </c>
      <c r="J736" s="61">
        <f>13.0993 * CHOOSE(CONTROL!$C$19, $C$6, 100%, $E$6)</f>
        <v>13.099299999999999</v>
      </c>
      <c r="K736" s="61">
        <f>13.1013 * CHOOSE(CONTROL!$C$19, $C$6, 100%, $E$6)</f>
        <v>13.1013</v>
      </c>
    </row>
    <row r="737" spans="1:11" ht="15">
      <c r="A737" s="13">
        <v>64498</v>
      </c>
      <c r="B737" s="60">
        <f>10.8551 * CHOOSE(CONTROL!$C$19, $C$6, 100%, $E$6)</f>
        <v>10.8551</v>
      </c>
      <c r="C737" s="60">
        <f>10.8551 * CHOOSE(CONTROL!$C$19, $C$6, 100%, $E$6)</f>
        <v>10.8551</v>
      </c>
      <c r="D737" s="60">
        <f>10.8881 * CHOOSE(CONTROL!$C$19, $C$6, 100%, $E$6)</f>
        <v>10.8881</v>
      </c>
      <c r="E737" s="61">
        <f>12.9063 * CHOOSE(CONTROL!$C$19, $C$6, 100%, $E$6)</f>
        <v>12.9063</v>
      </c>
      <c r="F737" s="61">
        <f>12.9063 * CHOOSE(CONTROL!$C$19, $C$6, 100%, $E$6)</f>
        <v>12.9063</v>
      </c>
      <c r="G737" s="61">
        <f>12.9084 * CHOOSE(CONTROL!$C$19, $C$6, 100%, $E$6)</f>
        <v>12.9084</v>
      </c>
      <c r="H737" s="61">
        <f>17.9681* CHOOSE(CONTROL!$C$19, $C$6, 100%, $E$6)</f>
        <v>17.9681</v>
      </c>
      <c r="I737" s="61">
        <f>17.9701 * CHOOSE(CONTROL!$C$19, $C$6, 100%, $E$6)</f>
        <v>17.970099999999999</v>
      </c>
      <c r="J737" s="61">
        <f>12.9063 * CHOOSE(CONTROL!$C$19, $C$6, 100%, $E$6)</f>
        <v>12.9063</v>
      </c>
      <c r="K737" s="61">
        <f>12.9084 * CHOOSE(CONTROL!$C$19, $C$6, 100%, $E$6)</f>
        <v>12.9084</v>
      </c>
    </row>
    <row r="738" spans="1:11" ht="15">
      <c r="A738" s="13">
        <v>64529</v>
      </c>
      <c r="B738" s="60">
        <f>10.852 * CHOOSE(CONTROL!$C$19, $C$6, 100%, $E$6)</f>
        <v>10.852</v>
      </c>
      <c r="C738" s="60">
        <f>10.852 * CHOOSE(CONTROL!$C$19, $C$6, 100%, $E$6)</f>
        <v>10.852</v>
      </c>
      <c r="D738" s="60">
        <f>10.885 * CHOOSE(CONTROL!$C$19, $C$6, 100%, $E$6)</f>
        <v>10.885</v>
      </c>
      <c r="E738" s="61">
        <f>12.8823 * CHOOSE(CONTROL!$C$19, $C$6, 100%, $E$6)</f>
        <v>12.882300000000001</v>
      </c>
      <c r="F738" s="61">
        <f>12.8823 * CHOOSE(CONTROL!$C$19, $C$6, 100%, $E$6)</f>
        <v>12.882300000000001</v>
      </c>
      <c r="G738" s="61">
        <f>12.8843 * CHOOSE(CONTROL!$C$19, $C$6, 100%, $E$6)</f>
        <v>12.8843</v>
      </c>
      <c r="H738" s="61">
        <f>18.0055* CHOOSE(CONTROL!$C$19, $C$6, 100%, $E$6)</f>
        <v>18.005500000000001</v>
      </c>
      <c r="I738" s="61">
        <f>18.0076 * CHOOSE(CONTROL!$C$19, $C$6, 100%, $E$6)</f>
        <v>18.0076</v>
      </c>
      <c r="J738" s="61">
        <f>12.8823 * CHOOSE(CONTROL!$C$19, $C$6, 100%, $E$6)</f>
        <v>12.882300000000001</v>
      </c>
      <c r="K738" s="61">
        <f>12.8843 * CHOOSE(CONTROL!$C$19, $C$6, 100%, $E$6)</f>
        <v>12.8843</v>
      </c>
    </row>
    <row r="739" spans="1:11" ht="15">
      <c r="A739" s="13">
        <v>64559</v>
      </c>
      <c r="B739" s="60">
        <f>10.8731 * CHOOSE(CONTROL!$C$19, $C$6, 100%, $E$6)</f>
        <v>10.873100000000001</v>
      </c>
      <c r="C739" s="60">
        <f>10.8731 * CHOOSE(CONTROL!$C$19, $C$6, 100%, $E$6)</f>
        <v>10.873100000000001</v>
      </c>
      <c r="D739" s="60">
        <f>10.8896 * CHOOSE(CONTROL!$C$19, $C$6, 100%, $E$6)</f>
        <v>10.8896</v>
      </c>
      <c r="E739" s="61">
        <f>12.9567 * CHOOSE(CONTROL!$C$19, $C$6, 100%, $E$6)</f>
        <v>12.9567</v>
      </c>
      <c r="F739" s="61">
        <f>12.9567 * CHOOSE(CONTROL!$C$19, $C$6, 100%, $E$6)</f>
        <v>12.9567</v>
      </c>
      <c r="G739" s="61">
        <f>12.9568 * CHOOSE(CONTROL!$C$19, $C$6, 100%, $E$6)</f>
        <v>12.956799999999999</v>
      </c>
      <c r="H739" s="61">
        <f>18.043* CHOOSE(CONTROL!$C$19, $C$6, 100%, $E$6)</f>
        <v>18.042999999999999</v>
      </c>
      <c r="I739" s="61">
        <f>18.0432 * CHOOSE(CONTROL!$C$19, $C$6, 100%, $E$6)</f>
        <v>18.043199999999999</v>
      </c>
      <c r="J739" s="61">
        <f>12.9567 * CHOOSE(CONTROL!$C$19, $C$6, 100%, $E$6)</f>
        <v>12.9567</v>
      </c>
      <c r="K739" s="61">
        <f>12.9568 * CHOOSE(CONTROL!$C$19, $C$6, 100%, $E$6)</f>
        <v>12.956799999999999</v>
      </c>
    </row>
    <row r="740" spans="1:11" ht="15">
      <c r="A740" s="13">
        <v>64590</v>
      </c>
      <c r="B740" s="60">
        <f>10.8762 * CHOOSE(CONTROL!$C$19, $C$6, 100%, $E$6)</f>
        <v>10.876200000000001</v>
      </c>
      <c r="C740" s="60">
        <f>10.8762 * CHOOSE(CONTROL!$C$19, $C$6, 100%, $E$6)</f>
        <v>10.876200000000001</v>
      </c>
      <c r="D740" s="60">
        <f>10.8927 * CHOOSE(CONTROL!$C$19, $C$6, 100%, $E$6)</f>
        <v>10.8927</v>
      </c>
      <c r="E740" s="61">
        <f>13.0027 * CHOOSE(CONTROL!$C$19, $C$6, 100%, $E$6)</f>
        <v>13.002700000000001</v>
      </c>
      <c r="F740" s="61">
        <f>13.0027 * CHOOSE(CONTROL!$C$19, $C$6, 100%, $E$6)</f>
        <v>13.002700000000001</v>
      </c>
      <c r="G740" s="61">
        <f>13.0029 * CHOOSE(CONTROL!$C$19, $C$6, 100%, $E$6)</f>
        <v>13.0029</v>
      </c>
      <c r="H740" s="61">
        <f>18.0806* CHOOSE(CONTROL!$C$19, $C$6, 100%, $E$6)</f>
        <v>18.0806</v>
      </c>
      <c r="I740" s="61">
        <f>18.0808 * CHOOSE(CONTROL!$C$19, $C$6, 100%, $E$6)</f>
        <v>18.0808</v>
      </c>
      <c r="J740" s="61">
        <f>13.0027 * CHOOSE(CONTROL!$C$19, $C$6, 100%, $E$6)</f>
        <v>13.002700000000001</v>
      </c>
      <c r="K740" s="61">
        <f>13.0029 * CHOOSE(CONTROL!$C$19, $C$6, 100%, $E$6)</f>
        <v>13.0029</v>
      </c>
    </row>
    <row r="741" spans="1:11" ht="15">
      <c r="A741" s="13">
        <v>64620</v>
      </c>
      <c r="B741" s="60">
        <f>10.8762 * CHOOSE(CONTROL!$C$19, $C$6, 100%, $E$6)</f>
        <v>10.876200000000001</v>
      </c>
      <c r="C741" s="60">
        <f>10.8762 * CHOOSE(CONTROL!$C$19, $C$6, 100%, $E$6)</f>
        <v>10.876200000000001</v>
      </c>
      <c r="D741" s="60">
        <f>10.8927 * CHOOSE(CONTROL!$C$19, $C$6, 100%, $E$6)</f>
        <v>10.8927</v>
      </c>
      <c r="E741" s="61">
        <f>12.8929 * CHOOSE(CONTROL!$C$19, $C$6, 100%, $E$6)</f>
        <v>12.892899999999999</v>
      </c>
      <c r="F741" s="61">
        <f>12.8929 * CHOOSE(CONTROL!$C$19, $C$6, 100%, $E$6)</f>
        <v>12.892899999999999</v>
      </c>
      <c r="G741" s="61">
        <f>12.8931 * CHOOSE(CONTROL!$C$19, $C$6, 100%, $E$6)</f>
        <v>12.8931</v>
      </c>
      <c r="H741" s="61">
        <f>18.1183* CHOOSE(CONTROL!$C$19, $C$6, 100%, $E$6)</f>
        <v>18.118300000000001</v>
      </c>
      <c r="I741" s="61">
        <f>18.1185 * CHOOSE(CONTROL!$C$19, $C$6, 100%, $E$6)</f>
        <v>18.118500000000001</v>
      </c>
      <c r="J741" s="61">
        <f>12.8929 * CHOOSE(CONTROL!$C$19, $C$6, 100%, $E$6)</f>
        <v>12.892899999999999</v>
      </c>
      <c r="K741" s="61">
        <f>12.8931 * CHOOSE(CONTROL!$C$19, $C$6, 100%, $E$6)</f>
        <v>12.8931</v>
      </c>
    </row>
    <row r="742" spans="1:11" ht="15">
      <c r="A742" s="13">
        <v>64651</v>
      </c>
      <c r="B742" s="60">
        <f>10.8901 * CHOOSE(CONTROL!$C$19, $C$6, 100%, $E$6)</f>
        <v>10.8901</v>
      </c>
      <c r="C742" s="60">
        <f>10.8901 * CHOOSE(CONTROL!$C$19, $C$6, 100%, $E$6)</f>
        <v>10.8901</v>
      </c>
      <c r="D742" s="60">
        <f>10.9066 * CHOOSE(CONTROL!$C$19, $C$6, 100%, $E$6)</f>
        <v>10.906599999999999</v>
      </c>
      <c r="E742" s="61">
        <f>12.9884 * CHOOSE(CONTROL!$C$19, $C$6, 100%, $E$6)</f>
        <v>12.9884</v>
      </c>
      <c r="F742" s="61">
        <f>12.9884 * CHOOSE(CONTROL!$C$19, $C$6, 100%, $E$6)</f>
        <v>12.9884</v>
      </c>
      <c r="G742" s="61">
        <f>12.9885 * CHOOSE(CONTROL!$C$19, $C$6, 100%, $E$6)</f>
        <v>12.9885</v>
      </c>
      <c r="H742" s="61">
        <f>18.0329* CHOOSE(CONTROL!$C$19, $C$6, 100%, $E$6)</f>
        <v>18.032900000000001</v>
      </c>
      <c r="I742" s="61">
        <f>18.033 * CHOOSE(CONTROL!$C$19, $C$6, 100%, $E$6)</f>
        <v>18.033000000000001</v>
      </c>
      <c r="J742" s="61">
        <f>12.9884 * CHOOSE(CONTROL!$C$19, $C$6, 100%, $E$6)</f>
        <v>12.9884</v>
      </c>
      <c r="K742" s="61">
        <f>12.9885 * CHOOSE(CONTROL!$C$19, $C$6, 100%, $E$6)</f>
        <v>12.9885</v>
      </c>
    </row>
    <row r="743" spans="1:11" ht="15">
      <c r="A743" s="13">
        <v>64682</v>
      </c>
      <c r="B743" s="60">
        <f>10.8871 * CHOOSE(CONTROL!$C$19, $C$6, 100%, $E$6)</f>
        <v>10.8871</v>
      </c>
      <c r="C743" s="60">
        <f>10.8871 * CHOOSE(CONTROL!$C$19, $C$6, 100%, $E$6)</f>
        <v>10.8871</v>
      </c>
      <c r="D743" s="60">
        <f>10.9036 * CHOOSE(CONTROL!$C$19, $C$6, 100%, $E$6)</f>
        <v>10.903600000000001</v>
      </c>
      <c r="E743" s="61">
        <f>12.7743 * CHOOSE(CONTROL!$C$19, $C$6, 100%, $E$6)</f>
        <v>12.7743</v>
      </c>
      <c r="F743" s="61">
        <f>12.7743 * CHOOSE(CONTROL!$C$19, $C$6, 100%, $E$6)</f>
        <v>12.7743</v>
      </c>
      <c r="G743" s="61">
        <f>12.7745 * CHOOSE(CONTROL!$C$19, $C$6, 100%, $E$6)</f>
        <v>12.7745</v>
      </c>
      <c r="H743" s="61">
        <f>18.0704* CHOOSE(CONTROL!$C$19, $C$6, 100%, $E$6)</f>
        <v>18.070399999999999</v>
      </c>
      <c r="I743" s="61">
        <f>18.0706 * CHOOSE(CONTROL!$C$19, $C$6, 100%, $E$6)</f>
        <v>18.070599999999999</v>
      </c>
      <c r="J743" s="61">
        <f>12.7743 * CHOOSE(CONTROL!$C$19, $C$6, 100%, $E$6)</f>
        <v>12.7743</v>
      </c>
      <c r="K743" s="61">
        <f>12.7745 * CHOOSE(CONTROL!$C$19, $C$6, 100%, $E$6)</f>
        <v>12.7745</v>
      </c>
    </row>
    <row r="744" spans="1:11" ht="15">
      <c r="A744" s="13">
        <v>64710</v>
      </c>
      <c r="B744" s="60">
        <f>10.884 * CHOOSE(CONTROL!$C$19, $C$6, 100%, $E$6)</f>
        <v>10.884</v>
      </c>
      <c r="C744" s="60">
        <f>10.884 * CHOOSE(CONTROL!$C$19, $C$6, 100%, $E$6)</f>
        <v>10.884</v>
      </c>
      <c r="D744" s="60">
        <f>10.9005 * CHOOSE(CONTROL!$C$19, $C$6, 100%, $E$6)</f>
        <v>10.900499999999999</v>
      </c>
      <c r="E744" s="61">
        <f>12.9393 * CHOOSE(CONTROL!$C$19, $C$6, 100%, $E$6)</f>
        <v>12.939299999999999</v>
      </c>
      <c r="F744" s="61">
        <f>12.9393 * CHOOSE(CONTROL!$C$19, $C$6, 100%, $E$6)</f>
        <v>12.939299999999999</v>
      </c>
      <c r="G744" s="61">
        <f>12.9394 * CHOOSE(CONTROL!$C$19, $C$6, 100%, $E$6)</f>
        <v>12.939399999999999</v>
      </c>
      <c r="H744" s="61">
        <f>18.1081* CHOOSE(CONTROL!$C$19, $C$6, 100%, $E$6)</f>
        <v>18.1081</v>
      </c>
      <c r="I744" s="61">
        <f>18.1083 * CHOOSE(CONTROL!$C$19, $C$6, 100%, $E$6)</f>
        <v>18.1083</v>
      </c>
      <c r="J744" s="61">
        <f>12.9393 * CHOOSE(CONTROL!$C$19, $C$6, 100%, $E$6)</f>
        <v>12.939299999999999</v>
      </c>
      <c r="K744" s="61">
        <f>12.9394 * CHOOSE(CONTROL!$C$19, $C$6, 100%, $E$6)</f>
        <v>12.939399999999999</v>
      </c>
    </row>
    <row r="745" spans="1:11" ht="15">
      <c r="A745" s="13">
        <v>64741</v>
      </c>
      <c r="B745" s="60">
        <f>10.8885 * CHOOSE(CONTROL!$C$19, $C$6, 100%, $E$6)</f>
        <v>10.888500000000001</v>
      </c>
      <c r="C745" s="60">
        <f>10.8885 * CHOOSE(CONTROL!$C$19, $C$6, 100%, $E$6)</f>
        <v>10.888500000000001</v>
      </c>
      <c r="D745" s="60">
        <f>10.905 * CHOOSE(CONTROL!$C$19, $C$6, 100%, $E$6)</f>
        <v>10.904999999999999</v>
      </c>
      <c r="E745" s="61">
        <f>13.1145 * CHOOSE(CONTROL!$C$19, $C$6, 100%, $E$6)</f>
        <v>13.1145</v>
      </c>
      <c r="F745" s="61">
        <f>13.1145 * CHOOSE(CONTROL!$C$19, $C$6, 100%, $E$6)</f>
        <v>13.1145</v>
      </c>
      <c r="G745" s="61">
        <f>13.1146 * CHOOSE(CONTROL!$C$19, $C$6, 100%, $E$6)</f>
        <v>13.114599999999999</v>
      </c>
      <c r="H745" s="61">
        <f>18.1458* CHOOSE(CONTROL!$C$19, $C$6, 100%, $E$6)</f>
        <v>18.145800000000001</v>
      </c>
      <c r="I745" s="61">
        <f>18.146 * CHOOSE(CONTROL!$C$19, $C$6, 100%, $E$6)</f>
        <v>18.146000000000001</v>
      </c>
      <c r="J745" s="61">
        <f>13.1145 * CHOOSE(CONTROL!$C$19, $C$6, 100%, $E$6)</f>
        <v>13.1145</v>
      </c>
      <c r="K745" s="61">
        <f>13.1146 * CHOOSE(CONTROL!$C$19, $C$6, 100%, $E$6)</f>
        <v>13.114599999999999</v>
      </c>
    </row>
    <row r="746" spans="1:11" ht="15">
      <c r="A746" s="13">
        <v>64771</v>
      </c>
      <c r="B746" s="60">
        <f>10.8885 * CHOOSE(CONTROL!$C$19, $C$6, 100%, $E$6)</f>
        <v>10.888500000000001</v>
      </c>
      <c r="C746" s="60">
        <f>10.8885 * CHOOSE(CONTROL!$C$19, $C$6, 100%, $E$6)</f>
        <v>10.888500000000001</v>
      </c>
      <c r="D746" s="60">
        <f>10.9215 * CHOOSE(CONTROL!$C$19, $C$6, 100%, $E$6)</f>
        <v>10.9215</v>
      </c>
      <c r="E746" s="61">
        <f>13.1817 * CHOOSE(CONTROL!$C$19, $C$6, 100%, $E$6)</f>
        <v>13.181699999999999</v>
      </c>
      <c r="F746" s="61">
        <f>13.1817 * CHOOSE(CONTROL!$C$19, $C$6, 100%, $E$6)</f>
        <v>13.181699999999999</v>
      </c>
      <c r="G746" s="61">
        <f>13.1838 * CHOOSE(CONTROL!$C$19, $C$6, 100%, $E$6)</f>
        <v>13.1838</v>
      </c>
      <c r="H746" s="61">
        <f>18.1836* CHOOSE(CONTROL!$C$19, $C$6, 100%, $E$6)</f>
        <v>18.183599999999998</v>
      </c>
      <c r="I746" s="61">
        <f>18.1857 * CHOOSE(CONTROL!$C$19, $C$6, 100%, $E$6)</f>
        <v>18.185700000000001</v>
      </c>
      <c r="J746" s="61">
        <f>13.1817 * CHOOSE(CONTROL!$C$19, $C$6, 100%, $E$6)</f>
        <v>13.181699999999999</v>
      </c>
      <c r="K746" s="61">
        <f>13.1838 * CHOOSE(CONTROL!$C$19, $C$6, 100%, $E$6)</f>
        <v>13.1838</v>
      </c>
    </row>
    <row r="747" spans="1:11" ht="15">
      <c r="A747" s="13">
        <v>64802</v>
      </c>
      <c r="B747" s="60">
        <f>10.8946 * CHOOSE(CONTROL!$C$19, $C$6, 100%, $E$6)</f>
        <v>10.894600000000001</v>
      </c>
      <c r="C747" s="60">
        <f>10.8946 * CHOOSE(CONTROL!$C$19, $C$6, 100%, $E$6)</f>
        <v>10.894600000000001</v>
      </c>
      <c r="D747" s="60">
        <f>10.9276 * CHOOSE(CONTROL!$C$19, $C$6, 100%, $E$6)</f>
        <v>10.9276</v>
      </c>
      <c r="E747" s="61">
        <f>13.1187 * CHOOSE(CONTROL!$C$19, $C$6, 100%, $E$6)</f>
        <v>13.1187</v>
      </c>
      <c r="F747" s="61">
        <f>13.1187 * CHOOSE(CONTROL!$C$19, $C$6, 100%, $E$6)</f>
        <v>13.1187</v>
      </c>
      <c r="G747" s="61">
        <f>13.1207 * CHOOSE(CONTROL!$C$19, $C$6, 100%, $E$6)</f>
        <v>13.120699999999999</v>
      </c>
      <c r="H747" s="61">
        <f>18.2215* CHOOSE(CONTROL!$C$19, $C$6, 100%, $E$6)</f>
        <v>18.221499999999999</v>
      </c>
      <c r="I747" s="61">
        <f>18.2235 * CHOOSE(CONTROL!$C$19, $C$6, 100%, $E$6)</f>
        <v>18.223500000000001</v>
      </c>
      <c r="J747" s="61">
        <f>13.1187 * CHOOSE(CONTROL!$C$19, $C$6, 100%, $E$6)</f>
        <v>13.1187</v>
      </c>
      <c r="K747" s="61">
        <f>13.1207 * CHOOSE(CONTROL!$C$19, $C$6, 100%, $E$6)</f>
        <v>13.120699999999999</v>
      </c>
    </row>
    <row r="748" spans="1:11" ht="15">
      <c r="A748" s="13">
        <v>64832</v>
      </c>
      <c r="B748" s="60">
        <f>11.0477 * CHOOSE(CONTROL!$C$19, $C$6, 100%, $E$6)</f>
        <v>11.047700000000001</v>
      </c>
      <c r="C748" s="60">
        <f>11.0477 * CHOOSE(CONTROL!$C$19, $C$6, 100%, $E$6)</f>
        <v>11.047700000000001</v>
      </c>
      <c r="D748" s="60">
        <f>11.0807 * CHOOSE(CONTROL!$C$19, $C$6, 100%, $E$6)</f>
        <v>11.0807</v>
      </c>
      <c r="E748" s="61">
        <f>13.3584 * CHOOSE(CONTROL!$C$19, $C$6, 100%, $E$6)</f>
        <v>13.3584</v>
      </c>
      <c r="F748" s="61">
        <f>13.3584 * CHOOSE(CONTROL!$C$19, $C$6, 100%, $E$6)</f>
        <v>13.3584</v>
      </c>
      <c r="G748" s="61">
        <f>13.3604 * CHOOSE(CONTROL!$C$19, $C$6, 100%, $E$6)</f>
        <v>13.3604</v>
      </c>
      <c r="H748" s="61">
        <f>18.2595* CHOOSE(CONTROL!$C$19, $C$6, 100%, $E$6)</f>
        <v>18.259499999999999</v>
      </c>
      <c r="I748" s="61">
        <f>18.2615 * CHOOSE(CONTROL!$C$19, $C$6, 100%, $E$6)</f>
        <v>18.261500000000002</v>
      </c>
      <c r="J748" s="61">
        <f>13.3584 * CHOOSE(CONTROL!$C$19, $C$6, 100%, $E$6)</f>
        <v>13.3584</v>
      </c>
      <c r="K748" s="61">
        <f>13.3604 * CHOOSE(CONTROL!$C$19, $C$6, 100%, $E$6)</f>
        <v>13.3604</v>
      </c>
    </row>
    <row r="749" spans="1:11" ht="15">
      <c r="A749" s="13">
        <v>64863</v>
      </c>
      <c r="B749" s="60">
        <f>11.0544 * CHOOSE(CONTROL!$C$19, $C$6, 100%, $E$6)</f>
        <v>11.054399999999999</v>
      </c>
      <c r="C749" s="60">
        <f>11.0544 * CHOOSE(CONTROL!$C$19, $C$6, 100%, $E$6)</f>
        <v>11.054399999999999</v>
      </c>
      <c r="D749" s="60">
        <f>11.0874 * CHOOSE(CONTROL!$C$19, $C$6, 100%, $E$6)</f>
        <v>11.087400000000001</v>
      </c>
      <c r="E749" s="61">
        <f>13.1612 * CHOOSE(CONTROL!$C$19, $C$6, 100%, $E$6)</f>
        <v>13.161199999999999</v>
      </c>
      <c r="F749" s="61">
        <f>13.1612 * CHOOSE(CONTROL!$C$19, $C$6, 100%, $E$6)</f>
        <v>13.161199999999999</v>
      </c>
      <c r="G749" s="61">
        <f>13.1632 * CHOOSE(CONTROL!$C$19, $C$6, 100%, $E$6)</f>
        <v>13.1632</v>
      </c>
      <c r="H749" s="61">
        <f>18.2975* CHOOSE(CONTROL!$C$19, $C$6, 100%, $E$6)</f>
        <v>18.297499999999999</v>
      </c>
      <c r="I749" s="61">
        <f>18.2995 * CHOOSE(CONTROL!$C$19, $C$6, 100%, $E$6)</f>
        <v>18.299499999999998</v>
      </c>
      <c r="J749" s="61">
        <f>13.1612 * CHOOSE(CONTROL!$C$19, $C$6, 100%, $E$6)</f>
        <v>13.161199999999999</v>
      </c>
      <c r="K749" s="61">
        <f>13.1632 * CHOOSE(CONTROL!$C$19, $C$6, 100%, $E$6)</f>
        <v>13.1632</v>
      </c>
    </row>
    <row r="750" spans="1:11" ht="15">
      <c r="A750" s="13">
        <v>64894</v>
      </c>
      <c r="B750" s="60">
        <f>11.0514 * CHOOSE(CONTROL!$C$19, $C$6, 100%, $E$6)</f>
        <v>11.051399999999999</v>
      </c>
      <c r="C750" s="60">
        <f>11.0514 * CHOOSE(CONTROL!$C$19, $C$6, 100%, $E$6)</f>
        <v>11.051399999999999</v>
      </c>
      <c r="D750" s="60">
        <f>11.0844 * CHOOSE(CONTROL!$C$19, $C$6, 100%, $E$6)</f>
        <v>11.0844</v>
      </c>
      <c r="E750" s="61">
        <f>13.1366 * CHOOSE(CONTROL!$C$19, $C$6, 100%, $E$6)</f>
        <v>13.1366</v>
      </c>
      <c r="F750" s="61">
        <f>13.1366 * CHOOSE(CONTROL!$C$19, $C$6, 100%, $E$6)</f>
        <v>13.1366</v>
      </c>
      <c r="G750" s="61">
        <f>13.1387 * CHOOSE(CONTROL!$C$19, $C$6, 100%, $E$6)</f>
        <v>13.1387</v>
      </c>
      <c r="H750" s="61">
        <f>18.3356* CHOOSE(CONTROL!$C$19, $C$6, 100%, $E$6)</f>
        <v>18.335599999999999</v>
      </c>
      <c r="I750" s="61">
        <f>18.3377 * CHOOSE(CONTROL!$C$19, $C$6, 100%, $E$6)</f>
        <v>18.337700000000002</v>
      </c>
      <c r="J750" s="61">
        <f>13.1366 * CHOOSE(CONTROL!$C$19, $C$6, 100%, $E$6)</f>
        <v>13.1366</v>
      </c>
      <c r="K750" s="61">
        <f>13.1387 * CHOOSE(CONTROL!$C$19, $C$6, 100%, $E$6)</f>
        <v>13.1387</v>
      </c>
    </row>
    <row r="751" spans="1:11" ht="15">
      <c r="A751" s="13">
        <v>64924</v>
      </c>
      <c r="B751" s="60">
        <f>11.0732 * CHOOSE(CONTROL!$C$19, $C$6, 100%, $E$6)</f>
        <v>11.0732</v>
      </c>
      <c r="C751" s="60">
        <f>11.0732 * CHOOSE(CONTROL!$C$19, $C$6, 100%, $E$6)</f>
        <v>11.0732</v>
      </c>
      <c r="D751" s="60">
        <f>11.0897 * CHOOSE(CONTROL!$C$19, $C$6, 100%, $E$6)</f>
        <v>11.089700000000001</v>
      </c>
      <c r="E751" s="61">
        <f>13.2129 * CHOOSE(CONTROL!$C$19, $C$6, 100%, $E$6)</f>
        <v>13.212899999999999</v>
      </c>
      <c r="F751" s="61">
        <f>13.2129 * CHOOSE(CONTROL!$C$19, $C$6, 100%, $E$6)</f>
        <v>13.212899999999999</v>
      </c>
      <c r="G751" s="61">
        <f>13.2131 * CHOOSE(CONTROL!$C$19, $C$6, 100%, $E$6)</f>
        <v>13.213100000000001</v>
      </c>
      <c r="H751" s="61">
        <f>18.3738* CHOOSE(CONTROL!$C$19, $C$6, 100%, $E$6)</f>
        <v>18.373799999999999</v>
      </c>
      <c r="I751" s="61">
        <f>18.374 * CHOOSE(CONTROL!$C$19, $C$6, 100%, $E$6)</f>
        <v>18.373999999999999</v>
      </c>
      <c r="J751" s="61">
        <f>13.2129 * CHOOSE(CONTROL!$C$19, $C$6, 100%, $E$6)</f>
        <v>13.212899999999999</v>
      </c>
      <c r="K751" s="61">
        <f>13.2131 * CHOOSE(CONTROL!$C$19, $C$6, 100%, $E$6)</f>
        <v>13.213100000000001</v>
      </c>
    </row>
    <row r="752" spans="1:11" ht="15">
      <c r="A752" s="13">
        <v>64955</v>
      </c>
      <c r="B752" s="60">
        <f>11.0762 * CHOOSE(CONTROL!$C$19, $C$6, 100%, $E$6)</f>
        <v>11.0762</v>
      </c>
      <c r="C752" s="60">
        <f>11.0762 * CHOOSE(CONTROL!$C$19, $C$6, 100%, $E$6)</f>
        <v>11.0762</v>
      </c>
      <c r="D752" s="60">
        <f>11.0928 * CHOOSE(CONTROL!$C$19, $C$6, 100%, $E$6)</f>
        <v>11.0928</v>
      </c>
      <c r="E752" s="61">
        <f>13.2599 * CHOOSE(CONTROL!$C$19, $C$6, 100%, $E$6)</f>
        <v>13.2599</v>
      </c>
      <c r="F752" s="61">
        <f>13.2599 * CHOOSE(CONTROL!$C$19, $C$6, 100%, $E$6)</f>
        <v>13.2599</v>
      </c>
      <c r="G752" s="61">
        <f>13.2601 * CHOOSE(CONTROL!$C$19, $C$6, 100%, $E$6)</f>
        <v>13.2601</v>
      </c>
      <c r="H752" s="61">
        <f>18.4121* CHOOSE(CONTROL!$C$19, $C$6, 100%, $E$6)</f>
        <v>18.412099999999999</v>
      </c>
      <c r="I752" s="61">
        <f>18.4123 * CHOOSE(CONTROL!$C$19, $C$6, 100%, $E$6)</f>
        <v>18.412299999999998</v>
      </c>
      <c r="J752" s="61">
        <f>13.2599 * CHOOSE(CONTROL!$C$19, $C$6, 100%, $E$6)</f>
        <v>13.2599</v>
      </c>
      <c r="K752" s="61">
        <f>13.2601 * CHOOSE(CONTROL!$C$19, $C$6, 100%, $E$6)</f>
        <v>13.2601</v>
      </c>
    </row>
    <row r="753" spans="1:11" ht="15">
      <c r="A753" s="13">
        <v>64985</v>
      </c>
      <c r="B753" s="60">
        <f>11.0762 * CHOOSE(CONTROL!$C$19, $C$6, 100%, $E$6)</f>
        <v>11.0762</v>
      </c>
      <c r="C753" s="60">
        <f>11.0762 * CHOOSE(CONTROL!$C$19, $C$6, 100%, $E$6)</f>
        <v>11.0762</v>
      </c>
      <c r="D753" s="60">
        <f>11.0928 * CHOOSE(CONTROL!$C$19, $C$6, 100%, $E$6)</f>
        <v>11.0928</v>
      </c>
      <c r="E753" s="61">
        <f>13.1478 * CHOOSE(CONTROL!$C$19, $C$6, 100%, $E$6)</f>
        <v>13.1478</v>
      </c>
      <c r="F753" s="61">
        <f>13.1478 * CHOOSE(CONTROL!$C$19, $C$6, 100%, $E$6)</f>
        <v>13.1478</v>
      </c>
      <c r="G753" s="61">
        <f>13.1479 * CHOOSE(CONTROL!$C$19, $C$6, 100%, $E$6)</f>
        <v>13.1479</v>
      </c>
      <c r="H753" s="61">
        <f>18.4505* CHOOSE(CONTROL!$C$19, $C$6, 100%, $E$6)</f>
        <v>18.450500000000002</v>
      </c>
      <c r="I753" s="61">
        <f>18.4506 * CHOOSE(CONTROL!$C$19, $C$6, 100%, $E$6)</f>
        <v>18.450600000000001</v>
      </c>
      <c r="J753" s="61">
        <f>13.1478 * CHOOSE(CONTROL!$C$19, $C$6, 100%, $E$6)</f>
        <v>13.1478</v>
      </c>
      <c r="K753" s="61">
        <f>13.1479 * CHOOSE(CONTROL!$C$19, $C$6, 100%, $E$6)</f>
        <v>13.1479</v>
      </c>
    </row>
    <row r="754" spans="1:11" ht="15">
      <c r="A754" s="13">
        <v>65016</v>
      </c>
      <c r="B754" s="60">
        <f>11.0867 * CHOOSE(CONTROL!$C$19, $C$6, 100%, $E$6)</f>
        <v>11.0867</v>
      </c>
      <c r="C754" s="60">
        <f>11.0867 * CHOOSE(CONTROL!$C$19, $C$6, 100%, $E$6)</f>
        <v>11.0867</v>
      </c>
      <c r="D754" s="60">
        <f>11.1032 * CHOOSE(CONTROL!$C$19, $C$6, 100%, $E$6)</f>
        <v>11.103199999999999</v>
      </c>
      <c r="E754" s="61">
        <f>13.2402 * CHOOSE(CONTROL!$C$19, $C$6, 100%, $E$6)</f>
        <v>13.2402</v>
      </c>
      <c r="F754" s="61">
        <f>13.2402 * CHOOSE(CONTROL!$C$19, $C$6, 100%, $E$6)</f>
        <v>13.2402</v>
      </c>
      <c r="G754" s="61">
        <f>13.2404 * CHOOSE(CONTROL!$C$19, $C$6, 100%, $E$6)</f>
        <v>13.240399999999999</v>
      </c>
      <c r="H754" s="61">
        <f>18.3575* CHOOSE(CONTROL!$C$19, $C$6, 100%, $E$6)</f>
        <v>18.357500000000002</v>
      </c>
      <c r="I754" s="61">
        <f>18.3577 * CHOOSE(CONTROL!$C$19, $C$6, 100%, $E$6)</f>
        <v>18.357700000000001</v>
      </c>
      <c r="J754" s="61">
        <f>13.2402 * CHOOSE(CONTROL!$C$19, $C$6, 100%, $E$6)</f>
        <v>13.2402</v>
      </c>
      <c r="K754" s="61">
        <f>13.2404 * CHOOSE(CONTROL!$C$19, $C$6, 100%, $E$6)</f>
        <v>13.240399999999999</v>
      </c>
    </row>
    <row r="755" spans="1:11" ht="15">
      <c r="A755" s="13">
        <v>65047</v>
      </c>
      <c r="B755" s="60">
        <f>11.0837 * CHOOSE(CONTROL!$C$19, $C$6, 100%, $E$6)</f>
        <v>11.0837</v>
      </c>
      <c r="C755" s="60">
        <f>11.0837 * CHOOSE(CONTROL!$C$19, $C$6, 100%, $E$6)</f>
        <v>11.0837</v>
      </c>
      <c r="D755" s="60">
        <f>11.1002 * CHOOSE(CONTROL!$C$19, $C$6, 100%, $E$6)</f>
        <v>11.100199999999999</v>
      </c>
      <c r="E755" s="61">
        <f>13.0217 * CHOOSE(CONTROL!$C$19, $C$6, 100%, $E$6)</f>
        <v>13.021699999999999</v>
      </c>
      <c r="F755" s="61">
        <f>13.0217 * CHOOSE(CONTROL!$C$19, $C$6, 100%, $E$6)</f>
        <v>13.021699999999999</v>
      </c>
      <c r="G755" s="61">
        <f>13.0219 * CHOOSE(CONTROL!$C$19, $C$6, 100%, $E$6)</f>
        <v>13.0219</v>
      </c>
      <c r="H755" s="61">
        <f>18.3958* CHOOSE(CONTROL!$C$19, $C$6, 100%, $E$6)</f>
        <v>18.395800000000001</v>
      </c>
      <c r="I755" s="61">
        <f>18.396 * CHOOSE(CONTROL!$C$19, $C$6, 100%, $E$6)</f>
        <v>18.396000000000001</v>
      </c>
      <c r="J755" s="61">
        <f>13.0217 * CHOOSE(CONTROL!$C$19, $C$6, 100%, $E$6)</f>
        <v>13.021699999999999</v>
      </c>
      <c r="K755" s="61">
        <f>13.0219 * CHOOSE(CONTROL!$C$19, $C$6, 100%, $E$6)</f>
        <v>13.0219</v>
      </c>
    </row>
    <row r="756" spans="1:11" ht="15">
      <c r="A756" s="13">
        <v>65075</v>
      </c>
      <c r="B756" s="60">
        <f>11.0806 * CHOOSE(CONTROL!$C$19, $C$6, 100%, $E$6)</f>
        <v>11.0806</v>
      </c>
      <c r="C756" s="60">
        <f>11.0806 * CHOOSE(CONTROL!$C$19, $C$6, 100%, $E$6)</f>
        <v>11.0806</v>
      </c>
      <c r="D756" s="60">
        <f>11.0971 * CHOOSE(CONTROL!$C$19, $C$6, 100%, $E$6)</f>
        <v>11.097099999999999</v>
      </c>
      <c r="E756" s="61">
        <f>13.1902 * CHOOSE(CONTROL!$C$19, $C$6, 100%, $E$6)</f>
        <v>13.190200000000001</v>
      </c>
      <c r="F756" s="61">
        <f>13.1902 * CHOOSE(CONTROL!$C$19, $C$6, 100%, $E$6)</f>
        <v>13.190200000000001</v>
      </c>
      <c r="G756" s="61">
        <f>13.1903 * CHOOSE(CONTROL!$C$19, $C$6, 100%, $E$6)</f>
        <v>13.190300000000001</v>
      </c>
      <c r="H756" s="61">
        <f>18.4341* CHOOSE(CONTROL!$C$19, $C$6, 100%, $E$6)</f>
        <v>18.434100000000001</v>
      </c>
      <c r="I756" s="61">
        <f>18.4343 * CHOOSE(CONTROL!$C$19, $C$6, 100%, $E$6)</f>
        <v>18.4343</v>
      </c>
      <c r="J756" s="61">
        <f>13.1902 * CHOOSE(CONTROL!$C$19, $C$6, 100%, $E$6)</f>
        <v>13.190200000000001</v>
      </c>
      <c r="K756" s="61">
        <f>13.1903 * CHOOSE(CONTROL!$C$19, $C$6, 100%, $E$6)</f>
        <v>13.190300000000001</v>
      </c>
    </row>
    <row r="757" spans="1:11" ht="15">
      <c r="A757" s="13">
        <v>65106</v>
      </c>
      <c r="B757" s="60">
        <f>11.0853 * CHOOSE(CONTROL!$C$19, $C$6, 100%, $E$6)</f>
        <v>11.0853</v>
      </c>
      <c r="C757" s="60">
        <f>11.0853 * CHOOSE(CONTROL!$C$19, $C$6, 100%, $E$6)</f>
        <v>11.0853</v>
      </c>
      <c r="D757" s="60">
        <f>11.1018 * CHOOSE(CONTROL!$C$19, $C$6, 100%, $E$6)</f>
        <v>11.101800000000001</v>
      </c>
      <c r="E757" s="61">
        <f>13.3691 * CHOOSE(CONTROL!$C$19, $C$6, 100%, $E$6)</f>
        <v>13.3691</v>
      </c>
      <c r="F757" s="61">
        <f>13.3691 * CHOOSE(CONTROL!$C$19, $C$6, 100%, $E$6)</f>
        <v>13.3691</v>
      </c>
      <c r="G757" s="61">
        <f>13.3693 * CHOOSE(CONTROL!$C$19, $C$6, 100%, $E$6)</f>
        <v>13.369300000000001</v>
      </c>
      <c r="H757" s="61">
        <f>18.4725* CHOOSE(CONTROL!$C$19, $C$6, 100%, $E$6)</f>
        <v>18.4725</v>
      </c>
      <c r="I757" s="61">
        <f>18.4727 * CHOOSE(CONTROL!$C$19, $C$6, 100%, $E$6)</f>
        <v>18.4727</v>
      </c>
      <c r="J757" s="61">
        <f>13.3691 * CHOOSE(CONTROL!$C$19, $C$6, 100%, $E$6)</f>
        <v>13.3691</v>
      </c>
      <c r="K757" s="61">
        <f>13.3693 * CHOOSE(CONTROL!$C$19, $C$6, 100%, $E$6)</f>
        <v>13.369300000000001</v>
      </c>
    </row>
    <row r="758" spans="1:11" ht="15">
      <c r="A758" s="13">
        <v>65136</v>
      </c>
      <c r="B758" s="60">
        <f>11.0853 * CHOOSE(CONTROL!$C$19, $C$6, 100%, $E$6)</f>
        <v>11.0853</v>
      </c>
      <c r="C758" s="60">
        <f>11.0853 * CHOOSE(CONTROL!$C$19, $C$6, 100%, $E$6)</f>
        <v>11.0853</v>
      </c>
      <c r="D758" s="60">
        <f>11.1183 * CHOOSE(CONTROL!$C$19, $C$6, 100%, $E$6)</f>
        <v>11.1183</v>
      </c>
      <c r="E758" s="61">
        <f>13.4378 * CHOOSE(CONTROL!$C$19, $C$6, 100%, $E$6)</f>
        <v>13.437799999999999</v>
      </c>
      <c r="F758" s="61">
        <f>13.4378 * CHOOSE(CONTROL!$C$19, $C$6, 100%, $E$6)</f>
        <v>13.437799999999999</v>
      </c>
      <c r="G758" s="61">
        <f>13.4399 * CHOOSE(CONTROL!$C$19, $C$6, 100%, $E$6)</f>
        <v>13.4399</v>
      </c>
      <c r="H758" s="61">
        <f>18.511* CHOOSE(CONTROL!$C$19, $C$6, 100%, $E$6)</f>
        <v>18.510999999999999</v>
      </c>
      <c r="I758" s="61">
        <f>18.513 * CHOOSE(CONTROL!$C$19, $C$6, 100%, $E$6)</f>
        <v>18.513000000000002</v>
      </c>
      <c r="J758" s="61">
        <f>13.4378 * CHOOSE(CONTROL!$C$19, $C$6, 100%, $E$6)</f>
        <v>13.437799999999999</v>
      </c>
      <c r="K758" s="61">
        <f>13.4399 * CHOOSE(CONTROL!$C$19, $C$6, 100%, $E$6)</f>
        <v>13.4399</v>
      </c>
    </row>
    <row r="759" spans="1:11" ht="15">
      <c r="A759" s="13">
        <v>65167</v>
      </c>
      <c r="B759" s="60">
        <f>11.0914 * CHOOSE(CONTROL!$C$19, $C$6, 100%, $E$6)</f>
        <v>11.0914</v>
      </c>
      <c r="C759" s="60">
        <f>11.0914 * CHOOSE(CONTROL!$C$19, $C$6, 100%, $E$6)</f>
        <v>11.0914</v>
      </c>
      <c r="D759" s="60">
        <f>11.1244 * CHOOSE(CONTROL!$C$19, $C$6, 100%, $E$6)</f>
        <v>11.1244</v>
      </c>
      <c r="E759" s="61">
        <f>13.3734 * CHOOSE(CONTROL!$C$19, $C$6, 100%, $E$6)</f>
        <v>13.3734</v>
      </c>
      <c r="F759" s="61">
        <f>13.3734 * CHOOSE(CONTROL!$C$19, $C$6, 100%, $E$6)</f>
        <v>13.3734</v>
      </c>
      <c r="G759" s="61">
        <f>13.3754 * CHOOSE(CONTROL!$C$19, $C$6, 100%, $E$6)</f>
        <v>13.375400000000001</v>
      </c>
      <c r="H759" s="61">
        <f>18.5496* CHOOSE(CONTROL!$C$19, $C$6, 100%, $E$6)</f>
        <v>18.549600000000002</v>
      </c>
      <c r="I759" s="61">
        <f>18.5516 * CHOOSE(CONTROL!$C$19, $C$6, 100%, $E$6)</f>
        <v>18.551600000000001</v>
      </c>
      <c r="J759" s="61">
        <f>13.3734 * CHOOSE(CONTROL!$C$19, $C$6, 100%, $E$6)</f>
        <v>13.3734</v>
      </c>
      <c r="K759" s="61">
        <f>13.3754 * CHOOSE(CONTROL!$C$19, $C$6, 100%, $E$6)</f>
        <v>13.375400000000001</v>
      </c>
    </row>
    <row r="760" spans="1:11" ht="15">
      <c r="A760" s="13">
        <v>65197</v>
      </c>
      <c r="B760" s="60">
        <f>11.247 * CHOOSE(CONTROL!$C$19, $C$6, 100%, $E$6)</f>
        <v>11.247</v>
      </c>
      <c r="C760" s="60">
        <f>11.247 * CHOOSE(CONTROL!$C$19, $C$6, 100%, $E$6)</f>
        <v>11.247</v>
      </c>
      <c r="D760" s="60">
        <f>11.28 * CHOOSE(CONTROL!$C$19, $C$6, 100%, $E$6)</f>
        <v>11.28</v>
      </c>
      <c r="E760" s="61">
        <f>13.6175 * CHOOSE(CONTROL!$C$19, $C$6, 100%, $E$6)</f>
        <v>13.6175</v>
      </c>
      <c r="F760" s="61">
        <f>13.6175 * CHOOSE(CONTROL!$C$19, $C$6, 100%, $E$6)</f>
        <v>13.6175</v>
      </c>
      <c r="G760" s="61">
        <f>13.6195 * CHOOSE(CONTROL!$C$19, $C$6, 100%, $E$6)</f>
        <v>13.6195</v>
      </c>
      <c r="H760" s="61">
        <f>18.5882* CHOOSE(CONTROL!$C$19, $C$6, 100%, $E$6)</f>
        <v>18.588200000000001</v>
      </c>
      <c r="I760" s="61">
        <f>18.5902 * CHOOSE(CONTROL!$C$19, $C$6, 100%, $E$6)</f>
        <v>18.590199999999999</v>
      </c>
      <c r="J760" s="61">
        <f>13.6175 * CHOOSE(CONTROL!$C$19, $C$6, 100%, $E$6)</f>
        <v>13.6175</v>
      </c>
      <c r="K760" s="61">
        <f>13.6195 * CHOOSE(CONTROL!$C$19, $C$6, 100%, $E$6)</f>
        <v>13.6195</v>
      </c>
    </row>
    <row r="761" spans="1:11" ht="15">
      <c r="A761" s="13">
        <v>65228</v>
      </c>
      <c r="B761" s="60">
        <f>11.2537 * CHOOSE(CONTROL!$C$19, $C$6, 100%, $E$6)</f>
        <v>11.2537</v>
      </c>
      <c r="C761" s="60">
        <f>11.2537 * CHOOSE(CONTROL!$C$19, $C$6, 100%, $E$6)</f>
        <v>11.2537</v>
      </c>
      <c r="D761" s="60">
        <f>11.2867 * CHOOSE(CONTROL!$C$19, $C$6, 100%, $E$6)</f>
        <v>11.2867</v>
      </c>
      <c r="E761" s="61">
        <f>13.416 * CHOOSE(CONTROL!$C$19, $C$6, 100%, $E$6)</f>
        <v>13.416</v>
      </c>
      <c r="F761" s="61">
        <f>13.416 * CHOOSE(CONTROL!$C$19, $C$6, 100%, $E$6)</f>
        <v>13.416</v>
      </c>
      <c r="G761" s="61">
        <f>13.4181 * CHOOSE(CONTROL!$C$19, $C$6, 100%, $E$6)</f>
        <v>13.418100000000001</v>
      </c>
      <c r="H761" s="61">
        <f>18.6269* CHOOSE(CONTROL!$C$19, $C$6, 100%, $E$6)</f>
        <v>18.626899999999999</v>
      </c>
      <c r="I761" s="61">
        <f>18.629 * CHOOSE(CONTROL!$C$19, $C$6, 100%, $E$6)</f>
        <v>18.629000000000001</v>
      </c>
      <c r="J761" s="61">
        <f>13.416 * CHOOSE(CONTROL!$C$19, $C$6, 100%, $E$6)</f>
        <v>13.416</v>
      </c>
      <c r="K761" s="61">
        <f>13.4181 * CHOOSE(CONTROL!$C$19, $C$6, 100%, $E$6)</f>
        <v>13.418100000000001</v>
      </c>
    </row>
    <row r="762" spans="1:11" ht="15">
      <c r="A762" s="13">
        <v>65259</v>
      </c>
      <c r="B762" s="60">
        <f>11.2507 * CHOOSE(CONTROL!$C$19, $C$6, 100%, $E$6)</f>
        <v>11.2507</v>
      </c>
      <c r="C762" s="60">
        <f>11.2507 * CHOOSE(CONTROL!$C$19, $C$6, 100%, $E$6)</f>
        <v>11.2507</v>
      </c>
      <c r="D762" s="60">
        <f>11.2837 * CHOOSE(CONTROL!$C$19, $C$6, 100%, $E$6)</f>
        <v>11.2837</v>
      </c>
      <c r="E762" s="61">
        <f>13.391 * CHOOSE(CONTROL!$C$19, $C$6, 100%, $E$6)</f>
        <v>13.391</v>
      </c>
      <c r="F762" s="61">
        <f>13.391 * CHOOSE(CONTROL!$C$19, $C$6, 100%, $E$6)</f>
        <v>13.391</v>
      </c>
      <c r="G762" s="61">
        <f>13.3931 * CHOOSE(CONTROL!$C$19, $C$6, 100%, $E$6)</f>
        <v>13.3931</v>
      </c>
      <c r="H762" s="61">
        <f>18.6657* CHOOSE(CONTROL!$C$19, $C$6, 100%, $E$6)</f>
        <v>18.665700000000001</v>
      </c>
      <c r="I762" s="61">
        <f>18.6678 * CHOOSE(CONTROL!$C$19, $C$6, 100%, $E$6)</f>
        <v>18.6678</v>
      </c>
      <c r="J762" s="61">
        <f>13.391 * CHOOSE(CONTROL!$C$19, $C$6, 100%, $E$6)</f>
        <v>13.391</v>
      </c>
      <c r="K762" s="61">
        <f>13.3931 * CHOOSE(CONTROL!$C$19, $C$6, 100%, $E$6)</f>
        <v>13.3931</v>
      </c>
    </row>
    <row r="763" spans="1:11" ht="15">
      <c r="A763" s="13">
        <v>65289</v>
      </c>
      <c r="B763" s="60">
        <f>11.2733 * CHOOSE(CONTROL!$C$19, $C$6, 100%, $E$6)</f>
        <v>11.273300000000001</v>
      </c>
      <c r="C763" s="60">
        <f>11.2733 * CHOOSE(CONTROL!$C$19, $C$6, 100%, $E$6)</f>
        <v>11.273300000000001</v>
      </c>
      <c r="D763" s="60">
        <f>11.2898 * CHOOSE(CONTROL!$C$19, $C$6, 100%, $E$6)</f>
        <v>11.2898</v>
      </c>
      <c r="E763" s="61">
        <f>13.4692 * CHOOSE(CONTROL!$C$19, $C$6, 100%, $E$6)</f>
        <v>13.469200000000001</v>
      </c>
      <c r="F763" s="61">
        <f>13.4692 * CHOOSE(CONTROL!$C$19, $C$6, 100%, $E$6)</f>
        <v>13.469200000000001</v>
      </c>
      <c r="G763" s="61">
        <f>13.4694 * CHOOSE(CONTROL!$C$19, $C$6, 100%, $E$6)</f>
        <v>13.4694</v>
      </c>
      <c r="H763" s="61">
        <f>18.7046* CHOOSE(CONTROL!$C$19, $C$6, 100%, $E$6)</f>
        <v>18.704599999999999</v>
      </c>
      <c r="I763" s="61">
        <f>18.7048 * CHOOSE(CONTROL!$C$19, $C$6, 100%, $E$6)</f>
        <v>18.704799999999999</v>
      </c>
      <c r="J763" s="61">
        <f>13.4692 * CHOOSE(CONTROL!$C$19, $C$6, 100%, $E$6)</f>
        <v>13.469200000000001</v>
      </c>
      <c r="K763" s="61">
        <f>13.4694 * CHOOSE(CONTROL!$C$19, $C$6, 100%, $E$6)</f>
        <v>13.4694</v>
      </c>
    </row>
    <row r="764" spans="1:11" ht="15">
      <c r="A764" s="13">
        <v>65320</v>
      </c>
      <c r="B764" s="60">
        <f>11.2763 * CHOOSE(CONTROL!$C$19, $C$6, 100%, $E$6)</f>
        <v>11.276300000000001</v>
      </c>
      <c r="C764" s="60">
        <f>11.2763 * CHOOSE(CONTROL!$C$19, $C$6, 100%, $E$6)</f>
        <v>11.276300000000001</v>
      </c>
      <c r="D764" s="60">
        <f>11.2928 * CHOOSE(CONTROL!$C$19, $C$6, 100%, $E$6)</f>
        <v>11.2928</v>
      </c>
      <c r="E764" s="61">
        <f>13.5171 * CHOOSE(CONTROL!$C$19, $C$6, 100%, $E$6)</f>
        <v>13.517099999999999</v>
      </c>
      <c r="F764" s="61">
        <f>13.5171 * CHOOSE(CONTROL!$C$19, $C$6, 100%, $E$6)</f>
        <v>13.517099999999999</v>
      </c>
      <c r="G764" s="61">
        <f>13.5173 * CHOOSE(CONTROL!$C$19, $C$6, 100%, $E$6)</f>
        <v>13.517300000000001</v>
      </c>
      <c r="H764" s="61">
        <f>18.7436* CHOOSE(CONTROL!$C$19, $C$6, 100%, $E$6)</f>
        <v>18.743600000000001</v>
      </c>
      <c r="I764" s="61">
        <f>18.7438 * CHOOSE(CONTROL!$C$19, $C$6, 100%, $E$6)</f>
        <v>18.7438</v>
      </c>
      <c r="J764" s="61">
        <f>13.5171 * CHOOSE(CONTROL!$C$19, $C$6, 100%, $E$6)</f>
        <v>13.517099999999999</v>
      </c>
      <c r="K764" s="61">
        <f>13.5173 * CHOOSE(CONTROL!$C$19, $C$6, 100%, $E$6)</f>
        <v>13.517300000000001</v>
      </c>
    </row>
    <row r="765" spans="1:11" ht="15">
      <c r="A765" s="13">
        <v>65350</v>
      </c>
      <c r="B765" s="60">
        <f>11.2763 * CHOOSE(CONTROL!$C$19, $C$6, 100%, $E$6)</f>
        <v>11.276300000000001</v>
      </c>
      <c r="C765" s="60">
        <f>11.2763 * CHOOSE(CONTROL!$C$19, $C$6, 100%, $E$6)</f>
        <v>11.276300000000001</v>
      </c>
      <c r="D765" s="60">
        <f>11.2928 * CHOOSE(CONTROL!$C$19, $C$6, 100%, $E$6)</f>
        <v>11.2928</v>
      </c>
      <c r="E765" s="61">
        <f>13.4026 * CHOOSE(CONTROL!$C$19, $C$6, 100%, $E$6)</f>
        <v>13.4026</v>
      </c>
      <c r="F765" s="61">
        <f>13.4026 * CHOOSE(CONTROL!$C$19, $C$6, 100%, $E$6)</f>
        <v>13.4026</v>
      </c>
      <c r="G765" s="61">
        <f>13.4028 * CHOOSE(CONTROL!$C$19, $C$6, 100%, $E$6)</f>
        <v>13.402799999999999</v>
      </c>
      <c r="H765" s="61">
        <f>18.7826* CHOOSE(CONTROL!$C$19, $C$6, 100%, $E$6)</f>
        <v>18.782599999999999</v>
      </c>
      <c r="I765" s="61">
        <f>18.7828 * CHOOSE(CONTROL!$C$19, $C$6, 100%, $E$6)</f>
        <v>18.782800000000002</v>
      </c>
      <c r="J765" s="61">
        <f>13.4026 * CHOOSE(CONTROL!$C$19, $C$6, 100%, $E$6)</f>
        <v>13.4026</v>
      </c>
      <c r="K765" s="61">
        <f>13.4028 * CHOOSE(CONTROL!$C$19, $C$6, 100%, $E$6)</f>
        <v>13.402799999999999</v>
      </c>
    </row>
    <row r="766" spans="1:11" ht="15">
      <c r="A766" s="13">
        <v>65381</v>
      </c>
      <c r="B766" s="60">
        <f>11.2833 * CHOOSE(CONTROL!$C$19, $C$6, 100%, $E$6)</f>
        <v>11.283300000000001</v>
      </c>
      <c r="C766" s="60">
        <f>11.2833 * CHOOSE(CONTROL!$C$19, $C$6, 100%, $E$6)</f>
        <v>11.283300000000001</v>
      </c>
      <c r="D766" s="60">
        <f>11.2998 * CHOOSE(CONTROL!$C$19, $C$6, 100%, $E$6)</f>
        <v>11.299799999999999</v>
      </c>
      <c r="E766" s="61">
        <f>13.492 * CHOOSE(CONTROL!$C$19, $C$6, 100%, $E$6)</f>
        <v>13.492000000000001</v>
      </c>
      <c r="F766" s="61">
        <f>13.492 * CHOOSE(CONTROL!$C$19, $C$6, 100%, $E$6)</f>
        <v>13.492000000000001</v>
      </c>
      <c r="G766" s="61">
        <f>13.4922 * CHOOSE(CONTROL!$C$19, $C$6, 100%, $E$6)</f>
        <v>13.4922</v>
      </c>
      <c r="H766" s="61">
        <f>18.6822* CHOOSE(CONTROL!$C$19, $C$6, 100%, $E$6)</f>
        <v>18.682200000000002</v>
      </c>
      <c r="I766" s="61">
        <f>18.6824 * CHOOSE(CONTROL!$C$19, $C$6, 100%, $E$6)</f>
        <v>18.682400000000001</v>
      </c>
      <c r="J766" s="61">
        <f>13.492 * CHOOSE(CONTROL!$C$19, $C$6, 100%, $E$6)</f>
        <v>13.492000000000001</v>
      </c>
      <c r="K766" s="61">
        <f>13.4922 * CHOOSE(CONTROL!$C$19, $C$6, 100%, $E$6)</f>
        <v>13.4922</v>
      </c>
    </row>
    <row r="767" spans="1:11" ht="15">
      <c r="A767" s="13">
        <v>65412</v>
      </c>
      <c r="B767" s="60">
        <f>11.2803 * CHOOSE(CONTROL!$C$19, $C$6, 100%, $E$6)</f>
        <v>11.2803</v>
      </c>
      <c r="C767" s="60">
        <f>11.2803 * CHOOSE(CONTROL!$C$19, $C$6, 100%, $E$6)</f>
        <v>11.2803</v>
      </c>
      <c r="D767" s="60">
        <f>11.2968 * CHOOSE(CONTROL!$C$19, $C$6, 100%, $E$6)</f>
        <v>11.296799999999999</v>
      </c>
      <c r="E767" s="61">
        <f>13.2691 * CHOOSE(CONTROL!$C$19, $C$6, 100%, $E$6)</f>
        <v>13.2691</v>
      </c>
      <c r="F767" s="61">
        <f>13.2691 * CHOOSE(CONTROL!$C$19, $C$6, 100%, $E$6)</f>
        <v>13.2691</v>
      </c>
      <c r="G767" s="61">
        <f>13.2692 * CHOOSE(CONTROL!$C$19, $C$6, 100%, $E$6)</f>
        <v>13.2692</v>
      </c>
      <c r="H767" s="61">
        <f>18.7211* CHOOSE(CONTROL!$C$19, $C$6, 100%, $E$6)</f>
        <v>18.7211</v>
      </c>
      <c r="I767" s="61">
        <f>18.7213 * CHOOSE(CONTROL!$C$19, $C$6, 100%, $E$6)</f>
        <v>18.721299999999999</v>
      </c>
      <c r="J767" s="61">
        <f>13.2691 * CHOOSE(CONTROL!$C$19, $C$6, 100%, $E$6)</f>
        <v>13.2691</v>
      </c>
      <c r="K767" s="61">
        <f>13.2692 * CHOOSE(CONTROL!$C$19, $C$6, 100%, $E$6)</f>
        <v>13.2692</v>
      </c>
    </row>
    <row r="768" spans="1:11" ht="15">
      <c r="A768" s="13">
        <v>65440</v>
      </c>
      <c r="B768" s="60">
        <f>11.2773 * CHOOSE(CONTROL!$C$19, $C$6, 100%, $E$6)</f>
        <v>11.2773</v>
      </c>
      <c r="C768" s="60">
        <f>11.2773 * CHOOSE(CONTROL!$C$19, $C$6, 100%, $E$6)</f>
        <v>11.2773</v>
      </c>
      <c r="D768" s="60">
        <f>11.2938 * CHOOSE(CONTROL!$C$19, $C$6, 100%, $E$6)</f>
        <v>11.293799999999999</v>
      </c>
      <c r="E768" s="61">
        <f>13.4411 * CHOOSE(CONTROL!$C$19, $C$6, 100%, $E$6)</f>
        <v>13.4411</v>
      </c>
      <c r="F768" s="61">
        <f>13.4411 * CHOOSE(CONTROL!$C$19, $C$6, 100%, $E$6)</f>
        <v>13.4411</v>
      </c>
      <c r="G768" s="61">
        <f>13.4412 * CHOOSE(CONTROL!$C$19, $C$6, 100%, $E$6)</f>
        <v>13.4412</v>
      </c>
      <c r="H768" s="61">
        <f>18.7601* CHOOSE(CONTROL!$C$19, $C$6, 100%, $E$6)</f>
        <v>18.760100000000001</v>
      </c>
      <c r="I768" s="61">
        <f>18.7603 * CHOOSE(CONTROL!$C$19, $C$6, 100%, $E$6)</f>
        <v>18.760300000000001</v>
      </c>
      <c r="J768" s="61">
        <f>13.4411 * CHOOSE(CONTROL!$C$19, $C$6, 100%, $E$6)</f>
        <v>13.4411</v>
      </c>
      <c r="K768" s="61">
        <f>13.4412 * CHOOSE(CONTROL!$C$19, $C$6, 100%, $E$6)</f>
        <v>13.4412</v>
      </c>
    </row>
    <row r="769" spans="1:11" ht="15">
      <c r="A769" s="13">
        <v>65471</v>
      </c>
      <c r="B769" s="60">
        <f>11.2821 * CHOOSE(CONTROL!$C$19, $C$6, 100%, $E$6)</f>
        <v>11.2821</v>
      </c>
      <c r="C769" s="60">
        <f>11.2821 * CHOOSE(CONTROL!$C$19, $C$6, 100%, $E$6)</f>
        <v>11.2821</v>
      </c>
      <c r="D769" s="60">
        <f>11.2986 * CHOOSE(CONTROL!$C$19, $C$6, 100%, $E$6)</f>
        <v>11.2986</v>
      </c>
      <c r="E769" s="61">
        <f>13.6238 * CHOOSE(CONTROL!$C$19, $C$6, 100%, $E$6)</f>
        <v>13.623799999999999</v>
      </c>
      <c r="F769" s="61">
        <f>13.6238 * CHOOSE(CONTROL!$C$19, $C$6, 100%, $E$6)</f>
        <v>13.623799999999999</v>
      </c>
      <c r="G769" s="61">
        <f>13.624 * CHOOSE(CONTROL!$C$19, $C$6, 100%, $E$6)</f>
        <v>13.624000000000001</v>
      </c>
      <c r="H769" s="61">
        <f>18.7992* CHOOSE(CONTROL!$C$19, $C$6, 100%, $E$6)</f>
        <v>18.799199999999999</v>
      </c>
      <c r="I769" s="61">
        <f>18.7994 * CHOOSE(CONTROL!$C$19, $C$6, 100%, $E$6)</f>
        <v>18.799399999999999</v>
      </c>
      <c r="J769" s="61">
        <f>13.6238 * CHOOSE(CONTROL!$C$19, $C$6, 100%, $E$6)</f>
        <v>13.623799999999999</v>
      </c>
      <c r="K769" s="61">
        <f>13.624 * CHOOSE(CONTROL!$C$19, $C$6, 100%, $E$6)</f>
        <v>13.624000000000001</v>
      </c>
    </row>
    <row r="770" spans="1:11" ht="15">
      <c r="A770" s="13">
        <v>65501</v>
      </c>
      <c r="B770" s="60">
        <f>11.2821 * CHOOSE(CONTROL!$C$19, $C$6, 100%, $E$6)</f>
        <v>11.2821</v>
      </c>
      <c r="C770" s="60">
        <f>11.2821 * CHOOSE(CONTROL!$C$19, $C$6, 100%, $E$6)</f>
        <v>11.2821</v>
      </c>
      <c r="D770" s="60">
        <f>11.3151 * CHOOSE(CONTROL!$C$19, $C$6, 100%, $E$6)</f>
        <v>11.315099999999999</v>
      </c>
      <c r="E770" s="61">
        <f>13.6939 * CHOOSE(CONTROL!$C$19, $C$6, 100%, $E$6)</f>
        <v>13.693899999999999</v>
      </c>
      <c r="F770" s="61">
        <f>13.6939 * CHOOSE(CONTROL!$C$19, $C$6, 100%, $E$6)</f>
        <v>13.693899999999999</v>
      </c>
      <c r="G770" s="61">
        <f>13.696 * CHOOSE(CONTROL!$C$19, $C$6, 100%, $E$6)</f>
        <v>13.696</v>
      </c>
      <c r="H770" s="61">
        <f>18.8384* CHOOSE(CONTROL!$C$19, $C$6, 100%, $E$6)</f>
        <v>18.8384</v>
      </c>
      <c r="I770" s="61">
        <f>18.8404 * CHOOSE(CONTROL!$C$19, $C$6, 100%, $E$6)</f>
        <v>18.840399999999999</v>
      </c>
      <c r="J770" s="61">
        <f>13.6939 * CHOOSE(CONTROL!$C$19, $C$6, 100%, $E$6)</f>
        <v>13.693899999999999</v>
      </c>
      <c r="K770" s="61">
        <f>13.696 * CHOOSE(CONTROL!$C$19, $C$6, 100%, $E$6)</f>
        <v>13.696</v>
      </c>
    </row>
    <row r="771" spans="1:11" ht="15">
      <c r="A771" s="13">
        <v>65532</v>
      </c>
      <c r="B771" s="60">
        <f>11.2882 * CHOOSE(CONTROL!$C$19, $C$6, 100%, $E$6)</f>
        <v>11.2882</v>
      </c>
      <c r="C771" s="60">
        <f>11.2882 * CHOOSE(CONTROL!$C$19, $C$6, 100%, $E$6)</f>
        <v>11.2882</v>
      </c>
      <c r="D771" s="60">
        <f>11.3212 * CHOOSE(CONTROL!$C$19, $C$6, 100%, $E$6)</f>
        <v>11.321199999999999</v>
      </c>
      <c r="E771" s="61">
        <f>13.628 * CHOOSE(CONTROL!$C$19, $C$6, 100%, $E$6)</f>
        <v>13.628</v>
      </c>
      <c r="F771" s="61">
        <f>13.628 * CHOOSE(CONTROL!$C$19, $C$6, 100%, $E$6)</f>
        <v>13.628</v>
      </c>
      <c r="G771" s="61">
        <f>13.6301 * CHOOSE(CONTROL!$C$19, $C$6, 100%, $E$6)</f>
        <v>13.630100000000001</v>
      </c>
      <c r="H771" s="61">
        <f>18.8776* CHOOSE(CONTROL!$C$19, $C$6, 100%, $E$6)</f>
        <v>18.877600000000001</v>
      </c>
      <c r="I771" s="61">
        <f>18.8797 * CHOOSE(CONTROL!$C$19, $C$6, 100%, $E$6)</f>
        <v>18.8797</v>
      </c>
      <c r="J771" s="61">
        <f>13.628 * CHOOSE(CONTROL!$C$19, $C$6, 100%, $E$6)</f>
        <v>13.628</v>
      </c>
      <c r="K771" s="61">
        <f>13.6301 * CHOOSE(CONTROL!$C$19, $C$6, 100%, $E$6)</f>
        <v>13.630100000000001</v>
      </c>
    </row>
    <row r="772" spans="1:11" ht="15">
      <c r="A772" s="13">
        <v>65562</v>
      </c>
      <c r="B772" s="60">
        <f>11.4463 * CHOOSE(CONTROL!$C$19, $C$6, 100%, $E$6)</f>
        <v>11.446300000000001</v>
      </c>
      <c r="C772" s="60">
        <f>11.4463 * CHOOSE(CONTROL!$C$19, $C$6, 100%, $E$6)</f>
        <v>11.446300000000001</v>
      </c>
      <c r="D772" s="60">
        <f>11.4793 * CHOOSE(CONTROL!$C$19, $C$6, 100%, $E$6)</f>
        <v>11.4793</v>
      </c>
      <c r="E772" s="61">
        <f>13.8766 * CHOOSE(CONTROL!$C$19, $C$6, 100%, $E$6)</f>
        <v>13.8766</v>
      </c>
      <c r="F772" s="61">
        <f>13.8766 * CHOOSE(CONTROL!$C$19, $C$6, 100%, $E$6)</f>
        <v>13.8766</v>
      </c>
      <c r="G772" s="61">
        <f>13.8786 * CHOOSE(CONTROL!$C$19, $C$6, 100%, $E$6)</f>
        <v>13.8786</v>
      </c>
      <c r="H772" s="61">
        <f>18.9169* CHOOSE(CONTROL!$C$19, $C$6, 100%, $E$6)</f>
        <v>18.916899999999998</v>
      </c>
      <c r="I772" s="61">
        <f>18.919 * CHOOSE(CONTROL!$C$19, $C$6, 100%, $E$6)</f>
        <v>18.919</v>
      </c>
      <c r="J772" s="61">
        <f>13.8766 * CHOOSE(CONTROL!$C$19, $C$6, 100%, $E$6)</f>
        <v>13.8766</v>
      </c>
      <c r="K772" s="61">
        <f>13.8786 * CHOOSE(CONTROL!$C$19, $C$6, 100%, $E$6)</f>
        <v>13.8786</v>
      </c>
    </row>
    <row r="773" spans="1:11" ht="15">
      <c r="A773" s="13">
        <v>65593</v>
      </c>
      <c r="B773" s="60">
        <f>11.453 * CHOOSE(CONTROL!$C$19, $C$6, 100%, $E$6)</f>
        <v>11.452999999999999</v>
      </c>
      <c r="C773" s="60">
        <f>11.453 * CHOOSE(CONTROL!$C$19, $C$6, 100%, $E$6)</f>
        <v>11.452999999999999</v>
      </c>
      <c r="D773" s="60">
        <f>11.486 * CHOOSE(CONTROL!$C$19, $C$6, 100%, $E$6)</f>
        <v>11.486000000000001</v>
      </c>
      <c r="E773" s="61">
        <f>13.6709 * CHOOSE(CONTROL!$C$19, $C$6, 100%, $E$6)</f>
        <v>13.6709</v>
      </c>
      <c r="F773" s="61">
        <f>13.6709 * CHOOSE(CONTROL!$C$19, $C$6, 100%, $E$6)</f>
        <v>13.6709</v>
      </c>
      <c r="G773" s="61">
        <f>13.6729 * CHOOSE(CONTROL!$C$19, $C$6, 100%, $E$6)</f>
        <v>13.6729</v>
      </c>
      <c r="H773" s="61">
        <f>18.9563* CHOOSE(CONTROL!$C$19, $C$6, 100%, $E$6)</f>
        <v>18.956299999999999</v>
      </c>
      <c r="I773" s="61">
        <f>18.9584 * CHOOSE(CONTROL!$C$19, $C$6, 100%, $E$6)</f>
        <v>18.958400000000001</v>
      </c>
      <c r="J773" s="61">
        <f>13.6709 * CHOOSE(CONTROL!$C$19, $C$6, 100%, $E$6)</f>
        <v>13.6709</v>
      </c>
      <c r="K773" s="61">
        <f>13.6729 * CHOOSE(CONTROL!$C$19, $C$6, 100%, $E$6)</f>
        <v>13.6729</v>
      </c>
    </row>
    <row r="774" spans="1:11" ht="15">
      <c r="A774" s="13">
        <v>65624</v>
      </c>
      <c r="B774" s="60">
        <f>11.45 * CHOOSE(CONTROL!$C$19, $C$6, 100%, $E$6)</f>
        <v>11.45</v>
      </c>
      <c r="C774" s="60">
        <f>11.45 * CHOOSE(CONTROL!$C$19, $C$6, 100%, $E$6)</f>
        <v>11.45</v>
      </c>
      <c r="D774" s="60">
        <f>11.483 * CHOOSE(CONTROL!$C$19, $C$6, 100%, $E$6)</f>
        <v>11.483000000000001</v>
      </c>
      <c r="E774" s="61">
        <f>13.6454 * CHOOSE(CONTROL!$C$19, $C$6, 100%, $E$6)</f>
        <v>13.6454</v>
      </c>
      <c r="F774" s="61">
        <f>13.6454 * CHOOSE(CONTROL!$C$19, $C$6, 100%, $E$6)</f>
        <v>13.6454</v>
      </c>
      <c r="G774" s="61">
        <f>13.6474 * CHOOSE(CONTROL!$C$19, $C$6, 100%, $E$6)</f>
        <v>13.647399999999999</v>
      </c>
      <c r="H774" s="61">
        <f>18.9958* CHOOSE(CONTROL!$C$19, $C$6, 100%, $E$6)</f>
        <v>18.995799999999999</v>
      </c>
      <c r="I774" s="61">
        <f>18.9979 * CHOOSE(CONTROL!$C$19, $C$6, 100%, $E$6)</f>
        <v>18.997900000000001</v>
      </c>
      <c r="J774" s="61">
        <f>13.6454 * CHOOSE(CONTROL!$C$19, $C$6, 100%, $E$6)</f>
        <v>13.6454</v>
      </c>
      <c r="K774" s="61">
        <f>13.6474 * CHOOSE(CONTROL!$C$19, $C$6, 100%, $E$6)</f>
        <v>13.647399999999999</v>
      </c>
    </row>
    <row r="775" spans="1:11" ht="15">
      <c r="A775" s="13">
        <v>65654</v>
      </c>
      <c r="B775" s="60">
        <f>11.4733 * CHOOSE(CONTROL!$C$19, $C$6, 100%, $E$6)</f>
        <v>11.4733</v>
      </c>
      <c r="C775" s="60">
        <f>11.4733 * CHOOSE(CONTROL!$C$19, $C$6, 100%, $E$6)</f>
        <v>11.4733</v>
      </c>
      <c r="D775" s="60">
        <f>11.4899 * CHOOSE(CONTROL!$C$19, $C$6, 100%, $E$6)</f>
        <v>11.4899</v>
      </c>
      <c r="E775" s="61">
        <f>13.7255 * CHOOSE(CONTROL!$C$19, $C$6, 100%, $E$6)</f>
        <v>13.7255</v>
      </c>
      <c r="F775" s="61">
        <f>13.7255 * CHOOSE(CONTROL!$C$19, $C$6, 100%, $E$6)</f>
        <v>13.7255</v>
      </c>
      <c r="G775" s="61">
        <f>13.7256 * CHOOSE(CONTROL!$C$19, $C$6, 100%, $E$6)</f>
        <v>13.7256</v>
      </c>
      <c r="H775" s="61">
        <f>19.0354* CHOOSE(CONTROL!$C$19, $C$6, 100%, $E$6)</f>
        <v>19.035399999999999</v>
      </c>
      <c r="I775" s="61">
        <f>19.0356 * CHOOSE(CONTROL!$C$19, $C$6, 100%, $E$6)</f>
        <v>19.035599999999999</v>
      </c>
      <c r="J775" s="61">
        <f>13.7255 * CHOOSE(CONTROL!$C$19, $C$6, 100%, $E$6)</f>
        <v>13.7255</v>
      </c>
      <c r="K775" s="61">
        <f>13.7256 * CHOOSE(CONTROL!$C$19, $C$6, 100%, $E$6)</f>
        <v>13.7256</v>
      </c>
    </row>
    <row r="776" spans="1:11" ht="15">
      <c r="A776" s="13">
        <v>65685</v>
      </c>
      <c r="B776" s="60">
        <f>11.4764 * CHOOSE(CONTROL!$C$19, $C$6, 100%, $E$6)</f>
        <v>11.4764</v>
      </c>
      <c r="C776" s="60">
        <f>11.4764 * CHOOSE(CONTROL!$C$19, $C$6, 100%, $E$6)</f>
        <v>11.4764</v>
      </c>
      <c r="D776" s="60">
        <f>11.4929 * CHOOSE(CONTROL!$C$19, $C$6, 100%, $E$6)</f>
        <v>11.492900000000001</v>
      </c>
      <c r="E776" s="61">
        <f>13.7743 * CHOOSE(CONTROL!$C$19, $C$6, 100%, $E$6)</f>
        <v>13.7743</v>
      </c>
      <c r="F776" s="61">
        <f>13.7743 * CHOOSE(CONTROL!$C$19, $C$6, 100%, $E$6)</f>
        <v>13.7743</v>
      </c>
      <c r="G776" s="61">
        <f>13.7745 * CHOOSE(CONTROL!$C$19, $C$6, 100%, $E$6)</f>
        <v>13.7745</v>
      </c>
      <c r="H776" s="61">
        <f>19.0751* CHOOSE(CONTROL!$C$19, $C$6, 100%, $E$6)</f>
        <v>19.075099999999999</v>
      </c>
      <c r="I776" s="61">
        <f>19.0752 * CHOOSE(CONTROL!$C$19, $C$6, 100%, $E$6)</f>
        <v>19.075199999999999</v>
      </c>
      <c r="J776" s="61">
        <f>13.7743 * CHOOSE(CONTROL!$C$19, $C$6, 100%, $E$6)</f>
        <v>13.7743</v>
      </c>
      <c r="K776" s="61">
        <f>13.7745 * CHOOSE(CONTROL!$C$19, $C$6, 100%, $E$6)</f>
        <v>13.7745</v>
      </c>
    </row>
    <row r="777" spans="1:11" ht="15">
      <c r="A777" s="13">
        <v>65715</v>
      </c>
      <c r="B777" s="60">
        <f>11.4764 * CHOOSE(CONTROL!$C$19, $C$6, 100%, $E$6)</f>
        <v>11.4764</v>
      </c>
      <c r="C777" s="60">
        <f>11.4764 * CHOOSE(CONTROL!$C$19, $C$6, 100%, $E$6)</f>
        <v>11.4764</v>
      </c>
      <c r="D777" s="60">
        <f>11.4929 * CHOOSE(CONTROL!$C$19, $C$6, 100%, $E$6)</f>
        <v>11.492900000000001</v>
      </c>
      <c r="E777" s="61">
        <f>13.6574 * CHOOSE(CONTROL!$C$19, $C$6, 100%, $E$6)</f>
        <v>13.657400000000001</v>
      </c>
      <c r="F777" s="61">
        <f>13.6574 * CHOOSE(CONTROL!$C$19, $C$6, 100%, $E$6)</f>
        <v>13.657400000000001</v>
      </c>
      <c r="G777" s="61">
        <f>13.6576 * CHOOSE(CONTROL!$C$19, $C$6, 100%, $E$6)</f>
        <v>13.6576</v>
      </c>
      <c r="H777" s="61">
        <f>19.1148* CHOOSE(CONTROL!$C$19, $C$6, 100%, $E$6)</f>
        <v>19.114799999999999</v>
      </c>
      <c r="I777" s="61">
        <f>19.115 * CHOOSE(CONTROL!$C$19, $C$6, 100%, $E$6)</f>
        <v>19.114999999999998</v>
      </c>
      <c r="J777" s="61">
        <f>13.6574 * CHOOSE(CONTROL!$C$19, $C$6, 100%, $E$6)</f>
        <v>13.657400000000001</v>
      </c>
      <c r="K777" s="61">
        <f>13.6576 * CHOOSE(CONTROL!$C$19, $C$6, 100%, $E$6)</f>
        <v>13.6576</v>
      </c>
    </row>
    <row r="778" spans="1:11" ht="15">
      <c r="A778" s="13">
        <v>65746</v>
      </c>
      <c r="B778" s="60">
        <f>11.48 * CHOOSE(CONTROL!$C$19, $C$6, 100%, $E$6)</f>
        <v>11.48</v>
      </c>
      <c r="C778" s="60">
        <f>11.48 * CHOOSE(CONTROL!$C$19, $C$6, 100%, $E$6)</f>
        <v>11.48</v>
      </c>
      <c r="D778" s="60">
        <f>11.4965 * CHOOSE(CONTROL!$C$19, $C$6, 100%, $E$6)</f>
        <v>11.496499999999999</v>
      </c>
      <c r="E778" s="61">
        <f>13.7439 * CHOOSE(CONTROL!$C$19, $C$6, 100%, $E$6)</f>
        <v>13.7439</v>
      </c>
      <c r="F778" s="61">
        <f>13.7439 * CHOOSE(CONTROL!$C$19, $C$6, 100%, $E$6)</f>
        <v>13.7439</v>
      </c>
      <c r="G778" s="61">
        <f>13.7441 * CHOOSE(CONTROL!$C$19, $C$6, 100%, $E$6)</f>
        <v>13.7441</v>
      </c>
      <c r="H778" s="61">
        <f>19.0069* CHOOSE(CONTROL!$C$19, $C$6, 100%, $E$6)</f>
        <v>19.006900000000002</v>
      </c>
      <c r="I778" s="61">
        <f>19.007 * CHOOSE(CONTROL!$C$19, $C$6, 100%, $E$6)</f>
        <v>19.007000000000001</v>
      </c>
      <c r="J778" s="61">
        <f>13.7439 * CHOOSE(CONTROL!$C$19, $C$6, 100%, $E$6)</f>
        <v>13.7439</v>
      </c>
      <c r="K778" s="61">
        <f>13.7441 * CHOOSE(CONTROL!$C$19, $C$6, 100%, $E$6)</f>
        <v>13.7441</v>
      </c>
    </row>
    <row r="779" spans="1:11" ht="15">
      <c r="A779" s="13">
        <v>65777</v>
      </c>
      <c r="B779" s="60">
        <f>11.4769 * CHOOSE(CONTROL!$C$19, $C$6, 100%, $E$6)</f>
        <v>11.476900000000001</v>
      </c>
      <c r="C779" s="60">
        <f>11.4769 * CHOOSE(CONTROL!$C$19, $C$6, 100%, $E$6)</f>
        <v>11.476900000000001</v>
      </c>
      <c r="D779" s="60">
        <f>11.4934 * CHOOSE(CONTROL!$C$19, $C$6, 100%, $E$6)</f>
        <v>11.493399999999999</v>
      </c>
      <c r="E779" s="61">
        <f>13.5164 * CHOOSE(CONTROL!$C$19, $C$6, 100%, $E$6)</f>
        <v>13.516400000000001</v>
      </c>
      <c r="F779" s="61">
        <f>13.5164 * CHOOSE(CONTROL!$C$19, $C$6, 100%, $E$6)</f>
        <v>13.516400000000001</v>
      </c>
      <c r="G779" s="61">
        <f>13.5166 * CHOOSE(CONTROL!$C$19, $C$6, 100%, $E$6)</f>
        <v>13.5166</v>
      </c>
      <c r="H779" s="61">
        <f>19.0464* CHOOSE(CONTROL!$C$19, $C$6, 100%, $E$6)</f>
        <v>19.046399999999998</v>
      </c>
      <c r="I779" s="61">
        <f>19.0466 * CHOOSE(CONTROL!$C$19, $C$6, 100%, $E$6)</f>
        <v>19.046600000000002</v>
      </c>
      <c r="J779" s="61">
        <f>13.5164 * CHOOSE(CONTROL!$C$19, $C$6, 100%, $E$6)</f>
        <v>13.516400000000001</v>
      </c>
      <c r="K779" s="61">
        <f>13.5166 * CHOOSE(CONTROL!$C$19, $C$6, 100%, $E$6)</f>
        <v>13.5166</v>
      </c>
    </row>
    <row r="780" spans="1:11" ht="15">
      <c r="A780" s="13">
        <v>65806</v>
      </c>
      <c r="B780" s="60">
        <f>11.4739 * CHOOSE(CONTROL!$C$19, $C$6, 100%, $E$6)</f>
        <v>11.4739</v>
      </c>
      <c r="C780" s="60">
        <f>11.4739 * CHOOSE(CONTROL!$C$19, $C$6, 100%, $E$6)</f>
        <v>11.4739</v>
      </c>
      <c r="D780" s="60">
        <f>11.4904 * CHOOSE(CONTROL!$C$19, $C$6, 100%, $E$6)</f>
        <v>11.490399999999999</v>
      </c>
      <c r="E780" s="61">
        <f>13.6919 * CHOOSE(CONTROL!$C$19, $C$6, 100%, $E$6)</f>
        <v>13.6919</v>
      </c>
      <c r="F780" s="61">
        <f>13.6919 * CHOOSE(CONTROL!$C$19, $C$6, 100%, $E$6)</f>
        <v>13.6919</v>
      </c>
      <c r="G780" s="61">
        <f>13.6921 * CHOOSE(CONTROL!$C$19, $C$6, 100%, $E$6)</f>
        <v>13.6921</v>
      </c>
      <c r="H780" s="61">
        <f>19.0861* CHOOSE(CONTROL!$C$19, $C$6, 100%, $E$6)</f>
        <v>19.086099999999998</v>
      </c>
      <c r="I780" s="61">
        <f>19.0863 * CHOOSE(CONTROL!$C$19, $C$6, 100%, $E$6)</f>
        <v>19.086300000000001</v>
      </c>
      <c r="J780" s="61">
        <f>13.6919 * CHOOSE(CONTROL!$C$19, $C$6, 100%, $E$6)</f>
        <v>13.6919</v>
      </c>
      <c r="K780" s="61">
        <f>13.6921 * CHOOSE(CONTROL!$C$19, $C$6, 100%, $E$6)</f>
        <v>13.6921</v>
      </c>
    </row>
    <row r="781" spans="1:11" ht="15">
      <c r="A781" s="13">
        <v>65837</v>
      </c>
      <c r="B781" s="60">
        <f>11.4789 * CHOOSE(CONTROL!$C$19, $C$6, 100%, $E$6)</f>
        <v>11.478899999999999</v>
      </c>
      <c r="C781" s="60">
        <f>11.4789 * CHOOSE(CONTROL!$C$19, $C$6, 100%, $E$6)</f>
        <v>11.478899999999999</v>
      </c>
      <c r="D781" s="60">
        <f>11.4954 * CHOOSE(CONTROL!$C$19, $C$6, 100%, $E$6)</f>
        <v>11.4954</v>
      </c>
      <c r="E781" s="61">
        <f>13.8785 * CHOOSE(CONTROL!$C$19, $C$6, 100%, $E$6)</f>
        <v>13.878500000000001</v>
      </c>
      <c r="F781" s="61">
        <f>13.8785 * CHOOSE(CONTROL!$C$19, $C$6, 100%, $E$6)</f>
        <v>13.878500000000001</v>
      </c>
      <c r="G781" s="61">
        <f>13.8787 * CHOOSE(CONTROL!$C$19, $C$6, 100%, $E$6)</f>
        <v>13.8787</v>
      </c>
      <c r="H781" s="61">
        <f>19.1259* CHOOSE(CONTROL!$C$19, $C$6, 100%, $E$6)</f>
        <v>19.125900000000001</v>
      </c>
      <c r="I781" s="61">
        <f>19.1261 * CHOOSE(CONTROL!$C$19, $C$6, 100%, $E$6)</f>
        <v>19.126100000000001</v>
      </c>
      <c r="J781" s="61">
        <f>13.8785 * CHOOSE(CONTROL!$C$19, $C$6, 100%, $E$6)</f>
        <v>13.878500000000001</v>
      </c>
      <c r="K781" s="61">
        <f>13.8787 * CHOOSE(CONTROL!$C$19, $C$6, 100%, $E$6)</f>
        <v>13.8787</v>
      </c>
    </row>
    <row r="782" spans="1:11" ht="15">
      <c r="A782" s="13">
        <v>65867</v>
      </c>
      <c r="B782" s="60">
        <f>11.4789 * CHOOSE(CONTROL!$C$19, $C$6, 100%, $E$6)</f>
        <v>11.478899999999999</v>
      </c>
      <c r="C782" s="60">
        <f>11.4789 * CHOOSE(CONTROL!$C$19, $C$6, 100%, $E$6)</f>
        <v>11.478899999999999</v>
      </c>
      <c r="D782" s="60">
        <f>11.5119 * CHOOSE(CONTROL!$C$19, $C$6, 100%, $E$6)</f>
        <v>11.511900000000001</v>
      </c>
      <c r="E782" s="61">
        <f>13.95 * CHOOSE(CONTROL!$C$19, $C$6, 100%, $E$6)</f>
        <v>13.95</v>
      </c>
      <c r="F782" s="61">
        <f>13.95 * CHOOSE(CONTROL!$C$19, $C$6, 100%, $E$6)</f>
        <v>13.95</v>
      </c>
      <c r="G782" s="61">
        <f>13.9521 * CHOOSE(CONTROL!$C$19, $C$6, 100%, $E$6)</f>
        <v>13.9521</v>
      </c>
      <c r="H782" s="61">
        <f>19.1657* CHOOSE(CONTROL!$C$19, $C$6, 100%, $E$6)</f>
        <v>19.165700000000001</v>
      </c>
      <c r="I782" s="61">
        <f>19.1678 * CHOOSE(CONTROL!$C$19, $C$6, 100%, $E$6)</f>
        <v>19.1678</v>
      </c>
      <c r="J782" s="61">
        <f>13.95 * CHOOSE(CONTROL!$C$19, $C$6, 100%, $E$6)</f>
        <v>13.95</v>
      </c>
      <c r="K782" s="61">
        <f>13.9521 * CHOOSE(CONTROL!$C$19, $C$6, 100%, $E$6)</f>
        <v>13.9521</v>
      </c>
    </row>
    <row r="783" spans="1:11" ht="15">
      <c r="A783" s="13">
        <v>65898</v>
      </c>
      <c r="B783" s="60">
        <f>11.485 * CHOOSE(CONTROL!$C$19, $C$6, 100%, $E$6)</f>
        <v>11.484999999999999</v>
      </c>
      <c r="C783" s="60">
        <f>11.485 * CHOOSE(CONTROL!$C$19, $C$6, 100%, $E$6)</f>
        <v>11.484999999999999</v>
      </c>
      <c r="D783" s="60">
        <f>11.518 * CHOOSE(CONTROL!$C$19, $C$6, 100%, $E$6)</f>
        <v>11.518000000000001</v>
      </c>
      <c r="E783" s="61">
        <f>13.8827 * CHOOSE(CONTROL!$C$19, $C$6, 100%, $E$6)</f>
        <v>13.8827</v>
      </c>
      <c r="F783" s="61">
        <f>13.8827 * CHOOSE(CONTROL!$C$19, $C$6, 100%, $E$6)</f>
        <v>13.8827</v>
      </c>
      <c r="G783" s="61">
        <f>13.8848 * CHOOSE(CONTROL!$C$19, $C$6, 100%, $E$6)</f>
        <v>13.8848</v>
      </c>
      <c r="H783" s="61">
        <f>19.2057* CHOOSE(CONTROL!$C$19, $C$6, 100%, $E$6)</f>
        <v>19.2057</v>
      </c>
      <c r="I783" s="61">
        <f>19.2077 * CHOOSE(CONTROL!$C$19, $C$6, 100%, $E$6)</f>
        <v>19.207699999999999</v>
      </c>
      <c r="J783" s="61">
        <f>13.8827 * CHOOSE(CONTROL!$C$19, $C$6, 100%, $E$6)</f>
        <v>13.8827</v>
      </c>
      <c r="K783" s="61">
        <f>13.8848 * CHOOSE(CONTROL!$C$19, $C$6, 100%, $E$6)</f>
        <v>13.8848</v>
      </c>
    </row>
    <row r="784" spans="1:11" ht="15">
      <c r="A784" s="13">
        <v>65928</v>
      </c>
      <c r="B784" s="60">
        <f>11.6456 * CHOOSE(CONTROL!$C$19, $C$6, 100%, $E$6)</f>
        <v>11.6456</v>
      </c>
      <c r="C784" s="60">
        <f>11.6456 * CHOOSE(CONTROL!$C$19, $C$6, 100%, $E$6)</f>
        <v>11.6456</v>
      </c>
      <c r="D784" s="60">
        <f>11.6786 * CHOOSE(CONTROL!$C$19, $C$6, 100%, $E$6)</f>
        <v>11.678599999999999</v>
      </c>
      <c r="E784" s="61">
        <f>14.1357 * CHOOSE(CONTROL!$C$19, $C$6, 100%, $E$6)</f>
        <v>14.1357</v>
      </c>
      <c r="F784" s="61">
        <f>14.1357 * CHOOSE(CONTROL!$C$19, $C$6, 100%, $E$6)</f>
        <v>14.1357</v>
      </c>
      <c r="G784" s="61">
        <f>14.1377 * CHOOSE(CONTROL!$C$19, $C$6, 100%, $E$6)</f>
        <v>14.137700000000001</v>
      </c>
      <c r="H784" s="61">
        <f>19.2457* CHOOSE(CONTROL!$C$19, $C$6, 100%, $E$6)</f>
        <v>19.245699999999999</v>
      </c>
      <c r="I784" s="61">
        <f>19.2477 * CHOOSE(CONTROL!$C$19, $C$6, 100%, $E$6)</f>
        <v>19.247699999999998</v>
      </c>
      <c r="J784" s="61">
        <f>14.1357 * CHOOSE(CONTROL!$C$19, $C$6, 100%, $E$6)</f>
        <v>14.1357</v>
      </c>
      <c r="K784" s="61">
        <f>14.1377 * CHOOSE(CONTROL!$C$19, $C$6, 100%, $E$6)</f>
        <v>14.137700000000001</v>
      </c>
    </row>
    <row r="785" spans="1:11" ht="15">
      <c r="A785" s="13">
        <v>65959</v>
      </c>
      <c r="B785" s="60">
        <f>11.6523 * CHOOSE(CONTROL!$C$19, $C$6, 100%, $E$6)</f>
        <v>11.6523</v>
      </c>
      <c r="C785" s="60">
        <f>11.6523 * CHOOSE(CONTROL!$C$19, $C$6, 100%, $E$6)</f>
        <v>11.6523</v>
      </c>
      <c r="D785" s="60">
        <f>11.6853 * CHOOSE(CONTROL!$C$19, $C$6, 100%, $E$6)</f>
        <v>11.6853</v>
      </c>
      <c r="E785" s="61">
        <f>13.9257 * CHOOSE(CONTROL!$C$19, $C$6, 100%, $E$6)</f>
        <v>13.925700000000001</v>
      </c>
      <c r="F785" s="61">
        <f>13.9257 * CHOOSE(CONTROL!$C$19, $C$6, 100%, $E$6)</f>
        <v>13.925700000000001</v>
      </c>
      <c r="G785" s="61">
        <f>13.9278 * CHOOSE(CONTROL!$C$19, $C$6, 100%, $E$6)</f>
        <v>13.9278</v>
      </c>
      <c r="H785" s="61">
        <f>19.2858* CHOOSE(CONTROL!$C$19, $C$6, 100%, $E$6)</f>
        <v>19.285799999999998</v>
      </c>
      <c r="I785" s="61">
        <f>19.2878 * CHOOSE(CONTROL!$C$19, $C$6, 100%, $E$6)</f>
        <v>19.287800000000001</v>
      </c>
      <c r="J785" s="61">
        <f>13.9257 * CHOOSE(CONTROL!$C$19, $C$6, 100%, $E$6)</f>
        <v>13.925700000000001</v>
      </c>
      <c r="K785" s="61">
        <f>13.9278 * CHOOSE(CONTROL!$C$19, $C$6, 100%, $E$6)</f>
        <v>13.9278</v>
      </c>
    </row>
    <row r="786" spans="1:11" ht="15">
      <c r="A786" s="13">
        <v>65990</v>
      </c>
      <c r="B786" s="60">
        <f>11.6493 * CHOOSE(CONTROL!$C$19, $C$6, 100%, $E$6)</f>
        <v>11.6493</v>
      </c>
      <c r="C786" s="60">
        <f>11.6493 * CHOOSE(CONTROL!$C$19, $C$6, 100%, $E$6)</f>
        <v>11.6493</v>
      </c>
      <c r="D786" s="60">
        <f>11.6823 * CHOOSE(CONTROL!$C$19, $C$6, 100%, $E$6)</f>
        <v>11.6823</v>
      </c>
      <c r="E786" s="61">
        <f>13.8997 * CHOOSE(CONTROL!$C$19, $C$6, 100%, $E$6)</f>
        <v>13.899699999999999</v>
      </c>
      <c r="F786" s="61">
        <f>13.8997 * CHOOSE(CONTROL!$C$19, $C$6, 100%, $E$6)</f>
        <v>13.899699999999999</v>
      </c>
      <c r="G786" s="61">
        <f>13.9018 * CHOOSE(CONTROL!$C$19, $C$6, 100%, $E$6)</f>
        <v>13.9018</v>
      </c>
      <c r="H786" s="61">
        <f>19.326* CHOOSE(CONTROL!$C$19, $C$6, 100%, $E$6)</f>
        <v>19.326000000000001</v>
      </c>
      <c r="I786" s="61">
        <f>19.328 * CHOOSE(CONTROL!$C$19, $C$6, 100%, $E$6)</f>
        <v>19.327999999999999</v>
      </c>
      <c r="J786" s="61">
        <f>13.8997 * CHOOSE(CONTROL!$C$19, $C$6, 100%, $E$6)</f>
        <v>13.899699999999999</v>
      </c>
      <c r="K786" s="61">
        <f>13.9018 * CHOOSE(CONTROL!$C$19, $C$6, 100%, $E$6)</f>
        <v>13.9018</v>
      </c>
    </row>
    <row r="787" spans="1:11" ht="15">
      <c r="A787" s="13">
        <v>66020</v>
      </c>
      <c r="B787" s="60">
        <f>11.6734 * CHOOSE(CONTROL!$C$19, $C$6, 100%, $E$6)</f>
        <v>11.673400000000001</v>
      </c>
      <c r="C787" s="60">
        <f>11.6734 * CHOOSE(CONTROL!$C$19, $C$6, 100%, $E$6)</f>
        <v>11.673400000000001</v>
      </c>
      <c r="D787" s="60">
        <f>11.6899 * CHOOSE(CONTROL!$C$19, $C$6, 100%, $E$6)</f>
        <v>11.6899</v>
      </c>
      <c r="E787" s="61">
        <f>13.9817 * CHOOSE(CONTROL!$C$19, $C$6, 100%, $E$6)</f>
        <v>13.9817</v>
      </c>
      <c r="F787" s="61">
        <f>13.9817 * CHOOSE(CONTROL!$C$19, $C$6, 100%, $E$6)</f>
        <v>13.9817</v>
      </c>
      <c r="G787" s="61">
        <f>13.9819 * CHOOSE(CONTROL!$C$19, $C$6, 100%, $E$6)</f>
        <v>13.9819</v>
      </c>
      <c r="H787" s="61">
        <f>19.3662* CHOOSE(CONTROL!$C$19, $C$6, 100%, $E$6)</f>
        <v>19.366199999999999</v>
      </c>
      <c r="I787" s="61">
        <f>19.3664 * CHOOSE(CONTROL!$C$19, $C$6, 100%, $E$6)</f>
        <v>19.366399999999999</v>
      </c>
      <c r="J787" s="61">
        <f>13.9817 * CHOOSE(CONTROL!$C$19, $C$6, 100%, $E$6)</f>
        <v>13.9817</v>
      </c>
      <c r="K787" s="61">
        <f>13.9819 * CHOOSE(CONTROL!$C$19, $C$6, 100%, $E$6)</f>
        <v>13.9819</v>
      </c>
    </row>
    <row r="788" spans="1:11" ht="15">
      <c r="A788" s="13">
        <v>66051</v>
      </c>
      <c r="B788" s="60">
        <f>11.6765 * CHOOSE(CONTROL!$C$19, $C$6, 100%, $E$6)</f>
        <v>11.676500000000001</v>
      </c>
      <c r="C788" s="60">
        <f>11.6765 * CHOOSE(CONTROL!$C$19, $C$6, 100%, $E$6)</f>
        <v>11.676500000000001</v>
      </c>
      <c r="D788" s="60">
        <f>11.693 * CHOOSE(CONTROL!$C$19, $C$6, 100%, $E$6)</f>
        <v>11.693</v>
      </c>
      <c r="E788" s="61">
        <f>14.0315 * CHOOSE(CONTROL!$C$19, $C$6, 100%, $E$6)</f>
        <v>14.031499999999999</v>
      </c>
      <c r="F788" s="61">
        <f>14.0315 * CHOOSE(CONTROL!$C$19, $C$6, 100%, $E$6)</f>
        <v>14.031499999999999</v>
      </c>
      <c r="G788" s="61">
        <f>14.0317 * CHOOSE(CONTROL!$C$19, $C$6, 100%, $E$6)</f>
        <v>14.031700000000001</v>
      </c>
      <c r="H788" s="61">
        <f>19.4066* CHOOSE(CONTROL!$C$19, $C$6, 100%, $E$6)</f>
        <v>19.406600000000001</v>
      </c>
      <c r="I788" s="61">
        <f>19.4067 * CHOOSE(CONTROL!$C$19, $C$6, 100%, $E$6)</f>
        <v>19.406700000000001</v>
      </c>
      <c r="J788" s="61">
        <f>14.0315 * CHOOSE(CONTROL!$C$19, $C$6, 100%, $E$6)</f>
        <v>14.031499999999999</v>
      </c>
      <c r="K788" s="61">
        <f>14.0317 * CHOOSE(CONTROL!$C$19, $C$6, 100%, $E$6)</f>
        <v>14.031700000000001</v>
      </c>
    </row>
    <row r="789" spans="1:11" ht="15">
      <c r="A789" s="13">
        <v>66081</v>
      </c>
      <c r="B789" s="60">
        <f>11.6765 * CHOOSE(CONTROL!$C$19, $C$6, 100%, $E$6)</f>
        <v>11.676500000000001</v>
      </c>
      <c r="C789" s="60">
        <f>11.6765 * CHOOSE(CONTROL!$C$19, $C$6, 100%, $E$6)</f>
        <v>11.676500000000001</v>
      </c>
      <c r="D789" s="60">
        <f>11.693 * CHOOSE(CONTROL!$C$19, $C$6, 100%, $E$6)</f>
        <v>11.693</v>
      </c>
      <c r="E789" s="61">
        <f>13.9123 * CHOOSE(CONTROL!$C$19, $C$6, 100%, $E$6)</f>
        <v>13.9123</v>
      </c>
      <c r="F789" s="61">
        <f>13.9123 * CHOOSE(CONTROL!$C$19, $C$6, 100%, $E$6)</f>
        <v>13.9123</v>
      </c>
      <c r="G789" s="61">
        <f>13.9125 * CHOOSE(CONTROL!$C$19, $C$6, 100%, $E$6)</f>
        <v>13.9125</v>
      </c>
      <c r="H789" s="61">
        <f>19.447* CHOOSE(CONTROL!$C$19, $C$6, 100%, $E$6)</f>
        <v>19.446999999999999</v>
      </c>
      <c r="I789" s="61">
        <f>19.4472 * CHOOSE(CONTROL!$C$19, $C$6, 100%, $E$6)</f>
        <v>19.447199999999999</v>
      </c>
      <c r="J789" s="61">
        <f>13.9123 * CHOOSE(CONTROL!$C$19, $C$6, 100%, $E$6)</f>
        <v>13.9123</v>
      </c>
      <c r="K789" s="61">
        <f>13.9125 * CHOOSE(CONTROL!$C$19, $C$6, 100%, $E$6)</f>
        <v>13.9125</v>
      </c>
    </row>
    <row r="790" spans="1:11" ht="15">
      <c r="A790" s="13">
        <v>66112</v>
      </c>
      <c r="B790" s="60">
        <f>11.6766 * CHOOSE(CONTROL!$C$19, $C$6, 100%, $E$6)</f>
        <v>11.676600000000001</v>
      </c>
      <c r="C790" s="60">
        <f>11.6766 * CHOOSE(CONTROL!$C$19, $C$6, 100%, $E$6)</f>
        <v>11.676600000000001</v>
      </c>
      <c r="D790" s="60">
        <f>11.6931 * CHOOSE(CONTROL!$C$19, $C$6, 100%, $E$6)</f>
        <v>11.693099999999999</v>
      </c>
      <c r="E790" s="61">
        <f>13.9957 * CHOOSE(CONTROL!$C$19, $C$6, 100%, $E$6)</f>
        <v>13.995699999999999</v>
      </c>
      <c r="F790" s="61">
        <f>13.9957 * CHOOSE(CONTROL!$C$19, $C$6, 100%, $E$6)</f>
        <v>13.995699999999999</v>
      </c>
      <c r="G790" s="61">
        <f>13.9959 * CHOOSE(CONTROL!$C$19, $C$6, 100%, $E$6)</f>
        <v>13.995900000000001</v>
      </c>
      <c r="H790" s="61">
        <f>19.3315* CHOOSE(CONTROL!$C$19, $C$6, 100%, $E$6)</f>
        <v>19.331499999999998</v>
      </c>
      <c r="I790" s="61">
        <f>19.3317 * CHOOSE(CONTROL!$C$19, $C$6, 100%, $E$6)</f>
        <v>19.331700000000001</v>
      </c>
      <c r="J790" s="61">
        <f>13.9957 * CHOOSE(CONTROL!$C$19, $C$6, 100%, $E$6)</f>
        <v>13.995699999999999</v>
      </c>
      <c r="K790" s="61">
        <f>13.9959 * CHOOSE(CONTROL!$C$19, $C$6, 100%, $E$6)</f>
        <v>13.995900000000001</v>
      </c>
    </row>
    <row r="791" spans="1:11" ht="15">
      <c r="A791" s="13">
        <v>66143</v>
      </c>
      <c r="B791" s="60">
        <f>11.6735 * CHOOSE(CONTROL!$C$19, $C$6, 100%, $E$6)</f>
        <v>11.673500000000001</v>
      </c>
      <c r="C791" s="60">
        <f>11.6735 * CHOOSE(CONTROL!$C$19, $C$6, 100%, $E$6)</f>
        <v>11.673500000000001</v>
      </c>
      <c r="D791" s="60">
        <f>11.69 * CHOOSE(CONTROL!$C$19, $C$6, 100%, $E$6)</f>
        <v>11.69</v>
      </c>
      <c r="E791" s="61">
        <f>13.7638 * CHOOSE(CONTROL!$C$19, $C$6, 100%, $E$6)</f>
        <v>13.7638</v>
      </c>
      <c r="F791" s="61">
        <f>13.7638 * CHOOSE(CONTROL!$C$19, $C$6, 100%, $E$6)</f>
        <v>13.7638</v>
      </c>
      <c r="G791" s="61">
        <f>13.764 * CHOOSE(CONTROL!$C$19, $C$6, 100%, $E$6)</f>
        <v>13.763999999999999</v>
      </c>
      <c r="H791" s="61">
        <f>19.3718* CHOOSE(CONTROL!$C$19, $C$6, 100%, $E$6)</f>
        <v>19.3718</v>
      </c>
      <c r="I791" s="61">
        <f>19.372 * CHOOSE(CONTROL!$C$19, $C$6, 100%, $E$6)</f>
        <v>19.372</v>
      </c>
      <c r="J791" s="61">
        <f>13.7638 * CHOOSE(CONTROL!$C$19, $C$6, 100%, $E$6)</f>
        <v>13.7638</v>
      </c>
      <c r="K791" s="61">
        <f>13.764 * CHOOSE(CONTROL!$C$19, $C$6, 100%, $E$6)</f>
        <v>13.763999999999999</v>
      </c>
    </row>
    <row r="792" spans="1:11" ht="15">
      <c r="A792" s="13">
        <v>66171</v>
      </c>
      <c r="B792" s="60">
        <f>11.6705 * CHOOSE(CONTROL!$C$19, $C$6, 100%, $E$6)</f>
        <v>11.670500000000001</v>
      </c>
      <c r="C792" s="60">
        <f>11.6705 * CHOOSE(CONTROL!$C$19, $C$6, 100%, $E$6)</f>
        <v>11.670500000000001</v>
      </c>
      <c r="D792" s="60">
        <f>11.687 * CHOOSE(CONTROL!$C$19, $C$6, 100%, $E$6)</f>
        <v>11.686999999999999</v>
      </c>
      <c r="E792" s="61">
        <f>13.9428 * CHOOSE(CONTROL!$C$19, $C$6, 100%, $E$6)</f>
        <v>13.9428</v>
      </c>
      <c r="F792" s="61">
        <f>13.9428 * CHOOSE(CONTROL!$C$19, $C$6, 100%, $E$6)</f>
        <v>13.9428</v>
      </c>
      <c r="G792" s="61">
        <f>13.943 * CHOOSE(CONTROL!$C$19, $C$6, 100%, $E$6)</f>
        <v>13.943</v>
      </c>
      <c r="H792" s="61">
        <f>19.4121* CHOOSE(CONTROL!$C$19, $C$6, 100%, $E$6)</f>
        <v>19.412099999999999</v>
      </c>
      <c r="I792" s="61">
        <f>19.4123 * CHOOSE(CONTROL!$C$19, $C$6, 100%, $E$6)</f>
        <v>19.412299999999998</v>
      </c>
      <c r="J792" s="61">
        <f>13.9428 * CHOOSE(CONTROL!$C$19, $C$6, 100%, $E$6)</f>
        <v>13.9428</v>
      </c>
      <c r="K792" s="61">
        <f>13.943 * CHOOSE(CONTROL!$C$19, $C$6, 100%, $E$6)</f>
        <v>13.943</v>
      </c>
    </row>
    <row r="793" spans="1:11" ht="15">
      <c r="A793" s="13">
        <v>66202</v>
      </c>
      <c r="B793" s="60">
        <f>11.6757 * CHOOSE(CONTROL!$C$19, $C$6, 100%, $E$6)</f>
        <v>11.675700000000001</v>
      </c>
      <c r="C793" s="60">
        <f>11.6757 * CHOOSE(CONTROL!$C$19, $C$6, 100%, $E$6)</f>
        <v>11.675700000000001</v>
      </c>
      <c r="D793" s="60">
        <f>11.6922 * CHOOSE(CONTROL!$C$19, $C$6, 100%, $E$6)</f>
        <v>11.6922</v>
      </c>
      <c r="E793" s="61">
        <f>14.1332 * CHOOSE(CONTROL!$C$19, $C$6, 100%, $E$6)</f>
        <v>14.1332</v>
      </c>
      <c r="F793" s="61">
        <f>14.1332 * CHOOSE(CONTROL!$C$19, $C$6, 100%, $E$6)</f>
        <v>14.1332</v>
      </c>
      <c r="G793" s="61">
        <f>14.1333 * CHOOSE(CONTROL!$C$19, $C$6, 100%, $E$6)</f>
        <v>14.1333</v>
      </c>
      <c r="H793" s="61">
        <f>19.4526* CHOOSE(CONTROL!$C$19, $C$6, 100%, $E$6)</f>
        <v>19.4526</v>
      </c>
      <c r="I793" s="61">
        <f>19.4528 * CHOOSE(CONTROL!$C$19, $C$6, 100%, $E$6)</f>
        <v>19.4528</v>
      </c>
      <c r="J793" s="61">
        <f>14.1332 * CHOOSE(CONTROL!$C$19, $C$6, 100%, $E$6)</f>
        <v>14.1332</v>
      </c>
      <c r="K793" s="61">
        <f>14.1333 * CHOOSE(CONTROL!$C$19, $C$6, 100%, $E$6)</f>
        <v>14.1333</v>
      </c>
    </row>
    <row r="794" spans="1:11" ht="15">
      <c r="A794" s="13">
        <v>66232</v>
      </c>
      <c r="B794" s="60">
        <f>11.6757 * CHOOSE(CONTROL!$C$19, $C$6, 100%, $E$6)</f>
        <v>11.675700000000001</v>
      </c>
      <c r="C794" s="60">
        <f>11.6757 * CHOOSE(CONTROL!$C$19, $C$6, 100%, $E$6)</f>
        <v>11.675700000000001</v>
      </c>
      <c r="D794" s="60">
        <f>11.7087 * CHOOSE(CONTROL!$C$19, $C$6, 100%, $E$6)</f>
        <v>11.7087</v>
      </c>
      <c r="E794" s="61">
        <f>14.2061 * CHOOSE(CONTROL!$C$19, $C$6, 100%, $E$6)</f>
        <v>14.206099999999999</v>
      </c>
      <c r="F794" s="61">
        <f>14.2061 * CHOOSE(CONTROL!$C$19, $C$6, 100%, $E$6)</f>
        <v>14.206099999999999</v>
      </c>
      <c r="G794" s="61">
        <f>14.2082 * CHOOSE(CONTROL!$C$19, $C$6, 100%, $E$6)</f>
        <v>14.2082</v>
      </c>
      <c r="H794" s="61">
        <f>19.4931* CHOOSE(CONTROL!$C$19, $C$6, 100%, $E$6)</f>
        <v>19.493099999999998</v>
      </c>
      <c r="I794" s="61">
        <f>19.4952 * CHOOSE(CONTROL!$C$19, $C$6, 100%, $E$6)</f>
        <v>19.495200000000001</v>
      </c>
      <c r="J794" s="61">
        <f>14.2061 * CHOOSE(CONTROL!$C$19, $C$6, 100%, $E$6)</f>
        <v>14.206099999999999</v>
      </c>
      <c r="K794" s="61">
        <f>14.2082 * CHOOSE(CONTROL!$C$19, $C$6, 100%, $E$6)</f>
        <v>14.2082</v>
      </c>
    </row>
    <row r="795" spans="1:11" ht="15">
      <c r="A795" s="13">
        <v>66263</v>
      </c>
      <c r="B795" s="60">
        <f>11.6818 * CHOOSE(CONTROL!$C$19, $C$6, 100%, $E$6)</f>
        <v>11.681800000000001</v>
      </c>
      <c r="C795" s="60">
        <f>11.6818 * CHOOSE(CONTROL!$C$19, $C$6, 100%, $E$6)</f>
        <v>11.681800000000001</v>
      </c>
      <c r="D795" s="60">
        <f>11.7148 * CHOOSE(CONTROL!$C$19, $C$6, 100%, $E$6)</f>
        <v>11.7148</v>
      </c>
      <c r="E795" s="61">
        <f>14.1374 * CHOOSE(CONTROL!$C$19, $C$6, 100%, $E$6)</f>
        <v>14.1374</v>
      </c>
      <c r="F795" s="61">
        <f>14.1374 * CHOOSE(CONTROL!$C$19, $C$6, 100%, $E$6)</f>
        <v>14.1374</v>
      </c>
      <c r="G795" s="61">
        <f>14.1394 * CHOOSE(CONTROL!$C$19, $C$6, 100%, $E$6)</f>
        <v>14.1394</v>
      </c>
      <c r="H795" s="61">
        <f>19.5337* CHOOSE(CONTROL!$C$19, $C$6, 100%, $E$6)</f>
        <v>19.5337</v>
      </c>
      <c r="I795" s="61">
        <f>19.5358 * CHOOSE(CONTROL!$C$19, $C$6, 100%, $E$6)</f>
        <v>19.535799999999998</v>
      </c>
      <c r="J795" s="61">
        <f>14.1374 * CHOOSE(CONTROL!$C$19, $C$6, 100%, $E$6)</f>
        <v>14.1374</v>
      </c>
      <c r="K795" s="61">
        <f>14.1394 * CHOOSE(CONTROL!$C$19, $C$6, 100%, $E$6)</f>
        <v>14.1394</v>
      </c>
    </row>
    <row r="796" spans="1:11" ht="15">
      <c r="A796" s="13">
        <v>66293</v>
      </c>
      <c r="B796" s="60">
        <f>11.845 * CHOOSE(CONTROL!$C$19, $C$6, 100%, $E$6)</f>
        <v>11.845000000000001</v>
      </c>
      <c r="C796" s="60">
        <f>11.845 * CHOOSE(CONTROL!$C$19, $C$6, 100%, $E$6)</f>
        <v>11.845000000000001</v>
      </c>
      <c r="D796" s="60">
        <f>11.878 * CHOOSE(CONTROL!$C$19, $C$6, 100%, $E$6)</f>
        <v>11.878</v>
      </c>
      <c r="E796" s="61">
        <f>14.3948 * CHOOSE(CONTROL!$C$19, $C$6, 100%, $E$6)</f>
        <v>14.3948</v>
      </c>
      <c r="F796" s="61">
        <f>14.3948 * CHOOSE(CONTROL!$C$19, $C$6, 100%, $E$6)</f>
        <v>14.3948</v>
      </c>
      <c r="G796" s="61">
        <f>14.3968 * CHOOSE(CONTROL!$C$19, $C$6, 100%, $E$6)</f>
        <v>14.396800000000001</v>
      </c>
      <c r="H796" s="61">
        <f>19.5744* CHOOSE(CONTROL!$C$19, $C$6, 100%, $E$6)</f>
        <v>19.574400000000001</v>
      </c>
      <c r="I796" s="61">
        <f>19.5765 * CHOOSE(CONTROL!$C$19, $C$6, 100%, $E$6)</f>
        <v>19.576499999999999</v>
      </c>
      <c r="J796" s="61">
        <f>14.3948 * CHOOSE(CONTROL!$C$19, $C$6, 100%, $E$6)</f>
        <v>14.3948</v>
      </c>
      <c r="K796" s="61">
        <f>14.3968 * CHOOSE(CONTROL!$C$19, $C$6, 100%, $E$6)</f>
        <v>14.396800000000001</v>
      </c>
    </row>
    <row r="797" spans="1:11" ht="15">
      <c r="A797" s="13">
        <v>66324</v>
      </c>
      <c r="B797" s="60">
        <f>11.8516 * CHOOSE(CONTROL!$C$19, $C$6, 100%, $E$6)</f>
        <v>11.851599999999999</v>
      </c>
      <c r="C797" s="60">
        <f>11.8516 * CHOOSE(CONTROL!$C$19, $C$6, 100%, $E$6)</f>
        <v>11.851599999999999</v>
      </c>
      <c r="D797" s="60">
        <f>11.8847 * CHOOSE(CONTROL!$C$19, $C$6, 100%, $E$6)</f>
        <v>11.8847</v>
      </c>
      <c r="E797" s="61">
        <f>14.1806 * CHOOSE(CONTROL!$C$19, $C$6, 100%, $E$6)</f>
        <v>14.1806</v>
      </c>
      <c r="F797" s="61">
        <f>14.1806 * CHOOSE(CONTROL!$C$19, $C$6, 100%, $E$6)</f>
        <v>14.1806</v>
      </c>
      <c r="G797" s="61">
        <f>14.1826 * CHOOSE(CONTROL!$C$19, $C$6, 100%, $E$6)</f>
        <v>14.182600000000001</v>
      </c>
      <c r="H797" s="61">
        <f>19.6152* CHOOSE(CONTROL!$C$19, $C$6, 100%, $E$6)</f>
        <v>19.615200000000002</v>
      </c>
      <c r="I797" s="61">
        <f>19.6172 * CHOOSE(CONTROL!$C$19, $C$6, 100%, $E$6)</f>
        <v>19.6172</v>
      </c>
      <c r="J797" s="61">
        <f>14.1806 * CHOOSE(CONTROL!$C$19, $C$6, 100%, $E$6)</f>
        <v>14.1806</v>
      </c>
      <c r="K797" s="61">
        <f>14.1826 * CHOOSE(CONTROL!$C$19, $C$6, 100%, $E$6)</f>
        <v>14.182600000000001</v>
      </c>
    </row>
    <row r="798" spans="1:11" ht="15">
      <c r="A798" s="13">
        <v>66355</v>
      </c>
      <c r="B798" s="60">
        <f>11.8486 * CHOOSE(CONTROL!$C$19, $C$6, 100%, $E$6)</f>
        <v>11.848599999999999</v>
      </c>
      <c r="C798" s="60">
        <f>11.8486 * CHOOSE(CONTROL!$C$19, $C$6, 100%, $E$6)</f>
        <v>11.848599999999999</v>
      </c>
      <c r="D798" s="60">
        <f>11.8816 * CHOOSE(CONTROL!$C$19, $C$6, 100%, $E$6)</f>
        <v>11.881600000000001</v>
      </c>
      <c r="E798" s="61">
        <f>14.1541 * CHOOSE(CONTROL!$C$19, $C$6, 100%, $E$6)</f>
        <v>14.1541</v>
      </c>
      <c r="F798" s="61">
        <f>14.1541 * CHOOSE(CONTROL!$C$19, $C$6, 100%, $E$6)</f>
        <v>14.1541</v>
      </c>
      <c r="G798" s="61">
        <f>14.1562 * CHOOSE(CONTROL!$C$19, $C$6, 100%, $E$6)</f>
        <v>14.1562</v>
      </c>
      <c r="H798" s="61">
        <f>19.6561* CHOOSE(CONTROL!$C$19, $C$6, 100%, $E$6)</f>
        <v>19.656099999999999</v>
      </c>
      <c r="I798" s="61">
        <f>19.6581 * CHOOSE(CONTROL!$C$19, $C$6, 100%, $E$6)</f>
        <v>19.658100000000001</v>
      </c>
      <c r="J798" s="61">
        <f>14.1541 * CHOOSE(CONTROL!$C$19, $C$6, 100%, $E$6)</f>
        <v>14.1541</v>
      </c>
      <c r="K798" s="61">
        <f>14.1562 * CHOOSE(CONTROL!$C$19, $C$6, 100%, $E$6)</f>
        <v>14.1562</v>
      </c>
    </row>
    <row r="799" spans="1:11" ht="15">
      <c r="A799" s="13">
        <v>66385</v>
      </c>
      <c r="B799" s="60">
        <f>11.8735 * CHOOSE(CONTROL!$C$19, $C$6, 100%, $E$6)</f>
        <v>11.8735</v>
      </c>
      <c r="C799" s="60">
        <f>11.8735 * CHOOSE(CONTROL!$C$19, $C$6, 100%, $E$6)</f>
        <v>11.8735</v>
      </c>
      <c r="D799" s="60">
        <f>11.89 * CHOOSE(CONTROL!$C$19, $C$6, 100%, $E$6)</f>
        <v>11.89</v>
      </c>
      <c r="E799" s="61">
        <f>14.238 * CHOOSE(CONTROL!$C$19, $C$6, 100%, $E$6)</f>
        <v>14.238</v>
      </c>
      <c r="F799" s="61">
        <f>14.238 * CHOOSE(CONTROL!$C$19, $C$6, 100%, $E$6)</f>
        <v>14.238</v>
      </c>
      <c r="G799" s="61">
        <f>14.2382 * CHOOSE(CONTROL!$C$19, $C$6, 100%, $E$6)</f>
        <v>14.238200000000001</v>
      </c>
      <c r="H799" s="61">
        <f>19.697* CHOOSE(CONTROL!$C$19, $C$6, 100%, $E$6)</f>
        <v>19.696999999999999</v>
      </c>
      <c r="I799" s="61">
        <f>19.6972 * CHOOSE(CONTROL!$C$19, $C$6, 100%, $E$6)</f>
        <v>19.697199999999999</v>
      </c>
      <c r="J799" s="61">
        <f>14.238 * CHOOSE(CONTROL!$C$19, $C$6, 100%, $E$6)</f>
        <v>14.238</v>
      </c>
      <c r="K799" s="61">
        <f>14.2382 * CHOOSE(CONTROL!$C$19, $C$6, 100%, $E$6)</f>
        <v>14.238200000000001</v>
      </c>
    </row>
    <row r="800" spans="1:11" ht="15">
      <c r="A800" s="13">
        <v>66416</v>
      </c>
      <c r="B800" s="60">
        <f>11.8765 * CHOOSE(CONTROL!$C$19, $C$6, 100%, $E$6)</f>
        <v>11.8765</v>
      </c>
      <c r="C800" s="60">
        <f>11.8765 * CHOOSE(CONTROL!$C$19, $C$6, 100%, $E$6)</f>
        <v>11.8765</v>
      </c>
      <c r="D800" s="60">
        <f>11.893 * CHOOSE(CONTROL!$C$19, $C$6, 100%, $E$6)</f>
        <v>11.893000000000001</v>
      </c>
      <c r="E800" s="61">
        <f>14.2887 * CHOOSE(CONTROL!$C$19, $C$6, 100%, $E$6)</f>
        <v>14.2887</v>
      </c>
      <c r="F800" s="61">
        <f>14.2887 * CHOOSE(CONTROL!$C$19, $C$6, 100%, $E$6)</f>
        <v>14.2887</v>
      </c>
      <c r="G800" s="61">
        <f>14.2889 * CHOOSE(CONTROL!$C$19, $C$6, 100%, $E$6)</f>
        <v>14.2889</v>
      </c>
      <c r="H800" s="61">
        <f>19.738* CHOOSE(CONTROL!$C$19, $C$6, 100%, $E$6)</f>
        <v>19.738</v>
      </c>
      <c r="I800" s="61">
        <f>19.7382 * CHOOSE(CONTROL!$C$19, $C$6, 100%, $E$6)</f>
        <v>19.738199999999999</v>
      </c>
      <c r="J800" s="61">
        <f>14.2887 * CHOOSE(CONTROL!$C$19, $C$6, 100%, $E$6)</f>
        <v>14.2887</v>
      </c>
      <c r="K800" s="61">
        <f>14.2889 * CHOOSE(CONTROL!$C$19, $C$6, 100%, $E$6)</f>
        <v>14.2889</v>
      </c>
    </row>
    <row r="801" spans="1:11" ht="15">
      <c r="A801" s="13">
        <v>66446</v>
      </c>
      <c r="B801" s="60">
        <f>11.8765 * CHOOSE(CONTROL!$C$19, $C$6, 100%, $E$6)</f>
        <v>11.8765</v>
      </c>
      <c r="C801" s="60">
        <f>11.8765 * CHOOSE(CONTROL!$C$19, $C$6, 100%, $E$6)</f>
        <v>11.8765</v>
      </c>
      <c r="D801" s="60">
        <f>11.893 * CHOOSE(CONTROL!$C$19, $C$6, 100%, $E$6)</f>
        <v>11.893000000000001</v>
      </c>
      <c r="E801" s="61">
        <f>14.1671 * CHOOSE(CONTROL!$C$19, $C$6, 100%, $E$6)</f>
        <v>14.1671</v>
      </c>
      <c r="F801" s="61">
        <f>14.1671 * CHOOSE(CONTROL!$C$19, $C$6, 100%, $E$6)</f>
        <v>14.1671</v>
      </c>
      <c r="G801" s="61">
        <f>14.1673 * CHOOSE(CONTROL!$C$19, $C$6, 100%, $E$6)</f>
        <v>14.167299999999999</v>
      </c>
      <c r="H801" s="61">
        <f>19.7792* CHOOSE(CONTROL!$C$19, $C$6, 100%, $E$6)</f>
        <v>19.779199999999999</v>
      </c>
      <c r="I801" s="61">
        <f>19.7793 * CHOOSE(CONTROL!$C$19, $C$6, 100%, $E$6)</f>
        <v>19.779299999999999</v>
      </c>
      <c r="J801" s="61">
        <f>14.1671 * CHOOSE(CONTROL!$C$19, $C$6, 100%, $E$6)</f>
        <v>14.1671</v>
      </c>
      <c r="K801" s="61">
        <f>14.1673 * CHOOSE(CONTROL!$C$19, $C$6, 100%, $E$6)</f>
        <v>14.167299999999999</v>
      </c>
    </row>
    <row r="802" spans="1:11" ht="15">
      <c r="A802" s="13">
        <v>66477</v>
      </c>
      <c r="B802" s="60">
        <f>11.8732 * CHOOSE(CONTROL!$C$19, $C$6, 100%, $E$6)</f>
        <v>11.873200000000001</v>
      </c>
      <c r="C802" s="60">
        <f>11.8732 * CHOOSE(CONTROL!$C$19, $C$6, 100%, $E$6)</f>
        <v>11.873200000000001</v>
      </c>
      <c r="D802" s="60">
        <f>11.8897 * CHOOSE(CONTROL!$C$19, $C$6, 100%, $E$6)</f>
        <v>11.889699999999999</v>
      </c>
      <c r="E802" s="61">
        <f>14.2475 * CHOOSE(CONTROL!$C$19, $C$6, 100%, $E$6)</f>
        <v>14.2475</v>
      </c>
      <c r="F802" s="61">
        <f>14.2475 * CHOOSE(CONTROL!$C$19, $C$6, 100%, $E$6)</f>
        <v>14.2475</v>
      </c>
      <c r="G802" s="61">
        <f>14.2477 * CHOOSE(CONTROL!$C$19, $C$6, 100%, $E$6)</f>
        <v>14.2477</v>
      </c>
      <c r="H802" s="61">
        <f>19.6562* CHOOSE(CONTROL!$C$19, $C$6, 100%, $E$6)</f>
        <v>19.656199999999998</v>
      </c>
      <c r="I802" s="61">
        <f>19.6563 * CHOOSE(CONTROL!$C$19, $C$6, 100%, $E$6)</f>
        <v>19.656300000000002</v>
      </c>
      <c r="J802" s="61">
        <f>14.2475 * CHOOSE(CONTROL!$C$19, $C$6, 100%, $E$6)</f>
        <v>14.2475</v>
      </c>
      <c r="K802" s="61">
        <f>14.2477 * CHOOSE(CONTROL!$C$19, $C$6, 100%, $E$6)</f>
        <v>14.2477</v>
      </c>
    </row>
    <row r="803" spans="1:11" ht="15">
      <c r="A803" s="13">
        <v>66508</v>
      </c>
      <c r="B803" s="60">
        <f>11.8702 * CHOOSE(CONTROL!$C$19, $C$6, 100%, $E$6)</f>
        <v>11.870200000000001</v>
      </c>
      <c r="C803" s="60">
        <f>11.8702 * CHOOSE(CONTROL!$C$19, $C$6, 100%, $E$6)</f>
        <v>11.870200000000001</v>
      </c>
      <c r="D803" s="60">
        <f>11.8867 * CHOOSE(CONTROL!$C$19, $C$6, 100%, $E$6)</f>
        <v>11.886699999999999</v>
      </c>
      <c r="E803" s="61">
        <f>14.0112 * CHOOSE(CONTROL!$C$19, $C$6, 100%, $E$6)</f>
        <v>14.011200000000001</v>
      </c>
      <c r="F803" s="61">
        <f>14.0112 * CHOOSE(CONTROL!$C$19, $C$6, 100%, $E$6)</f>
        <v>14.011200000000001</v>
      </c>
      <c r="G803" s="61">
        <f>14.0113 * CHOOSE(CONTROL!$C$19, $C$6, 100%, $E$6)</f>
        <v>14.0113</v>
      </c>
      <c r="H803" s="61">
        <f>19.6971* CHOOSE(CONTROL!$C$19, $C$6, 100%, $E$6)</f>
        <v>19.697099999999999</v>
      </c>
      <c r="I803" s="61">
        <f>19.6973 * CHOOSE(CONTROL!$C$19, $C$6, 100%, $E$6)</f>
        <v>19.697299999999998</v>
      </c>
      <c r="J803" s="61">
        <f>14.0112 * CHOOSE(CONTROL!$C$19, $C$6, 100%, $E$6)</f>
        <v>14.011200000000001</v>
      </c>
      <c r="K803" s="61">
        <f>14.0113 * CHOOSE(CONTROL!$C$19, $C$6, 100%, $E$6)</f>
        <v>14.0113</v>
      </c>
    </row>
    <row r="804" spans="1:11" ht="15">
      <c r="A804" s="13">
        <v>66536</v>
      </c>
      <c r="B804" s="60">
        <f>11.8671 * CHOOSE(CONTROL!$C$19, $C$6, 100%, $E$6)</f>
        <v>11.867100000000001</v>
      </c>
      <c r="C804" s="60">
        <f>11.8671 * CHOOSE(CONTROL!$C$19, $C$6, 100%, $E$6)</f>
        <v>11.867100000000001</v>
      </c>
      <c r="D804" s="60">
        <f>11.8836 * CHOOSE(CONTROL!$C$19, $C$6, 100%, $E$6)</f>
        <v>11.883599999999999</v>
      </c>
      <c r="E804" s="61">
        <f>14.1937 * CHOOSE(CONTROL!$C$19, $C$6, 100%, $E$6)</f>
        <v>14.1937</v>
      </c>
      <c r="F804" s="61">
        <f>14.1937 * CHOOSE(CONTROL!$C$19, $C$6, 100%, $E$6)</f>
        <v>14.1937</v>
      </c>
      <c r="G804" s="61">
        <f>14.1939 * CHOOSE(CONTROL!$C$19, $C$6, 100%, $E$6)</f>
        <v>14.193899999999999</v>
      </c>
      <c r="H804" s="61">
        <f>19.7382* CHOOSE(CONTROL!$C$19, $C$6, 100%, $E$6)</f>
        <v>19.738199999999999</v>
      </c>
      <c r="I804" s="61">
        <f>19.7383 * CHOOSE(CONTROL!$C$19, $C$6, 100%, $E$6)</f>
        <v>19.738299999999999</v>
      </c>
      <c r="J804" s="61">
        <f>14.1937 * CHOOSE(CONTROL!$C$19, $C$6, 100%, $E$6)</f>
        <v>14.1937</v>
      </c>
      <c r="K804" s="61">
        <f>14.1939 * CHOOSE(CONTROL!$C$19, $C$6, 100%, $E$6)</f>
        <v>14.193899999999999</v>
      </c>
    </row>
    <row r="805" spans="1:11" ht="15">
      <c r="A805" s="13">
        <v>66567</v>
      </c>
      <c r="B805" s="60">
        <f>11.8725 * CHOOSE(CONTROL!$C$19, $C$6, 100%, $E$6)</f>
        <v>11.8725</v>
      </c>
      <c r="C805" s="60">
        <f>11.8725 * CHOOSE(CONTROL!$C$19, $C$6, 100%, $E$6)</f>
        <v>11.8725</v>
      </c>
      <c r="D805" s="60">
        <f>11.889 * CHOOSE(CONTROL!$C$19, $C$6, 100%, $E$6)</f>
        <v>11.888999999999999</v>
      </c>
      <c r="E805" s="61">
        <f>14.3878 * CHOOSE(CONTROL!$C$19, $C$6, 100%, $E$6)</f>
        <v>14.3878</v>
      </c>
      <c r="F805" s="61">
        <f>14.3878 * CHOOSE(CONTROL!$C$19, $C$6, 100%, $E$6)</f>
        <v>14.3878</v>
      </c>
      <c r="G805" s="61">
        <f>14.388 * CHOOSE(CONTROL!$C$19, $C$6, 100%, $E$6)</f>
        <v>14.388</v>
      </c>
      <c r="H805" s="61">
        <f>19.7793* CHOOSE(CONTROL!$C$19, $C$6, 100%, $E$6)</f>
        <v>19.779299999999999</v>
      </c>
      <c r="I805" s="61">
        <f>19.7795 * CHOOSE(CONTROL!$C$19, $C$6, 100%, $E$6)</f>
        <v>19.779499999999999</v>
      </c>
      <c r="J805" s="61">
        <f>14.3878 * CHOOSE(CONTROL!$C$19, $C$6, 100%, $E$6)</f>
        <v>14.3878</v>
      </c>
      <c r="K805" s="61">
        <f>14.388 * CHOOSE(CONTROL!$C$19, $C$6, 100%, $E$6)</f>
        <v>14.388</v>
      </c>
    </row>
    <row r="806" spans="1:11" ht="15">
      <c r="A806" s="13">
        <v>66597</v>
      </c>
      <c r="B806" s="60">
        <f>11.8725 * CHOOSE(CONTROL!$C$19, $C$6, 100%, $E$6)</f>
        <v>11.8725</v>
      </c>
      <c r="C806" s="60">
        <f>11.8725 * CHOOSE(CONTROL!$C$19, $C$6, 100%, $E$6)</f>
        <v>11.8725</v>
      </c>
      <c r="D806" s="60">
        <f>11.9055 * CHOOSE(CONTROL!$C$19, $C$6, 100%, $E$6)</f>
        <v>11.9055</v>
      </c>
      <c r="E806" s="61">
        <f>14.4622 * CHOOSE(CONTROL!$C$19, $C$6, 100%, $E$6)</f>
        <v>14.462199999999999</v>
      </c>
      <c r="F806" s="61">
        <f>14.4622 * CHOOSE(CONTROL!$C$19, $C$6, 100%, $E$6)</f>
        <v>14.462199999999999</v>
      </c>
      <c r="G806" s="61">
        <f>14.4643 * CHOOSE(CONTROL!$C$19, $C$6, 100%, $E$6)</f>
        <v>14.4643</v>
      </c>
      <c r="H806" s="61">
        <f>19.8205* CHOOSE(CONTROL!$C$19, $C$6, 100%, $E$6)</f>
        <v>19.820499999999999</v>
      </c>
      <c r="I806" s="61">
        <f>19.8225 * CHOOSE(CONTROL!$C$19, $C$6, 100%, $E$6)</f>
        <v>19.822500000000002</v>
      </c>
      <c r="J806" s="61">
        <f>14.4622 * CHOOSE(CONTROL!$C$19, $C$6, 100%, $E$6)</f>
        <v>14.462199999999999</v>
      </c>
      <c r="K806" s="61">
        <f>14.4643 * CHOOSE(CONTROL!$C$19, $C$6, 100%, $E$6)</f>
        <v>14.4643</v>
      </c>
    </row>
    <row r="807" spans="1:11" ht="15">
      <c r="A807" s="13">
        <v>66628</v>
      </c>
      <c r="B807" s="60">
        <f>11.8786 * CHOOSE(CONTROL!$C$19, $C$6, 100%, $E$6)</f>
        <v>11.8786</v>
      </c>
      <c r="C807" s="60">
        <f>11.8786 * CHOOSE(CONTROL!$C$19, $C$6, 100%, $E$6)</f>
        <v>11.8786</v>
      </c>
      <c r="D807" s="60">
        <f>11.9116 * CHOOSE(CONTROL!$C$19, $C$6, 100%, $E$6)</f>
        <v>11.9116</v>
      </c>
      <c r="E807" s="61">
        <f>14.3921 * CHOOSE(CONTROL!$C$19, $C$6, 100%, $E$6)</f>
        <v>14.392099999999999</v>
      </c>
      <c r="F807" s="61">
        <f>14.3921 * CHOOSE(CONTROL!$C$19, $C$6, 100%, $E$6)</f>
        <v>14.392099999999999</v>
      </c>
      <c r="G807" s="61">
        <f>14.3941 * CHOOSE(CONTROL!$C$19, $C$6, 100%, $E$6)</f>
        <v>14.3941</v>
      </c>
      <c r="H807" s="61">
        <f>19.8618* CHOOSE(CONTROL!$C$19, $C$6, 100%, $E$6)</f>
        <v>19.861799999999999</v>
      </c>
      <c r="I807" s="61">
        <f>19.8638 * CHOOSE(CONTROL!$C$19, $C$6, 100%, $E$6)</f>
        <v>19.863800000000001</v>
      </c>
      <c r="J807" s="61">
        <f>14.3921 * CHOOSE(CONTROL!$C$19, $C$6, 100%, $E$6)</f>
        <v>14.392099999999999</v>
      </c>
      <c r="K807" s="61">
        <f>14.3941 * CHOOSE(CONTROL!$C$19, $C$6, 100%, $E$6)</f>
        <v>14.3941</v>
      </c>
    </row>
    <row r="808" spans="1:11" ht="15">
      <c r="A808" s="13">
        <v>66658</v>
      </c>
      <c r="B808" s="60">
        <f>12.0443 * CHOOSE(CONTROL!$C$19, $C$6, 100%, $E$6)</f>
        <v>12.0443</v>
      </c>
      <c r="C808" s="60">
        <f>12.0443 * CHOOSE(CONTROL!$C$19, $C$6, 100%, $E$6)</f>
        <v>12.0443</v>
      </c>
      <c r="D808" s="60">
        <f>12.0773 * CHOOSE(CONTROL!$C$19, $C$6, 100%, $E$6)</f>
        <v>12.077299999999999</v>
      </c>
      <c r="E808" s="61">
        <f>14.6539 * CHOOSE(CONTROL!$C$19, $C$6, 100%, $E$6)</f>
        <v>14.6539</v>
      </c>
      <c r="F808" s="61">
        <f>14.6539 * CHOOSE(CONTROL!$C$19, $C$6, 100%, $E$6)</f>
        <v>14.6539</v>
      </c>
      <c r="G808" s="61">
        <f>14.6559 * CHOOSE(CONTROL!$C$19, $C$6, 100%, $E$6)</f>
        <v>14.655900000000001</v>
      </c>
      <c r="H808" s="61">
        <f>19.9032* CHOOSE(CONTROL!$C$19, $C$6, 100%, $E$6)</f>
        <v>19.903199999999998</v>
      </c>
      <c r="I808" s="61">
        <f>19.9052 * CHOOSE(CONTROL!$C$19, $C$6, 100%, $E$6)</f>
        <v>19.905200000000001</v>
      </c>
      <c r="J808" s="61">
        <f>14.6539 * CHOOSE(CONTROL!$C$19, $C$6, 100%, $E$6)</f>
        <v>14.6539</v>
      </c>
      <c r="K808" s="61">
        <f>14.6559 * CHOOSE(CONTROL!$C$19, $C$6, 100%, $E$6)</f>
        <v>14.655900000000001</v>
      </c>
    </row>
    <row r="809" spans="1:11" ht="15">
      <c r="A809" s="13">
        <v>66689</v>
      </c>
      <c r="B809" s="60">
        <f>12.051 * CHOOSE(CONTROL!$C$19, $C$6, 100%, $E$6)</f>
        <v>12.051</v>
      </c>
      <c r="C809" s="60">
        <f>12.051 * CHOOSE(CONTROL!$C$19, $C$6, 100%, $E$6)</f>
        <v>12.051</v>
      </c>
      <c r="D809" s="60">
        <f>12.084 * CHOOSE(CONTROL!$C$19, $C$6, 100%, $E$6)</f>
        <v>12.084</v>
      </c>
      <c r="E809" s="61">
        <f>14.4354 * CHOOSE(CONTROL!$C$19, $C$6, 100%, $E$6)</f>
        <v>14.4354</v>
      </c>
      <c r="F809" s="61">
        <f>14.4354 * CHOOSE(CONTROL!$C$19, $C$6, 100%, $E$6)</f>
        <v>14.4354</v>
      </c>
      <c r="G809" s="61">
        <f>14.4374 * CHOOSE(CONTROL!$C$19, $C$6, 100%, $E$6)</f>
        <v>14.4374</v>
      </c>
      <c r="H809" s="61">
        <f>19.9446* CHOOSE(CONTROL!$C$19, $C$6, 100%, $E$6)</f>
        <v>19.944600000000001</v>
      </c>
      <c r="I809" s="61">
        <f>19.9467 * CHOOSE(CONTROL!$C$19, $C$6, 100%, $E$6)</f>
        <v>19.9467</v>
      </c>
      <c r="J809" s="61">
        <f>14.4354 * CHOOSE(CONTROL!$C$19, $C$6, 100%, $E$6)</f>
        <v>14.4354</v>
      </c>
      <c r="K809" s="61">
        <f>14.4374 * CHOOSE(CONTROL!$C$19, $C$6, 100%, $E$6)</f>
        <v>14.4374</v>
      </c>
    </row>
    <row r="810" spans="1:11" ht="15">
      <c r="A810" s="13">
        <v>66720</v>
      </c>
      <c r="B810" s="60">
        <f>12.0479 * CHOOSE(CONTROL!$C$19, $C$6, 100%, $E$6)</f>
        <v>12.0479</v>
      </c>
      <c r="C810" s="60">
        <f>12.0479 * CHOOSE(CONTROL!$C$19, $C$6, 100%, $E$6)</f>
        <v>12.0479</v>
      </c>
      <c r="D810" s="60">
        <f>12.0809 * CHOOSE(CONTROL!$C$19, $C$6, 100%, $E$6)</f>
        <v>12.0809</v>
      </c>
      <c r="E810" s="61">
        <f>14.4085 * CHOOSE(CONTROL!$C$19, $C$6, 100%, $E$6)</f>
        <v>14.4085</v>
      </c>
      <c r="F810" s="61">
        <f>14.4085 * CHOOSE(CONTROL!$C$19, $C$6, 100%, $E$6)</f>
        <v>14.4085</v>
      </c>
      <c r="G810" s="61">
        <f>14.4105 * CHOOSE(CONTROL!$C$19, $C$6, 100%, $E$6)</f>
        <v>14.410500000000001</v>
      </c>
      <c r="H810" s="61">
        <f>19.9862* CHOOSE(CONTROL!$C$19, $C$6, 100%, $E$6)</f>
        <v>19.9862</v>
      </c>
      <c r="I810" s="61">
        <f>19.9882 * CHOOSE(CONTROL!$C$19, $C$6, 100%, $E$6)</f>
        <v>19.988199999999999</v>
      </c>
      <c r="J810" s="61">
        <f>14.4085 * CHOOSE(CONTROL!$C$19, $C$6, 100%, $E$6)</f>
        <v>14.4085</v>
      </c>
      <c r="K810" s="61">
        <f>14.4105 * CHOOSE(CONTROL!$C$19, $C$6, 100%, $E$6)</f>
        <v>14.410500000000001</v>
      </c>
    </row>
    <row r="811" spans="1:11" ht="15">
      <c r="A811" s="13">
        <v>66750</v>
      </c>
      <c r="B811" s="60">
        <f>12.0736 * CHOOSE(CONTROL!$C$19, $C$6, 100%, $E$6)</f>
        <v>12.073600000000001</v>
      </c>
      <c r="C811" s="60">
        <f>12.0736 * CHOOSE(CONTROL!$C$19, $C$6, 100%, $E$6)</f>
        <v>12.073600000000001</v>
      </c>
      <c r="D811" s="60">
        <f>12.0901 * CHOOSE(CONTROL!$C$19, $C$6, 100%, $E$6)</f>
        <v>12.0901</v>
      </c>
      <c r="E811" s="61">
        <f>14.4942 * CHOOSE(CONTROL!$C$19, $C$6, 100%, $E$6)</f>
        <v>14.494199999999999</v>
      </c>
      <c r="F811" s="61">
        <f>14.4942 * CHOOSE(CONTROL!$C$19, $C$6, 100%, $E$6)</f>
        <v>14.494199999999999</v>
      </c>
      <c r="G811" s="61">
        <f>14.4944 * CHOOSE(CONTROL!$C$19, $C$6, 100%, $E$6)</f>
        <v>14.494400000000001</v>
      </c>
      <c r="H811" s="61">
        <f>20.0278* CHOOSE(CONTROL!$C$19, $C$6, 100%, $E$6)</f>
        <v>20.027799999999999</v>
      </c>
      <c r="I811" s="61">
        <f>20.028 * CHOOSE(CONTROL!$C$19, $C$6, 100%, $E$6)</f>
        <v>20.027999999999999</v>
      </c>
      <c r="J811" s="61">
        <f>14.4942 * CHOOSE(CONTROL!$C$19, $C$6, 100%, $E$6)</f>
        <v>14.494199999999999</v>
      </c>
      <c r="K811" s="61">
        <f>14.4944 * CHOOSE(CONTROL!$C$19, $C$6, 100%, $E$6)</f>
        <v>14.494400000000001</v>
      </c>
    </row>
    <row r="812" spans="1:11" ht="15">
      <c r="A812" s="13">
        <v>66781</v>
      </c>
      <c r="B812" s="60">
        <f>12.0766 * CHOOSE(CONTROL!$C$19, $C$6, 100%, $E$6)</f>
        <v>12.076599999999999</v>
      </c>
      <c r="C812" s="60">
        <f>12.0766 * CHOOSE(CONTROL!$C$19, $C$6, 100%, $E$6)</f>
        <v>12.076599999999999</v>
      </c>
      <c r="D812" s="60">
        <f>12.0931 * CHOOSE(CONTROL!$C$19, $C$6, 100%, $E$6)</f>
        <v>12.0931</v>
      </c>
      <c r="E812" s="61">
        <f>14.5459 * CHOOSE(CONTROL!$C$19, $C$6, 100%, $E$6)</f>
        <v>14.5459</v>
      </c>
      <c r="F812" s="61">
        <f>14.5459 * CHOOSE(CONTROL!$C$19, $C$6, 100%, $E$6)</f>
        <v>14.5459</v>
      </c>
      <c r="G812" s="61">
        <f>14.5461 * CHOOSE(CONTROL!$C$19, $C$6, 100%, $E$6)</f>
        <v>14.546099999999999</v>
      </c>
      <c r="H812" s="61">
        <f>20.0695* CHOOSE(CONTROL!$C$19, $C$6, 100%, $E$6)</f>
        <v>20.069500000000001</v>
      </c>
      <c r="I812" s="61">
        <f>20.0697 * CHOOSE(CONTROL!$C$19, $C$6, 100%, $E$6)</f>
        <v>20.069700000000001</v>
      </c>
      <c r="J812" s="61">
        <f>14.5459 * CHOOSE(CONTROL!$C$19, $C$6, 100%, $E$6)</f>
        <v>14.5459</v>
      </c>
      <c r="K812" s="61">
        <f>14.5461 * CHOOSE(CONTROL!$C$19, $C$6, 100%, $E$6)</f>
        <v>14.546099999999999</v>
      </c>
    </row>
    <row r="813" spans="1:11" ht="15">
      <c r="A813" s="13">
        <v>66811</v>
      </c>
      <c r="B813" s="60">
        <f>12.0766 * CHOOSE(CONTROL!$C$19, $C$6, 100%, $E$6)</f>
        <v>12.076599999999999</v>
      </c>
      <c r="C813" s="60">
        <f>12.0766 * CHOOSE(CONTROL!$C$19, $C$6, 100%, $E$6)</f>
        <v>12.076599999999999</v>
      </c>
      <c r="D813" s="60">
        <f>12.0931 * CHOOSE(CONTROL!$C$19, $C$6, 100%, $E$6)</f>
        <v>12.0931</v>
      </c>
      <c r="E813" s="61">
        <f>14.422 * CHOOSE(CONTROL!$C$19, $C$6, 100%, $E$6)</f>
        <v>14.422000000000001</v>
      </c>
      <c r="F813" s="61">
        <f>14.422 * CHOOSE(CONTROL!$C$19, $C$6, 100%, $E$6)</f>
        <v>14.422000000000001</v>
      </c>
      <c r="G813" s="61">
        <f>14.4222 * CHOOSE(CONTROL!$C$19, $C$6, 100%, $E$6)</f>
        <v>14.4222</v>
      </c>
      <c r="H813" s="61">
        <f>20.1113* CHOOSE(CONTROL!$C$19, $C$6, 100%, $E$6)</f>
        <v>20.1113</v>
      </c>
      <c r="I813" s="61">
        <f>20.1115 * CHOOSE(CONTROL!$C$19, $C$6, 100%, $E$6)</f>
        <v>20.111499999999999</v>
      </c>
      <c r="J813" s="61">
        <f>14.422 * CHOOSE(CONTROL!$C$19, $C$6, 100%, $E$6)</f>
        <v>14.422000000000001</v>
      </c>
      <c r="K813" s="61">
        <f>14.4222 * CHOOSE(CONTROL!$C$19, $C$6, 100%, $E$6)</f>
        <v>14.4222</v>
      </c>
    </row>
    <row r="814" spans="1:11" ht="15">
      <c r="A814" s="13">
        <v>66842</v>
      </c>
      <c r="B814" s="60">
        <f>12.0698 * CHOOSE(CONTROL!$C$19, $C$6, 100%, $E$6)</f>
        <v>12.069800000000001</v>
      </c>
      <c r="C814" s="60">
        <f>12.0698 * CHOOSE(CONTROL!$C$19, $C$6, 100%, $E$6)</f>
        <v>12.069800000000001</v>
      </c>
      <c r="D814" s="60">
        <f>12.0863 * CHOOSE(CONTROL!$C$19, $C$6, 100%, $E$6)</f>
        <v>12.0863</v>
      </c>
      <c r="E814" s="61">
        <f>14.4994 * CHOOSE(CONTROL!$C$19, $C$6, 100%, $E$6)</f>
        <v>14.4994</v>
      </c>
      <c r="F814" s="61">
        <f>14.4994 * CHOOSE(CONTROL!$C$19, $C$6, 100%, $E$6)</f>
        <v>14.4994</v>
      </c>
      <c r="G814" s="61">
        <f>14.4996 * CHOOSE(CONTROL!$C$19, $C$6, 100%, $E$6)</f>
        <v>14.499599999999999</v>
      </c>
      <c r="H814" s="61">
        <f>19.9808* CHOOSE(CONTROL!$C$19, $C$6, 100%, $E$6)</f>
        <v>19.980799999999999</v>
      </c>
      <c r="I814" s="61">
        <f>19.981 * CHOOSE(CONTROL!$C$19, $C$6, 100%, $E$6)</f>
        <v>19.981000000000002</v>
      </c>
      <c r="J814" s="61">
        <f>14.4994 * CHOOSE(CONTROL!$C$19, $C$6, 100%, $E$6)</f>
        <v>14.4994</v>
      </c>
      <c r="K814" s="61">
        <f>14.4996 * CHOOSE(CONTROL!$C$19, $C$6, 100%, $E$6)</f>
        <v>14.499599999999999</v>
      </c>
    </row>
    <row r="815" spans="1:11" ht="15">
      <c r="A815" s="13">
        <v>66873</v>
      </c>
      <c r="B815" s="60">
        <f>12.0668 * CHOOSE(CONTROL!$C$19, $C$6, 100%, $E$6)</f>
        <v>12.066800000000001</v>
      </c>
      <c r="C815" s="60">
        <f>12.0668 * CHOOSE(CONTROL!$C$19, $C$6, 100%, $E$6)</f>
        <v>12.066800000000001</v>
      </c>
      <c r="D815" s="60">
        <f>12.0833 * CHOOSE(CONTROL!$C$19, $C$6, 100%, $E$6)</f>
        <v>12.083299999999999</v>
      </c>
      <c r="E815" s="61">
        <f>14.2585 * CHOOSE(CONTROL!$C$19, $C$6, 100%, $E$6)</f>
        <v>14.2585</v>
      </c>
      <c r="F815" s="61">
        <f>14.2585 * CHOOSE(CONTROL!$C$19, $C$6, 100%, $E$6)</f>
        <v>14.2585</v>
      </c>
      <c r="G815" s="61">
        <f>14.2587 * CHOOSE(CONTROL!$C$19, $C$6, 100%, $E$6)</f>
        <v>14.258699999999999</v>
      </c>
      <c r="H815" s="61">
        <f>20.0225* CHOOSE(CONTROL!$C$19, $C$6, 100%, $E$6)</f>
        <v>20.022500000000001</v>
      </c>
      <c r="I815" s="61">
        <f>20.0226 * CHOOSE(CONTROL!$C$19, $C$6, 100%, $E$6)</f>
        <v>20.022600000000001</v>
      </c>
      <c r="J815" s="61">
        <f>14.2585 * CHOOSE(CONTROL!$C$19, $C$6, 100%, $E$6)</f>
        <v>14.2585</v>
      </c>
      <c r="K815" s="61">
        <f>14.2587 * CHOOSE(CONTROL!$C$19, $C$6, 100%, $E$6)</f>
        <v>14.258699999999999</v>
      </c>
    </row>
    <row r="816" spans="1:11" ht="15">
      <c r="A816" s="13">
        <v>66901</v>
      </c>
      <c r="B816" s="60">
        <f>12.0637 * CHOOSE(CONTROL!$C$19, $C$6, 100%, $E$6)</f>
        <v>12.063700000000001</v>
      </c>
      <c r="C816" s="60">
        <f>12.0637 * CHOOSE(CONTROL!$C$19, $C$6, 100%, $E$6)</f>
        <v>12.063700000000001</v>
      </c>
      <c r="D816" s="60">
        <f>12.0802 * CHOOSE(CONTROL!$C$19, $C$6, 100%, $E$6)</f>
        <v>12.0802</v>
      </c>
      <c r="E816" s="61">
        <f>14.4446 * CHOOSE(CONTROL!$C$19, $C$6, 100%, $E$6)</f>
        <v>14.444599999999999</v>
      </c>
      <c r="F816" s="61">
        <f>14.4446 * CHOOSE(CONTROL!$C$19, $C$6, 100%, $E$6)</f>
        <v>14.444599999999999</v>
      </c>
      <c r="G816" s="61">
        <f>14.4448 * CHOOSE(CONTROL!$C$19, $C$6, 100%, $E$6)</f>
        <v>14.444800000000001</v>
      </c>
      <c r="H816" s="61">
        <f>20.0642* CHOOSE(CONTROL!$C$19, $C$6, 100%, $E$6)</f>
        <v>20.0642</v>
      </c>
      <c r="I816" s="61">
        <f>20.0643 * CHOOSE(CONTROL!$C$19, $C$6, 100%, $E$6)</f>
        <v>20.064299999999999</v>
      </c>
      <c r="J816" s="61">
        <f>14.4446 * CHOOSE(CONTROL!$C$19, $C$6, 100%, $E$6)</f>
        <v>14.444599999999999</v>
      </c>
      <c r="K816" s="61">
        <f>14.4448 * CHOOSE(CONTROL!$C$19, $C$6, 100%, $E$6)</f>
        <v>14.444800000000001</v>
      </c>
    </row>
    <row r="817" spans="1:11" ht="15">
      <c r="A817" s="13">
        <v>66932</v>
      </c>
      <c r="B817" s="60">
        <f>12.0693 * CHOOSE(CONTROL!$C$19, $C$6, 100%, $E$6)</f>
        <v>12.0693</v>
      </c>
      <c r="C817" s="60">
        <f>12.0693 * CHOOSE(CONTROL!$C$19, $C$6, 100%, $E$6)</f>
        <v>12.0693</v>
      </c>
      <c r="D817" s="60">
        <f>12.0859 * CHOOSE(CONTROL!$C$19, $C$6, 100%, $E$6)</f>
        <v>12.085900000000001</v>
      </c>
      <c r="E817" s="61">
        <f>14.6425 * CHOOSE(CONTROL!$C$19, $C$6, 100%, $E$6)</f>
        <v>14.6425</v>
      </c>
      <c r="F817" s="61">
        <f>14.6425 * CHOOSE(CONTROL!$C$19, $C$6, 100%, $E$6)</f>
        <v>14.6425</v>
      </c>
      <c r="G817" s="61">
        <f>14.6427 * CHOOSE(CONTROL!$C$19, $C$6, 100%, $E$6)</f>
        <v>14.6427</v>
      </c>
      <c r="H817" s="61">
        <f>20.106* CHOOSE(CONTROL!$C$19, $C$6, 100%, $E$6)</f>
        <v>20.106000000000002</v>
      </c>
      <c r="I817" s="61">
        <f>20.1062 * CHOOSE(CONTROL!$C$19, $C$6, 100%, $E$6)</f>
        <v>20.106200000000001</v>
      </c>
      <c r="J817" s="61">
        <f>14.6425 * CHOOSE(CONTROL!$C$19, $C$6, 100%, $E$6)</f>
        <v>14.6425</v>
      </c>
      <c r="K817" s="61">
        <f>14.6427 * CHOOSE(CONTROL!$C$19, $C$6, 100%, $E$6)</f>
        <v>14.6427</v>
      </c>
    </row>
    <row r="818" spans="1:11" ht="15">
      <c r="A818" s="13">
        <v>66962</v>
      </c>
      <c r="B818" s="60">
        <f>12.0693 * CHOOSE(CONTROL!$C$19, $C$6, 100%, $E$6)</f>
        <v>12.0693</v>
      </c>
      <c r="C818" s="60">
        <f>12.0693 * CHOOSE(CONTROL!$C$19, $C$6, 100%, $E$6)</f>
        <v>12.0693</v>
      </c>
      <c r="D818" s="60">
        <f>12.1024 * CHOOSE(CONTROL!$C$19, $C$6, 100%, $E$6)</f>
        <v>12.102399999999999</v>
      </c>
      <c r="E818" s="61">
        <f>14.7183 * CHOOSE(CONTROL!$C$19, $C$6, 100%, $E$6)</f>
        <v>14.718299999999999</v>
      </c>
      <c r="F818" s="61">
        <f>14.7183 * CHOOSE(CONTROL!$C$19, $C$6, 100%, $E$6)</f>
        <v>14.718299999999999</v>
      </c>
      <c r="G818" s="61">
        <f>14.7204 * CHOOSE(CONTROL!$C$19, $C$6, 100%, $E$6)</f>
        <v>14.7204</v>
      </c>
      <c r="H818" s="61">
        <f>20.1479* CHOOSE(CONTROL!$C$19, $C$6, 100%, $E$6)</f>
        <v>20.1479</v>
      </c>
      <c r="I818" s="61">
        <f>20.1499 * CHOOSE(CONTROL!$C$19, $C$6, 100%, $E$6)</f>
        <v>20.149899999999999</v>
      </c>
      <c r="J818" s="61">
        <f>14.7183 * CHOOSE(CONTROL!$C$19, $C$6, 100%, $E$6)</f>
        <v>14.718299999999999</v>
      </c>
      <c r="K818" s="61">
        <f>14.7204 * CHOOSE(CONTROL!$C$19, $C$6, 100%, $E$6)</f>
        <v>14.7204</v>
      </c>
    </row>
    <row r="819" spans="1:11" ht="15">
      <c r="A819" s="13">
        <v>66993</v>
      </c>
      <c r="B819" s="60">
        <f>12.0754 * CHOOSE(CONTROL!$C$19, $C$6, 100%, $E$6)</f>
        <v>12.0754</v>
      </c>
      <c r="C819" s="60">
        <f>12.0754 * CHOOSE(CONTROL!$C$19, $C$6, 100%, $E$6)</f>
        <v>12.0754</v>
      </c>
      <c r="D819" s="60">
        <f>12.1084 * CHOOSE(CONTROL!$C$19, $C$6, 100%, $E$6)</f>
        <v>12.1084</v>
      </c>
      <c r="E819" s="61">
        <f>14.6467 * CHOOSE(CONTROL!$C$19, $C$6, 100%, $E$6)</f>
        <v>14.646699999999999</v>
      </c>
      <c r="F819" s="61">
        <f>14.6467 * CHOOSE(CONTROL!$C$19, $C$6, 100%, $E$6)</f>
        <v>14.646699999999999</v>
      </c>
      <c r="G819" s="61">
        <f>14.6488 * CHOOSE(CONTROL!$C$19, $C$6, 100%, $E$6)</f>
        <v>14.6488</v>
      </c>
      <c r="H819" s="61">
        <f>20.1898* CHOOSE(CONTROL!$C$19, $C$6, 100%, $E$6)</f>
        <v>20.189800000000002</v>
      </c>
      <c r="I819" s="61">
        <f>20.1919 * CHOOSE(CONTROL!$C$19, $C$6, 100%, $E$6)</f>
        <v>20.1919</v>
      </c>
      <c r="J819" s="61">
        <f>14.6467 * CHOOSE(CONTROL!$C$19, $C$6, 100%, $E$6)</f>
        <v>14.646699999999999</v>
      </c>
      <c r="K819" s="61">
        <f>14.6488 * CHOOSE(CONTROL!$C$19, $C$6, 100%, $E$6)</f>
        <v>14.6488</v>
      </c>
    </row>
    <row r="820" spans="1:11" ht="15">
      <c r="A820" s="13">
        <v>67023</v>
      </c>
      <c r="B820" s="60">
        <f>12.2436 * CHOOSE(CONTROL!$C$19, $C$6, 100%, $E$6)</f>
        <v>12.243600000000001</v>
      </c>
      <c r="C820" s="60">
        <f>12.2436 * CHOOSE(CONTROL!$C$19, $C$6, 100%, $E$6)</f>
        <v>12.243600000000001</v>
      </c>
      <c r="D820" s="60">
        <f>12.2766 * CHOOSE(CONTROL!$C$19, $C$6, 100%, $E$6)</f>
        <v>12.2766</v>
      </c>
      <c r="E820" s="61">
        <f>14.913 * CHOOSE(CONTROL!$C$19, $C$6, 100%, $E$6)</f>
        <v>14.913</v>
      </c>
      <c r="F820" s="61">
        <f>14.913 * CHOOSE(CONTROL!$C$19, $C$6, 100%, $E$6)</f>
        <v>14.913</v>
      </c>
      <c r="G820" s="61">
        <f>14.915 * CHOOSE(CONTROL!$C$19, $C$6, 100%, $E$6)</f>
        <v>14.914999999999999</v>
      </c>
      <c r="H820" s="61">
        <f>20.2319* CHOOSE(CONTROL!$C$19, $C$6, 100%, $E$6)</f>
        <v>20.2319</v>
      </c>
      <c r="I820" s="61">
        <f>20.2339 * CHOOSE(CONTROL!$C$19, $C$6, 100%, $E$6)</f>
        <v>20.233899999999998</v>
      </c>
      <c r="J820" s="61">
        <f>14.913 * CHOOSE(CONTROL!$C$19, $C$6, 100%, $E$6)</f>
        <v>14.913</v>
      </c>
      <c r="K820" s="61">
        <f>14.915 * CHOOSE(CONTROL!$C$19, $C$6, 100%, $E$6)</f>
        <v>14.914999999999999</v>
      </c>
    </row>
    <row r="821" spans="1:11" ht="15">
      <c r="A821" s="13">
        <v>67054</v>
      </c>
      <c r="B821" s="60">
        <f>12.2503 * CHOOSE(CONTROL!$C$19, $C$6, 100%, $E$6)</f>
        <v>12.250299999999999</v>
      </c>
      <c r="C821" s="60">
        <f>12.2503 * CHOOSE(CONTROL!$C$19, $C$6, 100%, $E$6)</f>
        <v>12.250299999999999</v>
      </c>
      <c r="D821" s="60">
        <f>12.2833 * CHOOSE(CONTROL!$C$19, $C$6, 100%, $E$6)</f>
        <v>12.283300000000001</v>
      </c>
      <c r="E821" s="61">
        <f>14.6902 * CHOOSE(CONTROL!$C$19, $C$6, 100%, $E$6)</f>
        <v>14.690200000000001</v>
      </c>
      <c r="F821" s="61">
        <f>14.6902 * CHOOSE(CONTROL!$C$19, $C$6, 100%, $E$6)</f>
        <v>14.690200000000001</v>
      </c>
      <c r="G821" s="61">
        <f>14.6923 * CHOOSE(CONTROL!$C$19, $C$6, 100%, $E$6)</f>
        <v>14.692299999999999</v>
      </c>
      <c r="H821" s="61">
        <f>20.274* CHOOSE(CONTROL!$C$19, $C$6, 100%, $E$6)</f>
        <v>20.274000000000001</v>
      </c>
      <c r="I821" s="61">
        <f>20.2761 * CHOOSE(CONTROL!$C$19, $C$6, 100%, $E$6)</f>
        <v>20.2761</v>
      </c>
      <c r="J821" s="61">
        <f>14.6902 * CHOOSE(CONTROL!$C$19, $C$6, 100%, $E$6)</f>
        <v>14.690200000000001</v>
      </c>
      <c r="K821" s="61">
        <f>14.6923 * CHOOSE(CONTROL!$C$19, $C$6, 100%, $E$6)</f>
        <v>14.692299999999999</v>
      </c>
    </row>
    <row r="822" spans="1:11" ht="15">
      <c r="A822" s="13">
        <v>67085</v>
      </c>
      <c r="B822" s="60">
        <f>12.2472 * CHOOSE(CONTROL!$C$19, $C$6, 100%, $E$6)</f>
        <v>12.247199999999999</v>
      </c>
      <c r="C822" s="60">
        <f>12.2472 * CHOOSE(CONTROL!$C$19, $C$6, 100%, $E$6)</f>
        <v>12.247199999999999</v>
      </c>
      <c r="D822" s="60">
        <f>12.2802 * CHOOSE(CONTROL!$C$19, $C$6, 100%, $E$6)</f>
        <v>12.280200000000001</v>
      </c>
      <c r="E822" s="61">
        <f>14.6629 * CHOOSE(CONTROL!$C$19, $C$6, 100%, $E$6)</f>
        <v>14.6629</v>
      </c>
      <c r="F822" s="61">
        <f>14.6629 * CHOOSE(CONTROL!$C$19, $C$6, 100%, $E$6)</f>
        <v>14.6629</v>
      </c>
      <c r="G822" s="61">
        <f>14.6649 * CHOOSE(CONTROL!$C$19, $C$6, 100%, $E$6)</f>
        <v>14.664899999999999</v>
      </c>
      <c r="H822" s="61">
        <f>20.3163* CHOOSE(CONTROL!$C$19, $C$6, 100%, $E$6)</f>
        <v>20.316299999999998</v>
      </c>
      <c r="I822" s="61">
        <f>20.3183 * CHOOSE(CONTROL!$C$19, $C$6, 100%, $E$6)</f>
        <v>20.318300000000001</v>
      </c>
      <c r="J822" s="61">
        <f>14.6629 * CHOOSE(CONTROL!$C$19, $C$6, 100%, $E$6)</f>
        <v>14.6629</v>
      </c>
      <c r="K822" s="61">
        <f>14.6649 * CHOOSE(CONTROL!$C$19, $C$6, 100%, $E$6)</f>
        <v>14.664899999999999</v>
      </c>
    </row>
    <row r="823" spans="1:11" ht="15">
      <c r="A823" s="13">
        <v>67115</v>
      </c>
      <c r="B823" s="60">
        <f>12.2736 * CHOOSE(CONTROL!$C$19, $C$6, 100%, $E$6)</f>
        <v>12.2736</v>
      </c>
      <c r="C823" s="60">
        <f>12.2736 * CHOOSE(CONTROL!$C$19, $C$6, 100%, $E$6)</f>
        <v>12.2736</v>
      </c>
      <c r="D823" s="60">
        <f>12.2901 * CHOOSE(CONTROL!$C$19, $C$6, 100%, $E$6)</f>
        <v>12.290100000000001</v>
      </c>
      <c r="E823" s="61">
        <f>14.7505 * CHOOSE(CONTROL!$C$19, $C$6, 100%, $E$6)</f>
        <v>14.750500000000001</v>
      </c>
      <c r="F823" s="61">
        <f>14.7505 * CHOOSE(CONTROL!$C$19, $C$6, 100%, $E$6)</f>
        <v>14.750500000000001</v>
      </c>
      <c r="G823" s="61">
        <f>14.7507 * CHOOSE(CONTROL!$C$19, $C$6, 100%, $E$6)</f>
        <v>14.7507</v>
      </c>
      <c r="H823" s="61">
        <f>20.3586* CHOOSE(CONTROL!$C$19, $C$6, 100%, $E$6)</f>
        <v>20.358599999999999</v>
      </c>
      <c r="I823" s="61">
        <f>20.3588 * CHOOSE(CONTROL!$C$19, $C$6, 100%, $E$6)</f>
        <v>20.358799999999999</v>
      </c>
      <c r="J823" s="61">
        <f>14.7505 * CHOOSE(CONTROL!$C$19, $C$6, 100%, $E$6)</f>
        <v>14.750500000000001</v>
      </c>
      <c r="K823" s="61">
        <f>14.7507 * CHOOSE(CONTROL!$C$19, $C$6, 100%, $E$6)</f>
        <v>14.7507</v>
      </c>
    </row>
    <row r="824" spans="1:11" ht="15">
      <c r="A824" s="13">
        <v>67146</v>
      </c>
      <c r="B824" s="60">
        <f>12.2767 * CHOOSE(CONTROL!$C$19, $C$6, 100%, $E$6)</f>
        <v>12.2767</v>
      </c>
      <c r="C824" s="60">
        <f>12.2767 * CHOOSE(CONTROL!$C$19, $C$6, 100%, $E$6)</f>
        <v>12.2767</v>
      </c>
      <c r="D824" s="60">
        <f>12.2932 * CHOOSE(CONTROL!$C$19, $C$6, 100%, $E$6)</f>
        <v>12.293200000000001</v>
      </c>
      <c r="E824" s="61">
        <f>14.8032 * CHOOSE(CONTROL!$C$19, $C$6, 100%, $E$6)</f>
        <v>14.8032</v>
      </c>
      <c r="F824" s="61">
        <f>14.8032 * CHOOSE(CONTROL!$C$19, $C$6, 100%, $E$6)</f>
        <v>14.8032</v>
      </c>
      <c r="G824" s="61">
        <f>14.8033 * CHOOSE(CONTROL!$C$19, $C$6, 100%, $E$6)</f>
        <v>14.8033</v>
      </c>
      <c r="H824" s="61">
        <f>20.401* CHOOSE(CONTROL!$C$19, $C$6, 100%, $E$6)</f>
        <v>20.401</v>
      </c>
      <c r="I824" s="61">
        <f>20.4012 * CHOOSE(CONTROL!$C$19, $C$6, 100%, $E$6)</f>
        <v>20.401199999999999</v>
      </c>
      <c r="J824" s="61">
        <f>14.8032 * CHOOSE(CONTROL!$C$19, $C$6, 100%, $E$6)</f>
        <v>14.8032</v>
      </c>
      <c r="K824" s="61">
        <f>14.8033 * CHOOSE(CONTROL!$C$19, $C$6, 100%, $E$6)</f>
        <v>14.8033</v>
      </c>
    </row>
    <row r="825" spans="1:11" ht="15">
      <c r="A825" s="13">
        <v>67176</v>
      </c>
      <c r="B825" s="60">
        <f>12.2767 * CHOOSE(CONTROL!$C$19, $C$6, 100%, $E$6)</f>
        <v>12.2767</v>
      </c>
      <c r="C825" s="60">
        <f>12.2767 * CHOOSE(CONTROL!$C$19, $C$6, 100%, $E$6)</f>
        <v>12.2767</v>
      </c>
      <c r="D825" s="60">
        <f>12.2932 * CHOOSE(CONTROL!$C$19, $C$6, 100%, $E$6)</f>
        <v>12.293200000000001</v>
      </c>
      <c r="E825" s="61">
        <f>14.6768 * CHOOSE(CONTROL!$C$19, $C$6, 100%, $E$6)</f>
        <v>14.6768</v>
      </c>
      <c r="F825" s="61">
        <f>14.6768 * CHOOSE(CONTROL!$C$19, $C$6, 100%, $E$6)</f>
        <v>14.6768</v>
      </c>
      <c r="G825" s="61">
        <f>14.677 * CHOOSE(CONTROL!$C$19, $C$6, 100%, $E$6)</f>
        <v>14.677</v>
      </c>
      <c r="H825" s="61">
        <f>20.4435* CHOOSE(CONTROL!$C$19, $C$6, 100%, $E$6)</f>
        <v>20.4435</v>
      </c>
      <c r="I825" s="61">
        <f>20.4437 * CHOOSE(CONTROL!$C$19, $C$6, 100%, $E$6)</f>
        <v>20.4437</v>
      </c>
      <c r="J825" s="61">
        <f>14.6768 * CHOOSE(CONTROL!$C$19, $C$6, 100%, $E$6)</f>
        <v>14.6768</v>
      </c>
      <c r="K825" s="61">
        <f>14.677 * CHOOSE(CONTROL!$C$19, $C$6, 100%, $E$6)</f>
        <v>14.677</v>
      </c>
    </row>
    <row r="826" spans="1:11" ht="15">
      <c r="A826" s="13">
        <v>67207</v>
      </c>
      <c r="B826" s="60">
        <f>12.2664 * CHOOSE(CONTROL!$C$19, $C$6, 100%, $E$6)</f>
        <v>12.266400000000001</v>
      </c>
      <c r="C826" s="60">
        <f>12.2664 * CHOOSE(CONTROL!$C$19, $C$6, 100%, $E$6)</f>
        <v>12.266400000000001</v>
      </c>
      <c r="D826" s="60">
        <f>12.2829 * CHOOSE(CONTROL!$C$19, $C$6, 100%, $E$6)</f>
        <v>12.2829</v>
      </c>
      <c r="E826" s="61">
        <f>14.7512 * CHOOSE(CONTROL!$C$19, $C$6, 100%, $E$6)</f>
        <v>14.751200000000001</v>
      </c>
      <c r="F826" s="61">
        <f>14.7512 * CHOOSE(CONTROL!$C$19, $C$6, 100%, $E$6)</f>
        <v>14.751200000000001</v>
      </c>
      <c r="G826" s="61">
        <f>14.7514 * CHOOSE(CONTROL!$C$19, $C$6, 100%, $E$6)</f>
        <v>14.7514</v>
      </c>
      <c r="H826" s="61">
        <f>20.3055* CHOOSE(CONTROL!$C$19, $C$6, 100%, $E$6)</f>
        <v>20.305499999999999</v>
      </c>
      <c r="I826" s="61">
        <f>20.3057 * CHOOSE(CONTROL!$C$19, $C$6, 100%, $E$6)</f>
        <v>20.305700000000002</v>
      </c>
      <c r="J826" s="61">
        <f>14.7512 * CHOOSE(CONTROL!$C$19, $C$6, 100%, $E$6)</f>
        <v>14.751200000000001</v>
      </c>
      <c r="K826" s="61">
        <f>14.7514 * CHOOSE(CONTROL!$C$19, $C$6, 100%, $E$6)</f>
        <v>14.7514</v>
      </c>
    </row>
    <row r="827" spans="1:11" ht="15">
      <c r="A827" s="13">
        <v>67238</v>
      </c>
      <c r="B827" s="60">
        <f>12.2634 * CHOOSE(CONTROL!$C$19, $C$6, 100%, $E$6)</f>
        <v>12.263400000000001</v>
      </c>
      <c r="C827" s="60">
        <f>12.2634 * CHOOSE(CONTROL!$C$19, $C$6, 100%, $E$6)</f>
        <v>12.263400000000001</v>
      </c>
      <c r="D827" s="60">
        <f>12.2799 * CHOOSE(CONTROL!$C$19, $C$6, 100%, $E$6)</f>
        <v>12.2799</v>
      </c>
      <c r="E827" s="61">
        <f>14.5059 * CHOOSE(CONTROL!$C$19, $C$6, 100%, $E$6)</f>
        <v>14.5059</v>
      </c>
      <c r="F827" s="61">
        <f>14.5059 * CHOOSE(CONTROL!$C$19, $C$6, 100%, $E$6)</f>
        <v>14.5059</v>
      </c>
      <c r="G827" s="61">
        <f>14.5061 * CHOOSE(CONTROL!$C$19, $C$6, 100%, $E$6)</f>
        <v>14.5061</v>
      </c>
      <c r="H827" s="61">
        <f>20.3478* CHOOSE(CONTROL!$C$19, $C$6, 100%, $E$6)</f>
        <v>20.347799999999999</v>
      </c>
      <c r="I827" s="61">
        <f>20.348 * CHOOSE(CONTROL!$C$19, $C$6, 100%, $E$6)</f>
        <v>20.347999999999999</v>
      </c>
      <c r="J827" s="61">
        <f>14.5059 * CHOOSE(CONTROL!$C$19, $C$6, 100%, $E$6)</f>
        <v>14.5059</v>
      </c>
      <c r="K827" s="61">
        <f>14.5061 * CHOOSE(CONTROL!$C$19, $C$6, 100%, $E$6)</f>
        <v>14.5061</v>
      </c>
    </row>
    <row r="828" spans="1:11" ht="15">
      <c r="A828" s="13">
        <v>67267</v>
      </c>
      <c r="B828" s="60">
        <f>12.2604 * CHOOSE(CONTROL!$C$19, $C$6, 100%, $E$6)</f>
        <v>12.260400000000001</v>
      </c>
      <c r="C828" s="60">
        <f>12.2604 * CHOOSE(CONTROL!$C$19, $C$6, 100%, $E$6)</f>
        <v>12.260400000000001</v>
      </c>
      <c r="D828" s="60">
        <f>12.2769 * CHOOSE(CONTROL!$C$19, $C$6, 100%, $E$6)</f>
        <v>12.276899999999999</v>
      </c>
      <c r="E828" s="61">
        <f>14.6955 * CHOOSE(CONTROL!$C$19, $C$6, 100%, $E$6)</f>
        <v>14.695499999999999</v>
      </c>
      <c r="F828" s="61">
        <f>14.6955 * CHOOSE(CONTROL!$C$19, $C$6, 100%, $E$6)</f>
        <v>14.695499999999999</v>
      </c>
      <c r="G828" s="61">
        <f>14.6957 * CHOOSE(CONTROL!$C$19, $C$6, 100%, $E$6)</f>
        <v>14.6957</v>
      </c>
      <c r="H828" s="61">
        <f>20.3902* CHOOSE(CONTROL!$C$19, $C$6, 100%, $E$6)</f>
        <v>20.3902</v>
      </c>
      <c r="I828" s="61">
        <f>20.3904 * CHOOSE(CONTROL!$C$19, $C$6, 100%, $E$6)</f>
        <v>20.3904</v>
      </c>
      <c r="J828" s="61">
        <f>14.6955 * CHOOSE(CONTROL!$C$19, $C$6, 100%, $E$6)</f>
        <v>14.695499999999999</v>
      </c>
      <c r="K828" s="61">
        <f>14.6957 * CHOOSE(CONTROL!$C$19, $C$6, 100%, $E$6)</f>
        <v>14.6957</v>
      </c>
    </row>
    <row r="829" spans="1:11" ht="15">
      <c r="A829" s="13">
        <v>67298</v>
      </c>
      <c r="B829" s="60">
        <f>12.2662 * CHOOSE(CONTROL!$C$19, $C$6, 100%, $E$6)</f>
        <v>12.2662</v>
      </c>
      <c r="C829" s="60">
        <f>12.2662 * CHOOSE(CONTROL!$C$19, $C$6, 100%, $E$6)</f>
        <v>12.2662</v>
      </c>
      <c r="D829" s="60">
        <f>12.2827 * CHOOSE(CONTROL!$C$19, $C$6, 100%, $E$6)</f>
        <v>12.2827</v>
      </c>
      <c r="E829" s="61">
        <f>14.8972 * CHOOSE(CONTROL!$C$19, $C$6, 100%, $E$6)</f>
        <v>14.8972</v>
      </c>
      <c r="F829" s="61">
        <f>14.8972 * CHOOSE(CONTROL!$C$19, $C$6, 100%, $E$6)</f>
        <v>14.8972</v>
      </c>
      <c r="G829" s="61">
        <f>14.8974 * CHOOSE(CONTROL!$C$19, $C$6, 100%, $E$6)</f>
        <v>14.897399999999999</v>
      </c>
      <c r="H829" s="61">
        <f>20.4327* CHOOSE(CONTROL!$C$19, $C$6, 100%, $E$6)</f>
        <v>20.432700000000001</v>
      </c>
      <c r="I829" s="61">
        <f>20.4328 * CHOOSE(CONTROL!$C$19, $C$6, 100%, $E$6)</f>
        <v>20.4328</v>
      </c>
      <c r="J829" s="61">
        <f>14.8972 * CHOOSE(CONTROL!$C$19, $C$6, 100%, $E$6)</f>
        <v>14.8972</v>
      </c>
      <c r="K829" s="61">
        <f>14.8974 * CHOOSE(CONTROL!$C$19, $C$6, 100%, $E$6)</f>
        <v>14.897399999999999</v>
      </c>
    </row>
    <row r="830" spans="1:11" ht="15">
      <c r="A830" s="13">
        <v>67328</v>
      </c>
      <c r="B830" s="60">
        <f>12.2662 * CHOOSE(CONTROL!$C$19, $C$6, 100%, $E$6)</f>
        <v>12.2662</v>
      </c>
      <c r="C830" s="60">
        <f>12.2662 * CHOOSE(CONTROL!$C$19, $C$6, 100%, $E$6)</f>
        <v>12.2662</v>
      </c>
      <c r="D830" s="60">
        <f>12.2992 * CHOOSE(CONTROL!$C$19, $C$6, 100%, $E$6)</f>
        <v>12.299200000000001</v>
      </c>
      <c r="E830" s="61">
        <f>14.9744 * CHOOSE(CONTROL!$C$19, $C$6, 100%, $E$6)</f>
        <v>14.974399999999999</v>
      </c>
      <c r="F830" s="61">
        <f>14.9744 * CHOOSE(CONTROL!$C$19, $C$6, 100%, $E$6)</f>
        <v>14.974399999999999</v>
      </c>
      <c r="G830" s="61">
        <f>14.9765 * CHOOSE(CONTROL!$C$19, $C$6, 100%, $E$6)</f>
        <v>14.9765</v>
      </c>
      <c r="H830" s="61">
        <f>20.4752* CHOOSE(CONTROL!$C$19, $C$6, 100%, $E$6)</f>
        <v>20.475200000000001</v>
      </c>
      <c r="I830" s="61">
        <f>20.4773 * CHOOSE(CONTROL!$C$19, $C$6, 100%, $E$6)</f>
        <v>20.4773</v>
      </c>
      <c r="J830" s="61">
        <f>14.9744 * CHOOSE(CONTROL!$C$19, $C$6, 100%, $E$6)</f>
        <v>14.974399999999999</v>
      </c>
      <c r="K830" s="61">
        <f>14.9765 * CHOOSE(CONTROL!$C$19, $C$6, 100%, $E$6)</f>
        <v>14.9765</v>
      </c>
    </row>
    <row r="831" spans="1:11" ht="15">
      <c r="A831" s="13">
        <v>67359</v>
      </c>
      <c r="B831" s="60">
        <f>12.2722 * CHOOSE(CONTROL!$C$19, $C$6, 100%, $E$6)</f>
        <v>12.2722</v>
      </c>
      <c r="C831" s="60">
        <f>12.2722 * CHOOSE(CONTROL!$C$19, $C$6, 100%, $E$6)</f>
        <v>12.2722</v>
      </c>
      <c r="D831" s="60">
        <f>12.3052 * CHOOSE(CONTROL!$C$19, $C$6, 100%, $E$6)</f>
        <v>12.305199999999999</v>
      </c>
      <c r="E831" s="61">
        <f>14.9014 * CHOOSE(CONTROL!$C$19, $C$6, 100%, $E$6)</f>
        <v>14.901400000000001</v>
      </c>
      <c r="F831" s="61">
        <f>14.9014 * CHOOSE(CONTROL!$C$19, $C$6, 100%, $E$6)</f>
        <v>14.901400000000001</v>
      </c>
      <c r="G831" s="61">
        <f>14.9035 * CHOOSE(CONTROL!$C$19, $C$6, 100%, $E$6)</f>
        <v>14.903499999999999</v>
      </c>
      <c r="H831" s="61">
        <f>20.5179* CHOOSE(CONTROL!$C$19, $C$6, 100%, $E$6)</f>
        <v>20.517900000000001</v>
      </c>
      <c r="I831" s="61">
        <f>20.5199 * CHOOSE(CONTROL!$C$19, $C$6, 100%, $E$6)</f>
        <v>20.5199</v>
      </c>
      <c r="J831" s="61">
        <f>14.9014 * CHOOSE(CONTROL!$C$19, $C$6, 100%, $E$6)</f>
        <v>14.901400000000001</v>
      </c>
      <c r="K831" s="61">
        <f>14.9035 * CHOOSE(CONTROL!$C$19, $C$6, 100%, $E$6)</f>
        <v>14.903499999999999</v>
      </c>
    </row>
    <row r="832" spans="1:11" ht="15">
      <c r="A832" s="13">
        <v>67389</v>
      </c>
      <c r="B832" s="60">
        <f>12.4429 * CHOOSE(CONTROL!$C$19, $C$6, 100%, $E$6)</f>
        <v>12.4429</v>
      </c>
      <c r="C832" s="60">
        <f>12.4429 * CHOOSE(CONTROL!$C$19, $C$6, 100%, $E$6)</f>
        <v>12.4429</v>
      </c>
      <c r="D832" s="60">
        <f>12.4759 * CHOOSE(CONTROL!$C$19, $C$6, 100%, $E$6)</f>
        <v>12.475899999999999</v>
      </c>
      <c r="E832" s="61">
        <f>15.1721 * CHOOSE(CONTROL!$C$19, $C$6, 100%, $E$6)</f>
        <v>15.1721</v>
      </c>
      <c r="F832" s="61">
        <f>15.1721 * CHOOSE(CONTROL!$C$19, $C$6, 100%, $E$6)</f>
        <v>15.1721</v>
      </c>
      <c r="G832" s="61">
        <f>15.1741 * CHOOSE(CONTROL!$C$19, $C$6, 100%, $E$6)</f>
        <v>15.174099999999999</v>
      </c>
      <c r="H832" s="61">
        <f>20.5606* CHOOSE(CONTROL!$C$19, $C$6, 100%, $E$6)</f>
        <v>20.560600000000001</v>
      </c>
      <c r="I832" s="61">
        <f>20.5627 * CHOOSE(CONTROL!$C$19, $C$6, 100%, $E$6)</f>
        <v>20.5627</v>
      </c>
      <c r="J832" s="61">
        <f>15.1721 * CHOOSE(CONTROL!$C$19, $C$6, 100%, $E$6)</f>
        <v>15.1721</v>
      </c>
      <c r="K832" s="61">
        <f>15.1741 * CHOOSE(CONTROL!$C$19, $C$6, 100%, $E$6)</f>
        <v>15.174099999999999</v>
      </c>
    </row>
    <row r="833" spans="1:11" ht="15">
      <c r="A833" s="13">
        <v>67420</v>
      </c>
      <c r="B833" s="60">
        <f>12.4496 * CHOOSE(CONTROL!$C$19, $C$6, 100%, $E$6)</f>
        <v>12.4496</v>
      </c>
      <c r="C833" s="60">
        <f>12.4496 * CHOOSE(CONTROL!$C$19, $C$6, 100%, $E$6)</f>
        <v>12.4496</v>
      </c>
      <c r="D833" s="60">
        <f>12.4826 * CHOOSE(CONTROL!$C$19, $C$6, 100%, $E$6)</f>
        <v>12.4826</v>
      </c>
      <c r="E833" s="61">
        <f>14.9451 * CHOOSE(CONTROL!$C$19, $C$6, 100%, $E$6)</f>
        <v>14.9451</v>
      </c>
      <c r="F833" s="61">
        <f>14.9451 * CHOOSE(CONTROL!$C$19, $C$6, 100%, $E$6)</f>
        <v>14.9451</v>
      </c>
      <c r="G833" s="61">
        <f>14.9471 * CHOOSE(CONTROL!$C$19, $C$6, 100%, $E$6)</f>
        <v>14.947100000000001</v>
      </c>
      <c r="H833" s="61">
        <f>20.6035* CHOOSE(CONTROL!$C$19, $C$6, 100%, $E$6)</f>
        <v>20.6035</v>
      </c>
      <c r="I833" s="61">
        <f>20.6055 * CHOOSE(CONTROL!$C$19, $C$6, 100%, $E$6)</f>
        <v>20.605499999999999</v>
      </c>
      <c r="J833" s="61">
        <f>14.9451 * CHOOSE(CONTROL!$C$19, $C$6, 100%, $E$6)</f>
        <v>14.9451</v>
      </c>
      <c r="K833" s="61">
        <f>14.9471 * CHOOSE(CONTROL!$C$19, $C$6, 100%, $E$6)</f>
        <v>14.947100000000001</v>
      </c>
    </row>
    <row r="834" spans="1:11" ht="15">
      <c r="A834" s="13">
        <v>67451</v>
      </c>
      <c r="B834" s="60">
        <f>12.4465 * CHOOSE(CONTROL!$C$19, $C$6, 100%, $E$6)</f>
        <v>12.4465</v>
      </c>
      <c r="C834" s="60">
        <f>12.4465 * CHOOSE(CONTROL!$C$19, $C$6, 100%, $E$6)</f>
        <v>12.4465</v>
      </c>
      <c r="D834" s="60">
        <f>12.4796 * CHOOSE(CONTROL!$C$19, $C$6, 100%, $E$6)</f>
        <v>12.4796</v>
      </c>
      <c r="E834" s="61">
        <f>14.9172 * CHOOSE(CONTROL!$C$19, $C$6, 100%, $E$6)</f>
        <v>14.917199999999999</v>
      </c>
      <c r="F834" s="61">
        <f>14.9172 * CHOOSE(CONTROL!$C$19, $C$6, 100%, $E$6)</f>
        <v>14.917199999999999</v>
      </c>
      <c r="G834" s="61">
        <f>14.9193 * CHOOSE(CONTROL!$C$19, $C$6, 100%, $E$6)</f>
        <v>14.9193</v>
      </c>
      <c r="H834" s="61">
        <f>20.6464* CHOOSE(CONTROL!$C$19, $C$6, 100%, $E$6)</f>
        <v>20.6464</v>
      </c>
      <c r="I834" s="61">
        <f>20.6484 * CHOOSE(CONTROL!$C$19, $C$6, 100%, $E$6)</f>
        <v>20.648399999999999</v>
      </c>
      <c r="J834" s="61">
        <f>14.9172 * CHOOSE(CONTROL!$C$19, $C$6, 100%, $E$6)</f>
        <v>14.917199999999999</v>
      </c>
      <c r="K834" s="61">
        <f>14.9193 * CHOOSE(CONTROL!$C$19, $C$6, 100%, $E$6)</f>
        <v>14.9193</v>
      </c>
    </row>
    <row r="835" spans="1:11" ht="15">
      <c r="A835" s="13">
        <v>67481</v>
      </c>
      <c r="B835" s="60">
        <f>12.4737 * CHOOSE(CONTROL!$C$19, $C$6, 100%, $E$6)</f>
        <v>12.473699999999999</v>
      </c>
      <c r="C835" s="60">
        <f>12.4737 * CHOOSE(CONTROL!$C$19, $C$6, 100%, $E$6)</f>
        <v>12.473699999999999</v>
      </c>
      <c r="D835" s="60">
        <f>12.4902 * CHOOSE(CONTROL!$C$19, $C$6, 100%, $E$6)</f>
        <v>12.4902</v>
      </c>
      <c r="E835" s="61">
        <f>15.0068 * CHOOSE(CONTROL!$C$19, $C$6, 100%, $E$6)</f>
        <v>15.0068</v>
      </c>
      <c r="F835" s="61">
        <f>15.0068 * CHOOSE(CONTROL!$C$19, $C$6, 100%, $E$6)</f>
        <v>15.0068</v>
      </c>
      <c r="G835" s="61">
        <f>15.0069 * CHOOSE(CONTROL!$C$19, $C$6, 100%, $E$6)</f>
        <v>15.0069</v>
      </c>
      <c r="H835" s="61">
        <f>20.6894* CHOOSE(CONTROL!$C$19, $C$6, 100%, $E$6)</f>
        <v>20.689399999999999</v>
      </c>
      <c r="I835" s="61">
        <f>20.6896 * CHOOSE(CONTROL!$C$19, $C$6, 100%, $E$6)</f>
        <v>20.689599999999999</v>
      </c>
      <c r="J835" s="61">
        <f>15.0068 * CHOOSE(CONTROL!$C$19, $C$6, 100%, $E$6)</f>
        <v>15.0068</v>
      </c>
      <c r="K835" s="61">
        <f>15.0069 * CHOOSE(CONTROL!$C$19, $C$6, 100%, $E$6)</f>
        <v>15.0069</v>
      </c>
    </row>
    <row r="836" spans="1:11" ht="15">
      <c r="A836" s="13">
        <v>67512</v>
      </c>
      <c r="B836" s="60">
        <f>12.4767 * CHOOSE(CONTROL!$C$19, $C$6, 100%, $E$6)</f>
        <v>12.476699999999999</v>
      </c>
      <c r="C836" s="60">
        <f>12.4767 * CHOOSE(CONTROL!$C$19, $C$6, 100%, $E$6)</f>
        <v>12.476699999999999</v>
      </c>
      <c r="D836" s="60">
        <f>12.4932 * CHOOSE(CONTROL!$C$19, $C$6, 100%, $E$6)</f>
        <v>12.4932</v>
      </c>
      <c r="E836" s="61">
        <f>15.0604 * CHOOSE(CONTROL!$C$19, $C$6, 100%, $E$6)</f>
        <v>15.0604</v>
      </c>
      <c r="F836" s="61">
        <f>15.0604 * CHOOSE(CONTROL!$C$19, $C$6, 100%, $E$6)</f>
        <v>15.0604</v>
      </c>
      <c r="G836" s="61">
        <f>15.0605 * CHOOSE(CONTROL!$C$19, $C$6, 100%, $E$6)</f>
        <v>15.060499999999999</v>
      </c>
      <c r="H836" s="61">
        <f>20.7325* CHOOSE(CONTROL!$C$19, $C$6, 100%, $E$6)</f>
        <v>20.732500000000002</v>
      </c>
      <c r="I836" s="61">
        <f>20.7327 * CHOOSE(CONTROL!$C$19, $C$6, 100%, $E$6)</f>
        <v>20.732700000000001</v>
      </c>
      <c r="J836" s="61">
        <f>15.0604 * CHOOSE(CONTROL!$C$19, $C$6, 100%, $E$6)</f>
        <v>15.0604</v>
      </c>
      <c r="K836" s="61">
        <f>15.0605 * CHOOSE(CONTROL!$C$19, $C$6, 100%, $E$6)</f>
        <v>15.060499999999999</v>
      </c>
    </row>
    <row r="837" spans="1:11" ht="15">
      <c r="A837" s="13">
        <v>67542</v>
      </c>
      <c r="B837" s="60">
        <f>12.4767 * CHOOSE(CONTROL!$C$19, $C$6, 100%, $E$6)</f>
        <v>12.476699999999999</v>
      </c>
      <c r="C837" s="60">
        <f>12.4767 * CHOOSE(CONTROL!$C$19, $C$6, 100%, $E$6)</f>
        <v>12.476699999999999</v>
      </c>
      <c r="D837" s="60">
        <f>12.4932 * CHOOSE(CONTROL!$C$19, $C$6, 100%, $E$6)</f>
        <v>12.4932</v>
      </c>
      <c r="E837" s="61">
        <f>14.9317 * CHOOSE(CONTROL!$C$19, $C$6, 100%, $E$6)</f>
        <v>14.931699999999999</v>
      </c>
      <c r="F837" s="61">
        <f>14.9317 * CHOOSE(CONTROL!$C$19, $C$6, 100%, $E$6)</f>
        <v>14.931699999999999</v>
      </c>
      <c r="G837" s="61">
        <f>14.9318 * CHOOSE(CONTROL!$C$19, $C$6, 100%, $E$6)</f>
        <v>14.931800000000001</v>
      </c>
      <c r="H837" s="61">
        <f>20.7757* CHOOSE(CONTROL!$C$19, $C$6, 100%, $E$6)</f>
        <v>20.775700000000001</v>
      </c>
      <c r="I837" s="61">
        <f>20.7759 * CHOOSE(CONTROL!$C$19, $C$6, 100%, $E$6)</f>
        <v>20.7759</v>
      </c>
      <c r="J837" s="61">
        <f>14.9317 * CHOOSE(CONTROL!$C$19, $C$6, 100%, $E$6)</f>
        <v>14.931699999999999</v>
      </c>
      <c r="K837" s="61">
        <f>14.9318 * CHOOSE(CONTROL!$C$19, $C$6, 100%, $E$6)</f>
        <v>14.931800000000001</v>
      </c>
    </row>
    <row r="838" spans="1:11" ht="15">
      <c r="A838" s="13">
        <v>67573</v>
      </c>
      <c r="B838" s="60">
        <f>12.4631 * CHOOSE(CONTROL!$C$19, $C$6, 100%, $E$6)</f>
        <v>12.463100000000001</v>
      </c>
      <c r="C838" s="60">
        <f>12.4631 * CHOOSE(CONTROL!$C$19, $C$6, 100%, $E$6)</f>
        <v>12.463100000000001</v>
      </c>
      <c r="D838" s="60">
        <f>12.4796 * CHOOSE(CONTROL!$C$19, $C$6, 100%, $E$6)</f>
        <v>12.4796</v>
      </c>
      <c r="E838" s="61">
        <f>15.0031 * CHOOSE(CONTROL!$C$19, $C$6, 100%, $E$6)</f>
        <v>15.0031</v>
      </c>
      <c r="F838" s="61">
        <f>15.0031 * CHOOSE(CONTROL!$C$19, $C$6, 100%, $E$6)</f>
        <v>15.0031</v>
      </c>
      <c r="G838" s="61">
        <f>15.0032 * CHOOSE(CONTROL!$C$19, $C$6, 100%, $E$6)</f>
        <v>15.0032</v>
      </c>
      <c r="H838" s="61">
        <f>20.6302* CHOOSE(CONTROL!$C$19, $C$6, 100%, $E$6)</f>
        <v>20.630199999999999</v>
      </c>
      <c r="I838" s="61">
        <f>20.6303 * CHOOSE(CONTROL!$C$19, $C$6, 100%, $E$6)</f>
        <v>20.630299999999998</v>
      </c>
      <c r="J838" s="61">
        <f>15.0031 * CHOOSE(CONTROL!$C$19, $C$6, 100%, $E$6)</f>
        <v>15.0031</v>
      </c>
      <c r="K838" s="61">
        <f>15.0032 * CHOOSE(CONTROL!$C$19, $C$6, 100%, $E$6)</f>
        <v>15.0032</v>
      </c>
    </row>
    <row r="839" spans="1:11" ht="15">
      <c r="A839" s="13">
        <v>67604</v>
      </c>
      <c r="B839" s="60">
        <f>12.46 * CHOOSE(CONTROL!$C$19, $C$6, 100%, $E$6)</f>
        <v>12.46</v>
      </c>
      <c r="C839" s="60">
        <f>12.46 * CHOOSE(CONTROL!$C$19, $C$6, 100%, $E$6)</f>
        <v>12.46</v>
      </c>
      <c r="D839" s="60">
        <f>12.4765 * CHOOSE(CONTROL!$C$19, $C$6, 100%, $E$6)</f>
        <v>12.4765</v>
      </c>
      <c r="E839" s="61">
        <f>14.7533 * CHOOSE(CONTROL!$C$19, $C$6, 100%, $E$6)</f>
        <v>14.753299999999999</v>
      </c>
      <c r="F839" s="61">
        <f>14.7533 * CHOOSE(CONTROL!$C$19, $C$6, 100%, $E$6)</f>
        <v>14.753299999999999</v>
      </c>
      <c r="G839" s="61">
        <f>14.7534 * CHOOSE(CONTROL!$C$19, $C$6, 100%, $E$6)</f>
        <v>14.753399999999999</v>
      </c>
      <c r="H839" s="61">
        <f>20.6731* CHOOSE(CONTROL!$C$19, $C$6, 100%, $E$6)</f>
        <v>20.673100000000002</v>
      </c>
      <c r="I839" s="61">
        <f>20.6733 * CHOOSE(CONTROL!$C$19, $C$6, 100%, $E$6)</f>
        <v>20.673300000000001</v>
      </c>
      <c r="J839" s="61">
        <f>14.7533 * CHOOSE(CONTROL!$C$19, $C$6, 100%, $E$6)</f>
        <v>14.753299999999999</v>
      </c>
      <c r="K839" s="61">
        <f>14.7534 * CHOOSE(CONTROL!$C$19, $C$6, 100%, $E$6)</f>
        <v>14.753399999999999</v>
      </c>
    </row>
    <row r="840" spans="1:11" ht="15">
      <c r="A840" s="13">
        <v>67632</v>
      </c>
      <c r="B840" s="60">
        <f>12.457 * CHOOSE(CONTROL!$C$19, $C$6, 100%, $E$6)</f>
        <v>12.457000000000001</v>
      </c>
      <c r="C840" s="60">
        <f>12.457 * CHOOSE(CONTROL!$C$19, $C$6, 100%, $E$6)</f>
        <v>12.457000000000001</v>
      </c>
      <c r="D840" s="60">
        <f>12.4735 * CHOOSE(CONTROL!$C$19, $C$6, 100%, $E$6)</f>
        <v>12.4735</v>
      </c>
      <c r="E840" s="61">
        <f>14.9464 * CHOOSE(CONTROL!$C$19, $C$6, 100%, $E$6)</f>
        <v>14.946400000000001</v>
      </c>
      <c r="F840" s="61">
        <f>14.9464 * CHOOSE(CONTROL!$C$19, $C$6, 100%, $E$6)</f>
        <v>14.946400000000001</v>
      </c>
      <c r="G840" s="61">
        <f>14.9466 * CHOOSE(CONTROL!$C$19, $C$6, 100%, $E$6)</f>
        <v>14.9466</v>
      </c>
      <c r="H840" s="61">
        <f>20.7162* CHOOSE(CONTROL!$C$19, $C$6, 100%, $E$6)</f>
        <v>20.716200000000001</v>
      </c>
      <c r="I840" s="61">
        <f>20.7164 * CHOOSE(CONTROL!$C$19, $C$6, 100%, $E$6)</f>
        <v>20.7164</v>
      </c>
      <c r="J840" s="61">
        <f>14.9464 * CHOOSE(CONTROL!$C$19, $C$6, 100%, $E$6)</f>
        <v>14.946400000000001</v>
      </c>
      <c r="K840" s="61">
        <f>14.9466 * CHOOSE(CONTROL!$C$19, $C$6, 100%, $E$6)</f>
        <v>14.9466</v>
      </c>
    </row>
    <row r="841" spans="1:11" ht="15">
      <c r="A841" s="13">
        <v>67663</v>
      </c>
      <c r="B841" s="60">
        <f>12.463 * CHOOSE(CONTROL!$C$19, $C$6, 100%, $E$6)</f>
        <v>12.462999999999999</v>
      </c>
      <c r="C841" s="60">
        <f>12.463 * CHOOSE(CONTROL!$C$19, $C$6, 100%, $E$6)</f>
        <v>12.462999999999999</v>
      </c>
      <c r="D841" s="60">
        <f>12.4795 * CHOOSE(CONTROL!$C$19, $C$6, 100%, $E$6)</f>
        <v>12.4795</v>
      </c>
      <c r="E841" s="61">
        <f>15.1519 * CHOOSE(CONTROL!$C$19, $C$6, 100%, $E$6)</f>
        <v>15.151899999999999</v>
      </c>
      <c r="F841" s="61">
        <f>15.1519 * CHOOSE(CONTROL!$C$19, $C$6, 100%, $E$6)</f>
        <v>15.151899999999999</v>
      </c>
      <c r="G841" s="61">
        <f>15.152 * CHOOSE(CONTROL!$C$19, $C$6, 100%, $E$6)</f>
        <v>15.151999999999999</v>
      </c>
      <c r="H841" s="61">
        <f>20.7594* CHOOSE(CONTROL!$C$19, $C$6, 100%, $E$6)</f>
        <v>20.759399999999999</v>
      </c>
      <c r="I841" s="61">
        <f>20.7595 * CHOOSE(CONTROL!$C$19, $C$6, 100%, $E$6)</f>
        <v>20.759499999999999</v>
      </c>
      <c r="J841" s="61">
        <f>15.1519 * CHOOSE(CONTROL!$C$19, $C$6, 100%, $E$6)</f>
        <v>15.151899999999999</v>
      </c>
      <c r="K841" s="61">
        <f>15.152 * CHOOSE(CONTROL!$C$19, $C$6, 100%, $E$6)</f>
        <v>15.151999999999999</v>
      </c>
    </row>
    <row r="842" spans="1:11" ht="15">
      <c r="A842" s="13">
        <v>67693</v>
      </c>
      <c r="B842" s="60">
        <f>12.463 * CHOOSE(CONTROL!$C$19, $C$6, 100%, $E$6)</f>
        <v>12.462999999999999</v>
      </c>
      <c r="C842" s="60">
        <f>12.463 * CHOOSE(CONTROL!$C$19, $C$6, 100%, $E$6)</f>
        <v>12.462999999999999</v>
      </c>
      <c r="D842" s="60">
        <f>12.496 * CHOOSE(CONTROL!$C$19, $C$6, 100%, $E$6)</f>
        <v>12.496</v>
      </c>
      <c r="E842" s="61">
        <f>15.2305 * CHOOSE(CONTROL!$C$19, $C$6, 100%, $E$6)</f>
        <v>15.230499999999999</v>
      </c>
      <c r="F842" s="61">
        <f>15.2305 * CHOOSE(CONTROL!$C$19, $C$6, 100%, $E$6)</f>
        <v>15.230499999999999</v>
      </c>
      <c r="G842" s="61">
        <f>15.2325 * CHOOSE(CONTROL!$C$19, $C$6, 100%, $E$6)</f>
        <v>15.2325</v>
      </c>
      <c r="H842" s="61">
        <f>20.8026* CHOOSE(CONTROL!$C$19, $C$6, 100%, $E$6)</f>
        <v>20.802600000000002</v>
      </c>
      <c r="I842" s="61">
        <f>20.8047 * CHOOSE(CONTROL!$C$19, $C$6, 100%, $E$6)</f>
        <v>20.8047</v>
      </c>
      <c r="J842" s="61">
        <f>15.2305 * CHOOSE(CONTROL!$C$19, $C$6, 100%, $E$6)</f>
        <v>15.230499999999999</v>
      </c>
      <c r="K842" s="61">
        <f>15.2325 * CHOOSE(CONTROL!$C$19, $C$6, 100%, $E$6)</f>
        <v>15.2325</v>
      </c>
    </row>
    <row r="843" spans="1:11" ht="15">
      <c r="A843" s="13">
        <v>67724</v>
      </c>
      <c r="B843" s="60">
        <f>12.4691 * CHOOSE(CONTROL!$C$19, $C$6, 100%, $E$6)</f>
        <v>12.469099999999999</v>
      </c>
      <c r="C843" s="60">
        <f>12.4691 * CHOOSE(CONTROL!$C$19, $C$6, 100%, $E$6)</f>
        <v>12.469099999999999</v>
      </c>
      <c r="D843" s="60">
        <f>12.5021 * CHOOSE(CONTROL!$C$19, $C$6, 100%, $E$6)</f>
        <v>12.5021</v>
      </c>
      <c r="E843" s="61">
        <f>15.1561 * CHOOSE(CONTROL!$C$19, $C$6, 100%, $E$6)</f>
        <v>15.1561</v>
      </c>
      <c r="F843" s="61">
        <f>15.1561 * CHOOSE(CONTROL!$C$19, $C$6, 100%, $E$6)</f>
        <v>15.1561</v>
      </c>
      <c r="G843" s="61">
        <f>15.1581 * CHOOSE(CONTROL!$C$19, $C$6, 100%, $E$6)</f>
        <v>15.158099999999999</v>
      </c>
      <c r="H843" s="61">
        <f>20.8459* CHOOSE(CONTROL!$C$19, $C$6, 100%, $E$6)</f>
        <v>20.8459</v>
      </c>
      <c r="I843" s="61">
        <f>20.848 * CHOOSE(CONTROL!$C$19, $C$6, 100%, $E$6)</f>
        <v>20.847999999999999</v>
      </c>
      <c r="J843" s="61">
        <f>15.1561 * CHOOSE(CONTROL!$C$19, $C$6, 100%, $E$6)</f>
        <v>15.1561</v>
      </c>
      <c r="K843" s="61">
        <f>15.1581 * CHOOSE(CONTROL!$C$19, $C$6, 100%, $E$6)</f>
        <v>15.158099999999999</v>
      </c>
    </row>
    <row r="844" spans="1:11" ht="15">
      <c r="A844" s="13">
        <v>67754</v>
      </c>
      <c r="B844" s="60">
        <f>12.6422 * CHOOSE(CONTROL!$C$19, $C$6, 100%, $E$6)</f>
        <v>12.642200000000001</v>
      </c>
      <c r="C844" s="60">
        <f>12.6422 * CHOOSE(CONTROL!$C$19, $C$6, 100%, $E$6)</f>
        <v>12.642200000000001</v>
      </c>
      <c r="D844" s="60">
        <f>12.6752 * CHOOSE(CONTROL!$C$19, $C$6, 100%, $E$6)</f>
        <v>12.6752</v>
      </c>
      <c r="E844" s="61">
        <f>15.4312 * CHOOSE(CONTROL!$C$19, $C$6, 100%, $E$6)</f>
        <v>15.4312</v>
      </c>
      <c r="F844" s="61">
        <f>15.4312 * CHOOSE(CONTROL!$C$19, $C$6, 100%, $E$6)</f>
        <v>15.4312</v>
      </c>
      <c r="G844" s="61">
        <f>15.4332 * CHOOSE(CONTROL!$C$19, $C$6, 100%, $E$6)</f>
        <v>15.433199999999999</v>
      </c>
      <c r="H844" s="61">
        <f>20.8894* CHOOSE(CONTROL!$C$19, $C$6, 100%, $E$6)</f>
        <v>20.889399999999998</v>
      </c>
      <c r="I844" s="61">
        <f>20.8914 * CHOOSE(CONTROL!$C$19, $C$6, 100%, $E$6)</f>
        <v>20.891400000000001</v>
      </c>
      <c r="J844" s="61">
        <f>15.4312 * CHOOSE(CONTROL!$C$19, $C$6, 100%, $E$6)</f>
        <v>15.4312</v>
      </c>
      <c r="K844" s="61">
        <f>15.4332 * CHOOSE(CONTROL!$C$19, $C$6, 100%, $E$6)</f>
        <v>15.433199999999999</v>
      </c>
    </row>
    <row r="845" spans="1:11" ht="15">
      <c r="A845" s="13">
        <v>67785</v>
      </c>
      <c r="B845" s="60">
        <f>12.6489 * CHOOSE(CONTROL!$C$19, $C$6, 100%, $E$6)</f>
        <v>12.648899999999999</v>
      </c>
      <c r="C845" s="60">
        <f>12.6489 * CHOOSE(CONTROL!$C$19, $C$6, 100%, $E$6)</f>
        <v>12.648899999999999</v>
      </c>
      <c r="D845" s="60">
        <f>12.6819 * CHOOSE(CONTROL!$C$19, $C$6, 100%, $E$6)</f>
        <v>12.681900000000001</v>
      </c>
      <c r="E845" s="61">
        <f>15.1999 * CHOOSE(CONTROL!$C$19, $C$6, 100%, $E$6)</f>
        <v>15.1999</v>
      </c>
      <c r="F845" s="61">
        <f>15.1999 * CHOOSE(CONTROL!$C$19, $C$6, 100%, $E$6)</f>
        <v>15.1999</v>
      </c>
      <c r="G845" s="61">
        <f>15.202 * CHOOSE(CONTROL!$C$19, $C$6, 100%, $E$6)</f>
        <v>15.202</v>
      </c>
      <c r="H845" s="61">
        <f>20.9329* CHOOSE(CONTROL!$C$19, $C$6, 100%, $E$6)</f>
        <v>20.9329</v>
      </c>
      <c r="I845" s="61">
        <f>20.9349 * CHOOSE(CONTROL!$C$19, $C$6, 100%, $E$6)</f>
        <v>20.934899999999999</v>
      </c>
      <c r="J845" s="61">
        <f>15.1999 * CHOOSE(CONTROL!$C$19, $C$6, 100%, $E$6)</f>
        <v>15.1999</v>
      </c>
      <c r="K845" s="61">
        <f>15.202 * CHOOSE(CONTROL!$C$19, $C$6, 100%, $E$6)</f>
        <v>15.202</v>
      </c>
    </row>
    <row r="846" spans="1:11" ht="15">
      <c r="A846" s="13">
        <v>67816</v>
      </c>
      <c r="B846" s="60">
        <f>12.6459 * CHOOSE(CONTROL!$C$19, $C$6, 100%, $E$6)</f>
        <v>12.645899999999999</v>
      </c>
      <c r="C846" s="60">
        <f>12.6459 * CHOOSE(CONTROL!$C$19, $C$6, 100%, $E$6)</f>
        <v>12.645899999999999</v>
      </c>
      <c r="D846" s="60">
        <f>12.6789 * CHOOSE(CONTROL!$C$19, $C$6, 100%, $E$6)</f>
        <v>12.678900000000001</v>
      </c>
      <c r="E846" s="61">
        <f>15.1716 * CHOOSE(CONTROL!$C$19, $C$6, 100%, $E$6)</f>
        <v>15.1716</v>
      </c>
      <c r="F846" s="61">
        <f>15.1716 * CHOOSE(CONTROL!$C$19, $C$6, 100%, $E$6)</f>
        <v>15.1716</v>
      </c>
      <c r="G846" s="61">
        <f>15.1736 * CHOOSE(CONTROL!$C$19, $C$6, 100%, $E$6)</f>
        <v>15.1736</v>
      </c>
      <c r="H846" s="61">
        <f>20.9765* CHOOSE(CONTROL!$C$19, $C$6, 100%, $E$6)</f>
        <v>20.976500000000001</v>
      </c>
      <c r="I846" s="61">
        <f>20.9786 * CHOOSE(CONTROL!$C$19, $C$6, 100%, $E$6)</f>
        <v>20.9786</v>
      </c>
      <c r="J846" s="61">
        <f>15.1716 * CHOOSE(CONTROL!$C$19, $C$6, 100%, $E$6)</f>
        <v>15.1716</v>
      </c>
      <c r="K846" s="61">
        <f>15.1736 * CHOOSE(CONTROL!$C$19, $C$6, 100%, $E$6)</f>
        <v>15.1736</v>
      </c>
    </row>
    <row r="847" spans="1:11" ht="15">
      <c r="A847" s="13">
        <v>67846</v>
      </c>
      <c r="B847" s="60">
        <f>12.6738 * CHOOSE(CONTROL!$C$19, $C$6, 100%, $E$6)</f>
        <v>12.6738</v>
      </c>
      <c r="C847" s="60">
        <f>12.6738 * CHOOSE(CONTROL!$C$19, $C$6, 100%, $E$6)</f>
        <v>12.6738</v>
      </c>
      <c r="D847" s="60">
        <f>12.6903 * CHOOSE(CONTROL!$C$19, $C$6, 100%, $E$6)</f>
        <v>12.690300000000001</v>
      </c>
      <c r="E847" s="61">
        <f>15.263 * CHOOSE(CONTROL!$C$19, $C$6, 100%, $E$6)</f>
        <v>15.263</v>
      </c>
      <c r="F847" s="61">
        <f>15.263 * CHOOSE(CONTROL!$C$19, $C$6, 100%, $E$6)</f>
        <v>15.263</v>
      </c>
      <c r="G847" s="61">
        <f>15.2632 * CHOOSE(CONTROL!$C$19, $C$6, 100%, $E$6)</f>
        <v>15.263199999999999</v>
      </c>
      <c r="H847" s="61">
        <f>21.0202* CHOOSE(CONTROL!$C$19, $C$6, 100%, $E$6)</f>
        <v>21.020199999999999</v>
      </c>
      <c r="I847" s="61">
        <f>21.0204 * CHOOSE(CONTROL!$C$19, $C$6, 100%, $E$6)</f>
        <v>21.020399999999999</v>
      </c>
      <c r="J847" s="61">
        <f>15.263 * CHOOSE(CONTROL!$C$19, $C$6, 100%, $E$6)</f>
        <v>15.263</v>
      </c>
      <c r="K847" s="61">
        <f>15.2632 * CHOOSE(CONTROL!$C$19, $C$6, 100%, $E$6)</f>
        <v>15.263199999999999</v>
      </c>
    </row>
    <row r="848" spans="1:11" ht="15">
      <c r="A848" s="13">
        <v>67877</v>
      </c>
      <c r="B848" s="60">
        <f>12.6768 * CHOOSE(CONTROL!$C$19, $C$6, 100%, $E$6)</f>
        <v>12.6768</v>
      </c>
      <c r="C848" s="60">
        <f>12.6768 * CHOOSE(CONTROL!$C$19, $C$6, 100%, $E$6)</f>
        <v>12.6768</v>
      </c>
      <c r="D848" s="60">
        <f>12.6933 * CHOOSE(CONTROL!$C$19, $C$6, 100%, $E$6)</f>
        <v>12.693300000000001</v>
      </c>
      <c r="E848" s="61">
        <f>15.3176 * CHOOSE(CONTROL!$C$19, $C$6, 100%, $E$6)</f>
        <v>15.317600000000001</v>
      </c>
      <c r="F848" s="61">
        <f>15.3176 * CHOOSE(CONTROL!$C$19, $C$6, 100%, $E$6)</f>
        <v>15.317600000000001</v>
      </c>
      <c r="G848" s="61">
        <f>15.3177 * CHOOSE(CONTROL!$C$19, $C$6, 100%, $E$6)</f>
        <v>15.3177</v>
      </c>
      <c r="H848" s="61">
        <f>21.064* CHOOSE(CONTROL!$C$19, $C$6, 100%, $E$6)</f>
        <v>21.064</v>
      </c>
      <c r="I848" s="61">
        <f>21.0642 * CHOOSE(CONTROL!$C$19, $C$6, 100%, $E$6)</f>
        <v>21.0642</v>
      </c>
      <c r="J848" s="61">
        <f>15.3176 * CHOOSE(CONTROL!$C$19, $C$6, 100%, $E$6)</f>
        <v>15.317600000000001</v>
      </c>
      <c r="K848" s="61">
        <f>15.3177 * CHOOSE(CONTROL!$C$19, $C$6, 100%, $E$6)</f>
        <v>15.3177</v>
      </c>
    </row>
    <row r="849" spans="1:11" ht="15">
      <c r="A849" s="13">
        <v>67907</v>
      </c>
      <c r="B849" s="60">
        <f>12.6768 * CHOOSE(CONTROL!$C$19, $C$6, 100%, $E$6)</f>
        <v>12.6768</v>
      </c>
      <c r="C849" s="60">
        <f>12.6768 * CHOOSE(CONTROL!$C$19, $C$6, 100%, $E$6)</f>
        <v>12.6768</v>
      </c>
      <c r="D849" s="60">
        <f>12.6933 * CHOOSE(CONTROL!$C$19, $C$6, 100%, $E$6)</f>
        <v>12.693300000000001</v>
      </c>
      <c r="E849" s="61">
        <f>15.1865 * CHOOSE(CONTROL!$C$19, $C$6, 100%, $E$6)</f>
        <v>15.186500000000001</v>
      </c>
      <c r="F849" s="61">
        <f>15.1865 * CHOOSE(CONTROL!$C$19, $C$6, 100%, $E$6)</f>
        <v>15.186500000000001</v>
      </c>
      <c r="G849" s="61">
        <f>15.1867 * CHOOSE(CONTROL!$C$19, $C$6, 100%, $E$6)</f>
        <v>15.1867</v>
      </c>
      <c r="H849" s="61">
        <f>21.1079* CHOOSE(CONTROL!$C$19, $C$6, 100%, $E$6)</f>
        <v>21.107900000000001</v>
      </c>
      <c r="I849" s="61">
        <f>21.1081 * CHOOSE(CONTROL!$C$19, $C$6, 100%, $E$6)</f>
        <v>21.1081</v>
      </c>
      <c r="J849" s="61">
        <f>15.1865 * CHOOSE(CONTROL!$C$19, $C$6, 100%, $E$6)</f>
        <v>15.186500000000001</v>
      </c>
      <c r="K849" s="61">
        <f>15.1867 * CHOOSE(CONTROL!$C$19, $C$6, 100%, $E$6)</f>
        <v>15.1867</v>
      </c>
    </row>
    <row r="850" spans="1:11" ht="15">
      <c r="A850" s="13">
        <v>67938</v>
      </c>
      <c r="B850" s="60">
        <f>12.6597 * CHOOSE(CONTROL!$C$19, $C$6, 100%, $E$6)</f>
        <v>12.659700000000001</v>
      </c>
      <c r="C850" s="60">
        <f>12.6597 * CHOOSE(CONTROL!$C$19, $C$6, 100%, $E$6)</f>
        <v>12.659700000000001</v>
      </c>
      <c r="D850" s="60">
        <f>12.6762 * CHOOSE(CONTROL!$C$19, $C$6, 100%, $E$6)</f>
        <v>12.6762</v>
      </c>
      <c r="E850" s="61">
        <f>15.2549 * CHOOSE(CONTROL!$C$19, $C$6, 100%, $E$6)</f>
        <v>15.254899999999999</v>
      </c>
      <c r="F850" s="61">
        <f>15.2549 * CHOOSE(CONTROL!$C$19, $C$6, 100%, $E$6)</f>
        <v>15.254899999999999</v>
      </c>
      <c r="G850" s="61">
        <f>15.2551 * CHOOSE(CONTROL!$C$19, $C$6, 100%, $E$6)</f>
        <v>15.255100000000001</v>
      </c>
      <c r="H850" s="61">
        <f>20.9548* CHOOSE(CONTROL!$C$19, $C$6, 100%, $E$6)</f>
        <v>20.954799999999999</v>
      </c>
      <c r="I850" s="61">
        <f>20.955 * CHOOSE(CONTROL!$C$19, $C$6, 100%, $E$6)</f>
        <v>20.954999999999998</v>
      </c>
      <c r="J850" s="61">
        <f>15.2549 * CHOOSE(CONTROL!$C$19, $C$6, 100%, $E$6)</f>
        <v>15.254899999999999</v>
      </c>
      <c r="K850" s="61">
        <f>15.2551 * CHOOSE(CONTROL!$C$19, $C$6, 100%, $E$6)</f>
        <v>15.255100000000001</v>
      </c>
    </row>
    <row r="851" spans="1:11" ht="15">
      <c r="A851" s="13">
        <v>67969</v>
      </c>
      <c r="B851" s="60">
        <f>12.6566 * CHOOSE(CONTROL!$C$19, $C$6, 100%, $E$6)</f>
        <v>12.656599999999999</v>
      </c>
      <c r="C851" s="60">
        <f>12.6566 * CHOOSE(CONTROL!$C$19, $C$6, 100%, $E$6)</f>
        <v>12.656599999999999</v>
      </c>
      <c r="D851" s="60">
        <f>12.6731 * CHOOSE(CONTROL!$C$19, $C$6, 100%, $E$6)</f>
        <v>12.6731</v>
      </c>
      <c r="E851" s="61">
        <f>15.0006 * CHOOSE(CONTROL!$C$19, $C$6, 100%, $E$6)</f>
        <v>15.0006</v>
      </c>
      <c r="F851" s="61">
        <f>15.0006 * CHOOSE(CONTROL!$C$19, $C$6, 100%, $E$6)</f>
        <v>15.0006</v>
      </c>
      <c r="G851" s="61">
        <f>15.0008 * CHOOSE(CONTROL!$C$19, $C$6, 100%, $E$6)</f>
        <v>15.0008</v>
      </c>
      <c r="H851" s="61">
        <f>20.9985* CHOOSE(CONTROL!$C$19, $C$6, 100%, $E$6)</f>
        <v>20.9985</v>
      </c>
      <c r="I851" s="61">
        <f>20.9986 * CHOOSE(CONTROL!$C$19, $C$6, 100%, $E$6)</f>
        <v>20.9986</v>
      </c>
      <c r="J851" s="61">
        <f>15.0006 * CHOOSE(CONTROL!$C$19, $C$6, 100%, $E$6)</f>
        <v>15.0006</v>
      </c>
      <c r="K851" s="61">
        <f>15.0008 * CHOOSE(CONTROL!$C$19, $C$6, 100%, $E$6)</f>
        <v>15.0008</v>
      </c>
    </row>
    <row r="852" spans="1:11" ht="15">
      <c r="A852" s="13">
        <v>67997</v>
      </c>
      <c r="B852" s="60">
        <f>12.6536 * CHOOSE(CONTROL!$C$19, $C$6, 100%, $E$6)</f>
        <v>12.653600000000001</v>
      </c>
      <c r="C852" s="60">
        <f>12.6536 * CHOOSE(CONTROL!$C$19, $C$6, 100%, $E$6)</f>
        <v>12.653600000000001</v>
      </c>
      <c r="D852" s="60">
        <f>12.6701 * CHOOSE(CONTROL!$C$19, $C$6, 100%, $E$6)</f>
        <v>12.6701</v>
      </c>
      <c r="E852" s="61">
        <f>15.1973 * CHOOSE(CONTROL!$C$19, $C$6, 100%, $E$6)</f>
        <v>15.1973</v>
      </c>
      <c r="F852" s="61">
        <f>15.1973 * CHOOSE(CONTROL!$C$19, $C$6, 100%, $E$6)</f>
        <v>15.1973</v>
      </c>
      <c r="G852" s="61">
        <f>15.1975 * CHOOSE(CONTROL!$C$19, $C$6, 100%, $E$6)</f>
        <v>15.1975</v>
      </c>
      <c r="H852" s="61">
        <f>21.0422* CHOOSE(CONTROL!$C$19, $C$6, 100%, $E$6)</f>
        <v>21.042200000000001</v>
      </c>
      <c r="I852" s="61">
        <f>21.0424 * CHOOSE(CONTROL!$C$19, $C$6, 100%, $E$6)</f>
        <v>21.042400000000001</v>
      </c>
      <c r="J852" s="61">
        <f>15.1973 * CHOOSE(CONTROL!$C$19, $C$6, 100%, $E$6)</f>
        <v>15.1973</v>
      </c>
      <c r="K852" s="61">
        <f>15.1975 * CHOOSE(CONTROL!$C$19, $C$6, 100%, $E$6)</f>
        <v>15.1975</v>
      </c>
    </row>
    <row r="853" spans="1:11" ht="15">
      <c r="A853" s="13">
        <v>68028</v>
      </c>
      <c r="B853" s="60">
        <f>12.6598 * CHOOSE(CONTROL!$C$19, $C$6, 100%, $E$6)</f>
        <v>12.659800000000001</v>
      </c>
      <c r="C853" s="60">
        <f>12.6598 * CHOOSE(CONTROL!$C$19, $C$6, 100%, $E$6)</f>
        <v>12.659800000000001</v>
      </c>
      <c r="D853" s="60">
        <f>12.6763 * CHOOSE(CONTROL!$C$19, $C$6, 100%, $E$6)</f>
        <v>12.676299999999999</v>
      </c>
      <c r="E853" s="61">
        <f>15.4065 * CHOOSE(CONTROL!$C$19, $C$6, 100%, $E$6)</f>
        <v>15.406499999999999</v>
      </c>
      <c r="F853" s="61">
        <f>15.4065 * CHOOSE(CONTROL!$C$19, $C$6, 100%, $E$6)</f>
        <v>15.406499999999999</v>
      </c>
      <c r="G853" s="61">
        <f>15.4067 * CHOOSE(CONTROL!$C$19, $C$6, 100%, $E$6)</f>
        <v>15.406700000000001</v>
      </c>
      <c r="H853" s="61">
        <f>21.0861* CHOOSE(CONTROL!$C$19, $C$6, 100%, $E$6)</f>
        <v>21.086099999999998</v>
      </c>
      <c r="I853" s="61">
        <f>21.0862 * CHOOSE(CONTROL!$C$19, $C$6, 100%, $E$6)</f>
        <v>21.086200000000002</v>
      </c>
      <c r="J853" s="61">
        <f>15.4065 * CHOOSE(CONTROL!$C$19, $C$6, 100%, $E$6)</f>
        <v>15.406499999999999</v>
      </c>
      <c r="K853" s="61">
        <f>15.4067 * CHOOSE(CONTROL!$C$19, $C$6, 100%, $E$6)</f>
        <v>15.406700000000001</v>
      </c>
    </row>
    <row r="854" spans="1:11" ht="15">
      <c r="A854" s="13">
        <v>68058</v>
      </c>
      <c r="B854" s="60">
        <f>12.6598 * CHOOSE(CONTROL!$C$19, $C$6, 100%, $E$6)</f>
        <v>12.659800000000001</v>
      </c>
      <c r="C854" s="60">
        <f>12.6598 * CHOOSE(CONTROL!$C$19, $C$6, 100%, $E$6)</f>
        <v>12.659800000000001</v>
      </c>
      <c r="D854" s="60">
        <f>12.6928 * CHOOSE(CONTROL!$C$19, $C$6, 100%, $E$6)</f>
        <v>12.6928</v>
      </c>
      <c r="E854" s="61">
        <f>15.4866 * CHOOSE(CONTROL!$C$19, $C$6, 100%, $E$6)</f>
        <v>15.486599999999999</v>
      </c>
      <c r="F854" s="61">
        <f>15.4866 * CHOOSE(CONTROL!$C$19, $C$6, 100%, $E$6)</f>
        <v>15.486599999999999</v>
      </c>
      <c r="G854" s="61">
        <f>15.4886 * CHOOSE(CONTROL!$C$19, $C$6, 100%, $E$6)</f>
        <v>15.4886</v>
      </c>
      <c r="H854" s="61">
        <f>21.13* CHOOSE(CONTROL!$C$19, $C$6, 100%, $E$6)</f>
        <v>21.13</v>
      </c>
      <c r="I854" s="61">
        <f>21.132 * CHOOSE(CONTROL!$C$19, $C$6, 100%, $E$6)</f>
        <v>21.132000000000001</v>
      </c>
      <c r="J854" s="61">
        <f>15.4866 * CHOOSE(CONTROL!$C$19, $C$6, 100%, $E$6)</f>
        <v>15.486599999999999</v>
      </c>
      <c r="K854" s="61">
        <f>15.4886 * CHOOSE(CONTROL!$C$19, $C$6, 100%, $E$6)</f>
        <v>15.4886</v>
      </c>
    </row>
    <row r="855" spans="1:11" ht="15">
      <c r="A855" s="13">
        <v>68089</v>
      </c>
      <c r="B855" s="60">
        <f>12.6659 * CHOOSE(CONTROL!$C$19, $C$6, 100%, $E$6)</f>
        <v>12.665900000000001</v>
      </c>
      <c r="C855" s="60">
        <f>12.6659 * CHOOSE(CONTROL!$C$19, $C$6, 100%, $E$6)</f>
        <v>12.665900000000001</v>
      </c>
      <c r="D855" s="60">
        <f>12.6989 * CHOOSE(CONTROL!$C$19, $C$6, 100%, $E$6)</f>
        <v>12.6989</v>
      </c>
      <c r="E855" s="61">
        <f>15.4108 * CHOOSE(CONTROL!$C$19, $C$6, 100%, $E$6)</f>
        <v>15.4108</v>
      </c>
      <c r="F855" s="61">
        <f>15.4108 * CHOOSE(CONTROL!$C$19, $C$6, 100%, $E$6)</f>
        <v>15.4108</v>
      </c>
      <c r="G855" s="61">
        <f>15.4128 * CHOOSE(CONTROL!$C$19, $C$6, 100%, $E$6)</f>
        <v>15.412800000000001</v>
      </c>
      <c r="H855" s="61">
        <f>21.174* CHOOSE(CONTROL!$C$19, $C$6, 100%, $E$6)</f>
        <v>21.173999999999999</v>
      </c>
      <c r="I855" s="61">
        <f>21.1761 * CHOOSE(CONTROL!$C$19, $C$6, 100%, $E$6)</f>
        <v>21.176100000000002</v>
      </c>
      <c r="J855" s="61">
        <f>15.4108 * CHOOSE(CONTROL!$C$19, $C$6, 100%, $E$6)</f>
        <v>15.4108</v>
      </c>
      <c r="K855" s="61">
        <f>15.4128 * CHOOSE(CONTROL!$C$19, $C$6, 100%, $E$6)</f>
        <v>15.412800000000001</v>
      </c>
    </row>
    <row r="856" spans="1:11" ht="15">
      <c r="A856" s="13">
        <v>68119</v>
      </c>
      <c r="B856" s="60">
        <f>12.8415 * CHOOSE(CONTROL!$C$19, $C$6, 100%, $E$6)</f>
        <v>12.8415</v>
      </c>
      <c r="C856" s="60">
        <f>12.8415 * CHOOSE(CONTROL!$C$19, $C$6, 100%, $E$6)</f>
        <v>12.8415</v>
      </c>
      <c r="D856" s="60">
        <f>12.8745 * CHOOSE(CONTROL!$C$19, $C$6, 100%, $E$6)</f>
        <v>12.874499999999999</v>
      </c>
      <c r="E856" s="61">
        <f>15.6903 * CHOOSE(CONTROL!$C$19, $C$6, 100%, $E$6)</f>
        <v>15.690300000000001</v>
      </c>
      <c r="F856" s="61">
        <f>15.6903 * CHOOSE(CONTROL!$C$19, $C$6, 100%, $E$6)</f>
        <v>15.690300000000001</v>
      </c>
      <c r="G856" s="61">
        <f>15.6923 * CHOOSE(CONTROL!$C$19, $C$6, 100%, $E$6)</f>
        <v>15.692299999999999</v>
      </c>
      <c r="H856" s="61">
        <f>21.2181* CHOOSE(CONTROL!$C$19, $C$6, 100%, $E$6)</f>
        <v>21.2181</v>
      </c>
      <c r="I856" s="61">
        <f>21.2202 * CHOOSE(CONTROL!$C$19, $C$6, 100%, $E$6)</f>
        <v>21.220199999999998</v>
      </c>
      <c r="J856" s="61">
        <f>15.6903 * CHOOSE(CONTROL!$C$19, $C$6, 100%, $E$6)</f>
        <v>15.690300000000001</v>
      </c>
      <c r="K856" s="61">
        <f>15.6923 * CHOOSE(CONTROL!$C$19, $C$6, 100%, $E$6)</f>
        <v>15.692299999999999</v>
      </c>
    </row>
    <row r="857" spans="1:11" ht="15">
      <c r="A857" s="13">
        <v>68150</v>
      </c>
      <c r="B857" s="60">
        <f>12.8482 * CHOOSE(CONTROL!$C$19, $C$6, 100%, $E$6)</f>
        <v>12.8482</v>
      </c>
      <c r="C857" s="60">
        <f>12.8482 * CHOOSE(CONTROL!$C$19, $C$6, 100%, $E$6)</f>
        <v>12.8482</v>
      </c>
      <c r="D857" s="60">
        <f>12.8812 * CHOOSE(CONTROL!$C$19, $C$6, 100%, $E$6)</f>
        <v>12.8812</v>
      </c>
      <c r="E857" s="61">
        <f>15.4548 * CHOOSE(CONTROL!$C$19, $C$6, 100%, $E$6)</f>
        <v>15.454800000000001</v>
      </c>
      <c r="F857" s="61">
        <f>15.4548 * CHOOSE(CONTROL!$C$19, $C$6, 100%, $E$6)</f>
        <v>15.454800000000001</v>
      </c>
      <c r="G857" s="61">
        <f>15.4568 * CHOOSE(CONTROL!$C$19, $C$6, 100%, $E$6)</f>
        <v>15.456799999999999</v>
      </c>
      <c r="H857" s="61">
        <f>21.2623* CHOOSE(CONTROL!$C$19, $C$6, 100%, $E$6)</f>
        <v>21.2623</v>
      </c>
      <c r="I857" s="61">
        <f>21.2644 * CHOOSE(CONTROL!$C$19, $C$6, 100%, $E$6)</f>
        <v>21.264399999999998</v>
      </c>
      <c r="J857" s="61">
        <f>15.4548 * CHOOSE(CONTROL!$C$19, $C$6, 100%, $E$6)</f>
        <v>15.454800000000001</v>
      </c>
      <c r="K857" s="61">
        <f>15.4568 * CHOOSE(CONTROL!$C$19, $C$6, 100%, $E$6)</f>
        <v>15.456799999999999</v>
      </c>
    </row>
    <row r="858" spans="1:11" ht="15">
      <c r="A858" s="13">
        <v>68181</v>
      </c>
      <c r="B858" s="60">
        <f>12.8452 * CHOOSE(CONTROL!$C$19, $C$6, 100%, $E$6)</f>
        <v>12.8452</v>
      </c>
      <c r="C858" s="60">
        <f>12.8452 * CHOOSE(CONTROL!$C$19, $C$6, 100%, $E$6)</f>
        <v>12.8452</v>
      </c>
      <c r="D858" s="60">
        <f>12.8782 * CHOOSE(CONTROL!$C$19, $C$6, 100%, $E$6)</f>
        <v>12.8782</v>
      </c>
      <c r="E858" s="61">
        <f>15.426 * CHOOSE(CONTROL!$C$19, $C$6, 100%, $E$6)</f>
        <v>15.426</v>
      </c>
      <c r="F858" s="61">
        <f>15.426 * CHOOSE(CONTROL!$C$19, $C$6, 100%, $E$6)</f>
        <v>15.426</v>
      </c>
      <c r="G858" s="61">
        <f>15.428 * CHOOSE(CONTROL!$C$19, $C$6, 100%, $E$6)</f>
        <v>15.428000000000001</v>
      </c>
      <c r="H858" s="61">
        <f>21.3066* CHOOSE(CONTROL!$C$19, $C$6, 100%, $E$6)</f>
        <v>21.3066</v>
      </c>
      <c r="I858" s="61">
        <f>21.3087 * CHOOSE(CONTROL!$C$19, $C$6, 100%, $E$6)</f>
        <v>21.308700000000002</v>
      </c>
      <c r="J858" s="61">
        <f>15.426 * CHOOSE(CONTROL!$C$19, $C$6, 100%, $E$6)</f>
        <v>15.426</v>
      </c>
      <c r="K858" s="61">
        <f>15.428 * CHOOSE(CONTROL!$C$19, $C$6, 100%, $E$6)</f>
        <v>15.428000000000001</v>
      </c>
    </row>
    <row r="859" spans="1:11" ht="15">
      <c r="A859" s="13">
        <v>68211</v>
      </c>
      <c r="B859" s="60">
        <f>12.8738 * CHOOSE(CONTROL!$C$19, $C$6, 100%, $E$6)</f>
        <v>12.873799999999999</v>
      </c>
      <c r="C859" s="60">
        <f>12.8738 * CHOOSE(CONTROL!$C$19, $C$6, 100%, $E$6)</f>
        <v>12.873799999999999</v>
      </c>
      <c r="D859" s="60">
        <f>12.8903 * CHOOSE(CONTROL!$C$19, $C$6, 100%, $E$6)</f>
        <v>12.8903</v>
      </c>
      <c r="E859" s="61">
        <f>15.5193 * CHOOSE(CONTROL!$C$19, $C$6, 100%, $E$6)</f>
        <v>15.519299999999999</v>
      </c>
      <c r="F859" s="61">
        <f>15.5193 * CHOOSE(CONTROL!$C$19, $C$6, 100%, $E$6)</f>
        <v>15.519299999999999</v>
      </c>
      <c r="G859" s="61">
        <f>15.5195 * CHOOSE(CONTROL!$C$19, $C$6, 100%, $E$6)</f>
        <v>15.519500000000001</v>
      </c>
      <c r="H859" s="61">
        <f>21.351* CHOOSE(CONTROL!$C$19, $C$6, 100%, $E$6)</f>
        <v>21.350999999999999</v>
      </c>
      <c r="I859" s="61">
        <f>21.3512 * CHOOSE(CONTROL!$C$19, $C$6, 100%, $E$6)</f>
        <v>21.351199999999999</v>
      </c>
      <c r="J859" s="61">
        <f>15.5193 * CHOOSE(CONTROL!$C$19, $C$6, 100%, $E$6)</f>
        <v>15.519299999999999</v>
      </c>
      <c r="K859" s="61">
        <f>15.5195 * CHOOSE(CONTROL!$C$19, $C$6, 100%, $E$6)</f>
        <v>15.519500000000001</v>
      </c>
    </row>
    <row r="860" spans="1:11" ht="15">
      <c r="A860" s="13">
        <v>68242</v>
      </c>
      <c r="B860" s="60">
        <f>12.8769 * CHOOSE(CONTROL!$C$19, $C$6, 100%, $E$6)</f>
        <v>12.876899999999999</v>
      </c>
      <c r="C860" s="60">
        <f>12.8769 * CHOOSE(CONTROL!$C$19, $C$6, 100%, $E$6)</f>
        <v>12.876899999999999</v>
      </c>
      <c r="D860" s="60">
        <f>12.8934 * CHOOSE(CONTROL!$C$19, $C$6, 100%, $E$6)</f>
        <v>12.8934</v>
      </c>
      <c r="E860" s="61">
        <f>15.5748 * CHOOSE(CONTROL!$C$19, $C$6, 100%, $E$6)</f>
        <v>15.5748</v>
      </c>
      <c r="F860" s="61">
        <f>15.5748 * CHOOSE(CONTROL!$C$19, $C$6, 100%, $E$6)</f>
        <v>15.5748</v>
      </c>
      <c r="G860" s="61">
        <f>15.575 * CHOOSE(CONTROL!$C$19, $C$6, 100%, $E$6)</f>
        <v>15.574999999999999</v>
      </c>
      <c r="H860" s="61">
        <f>21.3955* CHOOSE(CONTROL!$C$19, $C$6, 100%, $E$6)</f>
        <v>21.395499999999998</v>
      </c>
      <c r="I860" s="61">
        <f>21.3957 * CHOOSE(CONTROL!$C$19, $C$6, 100%, $E$6)</f>
        <v>21.395700000000001</v>
      </c>
      <c r="J860" s="61">
        <f>15.5748 * CHOOSE(CONTROL!$C$19, $C$6, 100%, $E$6)</f>
        <v>15.5748</v>
      </c>
      <c r="K860" s="61">
        <f>15.575 * CHOOSE(CONTROL!$C$19, $C$6, 100%, $E$6)</f>
        <v>15.574999999999999</v>
      </c>
    </row>
    <row r="861" spans="1:11" ht="15">
      <c r="A861" s="13">
        <v>68272</v>
      </c>
      <c r="B861" s="60">
        <f>12.8769 * CHOOSE(CONTROL!$C$19, $C$6, 100%, $E$6)</f>
        <v>12.876899999999999</v>
      </c>
      <c r="C861" s="60">
        <f>12.8769 * CHOOSE(CONTROL!$C$19, $C$6, 100%, $E$6)</f>
        <v>12.876899999999999</v>
      </c>
      <c r="D861" s="60">
        <f>12.8934 * CHOOSE(CONTROL!$C$19, $C$6, 100%, $E$6)</f>
        <v>12.8934</v>
      </c>
      <c r="E861" s="61">
        <f>15.4413 * CHOOSE(CONTROL!$C$19, $C$6, 100%, $E$6)</f>
        <v>15.4413</v>
      </c>
      <c r="F861" s="61">
        <f>15.4413 * CHOOSE(CONTROL!$C$19, $C$6, 100%, $E$6)</f>
        <v>15.4413</v>
      </c>
      <c r="G861" s="61">
        <f>15.4415 * CHOOSE(CONTROL!$C$19, $C$6, 100%, $E$6)</f>
        <v>15.4415</v>
      </c>
      <c r="H861" s="61">
        <f>21.4401* CHOOSE(CONTROL!$C$19, $C$6, 100%, $E$6)</f>
        <v>21.440100000000001</v>
      </c>
      <c r="I861" s="61">
        <f>21.4402 * CHOOSE(CONTROL!$C$19, $C$6, 100%, $E$6)</f>
        <v>21.440200000000001</v>
      </c>
      <c r="J861" s="61">
        <f>15.4413 * CHOOSE(CONTROL!$C$19, $C$6, 100%, $E$6)</f>
        <v>15.4413</v>
      </c>
      <c r="K861" s="61">
        <f>15.4415 * CHOOSE(CONTROL!$C$19, $C$6, 100%, $E$6)</f>
        <v>15.4415</v>
      </c>
    </row>
    <row r="862" spans="1:11" ht="15">
      <c r="A862" s="13">
        <v>68303</v>
      </c>
      <c r="B862" s="60">
        <f>12.8563 * CHOOSE(CONTROL!$C$19, $C$6, 100%, $E$6)</f>
        <v>12.856299999999999</v>
      </c>
      <c r="C862" s="60">
        <f>12.8563 * CHOOSE(CONTROL!$C$19, $C$6, 100%, $E$6)</f>
        <v>12.856299999999999</v>
      </c>
      <c r="D862" s="60">
        <f>12.8728 * CHOOSE(CONTROL!$C$19, $C$6, 100%, $E$6)</f>
        <v>12.8728</v>
      </c>
      <c r="E862" s="61">
        <f>15.5067 * CHOOSE(CONTROL!$C$19, $C$6, 100%, $E$6)</f>
        <v>15.5067</v>
      </c>
      <c r="F862" s="61">
        <f>15.5067 * CHOOSE(CONTROL!$C$19, $C$6, 100%, $E$6)</f>
        <v>15.5067</v>
      </c>
      <c r="G862" s="61">
        <f>15.5069 * CHOOSE(CONTROL!$C$19, $C$6, 100%, $E$6)</f>
        <v>15.5069</v>
      </c>
      <c r="H862" s="61">
        <f>21.2795* CHOOSE(CONTROL!$C$19, $C$6, 100%, $E$6)</f>
        <v>21.279499999999999</v>
      </c>
      <c r="I862" s="61">
        <f>21.2797 * CHOOSE(CONTROL!$C$19, $C$6, 100%, $E$6)</f>
        <v>21.279699999999998</v>
      </c>
      <c r="J862" s="61">
        <f>15.5067 * CHOOSE(CONTROL!$C$19, $C$6, 100%, $E$6)</f>
        <v>15.5067</v>
      </c>
      <c r="K862" s="61">
        <f>15.5069 * CHOOSE(CONTROL!$C$19, $C$6, 100%, $E$6)</f>
        <v>15.5069</v>
      </c>
    </row>
    <row r="863" spans="1:11" ht="15">
      <c r="A863" s="13">
        <v>68334</v>
      </c>
      <c r="B863" s="60">
        <f>12.8533 * CHOOSE(CONTROL!$C$19, $C$6, 100%, $E$6)</f>
        <v>12.853300000000001</v>
      </c>
      <c r="C863" s="60">
        <f>12.8533 * CHOOSE(CONTROL!$C$19, $C$6, 100%, $E$6)</f>
        <v>12.853300000000001</v>
      </c>
      <c r="D863" s="60">
        <f>12.8698 * CHOOSE(CONTROL!$C$19, $C$6, 100%, $E$6)</f>
        <v>12.8698</v>
      </c>
      <c r="E863" s="61">
        <f>15.248 * CHOOSE(CONTROL!$C$19, $C$6, 100%, $E$6)</f>
        <v>15.247999999999999</v>
      </c>
      <c r="F863" s="61">
        <f>15.248 * CHOOSE(CONTROL!$C$19, $C$6, 100%, $E$6)</f>
        <v>15.247999999999999</v>
      </c>
      <c r="G863" s="61">
        <f>15.2482 * CHOOSE(CONTROL!$C$19, $C$6, 100%, $E$6)</f>
        <v>15.248200000000001</v>
      </c>
      <c r="H863" s="61">
        <f>21.3238* CHOOSE(CONTROL!$C$19, $C$6, 100%, $E$6)</f>
        <v>21.323799999999999</v>
      </c>
      <c r="I863" s="61">
        <f>21.324 * CHOOSE(CONTROL!$C$19, $C$6, 100%, $E$6)</f>
        <v>21.324000000000002</v>
      </c>
      <c r="J863" s="61">
        <f>15.248 * CHOOSE(CONTROL!$C$19, $C$6, 100%, $E$6)</f>
        <v>15.247999999999999</v>
      </c>
      <c r="K863" s="61">
        <f>15.2482 * CHOOSE(CONTROL!$C$19, $C$6, 100%, $E$6)</f>
        <v>15.248200000000001</v>
      </c>
    </row>
    <row r="864" spans="1:11" ht="15">
      <c r="A864" s="13">
        <v>68362</v>
      </c>
      <c r="B864" s="60">
        <f>12.8502 * CHOOSE(CONTROL!$C$19, $C$6, 100%, $E$6)</f>
        <v>12.850199999999999</v>
      </c>
      <c r="C864" s="60">
        <f>12.8502 * CHOOSE(CONTROL!$C$19, $C$6, 100%, $E$6)</f>
        <v>12.850199999999999</v>
      </c>
      <c r="D864" s="60">
        <f>12.8667 * CHOOSE(CONTROL!$C$19, $C$6, 100%, $E$6)</f>
        <v>12.8667</v>
      </c>
      <c r="E864" s="61">
        <f>15.4482 * CHOOSE(CONTROL!$C$19, $C$6, 100%, $E$6)</f>
        <v>15.4482</v>
      </c>
      <c r="F864" s="61">
        <f>15.4482 * CHOOSE(CONTROL!$C$19, $C$6, 100%, $E$6)</f>
        <v>15.4482</v>
      </c>
      <c r="G864" s="61">
        <f>15.4484 * CHOOSE(CONTROL!$C$19, $C$6, 100%, $E$6)</f>
        <v>15.448399999999999</v>
      </c>
      <c r="H864" s="61">
        <f>21.3682* CHOOSE(CONTROL!$C$19, $C$6, 100%, $E$6)</f>
        <v>21.368200000000002</v>
      </c>
      <c r="I864" s="61">
        <f>21.3684 * CHOOSE(CONTROL!$C$19, $C$6, 100%, $E$6)</f>
        <v>21.368400000000001</v>
      </c>
      <c r="J864" s="61">
        <f>15.4482 * CHOOSE(CONTROL!$C$19, $C$6, 100%, $E$6)</f>
        <v>15.4482</v>
      </c>
      <c r="K864" s="61">
        <f>15.4484 * CHOOSE(CONTROL!$C$19, $C$6, 100%, $E$6)</f>
        <v>15.448399999999999</v>
      </c>
    </row>
    <row r="865" spans="1:11" ht="15">
      <c r="A865" s="13">
        <v>68393</v>
      </c>
      <c r="B865" s="60">
        <f>12.8566 * CHOOSE(CONTROL!$C$19, $C$6, 100%, $E$6)</f>
        <v>12.8566</v>
      </c>
      <c r="C865" s="60">
        <f>12.8566 * CHOOSE(CONTROL!$C$19, $C$6, 100%, $E$6)</f>
        <v>12.8566</v>
      </c>
      <c r="D865" s="60">
        <f>12.8731 * CHOOSE(CONTROL!$C$19, $C$6, 100%, $E$6)</f>
        <v>12.873100000000001</v>
      </c>
      <c r="E865" s="61">
        <f>15.6612 * CHOOSE(CONTROL!$C$19, $C$6, 100%, $E$6)</f>
        <v>15.661199999999999</v>
      </c>
      <c r="F865" s="61">
        <f>15.6612 * CHOOSE(CONTROL!$C$19, $C$6, 100%, $E$6)</f>
        <v>15.661199999999999</v>
      </c>
      <c r="G865" s="61">
        <f>15.6614 * CHOOSE(CONTROL!$C$19, $C$6, 100%, $E$6)</f>
        <v>15.6614</v>
      </c>
      <c r="H865" s="61">
        <f>21.4127* CHOOSE(CONTROL!$C$19, $C$6, 100%, $E$6)</f>
        <v>21.412700000000001</v>
      </c>
      <c r="I865" s="61">
        <f>21.4129 * CHOOSE(CONTROL!$C$19, $C$6, 100%, $E$6)</f>
        <v>21.4129</v>
      </c>
      <c r="J865" s="61">
        <f>15.6612 * CHOOSE(CONTROL!$C$19, $C$6, 100%, $E$6)</f>
        <v>15.661199999999999</v>
      </c>
      <c r="K865" s="61">
        <f>15.6614 * CHOOSE(CONTROL!$C$19, $C$6, 100%, $E$6)</f>
        <v>15.6614</v>
      </c>
    </row>
    <row r="866" spans="1:11" ht="15">
      <c r="A866" s="13">
        <v>68423</v>
      </c>
      <c r="B866" s="60">
        <f>12.8566 * CHOOSE(CONTROL!$C$19, $C$6, 100%, $E$6)</f>
        <v>12.8566</v>
      </c>
      <c r="C866" s="60">
        <f>12.8566 * CHOOSE(CONTROL!$C$19, $C$6, 100%, $E$6)</f>
        <v>12.8566</v>
      </c>
      <c r="D866" s="60">
        <f>12.8896 * CHOOSE(CONTROL!$C$19, $C$6, 100%, $E$6)</f>
        <v>12.8896</v>
      </c>
      <c r="E866" s="61">
        <f>15.7427 * CHOOSE(CONTROL!$C$19, $C$6, 100%, $E$6)</f>
        <v>15.742699999999999</v>
      </c>
      <c r="F866" s="61">
        <f>15.7427 * CHOOSE(CONTROL!$C$19, $C$6, 100%, $E$6)</f>
        <v>15.742699999999999</v>
      </c>
      <c r="G866" s="61">
        <f>15.7447 * CHOOSE(CONTROL!$C$19, $C$6, 100%, $E$6)</f>
        <v>15.7447</v>
      </c>
      <c r="H866" s="61">
        <f>21.4574* CHOOSE(CONTROL!$C$19, $C$6, 100%, $E$6)</f>
        <v>21.4574</v>
      </c>
      <c r="I866" s="61">
        <f>21.4594 * CHOOSE(CONTROL!$C$19, $C$6, 100%, $E$6)</f>
        <v>21.459399999999999</v>
      </c>
      <c r="J866" s="61">
        <f>15.7427 * CHOOSE(CONTROL!$C$19, $C$6, 100%, $E$6)</f>
        <v>15.742699999999999</v>
      </c>
      <c r="K866" s="61">
        <f>15.7447 * CHOOSE(CONTROL!$C$19, $C$6, 100%, $E$6)</f>
        <v>15.7447</v>
      </c>
    </row>
    <row r="867" spans="1:11" ht="15">
      <c r="A867" s="13">
        <v>68454</v>
      </c>
      <c r="B867" s="60">
        <f>12.8627 * CHOOSE(CONTROL!$C$19, $C$6, 100%, $E$6)</f>
        <v>12.8627</v>
      </c>
      <c r="C867" s="60">
        <f>12.8627 * CHOOSE(CONTROL!$C$19, $C$6, 100%, $E$6)</f>
        <v>12.8627</v>
      </c>
      <c r="D867" s="60">
        <f>12.8957 * CHOOSE(CONTROL!$C$19, $C$6, 100%, $E$6)</f>
        <v>12.8957</v>
      </c>
      <c r="E867" s="61">
        <f>15.6654 * CHOOSE(CONTROL!$C$19, $C$6, 100%, $E$6)</f>
        <v>15.6654</v>
      </c>
      <c r="F867" s="61">
        <f>15.6654 * CHOOSE(CONTROL!$C$19, $C$6, 100%, $E$6)</f>
        <v>15.6654</v>
      </c>
      <c r="G867" s="61">
        <f>15.6675 * CHOOSE(CONTROL!$C$19, $C$6, 100%, $E$6)</f>
        <v>15.6675</v>
      </c>
      <c r="H867" s="61">
        <f>21.5021* CHOOSE(CONTROL!$C$19, $C$6, 100%, $E$6)</f>
        <v>21.502099999999999</v>
      </c>
      <c r="I867" s="61">
        <f>21.5041 * CHOOSE(CONTROL!$C$19, $C$6, 100%, $E$6)</f>
        <v>21.504100000000001</v>
      </c>
      <c r="J867" s="61">
        <f>15.6654 * CHOOSE(CONTROL!$C$19, $C$6, 100%, $E$6)</f>
        <v>15.6654</v>
      </c>
      <c r="K867" s="61">
        <f>15.6675 * CHOOSE(CONTROL!$C$19, $C$6, 100%, $E$6)</f>
        <v>15.6675</v>
      </c>
    </row>
    <row r="868" spans="1:11" ht="15">
      <c r="A868" s="13">
        <v>68484</v>
      </c>
      <c r="B868" s="60">
        <f>13.0408 * CHOOSE(CONTROL!$C$19, $C$6, 100%, $E$6)</f>
        <v>13.040800000000001</v>
      </c>
      <c r="C868" s="60">
        <f>13.0408 * CHOOSE(CONTROL!$C$19, $C$6, 100%, $E$6)</f>
        <v>13.040800000000001</v>
      </c>
      <c r="D868" s="60">
        <f>13.0738 * CHOOSE(CONTROL!$C$19, $C$6, 100%, $E$6)</f>
        <v>13.0738</v>
      </c>
      <c r="E868" s="61">
        <f>15.9494 * CHOOSE(CONTROL!$C$19, $C$6, 100%, $E$6)</f>
        <v>15.949400000000001</v>
      </c>
      <c r="F868" s="61">
        <f>15.9494 * CHOOSE(CONTROL!$C$19, $C$6, 100%, $E$6)</f>
        <v>15.949400000000001</v>
      </c>
      <c r="G868" s="61">
        <f>15.9514 * CHOOSE(CONTROL!$C$19, $C$6, 100%, $E$6)</f>
        <v>15.9514</v>
      </c>
      <c r="H868" s="61">
        <f>21.5469* CHOOSE(CONTROL!$C$19, $C$6, 100%, $E$6)</f>
        <v>21.546900000000001</v>
      </c>
      <c r="I868" s="61">
        <f>21.5489 * CHOOSE(CONTROL!$C$19, $C$6, 100%, $E$6)</f>
        <v>21.5489</v>
      </c>
      <c r="J868" s="61">
        <f>15.9494 * CHOOSE(CONTROL!$C$19, $C$6, 100%, $E$6)</f>
        <v>15.949400000000001</v>
      </c>
      <c r="K868" s="61">
        <f>15.9514 * CHOOSE(CONTROL!$C$19, $C$6, 100%, $E$6)</f>
        <v>15.9514</v>
      </c>
    </row>
    <row r="869" spans="1:11" ht="15">
      <c r="A869" s="13">
        <v>68515</v>
      </c>
      <c r="B869" s="60">
        <f>13.0475 * CHOOSE(CONTROL!$C$19, $C$6, 100%, $E$6)</f>
        <v>13.047499999999999</v>
      </c>
      <c r="C869" s="60">
        <f>13.0475 * CHOOSE(CONTROL!$C$19, $C$6, 100%, $E$6)</f>
        <v>13.047499999999999</v>
      </c>
      <c r="D869" s="60">
        <f>13.0805 * CHOOSE(CONTROL!$C$19, $C$6, 100%, $E$6)</f>
        <v>13.080500000000001</v>
      </c>
      <c r="E869" s="61">
        <f>15.7096 * CHOOSE(CONTROL!$C$19, $C$6, 100%, $E$6)</f>
        <v>15.7096</v>
      </c>
      <c r="F869" s="61">
        <f>15.7096 * CHOOSE(CONTROL!$C$19, $C$6, 100%, $E$6)</f>
        <v>15.7096</v>
      </c>
      <c r="G869" s="61">
        <f>15.7117 * CHOOSE(CONTROL!$C$19, $C$6, 100%, $E$6)</f>
        <v>15.7117</v>
      </c>
      <c r="H869" s="61">
        <f>21.5917* CHOOSE(CONTROL!$C$19, $C$6, 100%, $E$6)</f>
        <v>21.591699999999999</v>
      </c>
      <c r="I869" s="61">
        <f>21.5938 * CHOOSE(CONTROL!$C$19, $C$6, 100%, $E$6)</f>
        <v>21.593800000000002</v>
      </c>
      <c r="J869" s="61">
        <f>15.7096 * CHOOSE(CONTROL!$C$19, $C$6, 100%, $E$6)</f>
        <v>15.7096</v>
      </c>
      <c r="K869" s="61">
        <f>15.7117 * CHOOSE(CONTROL!$C$19, $C$6, 100%, $E$6)</f>
        <v>15.7117</v>
      </c>
    </row>
    <row r="870" spans="1:11" ht="15">
      <c r="A870" s="13">
        <v>68546</v>
      </c>
      <c r="B870" s="60">
        <f>13.0445 * CHOOSE(CONTROL!$C$19, $C$6, 100%, $E$6)</f>
        <v>13.044499999999999</v>
      </c>
      <c r="C870" s="60">
        <f>13.0445 * CHOOSE(CONTROL!$C$19, $C$6, 100%, $E$6)</f>
        <v>13.044499999999999</v>
      </c>
      <c r="D870" s="60">
        <f>13.0775 * CHOOSE(CONTROL!$C$19, $C$6, 100%, $E$6)</f>
        <v>13.077500000000001</v>
      </c>
      <c r="E870" s="61">
        <f>15.6803 * CHOOSE(CONTROL!$C$19, $C$6, 100%, $E$6)</f>
        <v>15.680300000000001</v>
      </c>
      <c r="F870" s="61">
        <f>15.6803 * CHOOSE(CONTROL!$C$19, $C$6, 100%, $E$6)</f>
        <v>15.680300000000001</v>
      </c>
      <c r="G870" s="61">
        <f>15.6824 * CHOOSE(CONTROL!$C$19, $C$6, 100%, $E$6)</f>
        <v>15.682399999999999</v>
      </c>
      <c r="H870" s="61">
        <f>21.6367* CHOOSE(CONTROL!$C$19, $C$6, 100%, $E$6)</f>
        <v>21.636700000000001</v>
      </c>
      <c r="I870" s="61">
        <f>21.6388 * CHOOSE(CONTROL!$C$19, $C$6, 100%, $E$6)</f>
        <v>21.6388</v>
      </c>
      <c r="J870" s="61">
        <f>15.6803 * CHOOSE(CONTROL!$C$19, $C$6, 100%, $E$6)</f>
        <v>15.680300000000001</v>
      </c>
      <c r="K870" s="61">
        <f>15.6824 * CHOOSE(CONTROL!$C$19, $C$6, 100%, $E$6)</f>
        <v>15.682399999999999</v>
      </c>
    </row>
    <row r="871" spans="1:11" ht="15">
      <c r="A871" s="13">
        <v>68576</v>
      </c>
      <c r="B871" s="60">
        <f>13.0739 * CHOOSE(CONTROL!$C$19, $C$6, 100%, $E$6)</f>
        <v>13.0739</v>
      </c>
      <c r="C871" s="60">
        <f>13.0739 * CHOOSE(CONTROL!$C$19, $C$6, 100%, $E$6)</f>
        <v>13.0739</v>
      </c>
      <c r="D871" s="60">
        <f>13.0904 * CHOOSE(CONTROL!$C$19, $C$6, 100%, $E$6)</f>
        <v>13.090400000000001</v>
      </c>
      <c r="E871" s="61">
        <f>15.7755 * CHOOSE(CONTROL!$C$19, $C$6, 100%, $E$6)</f>
        <v>15.775499999999999</v>
      </c>
      <c r="F871" s="61">
        <f>15.7755 * CHOOSE(CONTROL!$C$19, $C$6, 100%, $E$6)</f>
        <v>15.775499999999999</v>
      </c>
      <c r="G871" s="61">
        <f>15.7757 * CHOOSE(CONTROL!$C$19, $C$6, 100%, $E$6)</f>
        <v>15.775700000000001</v>
      </c>
      <c r="H871" s="61">
        <f>21.6818* CHOOSE(CONTROL!$C$19, $C$6, 100%, $E$6)</f>
        <v>21.681799999999999</v>
      </c>
      <c r="I871" s="61">
        <f>21.682 * CHOOSE(CONTROL!$C$19, $C$6, 100%, $E$6)</f>
        <v>21.681999999999999</v>
      </c>
      <c r="J871" s="61">
        <f>15.7755 * CHOOSE(CONTROL!$C$19, $C$6, 100%, $E$6)</f>
        <v>15.775499999999999</v>
      </c>
      <c r="K871" s="61">
        <f>15.7757 * CHOOSE(CONTROL!$C$19, $C$6, 100%, $E$6)</f>
        <v>15.775700000000001</v>
      </c>
    </row>
    <row r="872" spans="1:11" ht="15">
      <c r="A872" s="13">
        <v>68607</v>
      </c>
      <c r="B872" s="60">
        <f>13.0769 * CHOOSE(CONTROL!$C$19, $C$6, 100%, $E$6)</f>
        <v>13.0769</v>
      </c>
      <c r="C872" s="60">
        <f>13.0769 * CHOOSE(CONTROL!$C$19, $C$6, 100%, $E$6)</f>
        <v>13.0769</v>
      </c>
      <c r="D872" s="60">
        <f>13.0934 * CHOOSE(CONTROL!$C$19, $C$6, 100%, $E$6)</f>
        <v>13.093400000000001</v>
      </c>
      <c r="E872" s="61">
        <f>15.832 * CHOOSE(CONTROL!$C$19, $C$6, 100%, $E$6)</f>
        <v>15.832000000000001</v>
      </c>
      <c r="F872" s="61">
        <f>15.832 * CHOOSE(CONTROL!$C$19, $C$6, 100%, $E$6)</f>
        <v>15.832000000000001</v>
      </c>
      <c r="G872" s="61">
        <f>15.8322 * CHOOSE(CONTROL!$C$19, $C$6, 100%, $E$6)</f>
        <v>15.8322</v>
      </c>
      <c r="H872" s="61">
        <f>21.727* CHOOSE(CONTROL!$C$19, $C$6, 100%, $E$6)</f>
        <v>21.727</v>
      </c>
      <c r="I872" s="61">
        <f>21.7272 * CHOOSE(CONTROL!$C$19, $C$6, 100%, $E$6)</f>
        <v>21.7272</v>
      </c>
      <c r="J872" s="61">
        <f>15.832 * CHOOSE(CONTROL!$C$19, $C$6, 100%, $E$6)</f>
        <v>15.832000000000001</v>
      </c>
      <c r="K872" s="61">
        <f>15.8322 * CHOOSE(CONTROL!$C$19, $C$6, 100%, $E$6)</f>
        <v>15.8322</v>
      </c>
    </row>
    <row r="873" spans="1:11" ht="15">
      <c r="A873" s="13">
        <v>68637</v>
      </c>
      <c r="B873" s="60">
        <f>13.0769 * CHOOSE(CONTROL!$C$19, $C$6, 100%, $E$6)</f>
        <v>13.0769</v>
      </c>
      <c r="C873" s="60">
        <f>13.0769 * CHOOSE(CONTROL!$C$19, $C$6, 100%, $E$6)</f>
        <v>13.0769</v>
      </c>
      <c r="D873" s="60">
        <f>13.0934 * CHOOSE(CONTROL!$C$19, $C$6, 100%, $E$6)</f>
        <v>13.093400000000001</v>
      </c>
      <c r="E873" s="61">
        <f>15.6962 * CHOOSE(CONTROL!$C$19, $C$6, 100%, $E$6)</f>
        <v>15.696199999999999</v>
      </c>
      <c r="F873" s="61">
        <f>15.6962 * CHOOSE(CONTROL!$C$19, $C$6, 100%, $E$6)</f>
        <v>15.696199999999999</v>
      </c>
      <c r="G873" s="61">
        <f>15.6964 * CHOOSE(CONTROL!$C$19, $C$6, 100%, $E$6)</f>
        <v>15.696400000000001</v>
      </c>
      <c r="H873" s="61">
        <f>21.7722* CHOOSE(CONTROL!$C$19, $C$6, 100%, $E$6)</f>
        <v>21.772200000000002</v>
      </c>
      <c r="I873" s="61">
        <f>21.7724 * CHOOSE(CONTROL!$C$19, $C$6, 100%, $E$6)</f>
        <v>21.772400000000001</v>
      </c>
      <c r="J873" s="61">
        <f>15.6962 * CHOOSE(CONTROL!$C$19, $C$6, 100%, $E$6)</f>
        <v>15.696199999999999</v>
      </c>
      <c r="K873" s="61">
        <f>15.6964 * CHOOSE(CONTROL!$C$19, $C$6, 100%, $E$6)</f>
        <v>15.696400000000001</v>
      </c>
    </row>
    <row r="874" spans="1:11" ht="15">
      <c r="A874" s="13">
        <v>68668</v>
      </c>
      <c r="B874" s="60">
        <f>13.0529 * CHOOSE(CONTROL!$C$19, $C$6, 100%, $E$6)</f>
        <v>13.052899999999999</v>
      </c>
      <c r="C874" s="60">
        <f>13.0529 * CHOOSE(CONTROL!$C$19, $C$6, 100%, $E$6)</f>
        <v>13.052899999999999</v>
      </c>
      <c r="D874" s="60">
        <f>13.0694 * CHOOSE(CONTROL!$C$19, $C$6, 100%, $E$6)</f>
        <v>13.0694</v>
      </c>
      <c r="E874" s="61">
        <f>15.7586 * CHOOSE(CONTROL!$C$19, $C$6, 100%, $E$6)</f>
        <v>15.758599999999999</v>
      </c>
      <c r="F874" s="61">
        <f>15.7586 * CHOOSE(CONTROL!$C$19, $C$6, 100%, $E$6)</f>
        <v>15.758599999999999</v>
      </c>
      <c r="G874" s="61">
        <f>15.7587 * CHOOSE(CONTROL!$C$19, $C$6, 100%, $E$6)</f>
        <v>15.758699999999999</v>
      </c>
      <c r="H874" s="61">
        <f>21.6041* CHOOSE(CONTROL!$C$19, $C$6, 100%, $E$6)</f>
        <v>21.604099999999999</v>
      </c>
      <c r="I874" s="61">
        <f>21.6043 * CHOOSE(CONTROL!$C$19, $C$6, 100%, $E$6)</f>
        <v>21.604299999999999</v>
      </c>
      <c r="J874" s="61">
        <f>15.7586 * CHOOSE(CONTROL!$C$19, $C$6, 100%, $E$6)</f>
        <v>15.758599999999999</v>
      </c>
      <c r="K874" s="61">
        <f>15.7587 * CHOOSE(CONTROL!$C$19, $C$6, 100%, $E$6)</f>
        <v>15.758699999999999</v>
      </c>
    </row>
    <row r="875" spans="1:11" ht="15">
      <c r="A875" s="13">
        <v>68699</v>
      </c>
      <c r="B875" s="60">
        <f>13.0499 * CHOOSE(CONTROL!$C$19, $C$6, 100%, $E$6)</f>
        <v>13.049899999999999</v>
      </c>
      <c r="C875" s="60">
        <f>13.0499 * CHOOSE(CONTROL!$C$19, $C$6, 100%, $E$6)</f>
        <v>13.049899999999999</v>
      </c>
      <c r="D875" s="60">
        <f>13.0664 * CHOOSE(CONTROL!$C$19, $C$6, 100%, $E$6)</f>
        <v>13.0664</v>
      </c>
      <c r="E875" s="61">
        <f>15.4954 * CHOOSE(CONTROL!$C$19, $C$6, 100%, $E$6)</f>
        <v>15.4954</v>
      </c>
      <c r="F875" s="61">
        <f>15.4954 * CHOOSE(CONTROL!$C$19, $C$6, 100%, $E$6)</f>
        <v>15.4954</v>
      </c>
      <c r="G875" s="61">
        <f>15.4955 * CHOOSE(CONTROL!$C$19, $C$6, 100%, $E$6)</f>
        <v>15.4955</v>
      </c>
      <c r="H875" s="61">
        <f>21.6491* CHOOSE(CONTROL!$C$19, $C$6, 100%, $E$6)</f>
        <v>21.649100000000001</v>
      </c>
      <c r="I875" s="61">
        <f>21.6493 * CHOOSE(CONTROL!$C$19, $C$6, 100%, $E$6)</f>
        <v>21.6493</v>
      </c>
      <c r="J875" s="61">
        <f>15.4954 * CHOOSE(CONTROL!$C$19, $C$6, 100%, $E$6)</f>
        <v>15.4954</v>
      </c>
      <c r="K875" s="61">
        <f>15.4955 * CHOOSE(CONTROL!$C$19, $C$6, 100%, $E$6)</f>
        <v>15.4955</v>
      </c>
    </row>
    <row r="876" spans="1:11" ht="15">
      <c r="A876" s="13">
        <v>68728</v>
      </c>
      <c r="B876" s="60">
        <f>13.0468 * CHOOSE(CONTROL!$C$19, $C$6, 100%, $E$6)</f>
        <v>13.046799999999999</v>
      </c>
      <c r="C876" s="60">
        <f>13.0468 * CHOOSE(CONTROL!$C$19, $C$6, 100%, $E$6)</f>
        <v>13.046799999999999</v>
      </c>
      <c r="D876" s="60">
        <f>13.0633 * CHOOSE(CONTROL!$C$19, $C$6, 100%, $E$6)</f>
        <v>13.0633</v>
      </c>
      <c r="E876" s="61">
        <f>15.6991 * CHOOSE(CONTROL!$C$19, $C$6, 100%, $E$6)</f>
        <v>15.6991</v>
      </c>
      <c r="F876" s="61">
        <f>15.6991 * CHOOSE(CONTROL!$C$19, $C$6, 100%, $E$6)</f>
        <v>15.6991</v>
      </c>
      <c r="G876" s="61">
        <f>15.6992 * CHOOSE(CONTROL!$C$19, $C$6, 100%, $E$6)</f>
        <v>15.699199999999999</v>
      </c>
      <c r="H876" s="61">
        <f>21.6942* CHOOSE(CONTROL!$C$19, $C$6, 100%, $E$6)</f>
        <v>21.694199999999999</v>
      </c>
      <c r="I876" s="61">
        <f>21.6944 * CHOOSE(CONTROL!$C$19, $C$6, 100%, $E$6)</f>
        <v>21.694400000000002</v>
      </c>
      <c r="J876" s="61">
        <f>15.6991 * CHOOSE(CONTROL!$C$19, $C$6, 100%, $E$6)</f>
        <v>15.6991</v>
      </c>
      <c r="K876" s="61">
        <f>15.6992 * CHOOSE(CONTROL!$C$19, $C$6, 100%, $E$6)</f>
        <v>15.699199999999999</v>
      </c>
    </row>
    <row r="877" spans="1:11" ht="15">
      <c r="A877" s="13">
        <v>68759</v>
      </c>
      <c r="B877" s="60">
        <f>13.0534 * CHOOSE(CONTROL!$C$19, $C$6, 100%, $E$6)</f>
        <v>13.0534</v>
      </c>
      <c r="C877" s="60">
        <f>13.0534 * CHOOSE(CONTROL!$C$19, $C$6, 100%, $E$6)</f>
        <v>13.0534</v>
      </c>
      <c r="D877" s="60">
        <f>13.0699 * CHOOSE(CONTROL!$C$19, $C$6, 100%, $E$6)</f>
        <v>13.069900000000001</v>
      </c>
      <c r="E877" s="61">
        <f>15.9159 * CHOOSE(CONTROL!$C$19, $C$6, 100%, $E$6)</f>
        <v>15.915900000000001</v>
      </c>
      <c r="F877" s="61">
        <f>15.9159 * CHOOSE(CONTROL!$C$19, $C$6, 100%, $E$6)</f>
        <v>15.915900000000001</v>
      </c>
      <c r="G877" s="61">
        <f>15.9161 * CHOOSE(CONTROL!$C$19, $C$6, 100%, $E$6)</f>
        <v>15.9161</v>
      </c>
      <c r="H877" s="61">
        <f>21.7394* CHOOSE(CONTROL!$C$19, $C$6, 100%, $E$6)</f>
        <v>21.7394</v>
      </c>
      <c r="I877" s="61">
        <f>21.7396 * CHOOSE(CONTROL!$C$19, $C$6, 100%, $E$6)</f>
        <v>21.739599999999999</v>
      </c>
      <c r="J877" s="61">
        <f>15.9159 * CHOOSE(CONTROL!$C$19, $C$6, 100%, $E$6)</f>
        <v>15.915900000000001</v>
      </c>
      <c r="K877" s="61">
        <f>15.9161 * CHOOSE(CONTROL!$C$19, $C$6, 100%, $E$6)</f>
        <v>15.9161</v>
      </c>
    </row>
    <row r="878" spans="1:11" ht="15">
      <c r="A878" s="13">
        <v>68789</v>
      </c>
      <c r="B878" s="60">
        <f>13.0534 * CHOOSE(CONTROL!$C$19, $C$6, 100%, $E$6)</f>
        <v>13.0534</v>
      </c>
      <c r="C878" s="60">
        <f>13.0534 * CHOOSE(CONTROL!$C$19, $C$6, 100%, $E$6)</f>
        <v>13.0534</v>
      </c>
      <c r="D878" s="60">
        <f>13.0864 * CHOOSE(CONTROL!$C$19, $C$6, 100%, $E$6)</f>
        <v>13.086399999999999</v>
      </c>
      <c r="E878" s="61">
        <f>15.9988 * CHOOSE(CONTROL!$C$19, $C$6, 100%, $E$6)</f>
        <v>15.998799999999999</v>
      </c>
      <c r="F878" s="61">
        <f>15.9988 * CHOOSE(CONTROL!$C$19, $C$6, 100%, $E$6)</f>
        <v>15.998799999999999</v>
      </c>
      <c r="G878" s="61">
        <f>16.0008 * CHOOSE(CONTROL!$C$19, $C$6, 100%, $E$6)</f>
        <v>16.000800000000002</v>
      </c>
      <c r="H878" s="61">
        <f>21.7847* CHOOSE(CONTROL!$C$19, $C$6, 100%, $E$6)</f>
        <v>21.784700000000001</v>
      </c>
      <c r="I878" s="61">
        <f>21.7868 * CHOOSE(CONTROL!$C$19, $C$6, 100%, $E$6)</f>
        <v>21.786799999999999</v>
      </c>
      <c r="J878" s="61">
        <f>15.9988 * CHOOSE(CONTROL!$C$19, $C$6, 100%, $E$6)</f>
        <v>15.998799999999999</v>
      </c>
      <c r="K878" s="61">
        <f>16.0008 * CHOOSE(CONTROL!$C$19, $C$6, 100%, $E$6)</f>
        <v>16.000800000000002</v>
      </c>
    </row>
    <row r="879" spans="1:11" ht="15">
      <c r="A879" s="13">
        <v>68820</v>
      </c>
      <c r="B879" s="60">
        <f>13.0595 * CHOOSE(CONTROL!$C$19, $C$6, 100%, $E$6)</f>
        <v>13.0595</v>
      </c>
      <c r="C879" s="60">
        <f>13.0595 * CHOOSE(CONTROL!$C$19, $C$6, 100%, $E$6)</f>
        <v>13.0595</v>
      </c>
      <c r="D879" s="60">
        <f>13.0925 * CHOOSE(CONTROL!$C$19, $C$6, 100%, $E$6)</f>
        <v>13.092499999999999</v>
      </c>
      <c r="E879" s="61">
        <f>15.9201 * CHOOSE(CONTROL!$C$19, $C$6, 100%, $E$6)</f>
        <v>15.9201</v>
      </c>
      <c r="F879" s="61">
        <f>15.9201 * CHOOSE(CONTROL!$C$19, $C$6, 100%, $E$6)</f>
        <v>15.9201</v>
      </c>
      <c r="G879" s="61">
        <f>15.9222 * CHOOSE(CONTROL!$C$19, $C$6, 100%, $E$6)</f>
        <v>15.9222</v>
      </c>
      <c r="H879" s="61">
        <f>21.8301* CHOOSE(CONTROL!$C$19, $C$6, 100%, $E$6)</f>
        <v>21.830100000000002</v>
      </c>
      <c r="I879" s="61">
        <f>21.8322 * CHOOSE(CONTROL!$C$19, $C$6, 100%, $E$6)</f>
        <v>21.8322</v>
      </c>
      <c r="J879" s="61">
        <f>15.9201 * CHOOSE(CONTROL!$C$19, $C$6, 100%, $E$6)</f>
        <v>15.9201</v>
      </c>
      <c r="K879" s="61">
        <f>15.9222 * CHOOSE(CONTROL!$C$19, $C$6, 100%, $E$6)</f>
        <v>15.9222</v>
      </c>
    </row>
    <row r="880" spans="1:11" ht="15">
      <c r="A880" s="13">
        <v>68850</v>
      </c>
      <c r="B880" s="60">
        <f>13.2402 * CHOOSE(CONTROL!$C$19, $C$6, 100%, $E$6)</f>
        <v>13.2402</v>
      </c>
      <c r="C880" s="60">
        <f>13.2402 * CHOOSE(CONTROL!$C$19, $C$6, 100%, $E$6)</f>
        <v>13.2402</v>
      </c>
      <c r="D880" s="60">
        <f>13.2732 * CHOOSE(CONTROL!$C$19, $C$6, 100%, $E$6)</f>
        <v>13.273199999999999</v>
      </c>
      <c r="E880" s="61">
        <f>16.2085 * CHOOSE(CONTROL!$C$19, $C$6, 100%, $E$6)</f>
        <v>16.208500000000001</v>
      </c>
      <c r="F880" s="61">
        <f>16.2085 * CHOOSE(CONTROL!$C$19, $C$6, 100%, $E$6)</f>
        <v>16.208500000000001</v>
      </c>
      <c r="G880" s="61">
        <f>16.2105 * CHOOSE(CONTROL!$C$19, $C$6, 100%, $E$6)</f>
        <v>16.2105</v>
      </c>
      <c r="H880" s="61">
        <f>21.8756* CHOOSE(CONTROL!$C$19, $C$6, 100%, $E$6)</f>
        <v>21.875599999999999</v>
      </c>
      <c r="I880" s="61">
        <f>21.8777 * CHOOSE(CONTROL!$C$19, $C$6, 100%, $E$6)</f>
        <v>21.877700000000001</v>
      </c>
      <c r="J880" s="61">
        <f>16.2085 * CHOOSE(CONTROL!$C$19, $C$6, 100%, $E$6)</f>
        <v>16.208500000000001</v>
      </c>
      <c r="K880" s="61">
        <f>16.2105 * CHOOSE(CONTROL!$C$19, $C$6, 100%, $E$6)</f>
        <v>16.2105</v>
      </c>
    </row>
    <row r="881" spans="1:11" ht="15">
      <c r="A881" s="13">
        <v>68881</v>
      </c>
      <c r="B881" s="60">
        <f>13.2468 * CHOOSE(CONTROL!$C$19, $C$6, 100%, $E$6)</f>
        <v>13.2468</v>
      </c>
      <c r="C881" s="60">
        <f>13.2468 * CHOOSE(CONTROL!$C$19, $C$6, 100%, $E$6)</f>
        <v>13.2468</v>
      </c>
      <c r="D881" s="60">
        <f>13.2798 * CHOOSE(CONTROL!$C$19, $C$6, 100%, $E$6)</f>
        <v>13.2798</v>
      </c>
      <c r="E881" s="61">
        <f>15.9645 * CHOOSE(CONTROL!$C$19, $C$6, 100%, $E$6)</f>
        <v>15.964499999999999</v>
      </c>
      <c r="F881" s="61">
        <f>15.9645 * CHOOSE(CONTROL!$C$19, $C$6, 100%, $E$6)</f>
        <v>15.964499999999999</v>
      </c>
      <c r="G881" s="61">
        <f>15.9665 * CHOOSE(CONTROL!$C$19, $C$6, 100%, $E$6)</f>
        <v>15.9665</v>
      </c>
      <c r="H881" s="61">
        <f>21.9212* CHOOSE(CONTROL!$C$19, $C$6, 100%, $E$6)</f>
        <v>21.921199999999999</v>
      </c>
      <c r="I881" s="61">
        <f>21.9232 * CHOOSE(CONTROL!$C$19, $C$6, 100%, $E$6)</f>
        <v>21.923200000000001</v>
      </c>
      <c r="J881" s="61">
        <f>15.9645 * CHOOSE(CONTROL!$C$19, $C$6, 100%, $E$6)</f>
        <v>15.964499999999999</v>
      </c>
      <c r="K881" s="61">
        <f>15.9665 * CHOOSE(CONTROL!$C$19, $C$6, 100%, $E$6)</f>
        <v>15.9665</v>
      </c>
    </row>
    <row r="882" spans="1:11" ht="15">
      <c r="A882" s="13">
        <v>68912</v>
      </c>
      <c r="B882" s="60">
        <f>13.2438 * CHOOSE(CONTROL!$C$19, $C$6, 100%, $E$6)</f>
        <v>13.2438</v>
      </c>
      <c r="C882" s="60">
        <f>13.2438 * CHOOSE(CONTROL!$C$19, $C$6, 100%, $E$6)</f>
        <v>13.2438</v>
      </c>
      <c r="D882" s="60">
        <f>13.2768 * CHOOSE(CONTROL!$C$19, $C$6, 100%, $E$6)</f>
        <v>13.2768</v>
      </c>
      <c r="E882" s="61">
        <f>15.9347 * CHOOSE(CONTROL!$C$19, $C$6, 100%, $E$6)</f>
        <v>15.934699999999999</v>
      </c>
      <c r="F882" s="61">
        <f>15.9347 * CHOOSE(CONTROL!$C$19, $C$6, 100%, $E$6)</f>
        <v>15.934699999999999</v>
      </c>
      <c r="G882" s="61">
        <f>15.9368 * CHOOSE(CONTROL!$C$19, $C$6, 100%, $E$6)</f>
        <v>15.9368</v>
      </c>
      <c r="H882" s="61">
        <f>21.9668* CHOOSE(CONTROL!$C$19, $C$6, 100%, $E$6)</f>
        <v>21.966799999999999</v>
      </c>
      <c r="I882" s="61">
        <f>21.9689 * CHOOSE(CONTROL!$C$19, $C$6, 100%, $E$6)</f>
        <v>21.968900000000001</v>
      </c>
      <c r="J882" s="61">
        <f>15.9347 * CHOOSE(CONTROL!$C$19, $C$6, 100%, $E$6)</f>
        <v>15.934699999999999</v>
      </c>
      <c r="K882" s="61">
        <f>15.9368 * CHOOSE(CONTROL!$C$19, $C$6, 100%, $E$6)</f>
        <v>15.9368</v>
      </c>
    </row>
    <row r="883" spans="1:11" ht="15">
      <c r="A883" s="13">
        <v>68942</v>
      </c>
      <c r="B883" s="60">
        <f>13.274 * CHOOSE(CONTROL!$C$19, $C$6, 100%, $E$6)</f>
        <v>13.273999999999999</v>
      </c>
      <c r="C883" s="60">
        <f>13.274 * CHOOSE(CONTROL!$C$19, $C$6, 100%, $E$6)</f>
        <v>13.273999999999999</v>
      </c>
      <c r="D883" s="60">
        <f>13.2905 * CHOOSE(CONTROL!$C$19, $C$6, 100%, $E$6)</f>
        <v>13.2905</v>
      </c>
      <c r="E883" s="61">
        <f>16.0318 * CHOOSE(CONTROL!$C$19, $C$6, 100%, $E$6)</f>
        <v>16.0318</v>
      </c>
      <c r="F883" s="61">
        <f>16.0318 * CHOOSE(CONTROL!$C$19, $C$6, 100%, $E$6)</f>
        <v>16.0318</v>
      </c>
      <c r="G883" s="61">
        <f>16.032 * CHOOSE(CONTROL!$C$19, $C$6, 100%, $E$6)</f>
        <v>16.032</v>
      </c>
      <c r="H883" s="61">
        <f>22.0126* CHOOSE(CONTROL!$C$19, $C$6, 100%, $E$6)</f>
        <v>22.012599999999999</v>
      </c>
      <c r="I883" s="61">
        <f>22.0128 * CHOOSE(CONTROL!$C$19, $C$6, 100%, $E$6)</f>
        <v>22.012799999999999</v>
      </c>
      <c r="J883" s="61">
        <f>16.0318 * CHOOSE(CONTROL!$C$19, $C$6, 100%, $E$6)</f>
        <v>16.0318</v>
      </c>
      <c r="K883" s="61">
        <f>16.032 * CHOOSE(CONTROL!$C$19, $C$6, 100%, $E$6)</f>
        <v>16.032</v>
      </c>
    </row>
    <row r="884" spans="1:11" ht="15">
      <c r="A884" s="13">
        <v>68973</v>
      </c>
      <c r="B884" s="60">
        <f>13.277 * CHOOSE(CONTROL!$C$19, $C$6, 100%, $E$6)</f>
        <v>13.276999999999999</v>
      </c>
      <c r="C884" s="60">
        <f>13.277 * CHOOSE(CONTROL!$C$19, $C$6, 100%, $E$6)</f>
        <v>13.276999999999999</v>
      </c>
      <c r="D884" s="60">
        <f>13.2935 * CHOOSE(CONTROL!$C$19, $C$6, 100%, $E$6)</f>
        <v>13.2935</v>
      </c>
      <c r="E884" s="61">
        <f>16.0892 * CHOOSE(CONTROL!$C$19, $C$6, 100%, $E$6)</f>
        <v>16.089200000000002</v>
      </c>
      <c r="F884" s="61">
        <f>16.0892 * CHOOSE(CONTROL!$C$19, $C$6, 100%, $E$6)</f>
        <v>16.089200000000002</v>
      </c>
      <c r="G884" s="61">
        <f>16.0894 * CHOOSE(CONTROL!$C$19, $C$6, 100%, $E$6)</f>
        <v>16.089400000000001</v>
      </c>
      <c r="H884" s="61">
        <f>22.0585* CHOOSE(CONTROL!$C$19, $C$6, 100%, $E$6)</f>
        <v>22.058499999999999</v>
      </c>
      <c r="I884" s="61">
        <f>22.0586 * CHOOSE(CONTROL!$C$19, $C$6, 100%, $E$6)</f>
        <v>22.058599999999998</v>
      </c>
      <c r="J884" s="61">
        <f>16.0892 * CHOOSE(CONTROL!$C$19, $C$6, 100%, $E$6)</f>
        <v>16.089200000000002</v>
      </c>
      <c r="K884" s="61">
        <f>16.0894 * CHOOSE(CONTROL!$C$19, $C$6, 100%, $E$6)</f>
        <v>16.089400000000001</v>
      </c>
    </row>
    <row r="885" spans="1:11" ht="15">
      <c r="A885" s="13">
        <v>69003</v>
      </c>
      <c r="B885" s="60">
        <f>13.277 * CHOOSE(CONTROL!$C$19, $C$6, 100%, $E$6)</f>
        <v>13.276999999999999</v>
      </c>
      <c r="C885" s="60">
        <f>13.277 * CHOOSE(CONTROL!$C$19, $C$6, 100%, $E$6)</f>
        <v>13.276999999999999</v>
      </c>
      <c r="D885" s="60">
        <f>13.2935 * CHOOSE(CONTROL!$C$19, $C$6, 100%, $E$6)</f>
        <v>13.2935</v>
      </c>
      <c r="E885" s="61">
        <f>15.951 * CHOOSE(CONTROL!$C$19, $C$6, 100%, $E$6)</f>
        <v>15.951000000000001</v>
      </c>
      <c r="F885" s="61">
        <f>15.951 * CHOOSE(CONTROL!$C$19, $C$6, 100%, $E$6)</f>
        <v>15.951000000000001</v>
      </c>
      <c r="G885" s="61">
        <f>15.9512 * CHOOSE(CONTROL!$C$19, $C$6, 100%, $E$6)</f>
        <v>15.9512</v>
      </c>
      <c r="H885" s="61">
        <f>22.1044* CHOOSE(CONTROL!$C$19, $C$6, 100%, $E$6)</f>
        <v>22.104399999999998</v>
      </c>
      <c r="I885" s="61">
        <f>22.1046 * CHOOSE(CONTROL!$C$19, $C$6, 100%, $E$6)</f>
        <v>22.104600000000001</v>
      </c>
      <c r="J885" s="61">
        <f>15.951 * CHOOSE(CONTROL!$C$19, $C$6, 100%, $E$6)</f>
        <v>15.951000000000001</v>
      </c>
      <c r="K885" s="61">
        <f>15.9512 * CHOOSE(CONTROL!$C$19, $C$6, 100%, $E$6)</f>
        <v>15.9512</v>
      </c>
    </row>
    <row r="886" spans="1:11" ht="15">
      <c r="A886" s="13">
        <v>69034</v>
      </c>
      <c r="B886" s="60">
        <f>13.2495 * CHOOSE(CONTROL!$C$19, $C$6, 100%, $E$6)</f>
        <v>13.249499999999999</v>
      </c>
      <c r="C886" s="60">
        <f>13.2495 * CHOOSE(CONTROL!$C$19, $C$6, 100%, $E$6)</f>
        <v>13.249499999999999</v>
      </c>
      <c r="D886" s="60">
        <f>13.266 * CHOOSE(CONTROL!$C$19, $C$6, 100%, $E$6)</f>
        <v>13.266</v>
      </c>
      <c r="E886" s="61">
        <f>16.0104 * CHOOSE(CONTROL!$C$19, $C$6, 100%, $E$6)</f>
        <v>16.010400000000001</v>
      </c>
      <c r="F886" s="61">
        <f>16.0104 * CHOOSE(CONTROL!$C$19, $C$6, 100%, $E$6)</f>
        <v>16.010400000000001</v>
      </c>
      <c r="G886" s="61">
        <f>16.0106 * CHOOSE(CONTROL!$C$19, $C$6, 100%, $E$6)</f>
        <v>16.0106</v>
      </c>
      <c r="H886" s="61">
        <f>21.9288* CHOOSE(CONTROL!$C$19, $C$6, 100%, $E$6)</f>
        <v>21.928799999999999</v>
      </c>
      <c r="I886" s="61">
        <f>21.929 * CHOOSE(CONTROL!$C$19, $C$6, 100%, $E$6)</f>
        <v>21.928999999999998</v>
      </c>
      <c r="J886" s="61">
        <f>16.0104 * CHOOSE(CONTROL!$C$19, $C$6, 100%, $E$6)</f>
        <v>16.010400000000001</v>
      </c>
      <c r="K886" s="61">
        <f>16.0106 * CHOOSE(CONTROL!$C$19, $C$6, 100%, $E$6)</f>
        <v>16.0106</v>
      </c>
    </row>
    <row r="887" spans="1:11" ht="15">
      <c r="A887" s="13">
        <v>69065</v>
      </c>
      <c r="B887" s="60">
        <f>13.2465 * CHOOSE(CONTROL!$C$19, $C$6, 100%, $E$6)</f>
        <v>13.246499999999999</v>
      </c>
      <c r="C887" s="60">
        <f>13.2465 * CHOOSE(CONTROL!$C$19, $C$6, 100%, $E$6)</f>
        <v>13.246499999999999</v>
      </c>
      <c r="D887" s="60">
        <f>13.263 * CHOOSE(CONTROL!$C$19, $C$6, 100%, $E$6)</f>
        <v>13.263</v>
      </c>
      <c r="E887" s="61">
        <f>15.7427 * CHOOSE(CONTROL!$C$19, $C$6, 100%, $E$6)</f>
        <v>15.742699999999999</v>
      </c>
      <c r="F887" s="61">
        <f>15.7427 * CHOOSE(CONTROL!$C$19, $C$6, 100%, $E$6)</f>
        <v>15.742699999999999</v>
      </c>
      <c r="G887" s="61">
        <f>15.7429 * CHOOSE(CONTROL!$C$19, $C$6, 100%, $E$6)</f>
        <v>15.742900000000001</v>
      </c>
      <c r="H887" s="61">
        <f>21.9745* CHOOSE(CONTROL!$C$19, $C$6, 100%, $E$6)</f>
        <v>21.974499999999999</v>
      </c>
      <c r="I887" s="61">
        <f>21.9747 * CHOOSE(CONTROL!$C$19, $C$6, 100%, $E$6)</f>
        <v>21.974699999999999</v>
      </c>
      <c r="J887" s="61">
        <f>15.7427 * CHOOSE(CONTROL!$C$19, $C$6, 100%, $E$6)</f>
        <v>15.742699999999999</v>
      </c>
      <c r="K887" s="61">
        <f>15.7429 * CHOOSE(CONTROL!$C$19, $C$6, 100%, $E$6)</f>
        <v>15.742900000000001</v>
      </c>
    </row>
    <row r="888" spans="1:11" ht="15">
      <c r="A888" s="13">
        <v>69093</v>
      </c>
      <c r="B888" s="60">
        <f>13.2435 * CHOOSE(CONTROL!$C$19, $C$6, 100%, $E$6)</f>
        <v>13.243499999999999</v>
      </c>
      <c r="C888" s="60">
        <f>13.2435 * CHOOSE(CONTROL!$C$19, $C$6, 100%, $E$6)</f>
        <v>13.243499999999999</v>
      </c>
      <c r="D888" s="60">
        <f>13.26 * CHOOSE(CONTROL!$C$19, $C$6, 100%, $E$6)</f>
        <v>13.26</v>
      </c>
      <c r="E888" s="61">
        <f>15.95 * CHOOSE(CONTROL!$C$19, $C$6, 100%, $E$6)</f>
        <v>15.95</v>
      </c>
      <c r="F888" s="61">
        <f>15.95 * CHOOSE(CONTROL!$C$19, $C$6, 100%, $E$6)</f>
        <v>15.95</v>
      </c>
      <c r="G888" s="61">
        <f>15.9501 * CHOOSE(CONTROL!$C$19, $C$6, 100%, $E$6)</f>
        <v>15.950100000000001</v>
      </c>
      <c r="H888" s="61">
        <f>22.0203* CHOOSE(CONTROL!$C$19, $C$6, 100%, $E$6)</f>
        <v>22.020299999999999</v>
      </c>
      <c r="I888" s="61">
        <f>22.0204 * CHOOSE(CONTROL!$C$19, $C$6, 100%, $E$6)</f>
        <v>22.020399999999999</v>
      </c>
      <c r="J888" s="61">
        <f>15.95 * CHOOSE(CONTROL!$C$19, $C$6, 100%, $E$6)</f>
        <v>15.95</v>
      </c>
      <c r="K888" s="61">
        <f>15.9501 * CHOOSE(CONTROL!$C$19, $C$6, 100%, $E$6)</f>
        <v>15.950100000000001</v>
      </c>
    </row>
    <row r="889" spans="1:11" ht="15">
      <c r="A889" s="13">
        <v>69124</v>
      </c>
      <c r="B889" s="60">
        <f>13.2502 * CHOOSE(CONTROL!$C$19, $C$6, 100%, $E$6)</f>
        <v>13.2502</v>
      </c>
      <c r="C889" s="60">
        <f>13.2502 * CHOOSE(CONTROL!$C$19, $C$6, 100%, $E$6)</f>
        <v>13.2502</v>
      </c>
      <c r="D889" s="60">
        <f>13.2667 * CHOOSE(CONTROL!$C$19, $C$6, 100%, $E$6)</f>
        <v>13.2667</v>
      </c>
      <c r="E889" s="61">
        <f>16.1706 * CHOOSE(CONTROL!$C$19, $C$6, 100%, $E$6)</f>
        <v>16.1706</v>
      </c>
      <c r="F889" s="61">
        <f>16.1706 * CHOOSE(CONTROL!$C$19, $C$6, 100%, $E$6)</f>
        <v>16.1706</v>
      </c>
      <c r="G889" s="61">
        <f>16.1707 * CHOOSE(CONTROL!$C$19, $C$6, 100%, $E$6)</f>
        <v>16.1707</v>
      </c>
      <c r="H889" s="61">
        <f>22.0661* CHOOSE(CONTROL!$C$19, $C$6, 100%, $E$6)</f>
        <v>22.066099999999999</v>
      </c>
      <c r="I889" s="61">
        <f>22.0663 * CHOOSE(CONTROL!$C$19, $C$6, 100%, $E$6)</f>
        <v>22.066299999999998</v>
      </c>
      <c r="J889" s="61">
        <f>16.1706 * CHOOSE(CONTROL!$C$19, $C$6, 100%, $E$6)</f>
        <v>16.1706</v>
      </c>
      <c r="K889" s="61">
        <f>16.1707 * CHOOSE(CONTROL!$C$19, $C$6, 100%, $E$6)</f>
        <v>16.1707</v>
      </c>
    </row>
    <row r="890" spans="1:11" ht="15">
      <c r="A890" s="13">
        <v>69154</v>
      </c>
      <c r="B890" s="60">
        <f>13.2502 * CHOOSE(CONTROL!$C$19, $C$6, 100%, $E$6)</f>
        <v>13.2502</v>
      </c>
      <c r="C890" s="60">
        <f>13.2502 * CHOOSE(CONTROL!$C$19, $C$6, 100%, $E$6)</f>
        <v>13.2502</v>
      </c>
      <c r="D890" s="60">
        <f>13.2832 * CHOOSE(CONTROL!$C$19, $C$6, 100%, $E$6)</f>
        <v>13.283200000000001</v>
      </c>
      <c r="E890" s="61">
        <f>16.2549 * CHOOSE(CONTROL!$C$19, $C$6, 100%, $E$6)</f>
        <v>16.254899999999999</v>
      </c>
      <c r="F890" s="61">
        <f>16.2549 * CHOOSE(CONTROL!$C$19, $C$6, 100%, $E$6)</f>
        <v>16.254899999999999</v>
      </c>
      <c r="G890" s="61">
        <f>16.2569 * CHOOSE(CONTROL!$C$19, $C$6, 100%, $E$6)</f>
        <v>16.256900000000002</v>
      </c>
      <c r="H890" s="61">
        <f>22.1121* CHOOSE(CONTROL!$C$19, $C$6, 100%, $E$6)</f>
        <v>22.112100000000002</v>
      </c>
      <c r="I890" s="61">
        <f>22.1142 * CHOOSE(CONTROL!$C$19, $C$6, 100%, $E$6)</f>
        <v>22.1142</v>
      </c>
      <c r="J890" s="61">
        <f>16.2549 * CHOOSE(CONTROL!$C$19, $C$6, 100%, $E$6)</f>
        <v>16.254899999999999</v>
      </c>
      <c r="K890" s="61">
        <f>16.2569 * CHOOSE(CONTROL!$C$19, $C$6, 100%, $E$6)</f>
        <v>16.256900000000002</v>
      </c>
    </row>
    <row r="891" spans="1:11" ht="15">
      <c r="A891" s="13">
        <v>69185</v>
      </c>
      <c r="B891" s="60">
        <f>13.2563 * CHOOSE(CONTROL!$C$19, $C$6, 100%, $E$6)</f>
        <v>13.2563</v>
      </c>
      <c r="C891" s="60">
        <f>13.2563 * CHOOSE(CONTROL!$C$19, $C$6, 100%, $E$6)</f>
        <v>13.2563</v>
      </c>
      <c r="D891" s="60">
        <f>13.2893 * CHOOSE(CONTROL!$C$19, $C$6, 100%, $E$6)</f>
        <v>13.289300000000001</v>
      </c>
      <c r="E891" s="61">
        <f>16.1748 * CHOOSE(CONTROL!$C$19, $C$6, 100%, $E$6)</f>
        <v>16.174800000000001</v>
      </c>
      <c r="F891" s="61">
        <f>16.1748 * CHOOSE(CONTROL!$C$19, $C$6, 100%, $E$6)</f>
        <v>16.174800000000001</v>
      </c>
      <c r="G891" s="61">
        <f>16.1768 * CHOOSE(CONTROL!$C$19, $C$6, 100%, $E$6)</f>
        <v>16.1768</v>
      </c>
      <c r="H891" s="61">
        <f>22.1582* CHOOSE(CONTROL!$C$19, $C$6, 100%, $E$6)</f>
        <v>22.158200000000001</v>
      </c>
      <c r="I891" s="61">
        <f>22.1602 * CHOOSE(CONTROL!$C$19, $C$6, 100%, $E$6)</f>
        <v>22.1602</v>
      </c>
      <c r="J891" s="61">
        <f>16.1748 * CHOOSE(CONTROL!$C$19, $C$6, 100%, $E$6)</f>
        <v>16.174800000000001</v>
      </c>
      <c r="K891" s="61">
        <f>16.1768 * CHOOSE(CONTROL!$C$19, $C$6, 100%, $E$6)</f>
        <v>16.1768</v>
      </c>
    </row>
    <row r="892" spans="1:11" ht="15">
      <c r="A892" s="13">
        <v>69215</v>
      </c>
      <c r="B892" s="60">
        <f>13.4395 * CHOOSE(CONTROL!$C$19, $C$6, 100%, $E$6)</f>
        <v>13.439500000000001</v>
      </c>
      <c r="C892" s="60">
        <f>13.4395 * CHOOSE(CONTROL!$C$19, $C$6, 100%, $E$6)</f>
        <v>13.439500000000001</v>
      </c>
      <c r="D892" s="60">
        <f>13.4725 * CHOOSE(CONTROL!$C$19, $C$6, 100%, $E$6)</f>
        <v>13.4725</v>
      </c>
      <c r="E892" s="61">
        <f>16.4676 * CHOOSE(CONTROL!$C$19, $C$6, 100%, $E$6)</f>
        <v>16.467600000000001</v>
      </c>
      <c r="F892" s="61">
        <f>16.4676 * CHOOSE(CONTROL!$C$19, $C$6, 100%, $E$6)</f>
        <v>16.467600000000001</v>
      </c>
      <c r="G892" s="61">
        <f>16.4696 * CHOOSE(CONTROL!$C$19, $C$6, 100%, $E$6)</f>
        <v>16.4696</v>
      </c>
      <c r="H892" s="61">
        <f>22.2043* CHOOSE(CONTROL!$C$19, $C$6, 100%, $E$6)</f>
        <v>22.2043</v>
      </c>
      <c r="I892" s="61">
        <f>22.2064 * CHOOSE(CONTROL!$C$19, $C$6, 100%, $E$6)</f>
        <v>22.206399999999999</v>
      </c>
      <c r="J892" s="61">
        <f>16.4676 * CHOOSE(CONTROL!$C$19, $C$6, 100%, $E$6)</f>
        <v>16.467600000000001</v>
      </c>
      <c r="K892" s="61">
        <f>16.4696 * CHOOSE(CONTROL!$C$19, $C$6, 100%, $E$6)</f>
        <v>16.4696</v>
      </c>
    </row>
    <row r="893" spans="1:11" ht="15">
      <c r="A893" s="13">
        <v>69246</v>
      </c>
      <c r="B893" s="60">
        <f>13.4462 * CHOOSE(CONTROL!$C$19, $C$6, 100%, $E$6)</f>
        <v>13.446199999999999</v>
      </c>
      <c r="C893" s="60">
        <f>13.4462 * CHOOSE(CONTROL!$C$19, $C$6, 100%, $E$6)</f>
        <v>13.446199999999999</v>
      </c>
      <c r="D893" s="60">
        <f>13.4792 * CHOOSE(CONTROL!$C$19, $C$6, 100%, $E$6)</f>
        <v>13.479200000000001</v>
      </c>
      <c r="E893" s="61">
        <f>16.2193 * CHOOSE(CONTROL!$C$19, $C$6, 100%, $E$6)</f>
        <v>16.2193</v>
      </c>
      <c r="F893" s="61">
        <f>16.2193 * CHOOSE(CONTROL!$C$19, $C$6, 100%, $E$6)</f>
        <v>16.2193</v>
      </c>
      <c r="G893" s="61">
        <f>16.2213 * CHOOSE(CONTROL!$C$19, $C$6, 100%, $E$6)</f>
        <v>16.221299999999999</v>
      </c>
      <c r="H893" s="61">
        <f>22.2506* CHOOSE(CONTROL!$C$19, $C$6, 100%, $E$6)</f>
        <v>22.250599999999999</v>
      </c>
      <c r="I893" s="61">
        <f>22.2526 * CHOOSE(CONTROL!$C$19, $C$6, 100%, $E$6)</f>
        <v>22.252600000000001</v>
      </c>
      <c r="J893" s="61">
        <f>16.2193 * CHOOSE(CONTROL!$C$19, $C$6, 100%, $E$6)</f>
        <v>16.2193</v>
      </c>
      <c r="K893" s="61">
        <f>16.2213 * CHOOSE(CONTROL!$C$19, $C$6, 100%, $E$6)</f>
        <v>16.221299999999999</v>
      </c>
    </row>
    <row r="894" spans="1:11" ht="15">
      <c r="A894" s="13">
        <v>69277</v>
      </c>
      <c r="B894" s="60">
        <f>13.4431 * CHOOSE(CONTROL!$C$19, $C$6, 100%, $E$6)</f>
        <v>13.443099999999999</v>
      </c>
      <c r="C894" s="60">
        <f>13.4431 * CHOOSE(CONTROL!$C$19, $C$6, 100%, $E$6)</f>
        <v>13.443099999999999</v>
      </c>
      <c r="D894" s="60">
        <f>13.4761 * CHOOSE(CONTROL!$C$19, $C$6, 100%, $E$6)</f>
        <v>13.476100000000001</v>
      </c>
      <c r="E894" s="61">
        <f>16.1891 * CHOOSE(CONTROL!$C$19, $C$6, 100%, $E$6)</f>
        <v>16.1891</v>
      </c>
      <c r="F894" s="61">
        <f>16.1891 * CHOOSE(CONTROL!$C$19, $C$6, 100%, $E$6)</f>
        <v>16.1891</v>
      </c>
      <c r="G894" s="61">
        <f>16.1911 * CHOOSE(CONTROL!$C$19, $C$6, 100%, $E$6)</f>
        <v>16.191099999999999</v>
      </c>
      <c r="H894" s="61">
        <f>22.297* CHOOSE(CONTROL!$C$19, $C$6, 100%, $E$6)</f>
        <v>22.297000000000001</v>
      </c>
      <c r="I894" s="61">
        <f>22.299 * CHOOSE(CONTROL!$C$19, $C$6, 100%, $E$6)</f>
        <v>22.298999999999999</v>
      </c>
      <c r="J894" s="61">
        <f>16.1891 * CHOOSE(CONTROL!$C$19, $C$6, 100%, $E$6)</f>
        <v>16.1891</v>
      </c>
      <c r="K894" s="61">
        <f>16.1911 * CHOOSE(CONTROL!$C$19, $C$6, 100%, $E$6)</f>
        <v>16.191099999999999</v>
      </c>
    </row>
    <row r="895" spans="1:11" ht="15">
      <c r="A895" s="13">
        <v>69307</v>
      </c>
      <c r="B895" s="60">
        <f>13.474 * CHOOSE(CONTROL!$C$19, $C$6, 100%, $E$6)</f>
        <v>13.474</v>
      </c>
      <c r="C895" s="60">
        <f>13.474 * CHOOSE(CONTROL!$C$19, $C$6, 100%, $E$6)</f>
        <v>13.474</v>
      </c>
      <c r="D895" s="60">
        <f>13.4905 * CHOOSE(CONTROL!$C$19, $C$6, 100%, $E$6)</f>
        <v>13.490500000000001</v>
      </c>
      <c r="E895" s="61">
        <f>16.2881 * CHOOSE(CONTROL!$C$19, $C$6, 100%, $E$6)</f>
        <v>16.2881</v>
      </c>
      <c r="F895" s="61">
        <f>16.2881 * CHOOSE(CONTROL!$C$19, $C$6, 100%, $E$6)</f>
        <v>16.2881</v>
      </c>
      <c r="G895" s="61">
        <f>16.2882 * CHOOSE(CONTROL!$C$19, $C$6, 100%, $E$6)</f>
        <v>16.2882</v>
      </c>
      <c r="H895" s="61">
        <f>22.3434* CHOOSE(CONTROL!$C$19, $C$6, 100%, $E$6)</f>
        <v>22.343399999999999</v>
      </c>
      <c r="I895" s="61">
        <f>22.3436 * CHOOSE(CONTROL!$C$19, $C$6, 100%, $E$6)</f>
        <v>22.343599999999999</v>
      </c>
      <c r="J895" s="61">
        <f>16.2881 * CHOOSE(CONTROL!$C$19, $C$6, 100%, $E$6)</f>
        <v>16.2881</v>
      </c>
      <c r="K895" s="61">
        <f>16.2882 * CHOOSE(CONTROL!$C$19, $C$6, 100%, $E$6)</f>
        <v>16.2882</v>
      </c>
    </row>
    <row r="896" spans="1:11" ht="15">
      <c r="A896" s="13">
        <v>69338</v>
      </c>
      <c r="B896" s="60">
        <f>13.4771 * CHOOSE(CONTROL!$C$19, $C$6, 100%, $E$6)</f>
        <v>13.4771</v>
      </c>
      <c r="C896" s="60">
        <f>13.4771 * CHOOSE(CONTROL!$C$19, $C$6, 100%, $E$6)</f>
        <v>13.4771</v>
      </c>
      <c r="D896" s="60">
        <f>13.4936 * CHOOSE(CONTROL!$C$19, $C$6, 100%, $E$6)</f>
        <v>13.493600000000001</v>
      </c>
      <c r="E896" s="61">
        <f>16.3464 * CHOOSE(CONTROL!$C$19, $C$6, 100%, $E$6)</f>
        <v>16.346399999999999</v>
      </c>
      <c r="F896" s="61">
        <f>16.3464 * CHOOSE(CONTROL!$C$19, $C$6, 100%, $E$6)</f>
        <v>16.346399999999999</v>
      </c>
      <c r="G896" s="61">
        <f>16.3466 * CHOOSE(CONTROL!$C$19, $C$6, 100%, $E$6)</f>
        <v>16.346599999999999</v>
      </c>
      <c r="H896" s="61">
        <f>22.39* CHOOSE(CONTROL!$C$19, $C$6, 100%, $E$6)</f>
        <v>22.39</v>
      </c>
      <c r="I896" s="61">
        <f>22.3901 * CHOOSE(CONTROL!$C$19, $C$6, 100%, $E$6)</f>
        <v>22.3901</v>
      </c>
      <c r="J896" s="61">
        <f>16.3464 * CHOOSE(CONTROL!$C$19, $C$6, 100%, $E$6)</f>
        <v>16.346399999999999</v>
      </c>
      <c r="K896" s="61">
        <f>16.3466 * CHOOSE(CONTROL!$C$19, $C$6, 100%, $E$6)</f>
        <v>16.346599999999999</v>
      </c>
    </row>
    <row r="897" spans="1:11" ht="15">
      <c r="A897" s="13">
        <v>69368</v>
      </c>
      <c r="B897" s="60">
        <f>13.4771 * CHOOSE(CONTROL!$C$19, $C$6, 100%, $E$6)</f>
        <v>13.4771</v>
      </c>
      <c r="C897" s="60">
        <f>13.4771 * CHOOSE(CONTROL!$C$19, $C$6, 100%, $E$6)</f>
        <v>13.4771</v>
      </c>
      <c r="D897" s="60">
        <f>13.4936 * CHOOSE(CONTROL!$C$19, $C$6, 100%, $E$6)</f>
        <v>13.493600000000001</v>
      </c>
      <c r="E897" s="61">
        <f>16.2059 * CHOOSE(CONTROL!$C$19, $C$6, 100%, $E$6)</f>
        <v>16.2059</v>
      </c>
      <c r="F897" s="61">
        <f>16.2059 * CHOOSE(CONTROL!$C$19, $C$6, 100%, $E$6)</f>
        <v>16.2059</v>
      </c>
      <c r="G897" s="61">
        <f>16.2061 * CHOOSE(CONTROL!$C$19, $C$6, 100%, $E$6)</f>
        <v>16.206099999999999</v>
      </c>
      <c r="H897" s="61">
        <f>22.4366* CHOOSE(CONTROL!$C$19, $C$6, 100%, $E$6)</f>
        <v>22.436599999999999</v>
      </c>
      <c r="I897" s="61">
        <f>22.4368 * CHOOSE(CONTROL!$C$19, $C$6, 100%, $E$6)</f>
        <v>22.436800000000002</v>
      </c>
      <c r="J897" s="61">
        <f>16.2059 * CHOOSE(CONTROL!$C$19, $C$6, 100%, $E$6)</f>
        <v>16.2059</v>
      </c>
      <c r="K897" s="61">
        <f>16.2061 * CHOOSE(CONTROL!$C$19, $C$6, 100%, $E$6)</f>
        <v>16.206099999999999</v>
      </c>
    </row>
    <row r="898" spans="1:11" ht="15">
      <c r="A898" s="13">
        <v>69399</v>
      </c>
      <c r="B898" s="60">
        <f>13.4462 * CHOOSE(CONTROL!$C$19, $C$6, 100%, $E$6)</f>
        <v>13.446199999999999</v>
      </c>
      <c r="C898" s="60">
        <f>13.4462 * CHOOSE(CONTROL!$C$19, $C$6, 100%, $E$6)</f>
        <v>13.446199999999999</v>
      </c>
      <c r="D898" s="60">
        <f>13.4627 * CHOOSE(CONTROL!$C$19, $C$6, 100%, $E$6)</f>
        <v>13.4627</v>
      </c>
      <c r="E898" s="61">
        <f>16.2622 * CHOOSE(CONTROL!$C$19, $C$6, 100%, $E$6)</f>
        <v>16.2622</v>
      </c>
      <c r="F898" s="61">
        <f>16.2622 * CHOOSE(CONTROL!$C$19, $C$6, 100%, $E$6)</f>
        <v>16.2622</v>
      </c>
      <c r="G898" s="61">
        <f>16.2624 * CHOOSE(CONTROL!$C$19, $C$6, 100%, $E$6)</f>
        <v>16.2624</v>
      </c>
      <c r="H898" s="61">
        <f>22.2535* CHOOSE(CONTROL!$C$19, $C$6, 100%, $E$6)</f>
        <v>22.253499999999999</v>
      </c>
      <c r="I898" s="61">
        <f>22.2536 * CHOOSE(CONTROL!$C$19, $C$6, 100%, $E$6)</f>
        <v>22.253599999999999</v>
      </c>
      <c r="J898" s="61">
        <f>16.2622 * CHOOSE(CONTROL!$C$19, $C$6, 100%, $E$6)</f>
        <v>16.2622</v>
      </c>
      <c r="K898" s="61">
        <f>16.2624 * CHOOSE(CONTROL!$C$19, $C$6, 100%, $E$6)</f>
        <v>16.2624</v>
      </c>
    </row>
    <row r="899" spans="1:11" ht="15">
      <c r="A899" s="13">
        <v>69430</v>
      </c>
      <c r="B899" s="60">
        <f>13.4431 * CHOOSE(CONTROL!$C$19, $C$6, 100%, $E$6)</f>
        <v>13.443099999999999</v>
      </c>
      <c r="C899" s="60">
        <f>13.4431 * CHOOSE(CONTROL!$C$19, $C$6, 100%, $E$6)</f>
        <v>13.443099999999999</v>
      </c>
      <c r="D899" s="60">
        <f>13.4596 * CHOOSE(CONTROL!$C$19, $C$6, 100%, $E$6)</f>
        <v>13.4596</v>
      </c>
      <c r="E899" s="61">
        <f>15.9901 * CHOOSE(CONTROL!$C$19, $C$6, 100%, $E$6)</f>
        <v>15.9901</v>
      </c>
      <c r="F899" s="61">
        <f>15.9901 * CHOOSE(CONTROL!$C$19, $C$6, 100%, $E$6)</f>
        <v>15.9901</v>
      </c>
      <c r="G899" s="61">
        <f>15.9903 * CHOOSE(CONTROL!$C$19, $C$6, 100%, $E$6)</f>
        <v>15.9903</v>
      </c>
      <c r="H899" s="61">
        <f>22.2998* CHOOSE(CONTROL!$C$19, $C$6, 100%, $E$6)</f>
        <v>22.299800000000001</v>
      </c>
      <c r="I899" s="61">
        <f>22.3 * CHOOSE(CONTROL!$C$19, $C$6, 100%, $E$6)</f>
        <v>22.3</v>
      </c>
      <c r="J899" s="61">
        <f>15.9901 * CHOOSE(CONTROL!$C$19, $C$6, 100%, $E$6)</f>
        <v>15.9901</v>
      </c>
      <c r="K899" s="61">
        <f>15.9903 * CHOOSE(CONTROL!$C$19, $C$6, 100%, $E$6)</f>
        <v>15.9903</v>
      </c>
    </row>
    <row r="900" spans="1:11" ht="15">
      <c r="A900" s="13">
        <v>69458</v>
      </c>
      <c r="B900" s="60">
        <f>13.4401 * CHOOSE(CONTROL!$C$19, $C$6, 100%, $E$6)</f>
        <v>13.440099999999999</v>
      </c>
      <c r="C900" s="60">
        <f>13.4401 * CHOOSE(CONTROL!$C$19, $C$6, 100%, $E$6)</f>
        <v>13.440099999999999</v>
      </c>
      <c r="D900" s="60">
        <f>13.4566 * CHOOSE(CONTROL!$C$19, $C$6, 100%, $E$6)</f>
        <v>13.4566</v>
      </c>
      <c r="E900" s="61">
        <f>16.2009 * CHOOSE(CONTROL!$C$19, $C$6, 100%, $E$6)</f>
        <v>16.200900000000001</v>
      </c>
      <c r="F900" s="61">
        <f>16.2009 * CHOOSE(CONTROL!$C$19, $C$6, 100%, $E$6)</f>
        <v>16.200900000000001</v>
      </c>
      <c r="G900" s="61">
        <f>16.201 * CHOOSE(CONTROL!$C$19, $C$6, 100%, $E$6)</f>
        <v>16.201000000000001</v>
      </c>
      <c r="H900" s="61">
        <f>22.3463* CHOOSE(CONTROL!$C$19, $C$6, 100%, $E$6)</f>
        <v>22.346299999999999</v>
      </c>
      <c r="I900" s="61">
        <f>22.3465 * CHOOSE(CONTROL!$C$19, $C$6, 100%, $E$6)</f>
        <v>22.346499999999999</v>
      </c>
      <c r="J900" s="61">
        <f>16.2009 * CHOOSE(CONTROL!$C$19, $C$6, 100%, $E$6)</f>
        <v>16.200900000000001</v>
      </c>
      <c r="K900" s="61">
        <f>16.201 * CHOOSE(CONTROL!$C$19, $C$6, 100%, $E$6)</f>
        <v>16.201000000000001</v>
      </c>
    </row>
    <row r="901" spans="1:11" ht="15">
      <c r="A901" s="13">
        <v>69489</v>
      </c>
      <c r="B901" s="60">
        <f>13.447 * CHOOSE(CONTROL!$C$19, $C$6, 100%, $E$6)</f>
        <v>13.446999999999999</v>
      </c>
      <c r="C901" s="60">
        <f>13.447 * CHOOSE(CONTROL!$C$19, $C$6, 100%, $E$6)</f>
        <v>13.446999999999999</v>
      </c>
      <c r="D901" s="60">
        <f>13.4635 * CHOOSE(CONTROL!$C$19, $C$6, 100%, $E$6)</f>
        <v>13.4635</v>
      </c>
      <c r="E901" s="61">
        <f>16.4252 * CHOOSE(CONTROL!$C$19, $C$6, 100%, $E$6)</f>
        <v>16.4252</v>
      </c>
      <c r="F901" s="61">
        <f>16.4252 * CHOOSE(CONTROL!$C$19, $C$6, 100%, $E$6)</f>
        <v>16.4252</v>
      </c>
      <c r="G901" s="61">
        <f>16.4254 * CHOOSE(CONTROL!$C$19, $C$6, 100%, $E$6)</f>
        <v>16.4254</v>
      </c>
      <c r="H901" s="61">
        <f>22.3928* CHOOSE(CONTROL!$C$19, $C$6, 100%, $E$6)</f>
        <v>22.392800000000001</v>
      </c>
      <c r="I901" s="61">
        <f>22.393 * CHOOSE(CONTROL!$C$19, $C$6, 100%, $E$6)</f>
        <v>22.393000000000001</v>
      </c>
      <c r="J901" s="61">
        <f>16.4252 * CHOOSE(CONTROL!$C$19, $C$6, 100%, $E$6)</f>
        <v>16.4252</v>
      </c>
      <c r="K901" s="61">
        <f>16.4254 * CHOOSE(CONTROL!$C$19, $C$6, 100%, $E$6)</f>
        <v>16.4254</v>
      </c>
    </row>
    <row r="902" spans="1:11" ht="15">
      <c r="A902" s="13">
        <v>69519</v>
      </c>
      <c r="B902" s="60">
        <f>13.447 * CHOOSE(CONTROL!$C$19, $C$6, 100%, $E$6)</f>
        <v>13.446999999999999</v>
      </c>
      <c r="C902" s="60">
        <f>13.447 * CHOOSE(CONTROL!$C$19, $C$6, 100%, $E$6)</f>
        <v>13.446999999999999</v>
      </c>
      <c r="D902" s="60">
        <f>13.48 * CHOOSE(CONTROL!$C$19, $C$6, 100%, $E$6)</f>
        <v>13.48</v>
      </c>
      <c r="E902" s="61">
        <f>16.511 * CHOOSE(CONTROL!$C$19, $C$6, 100%, $E$6)</f>
        <v>16.510999999999999</v>
      </c>
      <c r="F902" s="61">
        <f>16.511 * CHOOSE(CONTROL!$C$19, $C$6, 100%, $E$6)</f>
        <v>16.510999999999999</v>
      </c>
      <c r="G902" s="61">
        <f>16.513 * CHOOSE(CONTROL!$C$19, $C$6, 100%, $E$6)</f>
        <v>16.513000000000002</v>
      </c>
      <c r="H902" s="61">
        <f>22.4395* CHOOSE(CONTROL!$C$19, $C$6, 100%, $E$6)</f>
        <v>22.439499999999999</v>
      </c>
      <c r="I902" s="61">
        <f>22.4415 * CHOOSE(CONTROL!$C$19, $C$6, 100%, $E$6)</f>
        <v>22.441500000000001</v>
      </c>
      <c r="J902" s="61">
        <f>16.511 * CHOOSE(CONTROL!$C$19, $C$6, 100%, $E$6)</f>
        <v>16.510999999999999</v>
      </c>
      <c r="K902" s="61">
        <f>16.513 * CHOOSE(CONTROL!$C$19, $C$6, 100%, $E$6)</f>
        <v>16.513000000000002</v>
      </c>
    </row>
    <row r="903" spans="1:11" ht="15">
      <c r="A903" s="13">
        <v>69550</v>
      </c>
      <c r="B903" s="60">
        <f>13.4531 * CHOOSE(CONTROL!$C$19, $C$6, 100%, $E$6)</f>
        <v>13.453099999999999</v>
      </c>
      <c r="C903" s="60">
        <f>13.4531 * CHOOSE(CONTROL!$C$19, $C$6, 100%, $E$6)</f>
        <v>13.453099999999999</v>
      </c>
      <c r="D903" s="60">
        <f>13.4861 * CHOOSE(CONTROL!$C$19, $C$6, 100%, $E$6)</f>
        <v>13.4861</v>
      </c>
      <c r="E903" s="61">
        <f>16.4295 * CHOOSE(CONTROL!$C$19, $C$6, 100%, $E$6)</f>
        <v>16.429500000000001</v>
      </c>
      <c r="F903" s="61">
        <f>16.4295 * CHOOSE(CONTROL!$C$19, $C$6, 100%, $E$6)</f>
        <v>16.429500000000001</v>
      </c>
      <c r="G903" s="61">
        <f>16.4315 * CHOOSE(CONTROL!$C$19, $C$6, 100%, $E$6)</f>
        <v>16.4315</v>
      </c>
      <c r="H903" s="61">
        <f>22.4862* CHOOSE(CONTROL!$C$19, $C$6, 100%, $E$6)</f>
        <v>22.4862</v>
      </c>
      <c r="I903" s="61">
        <f>22.4883 * CHOOSE(CONTROL!$C$19, $C$6, 100%, $E$6)</f>
        <v>22.488299999999999</v>
      </c>
      <c r="J903" s="61">
        <f>16.4295 * CHOOSE(CONTROL!$C$19, $C$6, 100%, $E$6)</f>
        <v>16.429500000000001</v>
      </c>
      <c r="K903" s="61">
        <f>16.4315 * CHOOSE(CONTROL!$C$19, $C$6, 100%, $E$6)</f>
        <v>16.4315</v>
      </c>
    </row>
    <row r="904" spans="1:11" ht="15">
      <c r="A904" s="13">
        <v>69580</v>
      </c>
      <c r="B904" s="60">
        <f>13.6388 * CHOOSE(CONTROL!$C$19, $C$6, 100%, $E$6)</f>
        <v>13.6388</v>
      </c>
      <c r="C904" s="60">
        <f>13.6388 * CHOOSE(CONTROL!$C$19, $C$6, 100%, $E$6)</f>
        <v>13.6388</v>
      </c>
      <c r="D904" s="60">
        <f>13.6718 * CHOOSE(CONTROL!$C$19, $C$6, 100%, $E$6)</f>
        <v>13.671799999999999</v>
      </c>
      <c r="E904" s="61">
        <f>16.7267 * CHOOSE(CONTROL!$C$19, $C$6, 100%, $E$6)</f>
        <v>16.726700000000001</v>
      </c>
      <c r="F904" s="61">
        <f>16.7267 * CHOOSE(CONTROL!$C$19, $C$6, 100%, $E$6)</f>
        <v>16.726700000000001</v>
      </c>
      <c r="G904" s="61">
        <f>16.7287 * CHOOSE(CONTROL!$C$19, $C$6, 100%, $E$6)</f>
        <v>16.7287</v>
      </c>
      <c r="H904" s="61">
        <f>22.5331* CHOOSE(CONTROL!$C$19, $C$6, 100%, $E$6)</f>
        <v>22.533100000000001</v>
      </c>
      <c r="I904" s="61">
        <f>22.5351 * CHOOSE(CONTROL!$C$19, $C$6, 100%, $E$6)</f>
        <v>22.5351</v>
      </c>
      <c r="J904" s="61">
        <f>16.7267 * CHOOSE(CONTROL!$C$19, $C$6, 100%, $E$6)</f>
        <v>16.726700000000001</v>
      </c>
      <c r="K904" s="61">
        <f>16.7287 * CHOOSE(CONTROL!$C$19, $C$6, 100%, $E$6)</f>
        <v>16.7287</v>
      </c>
    </row>
    <row r="905" spans="1:11" ht="15">
      <c r="A905" s="13">
        <v>69611</v>
      </c>
      <c r="B905" s="60">
        <f>13.6455 * CHOOSE(CONTROL!$C$19, $C$6, 100%, $E$6)</f>
        <v>13.6455</v>
      </c>
      <c r="C905" s="60">
        <f>13.6455 * CHOOSE(CONTROL!$C$19, $C$6, 100%, $E$6)</f>
        <v>13.6455</v>
      </c>
      <c r="D905" s="60">
        <f>13.6785 * CHOOSE(CONTROL!$C$19, $C$6, 100%, $E$6)</f>
        <v>13.6785</v>
      </c>
      <c r="E905" s="61">
        <f>16.4741 * CHOOSE(CONTROL!$C$19, $C$6, 100%, $E$6)</f>
        <v>16.4741</v>
      </c>
      <c r="F905" s="61">
        <f>16.4741 * CHOOSE(CONTROL!$C$19, $C$6, 100%, $E$6)</f>
        <v>16.4741</v>
      </c>
      <c r="G905" s="61">
        <f>16.4762 * CHOOSE(CONTROL!$C$19, $C$6, 100%, $E$6)</f>
        <v>16.476199999999999</v>
      </c>
      <c r="H905" s="61">
        <f>22.58* CHOOSE(CONTROL!$C$19, $C$6, 100%, $E$6)</f>
        <v>22.58</v>
      </c>
      <c r="I905" s="61">
        <f>22.5821 * CHOOSE(CONTROL!$C$19, $C$6, 100%, $E$6)</f>
        <v>22.582100000000001</v>
      </c>
      <c r="J905" s="61">
        <f>16.4741 * CHOOSE(CONTROL!$C$19, $C$6, 100%, $E$6)</f>
        <v>16.4741</v>
      </c>
      <c r="K905" s="61">
        <f>16.4762 * CHOOSE(CONTROL!$C$19, $C$6, 100%, $E$6)</f>
        <v>16.476199999999999</v>
      </c>
    </row>
    <row r="906" spans="1:11" ht="15">
      <c r="A906" s="13">
        <v>69642</v>
      </c>
      <c r="B906" s="60">
        <f>13.6424 * CHOOSE(CONTROL!$C$19, $C$6, 100%, $E$6)</f>
        <v>13.6424</v>
      </c>
      <c r="C906" s="60">
        <f>13.6424 * CHOOSE(CONTROL!$C$19, $C$6, 100%, $E$6)</f>
        <v>13.6424</v>
      </c>
      <c r="D906" s="60">
        <f>13.6754 * CHOOSE(CONTROL!$C$19, $C$6, 100%, $E$6)</f>
        <v>13.6754</v>
      </c>
      <c r="E906" s="61">
        <f>16.4434 * CHOOSE(CONTROL!$C$19, $C$6, 100%, $E$6)</f>
        <v>16.4434</v>
      </c>
      <c r="F906" s="61">
        <f>16.4434 * CHOOSE(CONTROL!$C$19, $C$6, 100%, $E$6)</f>
        <v>16.4434</v>
      </c>
      <c r="G906" s="61">
        <f>16.4455 * CHOOSE(CONTROL!$C$19, $C$6, 100%, $E$6)</f>
        <v>16.445499999999999</v>
      </c>
      <c r="H906" s="61">
        <f>22.6271* CHOOSE(CONTROL!$C$19, $C$6, 100%, $E$6)</f>
        <v>22.627099999999999</v>
      </c>
      <c r="I906" s="61">
        <f>22.6291 * CHOOSE(CONTROL!$C$19, $C$6, 100%, $E$6)</f>
        <v>22.629100000000001</v>
      </c>
      <c r="J906" s="61">
        <f>16.4434 * CHOOSE(CONTROL!$C$19, $C$6, 100%, $E$6)</f>
        <v>16.4434</v>
      </c>
      <c r="K906" s="61">
        <f>16.4455 * CHOOSE(CONTROL!$C$19, $C$6, 100%, $E$6)</f>
        <v>16.445499999999999</v>
      </c>
    </row>
    <row r="907" spans="1:11" ht="15">
      <c r="A907" s="13">
        <v>69672</v>
      </c>
      <c r="B907" s="60">
        <f>13.6741 * CHOOSE(CONTROL!$C$19, $C$6, 100%, $E$6)</f>
        <v>13.674099999999999</v>
      </c>
      <c r="C907" s="60">
        <f>13.6741 * CHOOSE(CONTROL!$C$19, $C$6, 100%, $E$6)</f>
        <v>13.674099999999999</v>
      </c>
      <c r="D907" s="60">
        <f>13.6906 * CHOOSE(CONTROL!$C$19, $C$6, 100%, $E$6)</f>
        <v>13.6906</v>
      </c>
      <c r="E907" s="61">
        <f>16.5443 * CHOOSE(CONTROL!$C$19, $C$6, 100%, $E$6)</f>
        <v>16.5443</v>
      </c>
      <c r="F907" s="61">
        <f>16.5443 * CHOOSE(CONTROL!$C$19, $C$6, 100%, $E$6)</f>
        <v>16.5443</v>
      </c>
      <c r="G907" s="61">
        <f>16.5445 * CHOOSE(CONTROL!$C$19, $C$6, 100%, $E$6)</f>
        <v>16.544499999999999</v>
      </c>
      <c r="H907" s="61">
        <f>22.6742* CHOOSE(CONTROL!$C$19, $C$6, 100%, $E$6)</f>
        <v>22.674199999999999</v>
      </c>
      <c r="I907" s="61">
        <f>22.6744 * CHOOSE(CONTROL!$C$19, $C$6, 100%, $E$6)</f>
        <v>22.674399999999999</v>
      </c>
      <c r="J907" s="61">
        <f>16.5443 * CHOOSE(CONTROL!$C$19, $C$6, 100%, $E$6)</f>
        <v>16.5443</v>
      </c>
      <c r="K907" s="61">
        <f>16.5445 * CHOOSE(CONTROL!$C$19, $C$6, 100%, $E$6)</f>
        <v>16.544499999999999</v>
      </c>
    </row>
    <row r="908" spans="1:11" ht="15">
      <c r="A908" s="13">
        <v>69703</v>
      </c>
      <c r="B908" s="60">
        <f>13.6772 * CHOOSE(CONTROL!$C$19, $C$6, 100%, $E$6)</f>
        <v>13.677199999999999</v>
      </c>
      <c r="C908" s="60">
        <f>13.6772 * CHOOSE(CONTROL!$C$19, $C$6, 100%, $E$6)</f>
        <v>13.677199999999999</v>
      </c>
      <c r="D908" s="60">
        <f>13.6937 * CHOOSE(CONTROL!$C$19, $C$6, 100%, $E$6)</f>
        <v>13.6937</v>
      </c>
      <c r="E908" s="61">
        <f>16.6036 * CHOOSE(CONTROL!$C$19, $C$6, 100%, $E$6)</f>
        <v>16.6036</v>
      </c>
      <c r="F908" s="61">
        <f>16.6036 * CHOOSE(CONTROL!$C$19, $C$6, 100%, $E$6)</f>
        <v>16.6036</v>
      </c>
      <c r="G908" s="61">
        <f>16.6038 * CHOOSE(CONTROL!$C$19, $C$6, 100%, $E$6)</f>
        <v>16.6038</v>
      </c>
      <c r="H908" s="61">
        <f>22.7214* CHOOSE(CONTROL!$C$19, $C$6, 100%, $E$6)</f>
        <v>22.721399999999999</v>
      </c>
      <c r="I908" s="61">
        <f>22.7216 * CHOOSE(CONTROL!$C$19, $C$6, 100%, $E$6)</f>
        <v>22.721599999999999</v>
      </c>
      <c r="J908" s="61">
        <f>16.6036 * CHOOSE(CONTROL!$C$19, $C$6, 100%, $E$6)</f>
        <v>16.6036</v>
      </c>
      <c r="K908" s="61">
        <f>16.6038 * CHOOSE(CONTROL!$C$19, $C$6, 100%, $E$6)</f>
        <v>16.6038</v>
      </c>
    </row>
    <row r="909" spans="1:11" ht="15">
      <c r="A909" s="13">
        <v>69733</v>
      </c>
      <c r="B909" s="60">
        <f>13.6772 * CHOOSE(CONTROL!$C$19, $C$6, 100%, $E$6)</f>
        <v>13.677199999999999</v>
      </c>
      <c r="C909" s="60">
        <f>13.6772 * CHOOSE(CONTROL!$C$19, $C$6, 100%, $E$6)</f>
        <v>13.677199999999999</v>
      </c>
      <c r="D909" s="60">
        <f>13.6937 * CHOOSE(CONTROL!$C$19, $C$6, 100%, $E$6)</f>
        <v>13.6937</v>
      </c>
      <c r="E909" s="61">
        <f>16.4607 * CHOOSE(CONTROL!$C$19, $C$6, 100%, $E$6)</f>
        <v>16.460699999999999</v>
      </c>
      <c r="F909" s="61">
        <f>16.4607 * CHOOSE(CONTROL!$C$19, $C$6, 100%, $E$6)</f>
        <v>16.460699999999999</v>
      </c>
      <c r="G909" s="61">
        <f>16.4609 * CHOOSE(CONTROL!$C$19, $C$6, 100%, $E$6)</f>
        <v>16.460899999999999</v>
      </c>
      <c r="H909" s="61">
        <f>22.7688* CHOOSE(CONTROL!$C$19, $C$6, 100%, $E$6)</f>
        <v>22.768799999999999</v>
      </c>
      <c r="I909" s="61">
        <f>22.769 * CHOOSE(CONTROL!$C$19, $C$6, 100%, $E$6)</f>
        <v>22.768999999999998</v>
      </c>
      <c r="J909" s="61">
        <f>16.4607 * CHOOSE(CONTROL!$C$19, $C$6, 100%, $E$6)</f>
        <v>16.460699999999999</v>
      </c>
      <c r="K909" s="61">
        <f>16.4609 * CHOOSE(CONTROL!$C$19, $C$6, 100%, $E$6)</f>
        <v>16.460899999999999</v>
      </c>
    </row>
    <row r="910" spans="1:11" ht="15">
      <c r="A910" s="13">
        <v>69764</v>
      </c>
      <c r="B910" s="60">
        <f>13.6428 * CHOOSE(CONTROL!$C$19, $C$6, 100%, $E$6)</f>
        <v>13.642799999999999</v>
      </c>
      <c r="C910" s="60">
        <f>13.6428 * CHOOSE(CONTROL!$C$19, $C$6, 100%, $E$6)</f>
        <v>13.642799999999999</v>
      </c>
      <c r="D910" s="60">
        <f>13.6593 * CHOOSE(CONTROL!$C$19, $C$6, 100%, $E$6)</f>
        <v>13.6593</v>
      </c>
      <c r="E910" s="61">
        <f>16.5141 * CHOOSE(CONTROL!$C$19, $C$6, 100%, $E$6)</f>
        <v>16.514099999999999</v>
      </c>
      <c r="F910" s="61">
        <f>16.5141 * CHOOSE(CONTROL!$C$19, $C$6, 100%, $E$6)</f>
        <v>16.514099999999999</v>
      </c>
      <c r="G910" s="61">
        <f>16.5143 * CHOOSE(CONTROL!$C$19, $C$6, 100%, $E$6)</f>
        <v>16.514299999999999</v>
      </c>
      <c r="H910" s="61">
        <f>22.5781* CHOOSE(CONTROL!$C$19, $C$6, 100%, $E$6)</f>
        <v>22.578099999999999</v>
      </c>
      <c r="I910" s="61">
        <f>22.5783 * CHOOSE(CONTROL!$C$19, $C$6, 100%, $E$6)</f>
        <v>22.578299999999999</v>
      </c>
      <c r="J910" s="61">
        <f>16.5141 * CHOOSE(CONTROL!$C$19, $C$6, 100%, $E$6)</f>
        <v>16.514099999999999</v>
      </c>
      <c r="K910" s="61">
        <f>16.5143 * CHOOSE(CONTROL!$C$19, $C$6, 100%, $E$6)</f>
        <v>16.514299999999999</v>
      </c>
    </row>
    <row r="911" spans="1:11" ht="15">
      <c r="A911" s="13">
        <v>69795</v>
      </c>
      <c r="B911" s="60">
        <f>13.6397 * CHOOSE(CONTROL!$C$19, $C$6, 100%, $E$6)</f>
        <v>13.639699999999999</v>
      </c>
      <c r="C911" s="60">
        <f>13.6397 * CHOOSE(CONTROL!$C$19, $C$6, 100%, $E$6)</f>
        <v>13.639699999999999</v>
      </c>
      <c r="D911" s="60">
        <f>13.6562 * CHOOSE(CONTROL!$C$19, $C$6, 100%, $E$6)</f>
        <v>13.6562</v>
      </c>
      <c r="E911" s="61">
        <f>16.2375 * CHOOSE(CONTROL!$C$19, $C$6, 100%, $E$6)</f>
        <v>16.237500000000001</v>
      </c>
      <c r="F911" s="61">
        <f>16.2375 * CHOOSE(CONTROL!$C$19, $C$6, 100%, $E$6)</f>
        <v>16.237500000000001</v>
      </c>
      <c r="G911" s="61">
        <f>16.2376 * CHOOSE(CONTROL!$C$19, $C$6, 100%, $E$6)</f>
        <v>16.2376</v>
      </c>
      <c r="H911" s="61">
        <f>22.6252* CHOOSE(CONTROL!$C$19, $C$6, 100%, $E$6)</f>
        <v>22.6252</v>
      </c>
      <c r="I911" s="61">
        <f>22.6253 * CHOOSE(CONTROL!$C$19, $C$6, 100%, $E$6)</f>
        <v>22.625299999999999</v>
      </c>
      <c r="J911" s="61">
        <f>16.2375 * CHOOSE(CONTROL!$C$19, $C$6, 100%, $E$6)</f>
        <v>16.237500000000001</v>
      </c>
      <c r="K911" s="61">
        <f>16.2376 * CHOOSE(CONTROL!$C$19, $C$6, 100%, $E$6)</f>
        <v>16.2376</v>
      </c>
    </row>
    <row r="912" spans="1:11" ht="15">
      <c r="A912" s="13">
        <v>69823</v>
      </c>
      <c r="B912" s="60">
        <f>13.6367 * CHOOSE(CONTROL!$C$19, $C$6, 100%, $E$6)</f>
        <v>13.636699999999999</v>
      </c>
      <c r="C912" s="60">
        <f>13.6367 * CHOOSE(CONTROL!$C$19, $C$6, 100%, $E$6)</f>
        <v>13.636699999999999</v>
      </c>
      <c r="D912" s="60">
        <f>13.6532 * CHOOSE(CONTROL!$C$19, $C$6, 100%, $E$6)</f>
        <v>13.6532</v>
      </c>
      <c r="E912" s="61">
        <f>16.4517 * CHOOSE(CONTROL!$C$19, $C$6, 100%, $E$6)</f>
        <v>16.451699999999999</v>
      </c>
      <c r="F912" s="61">
        <f>16.4517 * CHOOSE(CONTROL!$C$19, $C$6, 100%, $E$6)</f>
        <v>16.451699999999999</v>
      </c>
      <c r="G912" s="61">
        <f>16.4519 * CHOOSE(CONTROL!$C$19, $C$6, 100%, $E$6)</f>
        <v>16.451899999999998</v>
      </c>
      <c r="H912" s="61">
        <f>22.6723* CHOOSE(CONTROL!$C$19, $C$6, 100%, $E$6)</f>
        <v>22.6723</v>
      </c>
      <c r="I912" s="61">
        <f>22.6725 * CHOOSE(CONTROL!$C$19, $C$6, 100%, $E$6)</f>
        <v>22.672499999999999</v>
      </c>
      <c r="J912" s="61">
        <f>16.4517 * CHOOSE(CONTROL!$C$19, $C$6, 100%, $E$6)</f>
        <v>16.451699999999999</v>
      </c>
      <c r="K912" s="61">
        <f>16.4519 * CHOOSE(CONTROL!$C$19, $C$6, 100%, $E$6)</f>
        <v>16.451899999999998</v>
      </c>
    </row>
    <row r="913" spans="1:11" ht="15">
      <c r="A913" s="13">
        <v>69854</v>
      </c>
      <c r="B913" s="60">
        <f>13.6438 * CHOOSE(CONTROL!$C$19, $C$6, 100%, $E$6)</f>
        <v>13.643800000000001</v>
      </c>
      <c r="C913" s="60">
        <f>13.6438 * CHOOSE(CONTROL!$C$19, $C$6, 100%, $E$6)</f>
        <v>13.643800000000001</v>
      </c>
      <c r="D913" s="60">
        <f>13.6603 * CHOOSE(CONTROL!$C$19, $C$6, 100%, $E$6)</f>
        <v>13.660299999999999</v>
      </c>
      <c r="E913" s="61">
        <f>16.6799 * CHOOSE(CONTROL!$C$19, $C$6, 100%, $E$6)</f>
        <v>16.6799</v>
      </c>
      <c r="F913" s="61">
        <f>16.6799 * CHOOSE(CONTROL!$C$19, $C$6, 100%, $E$6)</f>
        <v>16.6799</v>
      </c>
      <c r="G913" s="61">
        <f>16.6801 * CHOOSE(CONTROL!$C$19, $C$6, 100%, $E$6)</f>
        <v>16.680099999999999</v>
      </c>
      <c r="H913" s="61">
        <f>22.7195* CHOOSE(CONTROL!$C$19, $C$6, 100%, $E$6)</f>
        <v>22.7195</v>
      </c>
      <c r="I913" s="61">
        <f>22.7197 * CHOOSE(CONTROL!$C$19, $C$6, 100%, $E$6)</f>
        <v>22.7197</v>
      </c>
      <c r="J913" s="61">
        <f>16.6799 * CHOOSE(CONTROL!$C$19, $C$6, 100%, $E$6)</f>
        <v>16.6799</v>
      </c>
      <c r="K913" s="61">
        <f>16.6801 * CHOOSE(CONTROL!$C$19, $C$6, 100%, $E$6)</f>
        <v>16.680099999999999</v>
      </c>
    </row>
    <row r="914" spans="1:11" ht="15">
      <c r="A914" s="13">
        <v>69884</v>
      </c>
      <c r="B914" s="60">
        <f>13.6438 * CHOOSE(CONTROL!$C$19, $C$6, 100%, $E$6)</f>
        <v>13.643800000000001</v>
      </c>
      <c r="C914" s="60">
        <f>13.6438 * CHOOSE(CONTROL!$C$19, $C$6, 100%, $E$6)</f>
        <v>13.643800000000001</v>
      </c>
      <c r="D914" s="60">
        <f>13.6768 * CHOOSE(CONTROL!$C$19, $C$6, 100%, $E$6)</f>
        <v>13.6768</v>
      </c>
      <c r="E914" s="61">
        <f>16.7671 * CHOOSE(CONTROL!$C$19, $C$6, 100%, $E$6)</f>
        <v>16.767099999999999</v>
      </c>
      <c r="F914" s="61">
        <f>16.7671 * CHOOSE(CONTROL!$C$19, $C$6, 100%, $E$6)</f>
        <v>16.767099999999999</v>
      </c>
      <c r="G914" s="61">
        <f>16.7691 * CHOOSE(CONTROL!$C$19, $C$6, 100%, $E$6)</f>
        <v>16.769100000000002</v>
      </c>
      <c r="H914" s="61">
        <f>22.7669* CHOOSE(CONTROL!$C$19, $C$6, 100%, $E$6)</f>
        <v>22.7669</v>
      </c>
      <c r="I914" s="61">
        <f>22.7689 * CHOOSE(CONTROL!$C$19, $C$6, 100%, $E$6)</f>
        <v>22.768899999999999</v>
      </c>
      <c r="J914" s="61">
        <f>16.7671 * CHOOSE(CONTROL!$C$19, $C$6, 100%, $E$6)</f>
        <v>16.767099999999999</v>
      </c>
      <c r="K914" s="61">
        <f>16.7691 * CHOOSE(CONTROL!$C$19, $C$6, 100%, $E$6)</f>
        <v>16.769100000000002</v>
      </c>
    </row>
    <row r="915" spans="1:11" ht="15">
      <c r="A915" s="13">
        <v>69915</v>
      </c>
      <c r="B915" s="60">
        <f>13.6499 * CHOOSE(CONTROL!$C$19, $C$6, 100%, $E$6)</f>
        <v>13.649900000000001</v>
      </c>
      <c r="C915" s="60">
        <f>13.6499 * CHOOSE(CONTROL!$C$19, $C$6, 100%, $E$6)</f>
        <v>13.649900000000001</v>
      </c>
      <c r="D915" s="60">
        <f>13.6829 * CHOOSE(CONTROL!$C$19, $C$6, 100%, $E$6)</f>
        <v>13.6829</v>
      </c>
      <c r="E915" s="61">
        <f>16.6841 * CHOOSE(CONTROL!$C$19, $C$6, 100%, $E$6)</f>
        <v>16.684100000000001</v>
      </c>
      <c r="F915" s="61">
        <f>16.6841 * CHOOSE(CONTROL!$C$19, $C$6, 100%, $E$6)</f>
        <v>16.684100000000001</v>
      </c>
      <c r="G915" s="61">
        <f>16.6862 * CHOOSE(CONTROL!$C$19, $C$6, 100%, $E$6)</f>
        <v>16.686199999999999</v>
      </c>
      <c r="H915" s="61">
        <f>22.8143* CHOOSE(CONTROL!$C$19, $C$6, 100%, $E$6)</f>
        <v>22.814299999999999</v>
      </c>
      <c r="I915" s="61">
        <f>22.8163 * CHOOSE(CONTROL!$C$19, $C$6, 100%, $E$6)</f>
        <v>22.816299999999998</v>
      </c>
      <c r="J915" s="61">
        <f>16.6841 * CHOOSE(CONTROL!$C$19, $C$6, 100%, $E$6)</f>
        <v>16.684100000000001</v>
      </c>
      <c r="K915" s="61">
        <f>16.6862 * CHOOSE(CONTROL!$C$19, $C$6, 100%, $E$6)</f>
        <v>16.686199999999999</v>
      </c>
    </row>
    <row r="916" spans="1:11" ht="15">
      <c r="A916" s="13">
        <v>69945</v>
      </c>
      <c r="B916" s="60">
        <f>13.8381 * CHOOSE(CONTROL!$C$19, $C$6, 100%, $E$6)</f>
        <v>13.838100000000001</v>
      </c>
      <c r="C916" s="60">
        <f>13.8381 * CHOOSE(CONTROL!$C$19, $C$6, 100%, $E$6)</f>
        <v>13.838100000000001</v>
      </c>
      <c r="D916" s="60">
        <f>13.8711 * CHOOSE(CONTROL!$C$19, $C$6, 100%, $E$6)</f>
        <v>13.8711</v>
      </c>
      <c r="E916" s="61">
        <f>16.9858 * CHOOSE(CONTROL!$C$19, $C$6, 100%, $E$6)</f>
        <v>16.985800000000001</v>
      </c>
      <c r="F916" s="61">
        <f>16.9858 * CHOOSE(CONTROL!$C$19, $C$6, 100%, $E$6)</f>
        <v>16.985800000000001</v>
      </c>
      <c r="G916" s="61">
        <f>16.9878 * CHOOSE(CONTROL!$C$19, $C$6, 100%, $E$6)</f>
        <v>16.9878</v>
      </c>
      <c r="H916" s="61">
        <f>22.8618* CHOOSE(CONTROL!$C$19, $C$6, 100%, $E$6)</f>
        <v>22.861799999999999</v>
      </c>
      <c r="I916" s="61">
        <f>22.8639 * CHOOSE(CONTROL!$C$19, $C$6, 100%, $E$6)</f>
        <v>22.863900000000001</v>
      </c>
      <c r="J916" s="61">
        <f>16.9858 * CHOOSE(CONTROL!$C$19, $C$6, 100%, $E$6)</f>
        <v>16.985800000000001</v>
      </c>
      <c r="K916" s="61">
        <f>16.9878 * CHOOSE(CONTROL!$C$19, $C$6, 100%, $E$6)</f>
        <v>16.9878</v>
      </c>
    </row>
    <row r="917" spans="1:11" ht="15">
      <c r="A917" s="13">
        <v>69976</v>
      </c>
      <c r="B917" s="60">
        <f>13.8448 * CHOOSE(CONTROL!$C$19, $C$6, 100%, $E$6)</f>
        <v>13.844799999999999</v>
      </c>
      <c r="C917" s="60">
        <f>13.8448 * CHOOSE(CONTROL!$C$19, $C$6, 100%, $E$6)</f>
        <v>13.844799999999999</v>
      </c>
      <c r="D917" s="60">
        <f>13.8778 * CHOOSE(CONTROL!$C$19, $C$6, 100%, $E$6)</f>
        <v>13.877800000000001</v>
      </c>
      <c r="E917" s="61">
        <f>16.729 * CHOOSE(CONTROL!$C$19, $C$6, 100%, $E$6)</f>
        <v>16.728999999999999</v>
      </c>
      <c r="F917" s="61">
        <f>16.729 * CHOOSE(CONTROL!$C$19, $C$6, 100%, $E$6)</f>
        <v>16.728999999999999</v>
      </c>
      <c r="G917" s="61">
        <f>16.731 * CHOOSE(CONTROL!$C$19, $C$6, 100%, $E$6)</f>
        <v>16.731000000000002</v>
      </c>
      <c r="H917" s="61">
        <f>22.9094* CHOOSE(CONTROL!$C$19, $C$6, 100%, $E$6)</f>
        <v>22.909400000000002</v>
      </c>
      <c r="I917" s="61">
        <f>22.9115 * CHOOSE(CONTROL!$C$19, $C$6, 100%, $E$6)</f>
        <v>22.9115</v>
      </c>
      <c r="J917" s="61">
        <f>16.729 * CHOOSE(CONTROL!$C$19, $C$6, 100%, $E$6)</f>
        <v>16.728999999999999</v>
      </c>
      <c r="K917" s="61">
        <f>16.731 * CHOOSE(CONTROL!$C$19, $C$6, 100%, $E$6)</f>
        <v>16.731000000000002</v>
      </c>
    </row>
    <row r="918" spans="1:11" ht="15">
      <c r="A918" s="13">
        <v>70007</v>
      </c>
      <c r="B918" s="60">
        <f>13.8417 * CHOOSE(CONTROL!$C$19, $C$6, 100%, $E$6)</f>
        <v>13.841699999999999</v>
      </c>
      <c r="C918" s="60">
        <f>13.8417 * CHOOSE(CONTROL!$C$19, $C$6, 100%, $E$6)</f>
        <v>13.841699999999999</v>
      </c>
      <c r="D918" s="60">
        <f>13.8747 * CHOOSE(CONTROL!$C$19, $C$6, 100%, $E$6)</f>
        <v>13.874700000000001</v>
      </c>
      <c r="E918" s="61">
        <f>16.6978 * CHOOSE(CONTROL!$C$19, $C$6, 100%, $E$6)</f>
        <v>16.697800000000001</v>
      </c>
      <c r="F918" s="61">
        <f>16.6978 * CHOOSE(CONTROL!$C$19, $C$6, 100%, $E$6)</f>
        <v>16.697800000000001</v>
      </c>
      <c r="G918" s="61">
        <f>16.6999 * CHOOSE(CONTROL!$C$19, $C$6, 100%, $E$6)</f>
        <v>16.6999</v>
      </c>
      <c r="H918" s="61">
        <f>22.9572* CHOOSE(CONTROL!$C$19, $C$6, 100%, $E$6)</f>
        <v>22.9572</v>
      </c>
      <c r="I918" s="61">
        <f>22.9592 * CHOOSE(CONTROL!$C$19, $C$6, 100%, $E$6)</f>
        <v>22.959199999999999</v>
      </c>
      <c r="J918" s="61">
        <f>16.6978 * CHOOSE(CONTROL!$C$19, $C$6, 100%, $E$6)</f>
        <v>16.697800000000001</v>
      </c>
      <c r="K918" s="61">
        <f>16.6999 * CHOOSE(CONTROL!$C$19, $C$6, 100%, $E$6)</f>
        <v>16.6999</v>
      </c>
    </row>
    <row r="919" spans="1:11" ht="15">
      <c r="A919" s="13">
        <v>70037</v>
      </c>
      <c r="B919" s="60">
        <f>13.8742 * CHOOSE(CONTROL!$C$19, $C$6, 100%, $E$6)</f>
        <v>13.8742</v>
      </c>
      <c r="C919" s="60">
        <f>13.8742 * CHOOSE(CONTROL!$C$19, $C$6, 100%, $E$6)</f>
        <v>13.8742</v>
      </c>
      <c r="D919" s="60">
        <f>13.8907 * CHOOSE(CONTROL!$C$19, $C$6, 100%, $E$6)</f>
        <v>13.890700000000001</v>
      </c>
      <c r="E919" s="61">
        <f>16.8006 * CHOOSE(CONTROL!$C$19, $C$6, 100%, $E$6)</f>
        <v>16.800599999999999</v>
      </c>
      <c r="F919" s="61">
        <f>16.8006 * CHOOSE(CONTROL!$C$19, $C$6, 100%, $E$6)</f>
        <v>16.800599999999999</v>
      </c>
      <c r="G919" s="61">
        <f>16.8008 * CHOOSE(CONTROL!$C$19, $C$6, 100%, $E$6)</f>
        <v>16.800799999999999</v>
      </c>
      <c r="H919" s="61">
        <f>23.005* CHOOSE(CONTROL!$C$19, $C$6, 100%, $E$6)</f>
        <v>23.004999999999999</v>
      </c>
      <c r="I919" s="61">
        <f>23.0052 * CHOOSE(CONTROL!$C$19, $C$6, 100%, $E$6)</f>
        <v>23.005199999999999</v>
      </c>
      <c r="J919" s="61">
        <f>16.8006 * CHOOSE(CONTROL!$C$19, $C$6, 100%, $E$6)</f>
        <v>16.800599999999999</v>
      </c>
      <c r="K919" s="61">
        <f>16.8008 * CHOOSE(CONTROL!$C$19, $C$6, 100%, $E$6)</f>
        <v>16.800799999999999</v>
      </c>
    </row>
    <row r="920" spans="1:11" ht="15">
      <c r="A920" s="13">
        <v>70068</v>
      </c>
      <c r="B920" s="60">
        <f>13.8772 * CHOOSE(CONTROL!$C$19, $C$6, 100%, $E$6)</f>
        <v>13.8772</v>
      </c>
      <c r="C920" s="60">
        <f>13.8772 * CHOOSE(CONTROL!$C$19, $C$6, 100%, $E$6)</f>
        <v>13.8772</v>
      </c>
      <c r="D920" s="60">
        <f>13.8937 * CHOOSE(CONTROL!$C$19, $C$6, 100%, $E$6)</f>
        <v>13.893700000000001</v>
      </c>
      <c r="E920" s="61">
        <f>16.8608 * CHOOSE(CONTROL!$C$19, $C$6, 100%, $E$6)</f>
        <v>16.860800000000001</v>
      </c>
      <c r="F920" s="61">
        <f>16.8608 * CHOOSE(CONTROL!$C$19, $C$6, 100%, $E$6)</f>
        <v>16.860800000000001</v>
      </c>
      <c r="G920" s="61">
        <f>16.861 * CHOOSE(CONTROL!$C$19, $C$6, 100%, $E$6)</f>
        <v>16.861000000000001</v>
      </c>
      <c r="H920" s="61">
        <f>23.0529* CHOOSE(CONTROL!$C$19, $C$6, 100%, $E$6)</f>
        <v>23.052900000000001</v>
      </c>
      <c r="I920" s="61">
        <f>23.0531 * CHOOSE(CONTROL!$C$19, $C$6, 100%, $E$6)</f>
        <v>23.053100000000001</v>
      </c>
      <c r="J920" s="61">
        <f>16.8608 * CHOOSE(CONTROL!$C$19, $C$6, 100%, $E$6)</f>
        <v>16.860800000000001</v>
      </c>
      <c r="K920" s="61">
        <f>16.861 * CHOOSE(CONTROL!$C$19, $C$6, 100%, $E$6)</f>
        <v>16.861000000000001</v>
      </c>
    </row>
    <row r="921" spans="1:11" ht="15">
      <c r="A921" s="13">
        <v>70098</v>
      </c>
      <c r="B921" s="60">
        <f>13.8772 * CHOOSE(CONTROL!$C$19, $C$6, 100%, $E$6)</f>
        <v>13.8772</v>
      </c>
      <c r="C921" s="60">
        <f>13.8772 * CHOOSE(CONTROL!$C$19, $C$6, 100%, $E$6)</f>
        <v>13.8772</v>
      </c>
      <c r="D921" s="60">
        <f>13.8937 * CHOOSE(CONTROL!$C$19, $C$6, 100%, $E$6)</f>
        <v>13.893700000000001</v>
      </c>
      <c r="E921" s="61">
        <f>16.7156 * CHOOSE(CONTROL!$C$19, $C$6, 100%, $E$6)</f>
        <v>16.715599999999998</v>
      </c>
      <c r="F921" s="61">
        <f>16.7156 * CHOOSE(CONTROL!$C$19, $C$6, 100%, $E$6)</f>
        <v>16.715599999999998</v>
      </c>
      <c r="G921" s="61">
        <f>16.7157 * CHOOSE(CONTROL!$C$19, $C$6, 100%, $E$6)</f>
        <v>16.715699999999998</v>
      </c>
      <c r="H921" s="61">
        <f>23.101* CHOOSE(CONTROL!$C$19, $C$6, 100%, $E$6)</f>
        <v>23.100999999999999</v>
      </c>
      <c r="I921" s="61">
        <f>23.1011 * CHOOSE(CONTROL!$C$19, $C$6, 100%, $E$6)</f>
        <v>23.101099999999999</v>
      </c>
      <c r="J921" s="61">
        <f>16.7156 * CHOOSE(CONTROL!$C$19, $C$6, 100%, $E$6)</f>
        <v>16.715599999999998</v>
      </c>
      <c r="K921" s="61">
        <f>16.7157 * CHOOSE(CONTROL!$C$19, $C$6, 100%, $E$6)</f>
        <v>16.715699999999998</v>
      </c>
    </row>
    <row r="922" spans="1:11" ht="15">
      <c r="A922" s="13">
        <v>70129</v>
      </c>
      <c r="B922" s="60">
        <f>13.8394 * CHOOSE(CONTROL!$C$19, $C$6, 100%, $E$6)</f>
        <v>13.839399999999999</v>
      </c>
      <c r="C922" s="60">
        <f>13.8394 * CHOOSE(CONTROL!$C$19, $C$6, 100%, $E$6)</f>
        <v>13.839399999999999</v>
      </c>
      <c r="D922" s="60">
        <f>13.8559 * CHOOSE(CONTROL!$C$19, $C$6, 100%, $E$6)</f>
        <v>13.8559</v>
      </c>
      <c r="E922" s="61">
        <f>16.7659 * CHOOSE(CONTROL!$C$19, $C$6, 100%, $E$6)</f>
        <v>16.765899999999998</v>
      </c>
      <c r="F922" s="61">
        <f>16.7659 * CHOOSE(CONTROL!$C$19, $C$6, 100%, $E$6)</f>
        <v>16.765899999999998</v>
      </c>
      <c r="G922" s="61">
        <f>16.7661 * CHOOSE(CONTROL!$C$19, $C$6, 100%, $E$6)</f>
        <v>16.766100000000002</v>
      </c>
      <c r="H922" s="61">
        <f>22.9028* CHOOSE(CONTROL!$C$19, $C$6, 100%, $E$6)</f>
        <v>22.902799999999999</v>
      </c>
      <c r="I922" s="61">
        <f>22.903 * CHOOSE(CONTROL!$C$19, $C$6, 100%, $E$6)</f>
        <v>22.902999999999999</v>
      </c>
      <c r="J922" s="61">
        <f>16.7659 * CHOOSE(CONTROL!$C$19, $C$6, 100%, $E$6)</f>
        <v>16.765899999999998</v>
      </c>
      <c r="K922" s="61">
        <f>16.7661 * CHOOSE(CONTROL!$C$19, $C$6, 100%, $E$6)</f>
        <v>16.766100000000002</v>
      </c>
    </row>
    <row r="923" spans="1:11" ht="15">
      <c r="A923" s="13">
        <v>70160</v>
      </c>
      <c r="B923" s="60">
        <f>13.8363 * CHOOSE(CONTROL!$C$19, $C$6, 100%, $E$6)</f>
        <v>13.8363</v>
      </c>
      <c r="C923" s="60">
        <f>13.8363 * CHOOSE(CONTROL!$C$19, $C$6, 100%, $E$6)</f>
        <v>13.8363</v>
      </c>
      <c r="D923" s="60">
        <f>13.8529 * CHOOSE(CONTROL!$C$19, $C$6, 100%, $E$6)</f>
        <v>13.8529</v>
      </c>
      <c r="E923" s="61">
        <f>16.4848 * CHOOSE(CONTROL!$C$19, $C$6, 100%, $E$6)</f>
        <v>16.4848</v>
      </c>
      <c r="F923" s="61">
        <f>16.4848 * CHOOSE(CONTROL!$C$19, $C$6, 100%, $E$6)</f>
        <v>16.4848</v>
      </c>
      <c r="G923" s="61">
        <f>16.485 * CHOOSE(CONTROL!$C$19, $C$6, 100%, $E$6)</f>
        <v>16.484999999999999</v>
      </c>
      <c r="H923" s="61">
        <f>22.9505* CHOOSE(CONTROL!$C$19, $C$6, 100%, $E$6)</f>
        <v>22.950500000000002</v>
      </c>
      <c r="I923" s="61">
        <f>22.9507 * CHOOSE(CONTROL!$C$19, $C$6, 100%, $E$6)</f>
        <v>22.950700000000001</v>
      </c>
      <c r="J923" s="61">
        <f>16.4848 * CHOOSE(CONTROL!$C$19, $C$6, 100%, $E$6)</f>
        <v>16.4848</v>
      </c>
      <c r="K923" s="61">
        <f>16.485 * CHOOSE(CONTROL!$C$19, $C$6, 100%, $E$6)</f>
        <v>16.484999999999999</v>
      </c>
    </row>
    <row r="924" spans="1:11" ht="15">
      <c r="A924" s="13">
        <v>70189</v>
      </c>
      <c r="B924" s="60">
        <f>13.8333 * CHOOSE(CONTROL!$C$19, $C$6, 100%, $E$6)</f>
        <v>13.833299999999999</v>
      </c>
      <c r="C924" s="60">
        <f>13.8333 * CHOOSE(CONTROL!$C$19, $C$6, 100%, $E$6)</f>
        <v>13.833299999999999</v>
      </c>
      <c r="D924" s="60">
        <f>13.8498 * CHOOSE(CONTROL!$C$19, $C$6, 100%, $E$6)</f>
        <v>13.8498</v>
      </c>
      <c r="E924" s="61">
        <f>16.7026 * CHOOSE(CONTROL!$C$19, $C$6, 100%, $E$6)</f>
        <v>16.7026</v>
      </c>
      <c r="F924" s="61">
        <f>16.7026 * CHOOSE(CONTROL!$C$19, $C$6, 100%, $E$6)</f>
        <v>16.7026</v>
      </c>
      <c r="G924" s="61">
        <f>16.7028 * CHOOSE(CONTROL!$C$19, $C$6, 100%, $E$6)</f>
        <v>16.7028</v>
      </c>
      <c r="H924" s="61">
        <f>22.9983* CHOOSE(CONTROL!$C$19, $C$6, 100%, $E$6)</f>
        <v>22.9983</v>
      </c>
      <c r="I924" s="61">
        <f>22.9985 * CHOOSE(CONTROL!$C$19, $C$6, 100%, $E$6)</f>
        <v>22.9985</v>
      </c>
      <c r="J924" s="61">
        <f>16.7026 * CHOOSE(CONTROL!$C$19, $C$6, 100%, $E$6)</f>
        <v>16.7026</v>
      </c>
      <c r="K924" s="61">
        <f>16.7028 * CHOOSE(CONTROL!$C$19, $C$6, 100%, $E$6)</f>
        <v>16.7028</v>
      </c>
    </row>
    <row r="925" spans="1:11" ht="15">
      <c r="A925" s="13">
        <v>70220</v>
      </c>
      <c r="B925" s="60">
        <f>13.8407 * CHOOSE(CONTROL!$C$19, $C$6, 100%, $E$6)</f>
        <v>13.8407</v>
      </c>
      <c r="C925" s="60">
        <f>13.8407 * CHOOSE(CONTROL!$C$19, $C$6, 100%, $E$6)</f>
        <v>13.8407</v>
      </c>
      <c r="D925" s="60">
        <f>13.8572 * CHOOSE(CONTROL!$C$19, $C$6, 100%, $E$6)</f>
        <v>13.857200000000001</v>
      </c>
      <c r="E925" s="61">
        <f>16.9346 * CHOOSE(CONTROL!$C$19, $C$6, 100%, $E$6)</f>
        <v>16.9346</v>
      </c>
      <c r="F925" s="61">
        <f>16.9346 * CHOOSE(CONTROL!$C$19, $C$6, 100%, $E$6)</f>
        <v>16.9346</v>
      </c>
      <c r="G925" s="61">
        <f>16.9348 * CHOOSE(CONTROL!$C$19, $C$6, 100%, $E$6)</f>
        <v>16.934799999999999</v>
      </c>
      <c r="H925" s="61">
        <f>23.0462* CHOOSE(CONTROL!$C$19, $C$6, 100%, $E$6)</f>
        <v>23.046199999999999</v>
      </c>
      <c r="I925" s="61">
        <f>23.0464 * CHOOSE(CONTROL!$C$19, $C$6, 100%, $E$6)</f>
        <v>23.046399999999998</v>
      </c>
      <c r="J925" s="61">
        <f>16.9346 * CHOOSE(CONTROL!$C$19, $C$6, 100%, $E$6)</f>
        <v>16.9346</v>
      </c>
      <c r="K925" s="61">
        <f>16.9348 * CHOOSE(CONTROL!$C$19, $C$6, 100%, $E$6)</f>
        <v>16.934799999999999</v>
      </c>
    </row>
    <row r="926" spans="1:11" ht="15">
      <c r="A926" s="13">
        <v>70250</v>
      </c>
      <c r="B926" s="60">
        <f>13.8407 * CHOOSE(CONTROL!$C$19, $C$6, 100%, $E$6)</f>
        <v>13.8407</v>
      </c>
      <c r="C926" s="60">
        <f>13.8407 * CHOOSE(CONTROL!$C$19, $C$6, 100%, $E$6)</f>
        <v>13.8407</v>
      </c>
      <c r="D926" s="60">
        <f>13.8737 * CHOOSE(CONTROL!$C$19, $C$6, 100%, $E$6)</f>
        <v>13.873699999999999</v>
      </c>
      <c r="E926" s="61">
        <f>17.0232 * CHOOSE(CONTROL!$C$19, $C$6, 100%, $E$6)</f>
        <v>17.023199999999999</v>
      </c>
      <c r="F926" s="61">
        <f>17.0232 * CHOOSE(CONTROL!$C$19, $C$6, 100%, $E$6)</f>
        <v>17.023199999999999</v>
      </c>
      <c r="G926" s="61">
        <f>17.0252 * CHOOSE(CONTROL!$C$19, $C$6, 100%, $E$6)</f>
        <v>17.025200000000002</v>
      </c>
      <c r="H926" s="61">
        <f>23.0942* CHOOSE(CONTROL!$C$19, $C$6, 100%, $E$6)</f>
        <v>23.094200000000001</v>
      </c>
      <c r="I926" s="61">
        <f>23.0963 * CHOOSE(CONTROL!$C$19, $C$6, 100%, $E$6)</f>
        <v>23.096299999999999</v>
      </c>
      <c r="J926" s="61">
        <f>17.0232 * CHOOSE(CONTROL!$C$19, $C$6, 100%, $E$6)</f>
        <v>17.023199999999999</v>
      </c>
      <c r="K926" s="61">
        <f>17.0252 * CHOOSE(CONTROL!$C$19, $C$6, 100%, $E$6)</f>
        <v>17.025200000000002</v>
      </c>
    </row>
    <row r="927" spans="1:11" ht="15">
      <c r="A927" s="13">
        <v>70281</v>
      </c>
      <c r="B927" s="60">
        <f>13.8467 * CHOOSE(CONTROL!$C$19, $C$6, 100%, $E$6)</f>
        <v>13.8467</v>
      </c>
      <c r="C927" s="60">
        <f>13.8467 * CHOOSE(CONTROL!$C$19, $C$6, 100%, $E$6)</f>
        <v>13.8467</v>
      </c>
      <c r="D927" s="60">
        <f>13.8797 * CHOOSE(CONTROL!$C$19, $C$6, 100%, $E$6)</f>
        <v>13.8797</v>
      </c>
      <c r="E927" s="61">
        <f>16.9388 * CHOOSE(CONTROL!$C$19, $C$6, 100%, $E$6)</f>
        <v>16.938800000000001</v>
      </c>
      <c r="F927" s="61">
        <f>16.9388 * CHOOSE(CONTROL!$C$19, $C$6, 100%, $E$6)</f>
        <v>16.938800000000001</v>
      </c>
      <c r="G927" s="61">
        <f>16.9409 * CHOOSE(CONTROL!$C$19, $C$6, 100%, $E$6)</f>
        <v>16.940899999999999</v>
      </c>
      <c r="H927" s="61">
        <f>23.1423* CHOOSE(CONTROL!$C$19, $C$6, 100%, $E$6)</f>
        <v>23.142299999999999</v>
      </c>
      <c r="I927" s="61">
        <f>23.1444 * CHOOSE(CONTROL!$C$19, $C$6, 100%, $E$6)</f>
        <v>23.144400000000001</v>
      </c>
      <c r="J927" s="61">
        <f>16.9388 * CHOOSE(CONTROL!$C$19, $C$6, 100%, $E$6)</f>
        <v>16.938800000000001</v>
      </c>
      <c r="K927" s="61">
        <f>16.9409 * CHOOSE(CONTROL!$C$19, $C$6, 100%, $E$6)</f>
        <v>16.940899999999999</v>
      </c>
    </row>
    <row r="928" spans="1:11" ht="15">
      <c r="A928" s="13">
        <v>70311</v>
      </c>
      <c r="B928" s="60">
        <f>14.0374 * CHOOSE(CONTROL!$C$19, $C$6, 100%, $E$6)</f>
        <v>14.0374</v>
      </c>
      <c r="C928" s="60">
        <f>14.0374 * CHOOSE(CONTROL!$C$19, $C$6, 100%, $E$6)</f>
        <v>14.0374</v>
      </c>
      <c r="D928" s="60">
        <f>14.0704 * CHOOSE(CONTROL!$C$19, $C$6, 100%, $E$6)</f>
        <v>14.070399999999999</v>
      </c>
      <c r="E928" s="61">
        <f>17.2449 * CHOOSE(CONTROL!$C$19, $C$6, 100%, $E$6)</f>
        <v>17.244900000000001</v>
      </c>
      <c r="F928" s="61">
        <f>17.2449 * CHOOSE(CONTROL!$C$19, $C$6, 100%, $E$6)</f>
        <v>17.244900000000001</v>
      </c>
      <c r="G928" s="61">
        <f>17.2469 * CHOOSE(CONTROL!$C$19, $C$6, 100%, $E$6)</f>
        <v>17.2469</v>
      </c>
      <c r="H928" s="61">
        <f>23.1906* CHOOSE(CONTROL!$C$19, $C$6, 100%, $E$6)</f>
        <v>23.1906</v>
      </c>
      <c r="I928" s="61">
        <f>23.1926 * CHOOSE(CONTROL!$C$19, $C$6, 100%, $E$6)</f>
        <v>23.192599999999999</v>
      </c>
      <c r="J928" s="61">
        <f>17.2449 * CHOOSE(CONTROL!$C$19, $C$6, 100%, $E$6)</f>
        <v>17.244900000000001</v>
      </c>
      <c r="K928" s="61">
        <f>17.2469 * CHOOSE(CONTROL!$C$19, $C$6, 100%, $E$6)</f>
        <v>17.2469</v>
      </c>
    </row>
    <row r="929" spans="1:11" ht="15">
      <c r="A929" s="13">
        <v>70342</v>
      </c>
      <c r="B929" s="60">
        <f>14.0441 * CHOOSE(CONTROL!$C$19, $C$6, 100%, $E$6)</f>
        <v>14.0441</v>
      </c>
      <c r="C929" s="60">
        <f>14.0441 * CHOOSE(CONTROL!$C$19, $C$6, 100%, $E$6)</f>
        <v>14.0441</v>
      </c>
      <c r="D929" s="60">
        <f>14.0771 * CHOOSE(CONTROL!$C$19, $C$6, 100%, $E$6)</f>
        <v>14.0771</v>
      </c>
      <c r="E929" s="61">
        <f>16.9838 * CHOOSE(CONTROL!$C$19, $C$6, 100%, $E$6)</f>
        <v>16.983799999999999</v>
      </c>
      <c r="F929" s="61">
        <f>16.9838 * CHOOSE(CONTROL!$C$19, $C$6, 100%, $E$6)</f>
        <v>16.983799999999999</v>
      </c>
      <c r="G929" s="61">
        <f>16.9859 * CHOOSE(CONTROL!$C$19, $C$6, 100%, $E$6)</f>
        <v>16.985900000000001</v>
      </c>
      <c r="H929" s="61">
        <f>23.2389* CHOOSE(CONTROL!$C$19, $C$6, 100%, $E$6)</f>
        <v>23.238900000000001</v>
      </c>
      <c r="I929" s="61">
        <f>23.2409 * CHOOSE(CONTROL!$C$19, $C$6, 100%, $E$6)</f>
        <v>23.2409</v>
      </c>
      <c r="J929" s="61">
        <f>16.9838 * CHOOSE(CONTROL!$C$19, $C$6, 100%, $E$6)</f>
        <v>16.983799999999999</v>
      </c>
      <c r="K929" s="61">
        <f>16.9859 * CHOOSE(CONTROL!$C$19, $C$6, 100%, $E$6)</f>
        <v>16.985900000000001</v>
      </c>
    </row>
    <row r="930" spans="1:11" ht="15">
      <c r="A930" s="13">
        <v>70373</v>
      </c>
      <c r="B930" s="60">
        <f>14.0411 * CHOOSE(CONTROL!$C$19, $C$6, 100%, $E$6)</f>
        <v>14.0411</v>
      </c>
      <c r="C930" s="60">
        <f>14.0411 * CHOOSE(CONTROL!$C$19, $C$6, 100%, $E$6)</f>
        <v>14.0411</v>
      </c>
      <c r="D930" s="60">
        <f>14.0741 * CHOOSE(CONTROL!$C$19, $C$6, 100%, $E$6)</f>
        <v>14.0741</v>
      </c>
      <c r="E930" s="61">
        <f>16.9522 * CHOOSE(CONTROL!$C$19, $C$6, 100%, $E$6)</f>
        <v>16.952200000000001</v>
      </c>
      <c r="F930" s="61">
        <f>16.9522 * CHOOSE(CONTROL!$C$19, $C$6, 100%, $E$6)</f>
        <v>16.952200000000001</v>
      </c>
      <c r="G930" s="61">
        <f>16.9542 * CHOOSE(CONTROL!$C$19, $C$6, 100%, $E$6)</f>
        <v>16.9542</v>
      </c>
      <c r="H930" s="61">
        <f>23.2873* CHOOSE(CONTROL!$C$19, $C$6, 100%, $E$6)</f>
        <v>23.287299999999998</v>
      </c>
      <c r="I930" s="61">
        <f>23.2893 * CHOOSE(CONTROL!$C$19, $C$6, 100%, $E$6)</f>
        <v>23.289300000000001</v>
      </c>
      <c r="J930" s="61">
        <f>16.9522 * CHOOSE(CONTROL!$C$19, $C$6, 100%, $E$6)</f>
        <v>16.952200000000001</v>
      </c>
      <c r="K930" s="61">
        <f>16.9542 * CHOOSE(CONTROL!$C$19, $C$6, 100%, $E$6)</f>
        <v>16.9542</v>
      </c>
    </row>
    <row r="931" spans="1:11" ht="15">
      <c r="A931" s="13">
        <v>70403</v>
      </c>
      <c r="B931" s="60">
        <f>14.0743 * CHOOSE(CONTROL!$C$19, $C$6, 100%, $E$6)</f>
        <v>14.074299999999999</v>
      </c>
      <c r="C931" s="60">
        <f>14.0743 * CHOOSE(CONTROL!$C$19, $C$6, 100%, $E$6)</f>
        <v>14.074299999999999</v>
      </c>
      <c r="D931" s="60">
        <f>14.0908 * CHOOSE(CONTROL!$C$19, $C$6, 100%, $E$6)</f>
        <v>14.0908</v>
      </c>
      <c r="E931" s="61">
        <f>17.0569 * CHOOSE(CONTROL!$C$19, $C$6, 100%, $E$6)</f>
        <v>17.056899999999999</v>
      </c>
      <c r="F931" s="61">
        <f>17.0569 * CHOOSE(CONTROL!$C$19, $C$6, 100%, $E$6)</f>
        <v>17.056899999999999</v>
      </c>
      <c r="G931" s="61">
        <f>17.057 * CHOOSE(CONTROL!$C$19, $C$6, 100%, $E$6)</f>
        <v>17.056999999999999</v>
      </c>
      <c r="H931" s="61">
        <f>23.3358* CHOOSE(CONTROL!$C$19, $C$6, 100%, $E$6)</f>
        <v>23.335799999999999</v>
      </c>
      <c r="I931" s="61">
        <f>23.336 * CHOOSE(CONTROL!$C$19, $C$6, 100%, $E$6)</f>
        <v>23.335999999999999</v>
      </c>
      <c r="J931" s="61">
        <f>17.0569 * CHOOSE(CONTROL!$C$19, $C$6, 100%, $E$6)</f>
        <v>17.056899999999999</v>
      </c>
      <c r="K931" s="61">
        <f>17.057 * CHOOSE(CONTROL!$C$19, $C$6, 100%, $E$6)</f>
        <v>17.056999999999999</v>
      </c>
    </row>
    <row r="932" spans="1:11" ht="15">
      <c r="A932" s="13">
        <v>70434</v>
      </c>
      <c r="B932" s="60">
        <f>14.0773 * CHOOSE(CONTROL!$C$19, $C$6, 100%, $E$6)</f>
        <v>14.077299999999999</v>
      </c>
      <c r="C932" s="60">
        <f>14.0773 * CHOOSE(CONTROL!$C$19, $C$6, 100%, $E$6)</f>
        <v>14.077299999999999</v>
      </c>
      <c r="D932" s="60">
        <f>14.0938 * CHOOSE(CONTROL!$C$19, $C$6, 100%, $E$6)</f>
        <v>14.0938</v>
      </c>
      <c r="E932" s="61">
        <f>17.118 * CHOOSE(CONTROL!$C$19, $C$6, 100%, $E$6)</f>
        <v>17.117999999999999</v>
      </c>
      <c r="F932" s="61">
        <f>17.118 * CHOOSE(CONTROL!$C$19, $C$6, 100%, $E$6)</f>
        <v>17.117999999999999</v>
      </c>
      <c r="G932" s="61">
        <f>17.1182 * CHOOSE(CONTROL!$C$19, $C$6, 100%, $E$6)</f>
        <v>17.118200000000002</v>
      </c>
      <c r="H932" s="61">
        <f>23.3844* CHOOSE(CONTROL!$C$19, $C$6, 100%, $E$6)</f>
        <v>23.384399999999999</v>
      </c>
      <c r="I932" s="61">
        <f>23.3846 * CHOOSE(CONTROL!$C$19, $C$6, 100%, $E$6)</f>
        <v>23.384599999999999</v>
      </c>
      <c r="J932" s="61">
        <f>17.118 * CHOOSE(CONTROL!$C$19, $C$6, 100%, $E$6)</f>
        <v>17.117999999999999</v>
      </c>
      <c r="K932" s="61">
        <f>17.1182 * CHOOSE(CONTROL!$C$19, $C$6, 100%, $E$6)</f>
        <v>17.118200000000002</v>
      </c>
    </row>
    <row r="933" spans="1:11" ht="15">
      <c r="A933" s="13">
        <v>70464</v>
      </c>
      <c r="B933" s="60">
        <f>14.0773 * CHOOSE(CONTROL!$C$19, $C$6, 100%, $E$6)</f>
        <v>14.077299999999999</v>
      </c>
      <c r="C933" s="60">
        <f>14.0773 * CHOOSE(CONTROL!$C$19, $C$6, 100%, $E$6)</f>
        <v>14.077299999999999</v>
      </c>
      <c r="D933" s="60">
        <f>14.0938 * CHOOSE(CONTROL!$C$19, $C$6, 100%, $E$6)</f>
        <v>14.0938</v>
      </c>
      <c r="E933" s="61">
        <f>16.9704 * CHOOSE(CONTROL!$C$19, $C$6, 100%, $E$6)</f>
        <v>16.970400000000001</v>
      </c>
      <c r="F933" s="61">
        <f>16.9704 * CHOOSE(CONTROL!$C$19, $C$6, 100%, $E$6)</f>
        <v>16.970400000000001</v>
      </c>
      <c r="G933" s="61">
        <f>16.9706 * CHOOSE(CONTROL!$C$19, $C$6, 100%, $E$6)</f>
        <v>16.970600000000001</v>
      </c>
      <c r="H933" s="61">
        <f>23.4331* CHOOSE(CONTROL!$C$19, $C$6, 100%, $E$6)</f>
        <v>23.4331</v>
      </c>
      <c r="I933" s="61">
        <f>23.4333 * CHOOSE(CONTROL!$C$19, $C$6, 100%, $E$6)</f>
        <v>23.433299999999999</v>
      </c>
      <c r="J933" s="61">
        <f>16.9704 * CHOOSE(CONTROL!$C$19, $C$6, 100%, $E$6)</f>
        <v>16.970400000000001</v>
      </c>
      <c r="K933" s="61">
        <f>16.9706 * CHOOSE(CONTROL!$C$19, $C$6, 100%, $E$6)</f>
        <v>16.970600000000001</v>
      </c>
    </row>
    <row r="934" spans="1:11" ht="15">
      <c r="A934" s="13">
        <v>70495</v>
      </c>
      <c r="B934" s="60">
        <f>14.036 * CHOOSE(CONTROL!$C$19, $C$6, 100%, $E$6)</f>
        <v>14.036</v>
      </c>
      <c r="C934" s="60">
        <f>14.036 * CHOOSE(CONTROL!$C$19, $C$6, 100%, $E$6)</f>
        <v>14.036</v>
      </c>
      <c r="D934" s="60">
        <f>14.0525 * CHOOSE(CONTROL!$C$19, $C$6, 100%, $E$6)</f>
        <v>14.0525</v>
      </c>
      <c r="E934" s="61">
        <f>17.0178 * CHOOSE(CONTROL!$C$19, $C$6, 100%, $E$6)</f>
        <v>17.017800000000001</v>
      </c>
      <c r="F934" s="61">
        <f>17.0178 * CHOOSE(CONTROL!$C$19, $C$6, 100%, $E$6)</f>
        <v>17.017800000000001</v>
      </c>
      <c r="G934" s="61">
        <f>17.0179 * CHOOSE(CONTROL!$C$19, $C$6, 100%, $E$6)</f>
        <v>17.017900000000001</v>
      </c>
      <c r="H934" s="61">
        <f>23.2274* CHOOSE(CONTROL!$C$19, $C$6, 100%, $E$6)</f>
        <v>23.227399999999999</v>
      </c>
      <c r="I934" s="61">
        <f>23.2276 * CHOOSE(CONTROL!$C$19, $C$6, 100%, $E$6)</f>
        <v>23.227599999999999</v>
      </c>
      <c r="J934" s="61">
        <f>17.0178 * CHOOSE(CONTROL!$C$19, $C$6, 100%, $E$6)</f>
        <v>17.017800000000001</v>
      </c>
      <c r="K934" s="61">
        <f>17.0179 * CHOOSE(CONTROL!$C$19, $C$6, 100%, $E$6)</f>
        <v>17.017900000000001</v>
      </c>
    </row>
    <row r="935" spans="1:11" ht="15">
      <c r="A935" s="13">
        <v>70526</v>
      </c>
      <c r="B935" s="60">
        <f>14.033 * CHOOSE(CONTROL!$C$19, $C$6, 100%, $E$6)</f>
        <v>14.032999999999999</v>
      </c>
      <c r="C935" s="60">
        <f>14.033 * CHOOSE(CONTROL!$C$19, $C$6, 100%, $E$6)</f>
        <v>14.032999999999999</v>
      </c>
      <c r="D935" s="60">
        <f>14.0495 * CHOOSE(CONTROL!$C$19, $C$6, 100%, $E$6)</f>
        <v>14.0495</v>
      </c>
      <c r="E935" s="61">
        <f>16.7322 * CHOOSE(CONTROL!$C$19, $C$6, 100%, $E$6)</f>
        <v>16.732199999999999</v>
      </c>
      <c r="F935" s="61">
        <f>16.7322 * CHOOSE(CONTROL!$C$19, $C$6, 100%, $E$6)</f>
        <v>16.732199999999999</v>
      </c>
      <c r="G935" s="61">
        <f>16.7324 * CHOOSE(CONTROL!$C$19, $C$6, 100%, $E$6)</f>
        <v>16.732399999999998</v>
      </c>
      <c r="H935" s="61">
        <f>23.2758* CHOOSE(CONTROL!$C$19, $C$6, 100%, $E$6)</f>
        <v>23.2758</v>
      </c>
      <c r="I935" s="61">
        <f>23.276 * CHOOSE(CONTROL!$C$19, $C$6, 100%, $E$6)</f>
        <v>23.276</v>
      </c>
      <c r="J935" s="61">
        <f>16.7322 * CHOOSE(CONTROL!$C$19, $C$6, 100%, $E$6)</f>
        <v>16.732199999999999</v>
      </c>
      <c r="K935" s="61">
        <f>16.7324 * CHOOSE(CONTROL!$C$19, $C$6, 100%, $E$6)</f>
        <v>16.732399999999998</v>
      </c>
    </row>
    <row r="936" spans="1:11" ht="15">
      <c r="A936" s="13">
        <v>70554</v>
      </c>
      <c r="B936" s="60">
        <f>14.0299 * CHOOSE(CONTROL!$C$19, $C$6, 100%, $E$6)</f>
        <v>14.0299</v>
      </c>
      <c r="C936" s="60">
        <f>14.0299 * CHOOSE(CONTROL!$C$19, $C$6, 100%, $E$6)</f>
        <v>14.0299</v>
      </c>
      <c r="D936" s="60">
        <f>14.0464 * CHOOSE(CONTROL!$C$19, $C$6, 100%, $E$6)</f>
        <v>14.0464</v>
      </c>
      <c r="E936" s="61">
        <f>16.9535 * CHOOSE(CONTROL!$C$19, $C$6, 100%, $E$6)</f>
        <v>16.953499999999998</v>
      </c>
      <c r="F936" s="61">
        <f>16.9535 * CHOOSE(CONTROL!$C$19, $C$6, 100%, $E$6)</f>
        <v>16.953499999999998</v>
      </c>
      <c r="G936" s="61">
        <f>16.9537 * CHOOSE(CONTROL!$C$19, $C$6, 100%, $E$6)</f>
        <v>16.953700000000001</v>
      </c>
      <c r="H936" s="61">
        <f>23.3243* CHOOSE(CONTROL!$C$19, $C$6, 100%, $E$6)</f>
        <v>23.324300000000001</v>
      </c>
      <c r="I936" s="61">
        <f>23.3245 * CHOOSE(CONTROL!$C$19, $C$6, 100%, $E$6)</f>
        <v>23.3245</v>
      </c>
      <c r="J936" s="61">
        <f>16.9535 * CHOOSE(CONTROL!$C$19, $C$6, 100%, $E$6)</f>
        <v>16.953499999999998</v>
      </c>
      <c r="K936" s="61">
        <f>16.9537 * CHOOSE(CONTROL!$C$19, $C$6, 100%, $E$6)</f>
        <v>16.953700000000001</v>
      </c>
    </row>
    <row r="937" spans="1:11" ht="15">
      <c r="A937" s="13">
        <v>70585</v>
      </c>
      <c r="B937" s="60">
        <f>14.0375 * CHOOSE(CONTROL!$C$19, $C$6, 100%, $E$6)</f>
        <v>14.0375</v>
      </c>
      <c r="C937" s="60">
        <f>14.0375 * CHOOSE(CONTROL!$C$19, $C$6, 100%, $E$6)</f>
        <v>14.0375</v>
      </c>
      <c r="D937" s="60">
        <f>14.054 * CHOOSE(CONTROL!$C$19, $C$6, 100%, $E$6)</f>
        <v>14.054</v>
      </c>
      <c r="E937" s="61">
        <f>17.1893 * CHOOSE(CONTROL!$C$19, $C$6, 100%, $E$6)</f>
        <v>17.189299999999999</v>
      </c>
      <c r="F937" s="61">
        <f>17.1893 * CHOOSE(CONTROL!$C$19, $C$6, 100%, $E$6)</f>
        <v>17.189299999999999</v>
      </c>
      <c r="G937" s="61">
        <f>17.1894 * CHOOSE(CONTROL!$C$19, $C$6, 100%, $E$6)</f>
        <v>17.189399999999999</v>
      </c>
      <c r="H937" s="61">
        <f>23.3729* CHOOSE(CONTROL!$C$19, $C$6, 100%, $E$6)</f>
        <v>23.372900000000001</v>
      </c>
      <c r="I937" s="61">
        <f>23.3731 * CHOOSE(CONTROL!$C$19, $C$6, 100%, $E$6)</f>
        <v>23.373100000000001</v>
      </c>
      <c r="J937" s="61">
        <f>17.1893 * CHOOSE(CONTROL!$C$19, $C$6, 100%, $E$6)</f>
        <v>17.189299999999999</v>
      </c>
      <c r="K937" s="61">
        <f>17.1894 * CHOOSE(CONTROL!$C$19, $C$6, 100%, $E$6)</f>
        <v>17.189399999999999</v>
      </c>
    </row>
    <row r="938" spans="1:11" ht="15">
      <c r="A938" s="13">
        <v>70615</v>
      </c>
      <c r="B938" s="60">
        <f>14.0375 * CHOOSE(CONTROL!$C$19, $C$6, 100%, $E$6)</f>
        <v>14.0375</v>
      </c>
      <c r="C938" s="60">
        <f>14.0375 * CHOOSE(CONTROL!$C$19, $C$6, 100%, $E$6)</f>
        <v>14.0375</v>
      </c>
      <c r="D938" s="60">
        <f>14.0705 * CHOOSE(CONTROL!$C$19, $C$6, 100%, $E$6)</f>
        <v>14.070499999999999</v>
      </c>
      <c r="E938" s="61">
        <f>17.2792 * CHOOSE(CONTROL!$C$19, $C$6, 100%, $E$6)</f>
        <v>17.279199999999999</v>
      </c>
      <c r="F938" s="61">
        <f>17.2792 * CHOOSE(CONTROL!$C$19, $C$6, 100%, $E$6)</f>
        <v>17.279199999999999</v>
      </c>
      <c r="G938" s="61">
        <f>17.2813 * CHOOSE(CONTROL!$C$19, $C$6, 100%, $E$6)</f>
        <v>17.281300000000002</v>
      </c>
      <c r="H938" s="61">
        <f>23.4216* CHOOSE(CONTROL!$C$19, $C$6, 100%, $E$6)</f>
        <v>23.421600000000002</v>
      </c>
      <c r="I938" s="61">
        <f>23.4237 * CHOOSE(CONTROL!$C$19, $C$6, 100%, $E$6)</f>
        <v>23.4237</v>
      </c>
      <c r="J938" s="61">
        <f>17.2792 * CHOOSE(CONTROL!$C$19, $C$6, 100%, $E$6)</f>
        <v>17.279199999999999</v>
      </c>
      <c r="K938" s="61">
        <f>17.2813 * CHOOSE(CONTROL!$C$19, $C$6, 100%, $E$6)</f>
        <v>17.281300000000002</v>
      </c>
    </row>
    <row r="939" spans="1:11" ht="15">
      <c r="A939" s="13">
        <v>70646</v>
      </c>
      <c r="B939" s="60">
        <f>14.0436 * CHOOSE(CONTROL!$C$19, $C$6, 100%, $E$6)</f>
        <v>14.0436</v>
      </c>
      <c r="C939" s="60">
        <f>14.0436 * CHOOSE(CONTROL!$C$19, $C$6, 100%, $E$6)</f>
        <v>14.0436</v>
      </c>
      <c r="D939" s="60">
        <f>14.0766 * CHOOSE(CONTROL!$C$19, $C$6, 100%, $E$6)</f>
        <v>14.076599999999999</v>
      </c>
      <c r="E939" s="61">
        <f>17.1935 * CHOOSE(CONTROL!$C$19, $C$6, 100%, $E$6)</f>
        <v>17.1935</v>
      </c>
      <c r="F939" s="61">
        <f>17.1935 * CHOOSE(CONTROL!$C$19, $C$6, 100%, $E$6)</f>
        <v>17.1935</v>
      </c>
      <c r="G939" s="61">
        <f>17.1955 * CHOOSE(CONTROL!$C$19, $C$6, 100%, $E$6)</f>
        <v>17.195499999999999</v>
      </c>
      <c r="H939" s="61">
        <f>23.4704* CHOOSE(CONTROL!$C$19, $C$6, 100%, $E$6)</f>
        <v>23.470400000000001</v>
      </c>
      <c r="I939" s="61">
        <f>23.4725 * CHOOSE(CONTROL!$C$19, $C$6, 100%, $E$6)</f>
        <v>23.4725</v>
      </c>
      <c r="J939" s="61">
        <f>17.1935 * CHOOSE(CONTROL!$C$19, $C$6, 100%, $E$6)</f>
        <v>17.1935</v>
      </c>
      <c r="K939" s="61">
        <f>17.1955 * CHOOSE(CONTROL!$C$19, $C$6, 100%, $E$6)</f>
        <v>17.195499999999999</v>
      </c>
    </row>
    <row r="940" spans="1:11" ht="15">
      <c r="A940" s="13">
        <v>70676</v>
      </c>
      <c r="B940" s="60">
        <f>14.2367 * CHOOSE(CONTROL!$C$19, $C$6, 100%, $E$6)</f>
        <v>14.236700000000001</v>
      </c>
      <c r="C940" s="60">
        <f>14.2367 * CHOOSE(CONTROL!$C$19, $C$6, 100%, $E$6)</f>
        <v>14.236700000000001</v>
      </c>
      <c r="D940" s="60">
        <f>14.2697 * CHOOSE(CONTROL!$C$19, $C$6, 100%, $E$6)</f>
        <v>14.2697</v>
      </c>
      <c r="E940" s="61">
        <f>17.504 * CHOOSE(CONTROL!$C$19, $C$6, 100%, $E$6)</f>
        <v>17.504000000000001</v>
      </c>
      <c r="F940" s="61">
        <f>17.504 * CHOOSE(CONTROL!$C$19, $C$6, 100%, $E$6)</f>
        <v>17.504000000000001</v>
      </c>
      <c r="G940" s="61">
        <f>17.506 * CHOOSE(CONTROL!$C$19, $C$6, 100%, $E$6)</f>
        <v>17.506</v>
      </c>
      <c r="H940" s="61">
        <f>23.5193* CHOOSE(CONTROL!$C$19, $C$6, 100%, $E$6)</f>
        <v>23.519300000000001</v>
      </c>
      <c r="I940" s="61">
        <f>23.5214 * CHOOSE(CONTROL!$C$19, $C$6, 100%, $E$6)</f>
        <v>23.5214</v>
      </c>
      <c r="J940" s="61">
        <f>17.504 * CHOOSE(CONTROL!$C$19, $C$6, 100%, $E$6)</f>
        <v>17.504000000000001</v>
      </c>
      <c r="K940" s="61">
        <f>17.506 * CHOOSE(CONTROL!$C$19, $C$6, 100%, $E$6)</f>
        <v>17.506</v>
      </c>
    </row>
    <row r="941" spans="1:11" ht="15">
      <c r="A941" s="13">
        <v>70707</v>
      </c>
      <c r="B941" s="60">
        <f>14.2434 * CHOOSE(CONTROL!$C$19, $C$6, 100%, $E$6)</f>
        <v>14.243399999999999</v>
      </c>
      <c r="C941" s="60">
        <f>14.2434 * CHOOSE(CONTROL!$C$19, $C$6, 100%, $E$6)</f>
        <v>14.243399999999999</v>
      </c>
      <c r="D941" s="60">
        <f>14.2764 * CHOOSE(CONTROL!$C$19, $C$6, 100%, $E$6)</f>
        <v>14.276400000000001</v>
      </c>
      <c r="E941" s="61">
        <f>17.2387 * CHOOSE(CONTROL!$C$19, $C$6, 100%, $E$6)</f>
        <v>17.238700000000001</v>
      </c>
      <c r="F941" s="61">
        <f>17.2387 * CHOOSE(CONTROL!$C$19, $C$6, 100%, $E$6)</f>
        <v>17.238700000000001</v>
      </c>
      <c r="G941" s="61">
        <f>17.2407 * CHOOSE(CONTROL!$C$19, $C$6, 100%, $E$6)</f>
        <v>17.2407</v>
      </c>
      <c r="H941" s="61">
        <f>23.5683* CHOOSE(CONTROL!$C$19, $C$6, 100%, $E$6)</f>
        <v>23.568300000000001</v>
      </c>
      <c r="I941" s="61">
        <f>23.5703 * CHOOSE(CONTROL!$C$19, $C$6, 100%, $E$6)</f>
        <v>23.5703</v>
      </c>
      <c r="J941" s="61">
        <f>17.2387 * CHOOSE(CONTROL!$C$19, $C$6, 100%, $E$6)</f>
        <v>17.238700000000001</v>
      </c>
      <c r="K941" s="61">
        <f>17.2407 * CHOOSE(CONTROL!$C$19, $C$6, 100%, $E$6)</f>
        <v>17.2407</v>
      </c>
    </row>
    <row r="942" spans="1:11" ht="15">
      <c r="A942" s="13">
        <v>70738</v>
      </c>
      <c r="B942" s="60">
        <f>14.2404 * CHOOSE(CONTROL!$C$19, $C$6, 100%, $E$6)</f>
        <v>14.240399999999999</v>
      </c>
      <c r="C942" s="60">
        <f>14.2404 * CHOOSE(CONTROL!$C$19, $C$6, 100%, $E$6)</f>
        <v>14.240399999999999</v>
      </c>
      <c r="D942" s="60">
        <f>14.2734 * CHOOSE(CONTROL!$C$19, $C$6, 100%, $E$6)</f>
        <v>14.273400000000001</v>
      </c>
      <c r="E942" s="61">
        <f>17.2066 * CHOOSE(CONTROL!$C$19, $C$6, 100%, $E$6)</f>
        <v>17.206600000000002</v>
      </c>
      <c r="F942" s="61">
        <f>17.2066 * CHOOSE(CONTROL!$C$19, $C$6, 100%, $E$6)</f>
        <v>17.206600000000002</v>
      </c>
      <c r="G942" s="61">
        <f>17.2086 * CHOOSE(CONTROL!$C$19, $C$6, 100%, $E$6)</f>
        <v>17.208600000000001</v>
      </c>
      <c r="H942" s="61">
        <f>23.6174* CHOOSE(CONTROL!$C$19, $C$6, 100%, $E$6)</f>
        <v>23.6174</v>
      </c>
      <c r="I942" s="61">
        <f>23.6195 * CHOOSE(CONTROL!$C$19, $C$6, 100%, $E$6)</f>
        <v>23.619499999999999</v>
      </c>
      <c r="J942" s="61">
        <f>17.2066 * CHOOSE(CONTROL!$C$19, $C$6, 100%, $E$6)</f>
        <v>17.206600000000002</v>
      </c>
      <c r="K942" s="61">
        <f>17.2086 * CHOOSE(CONTROL!$C$19, $C$6, 100%, $E$6)</f>
        <v>17.208600000000001</v>
      </c>
    </row>
    <row r="943" spans="1:11" ht="15">
      <c r="A943" s="13">
        <v>70768</v>
      </c>
      <c r="B943" s="60">
        <f>14.2743 * CHOOSE(CONTROL!$C$19, $C$6, 100%, $E$6)</f>
        <v>14.2743</v>
      </c>
      <c r="C943" s="60">
        <f>14.2743 * CHOOSE(CONTROL!$C$19, $C$6, 100%, $E$6)</f>
        <v>14.2743</v>
      </c>
      <c r="D943" s="60">
        <f>14.2908 * CHOOSE(CONTROL!$C$19, $C$6, 100%, $E$6)</f>
        <v>14.290800000000001</v>
      </c>
      <c r="E943" s="61">
        <f>17.3131 * CHOOSE(CONTROL!$C$19, $C$6, 100%, $E$6)</f>
        <v>17.313099999999999</v>
      </c>
      <c r="F943" s="61">
        <f>17.3131 * CHOOSE(CONTROL!$C$19, $C$6, 100%, $E$6)</f>
        <v>17.313099999999999</v>
      </c>
      <c r="G943" s="61">
        <f>17.3133 * CHOOSE(CONTROL!$C$19, $C$6, 100%, $E$6)</f>
        <v>17.313300000000002</v>
      </c>
      <c r="H943" s="61">
        <f>23.6666* CHOOSE(CONTROL!$C$19, $C$6, 100%, $E$6)</f>
        <v>23.666599999999999</v>
      </c>
      <c r="I943" s="61">
        <f>23.6668 * CHOOSE(CONTROL!$C$19, $C$6, 100%, $E$6)</f>
        <v>23.666799999999999</v>
      </c>
      <c r="J943" s="61">
        <f>17.3131 * CHOOSE(CONTROL!$C$19, $C$6, 100%, $E$6)</f>
        <v>17.313099999999999</v>
      </c>
      <c r="K943" s="61">
        <f>17.3133 * CHOOSE(CONTROL!$C$19, $C$6, 100%, $E$6)</f>
        <v>17.313300000000002</v>
      </c>
    </row>
    <row r="944" spans="1:11" ht="15">
      <c r="A944" s="13">
        <v>70799</v>
      </c>
      <c r="B944" s="60">
        <f>14.2774 * CHOOSE(CONTROL!$C$19, $C$6, 100%, $E$6)</f>
        <v>14.2774</v>
      </c>
      <c r="C944" s="60">
        <f>14.2774 * CHOOSE(CONTROL!$C$19, $C$6, 100%, $E$6)</f>
        <v>14.2774</v>
      </c>
      <c r="D944" s="60">
        <f>14.2939 * CHOOSE(CONTROL!$C$19, $C$6, 100%, $E$6)</f>
        <v>14.293900000000001</v>
      </c>
      <c r="E944" s="61">
        <f>17.3752 * CHOOSE(CONTROL!$C$19, $C$6, 100%, $E$6)</f>
        <v>17.3752</v>
      </c>
      <c r="F944" s="61">
        <f>17.3752 * CHOOSE(CONTROL!$C$19, $C$6, 100%, $E$6)</f>
        <v>17.3752</v>
      </c>
      <c r="G944" s="61">
        <f>17.3754 * CHOOSE(CONTROL!$C$19, $C$6, 100%, $E$6)</f>
        <v>17.375399999999999</v>
      </c>
      <c r="H944" s="61">
        <f>23.7159* CHOOSE(CONTROL!$C$19, $C$6, 100%, $E$6)</f>
        <v>23.715900000000001</v>
      </c>
      <c r="I944" s="61">
        <f>23.7161 * CHOOSE(CONTROL!$C$19, $C$6, 100%, $E$6)</f>
        <v>23.716100000000001</v>
      </c>
      <c r="J944" s="61">
        <f>17.3752 * CHOOSE(CONTROL!$C$19, $C$6, 100%, $E$6)</f>
        <v>17.3752</v>
      </c>
      <c r="K944" s="61">
        <f>17.3754 * CHOOSE(CONTROL!$C$19, $C$6, 100%, $E$6)</f>
        <v>17.375399999999999</v>
      </c>
    </row>
    <row r="945" spans="1:11" ht="15">
      <c r="A945" s="13">
        <v>70829</v>
      </c>
      <c r="B945" s="60">
        <f>14.2774 * CHOOSE(CONTROL!$C$19, $C$6, 100%, $E$6)</f>
        <v>14.2774</v>
      </c>
      <c r="C945" s="60">
        <f>14.2774 * CHOOSE(CONTROL!$C$19, $C$6, 100%, $E$6)</f>
        <v>14.2774</v>
      </c>
      <c r="D945" s="60">
        <f>14.2939 * CHOOSE(CONTROL!$C$19, $C$6, 100%, $E$6)</f>
        <v>14.293900000000001</v>
      </c>
      <c r="E945" s="61">
        <f>17.2252 * CHOOSE(CONTROL!$C$19, $C$6, 100%, $E$6)</f>
        <v>17.225200000000001</v>
      </c>
      <c r="F945" s="61">
        <f>17.2252 * CHOOSE(CONTROL!$C$19, $C$6, 100%, $E$6)</f>
        <v>17.225200000000001</v>
      </c>
      <c r="G945" s="61">
        <f>17.2254 * CHOOSE(CONTROL!$C$19, $C$6, 100%, $E$6)</f>
        <v>17.2254</v>
      </c>
      <c r="H945" s="61">
        <f>23.7653* CHOOSE(CONTROL!$C$19, $C$6, 100%, $E$6)</f>
        <v>23.7653</v>
      </c>
      <c r="I945" s="61">
        <f>23.7655 * CHOOSE(CONTROL!$C$19, $C$6, 100%, $E$6)</f>
        <v>23.765499999999999</v>
      </c>
      <c r="J945" s="61">
        <f>17.2252 * CHOOSE(CONTROL!$C$19, $C$6, 100%, $E$6)</f>
        <v>17.225200000000001</v>
      </c>
      <c r="K945" s="61">
        <f>17.2254 * CHOOSE(CONTROL!$C$19, $C$6, 100%, $E$6)</f>
        <v>17.2254</v>
      </c>
    </row>
    <row r="946" spans="1:11" ht="15">
      <c r="A946" s="13">
        <v>70860</v>
      </c>
      <c r="B946" s="60">
        <f>14.2326 * CHOOSE(CONTROL!$C$19, $C$6, 100%, $E$6)</f>
        <v>14.2326</v>
      </c>
      <c r="C946" s="60">
        <f>14.2326 * CHOOSE(CONTROL!$C$19, $C$6, 100%, $E$6)</f>
        <v>14.2326</v>
      </c>
      <c r="D946" s="60">
        <f>14.2491 * CHOOSE(CONTROL!$C$19, $C$6, 100%, $E$6)</f>
        <v>14.2491</v>
      </c>
      <c r="E946" s="61">
        <f>17.2696 * CHOOSE(CONTROL!$C$19, $C$6, 100%, $E$6)</f>
        <v>17.269600000000001</v>
      </c>
      <c r="F946" s="61">
        <f>17.2696 * CHOOSE(CONTROL!$C$19, $C$6, 100%, $E$6)</f>
        <v>17.269600000000001</v>
      </c>
      <c r="G946" s="61">
        <f>17.2698 * CHOOSE(CONTROL!$C$19, $C$6, 100%, $E$6)</f>
        <v>17.2698</v>
      </c>
      <c r="H946" s="61">
        <f>23.5521* CHOOSE(CONTROL!$C$19, $C$6, 100%, $E$6)</f>
        <v>23.552099999999999</v>
      </c>
      <c r="I946" s="61">
        <f>23.5523 * CHOOSE(CONTROL!$C$19, $C$6, 100%, $E$6)</f>
        <v>23.552299999999999</v>
      </c>
      <c r="J946" s="61">
        <f>17.2696 * CHOOSE(CONTROL!$C$19, $C$6, 100%, $E$6)</f>
        <v>17.269600000000001</v>
      </c>
      <c r="K946" s="61">
        <f>17.2698 * CHOOSE(CONTROL!$C$19, $C$6, 100%, $E$6)</f>
        <v>17.2698</v>
      </c>
    </row>
    <row r="947" spans="1:11" ht="15">
      <c r="A947" s="13">
        <v>70891</v>
      </c>
      <c r="B947" s="60">
        <f>14.2296 * CHOOSE(CONTROL!$C$19, $C$6, 100%, $E$6)</f>
        <v>14.2296</v>
      </c>
      <c r="C947" s="60">
        <f>14.2296 * CHOOSE(CONTROL!$C$19, $C$6, 100%, $E$6)</f>
        <v>14.2296</v>
      </c>
      <c r="D947" s="60">
        <f>14.2461 * CHOOSE(CONTROL!$C$19, $C$6, 100%, $E$6)</f>
        <v>14.2461</v>
      </c>
      <c r="E947" s="61">
        <f>16.9796 * CHOOSE(CONTROL!$C$19, $C$6, 100%, $E$6)</f>
        <v>16.979600000000001</v>
      </c>
      <c r="F947" s="61">
        <f>16.9796 * CHOOSE(CONTROL!$C$19, $C$6, 100%, $E$6)</f>
        <v>16.979600000000001</v>
      </c>
      <c r="G947" s="61">
        <f>16.9797 * CHOOSE(CONTROL!$C$19, $C$6, 100%, $E$6)</f>
        <v>16.979700000000001</v>
      </c>
      <c r="H947" s="61">
        <f>23.6012* CHOOSE(CONTROL!$C$19, $C$6, 100%, $E$6)</f>
        <v>23.601199999999999</v>
      </c>
      <c r="I947" s="61">
        <f>23.6013 * CHOOSE(CONTROL!$C$19, $C$6, 100%, $E$6)</f>
        <v>23.601299999999998</v>
      </c>
      <c r="J947" s="61">
        <f>16.9796 * CHOOSE(CONTROL!$C$19, $C$6, 100%, $E$6)</f>
        <v>16.979600000000001</v>
      </c>
      <c r="K947" s="61">
        <f>16.9797 * CHOOSE(CONTROL!$C$19, $C$6, 100%, $E$6)</f>
        <v>16.979700000000001</v>
      </c>
    </row>
    <row r="948" spans="1:11" ht="15">
      <c r="A948" s="13">
        <v>70919</v>
      </c>
      <c r="B948" s="60">
        <f>14.2265 * CHOOSE(CONTROL!$C$19, $C$6, 100%, $E$6)</f>
        <v>14.2265</v>
      </c>
      <c r="C948" s="60">
        <f>14.2265 * CHOOSE(CONTROL!$C$19, $C$6, 100%, $E$6)</f>
        <v>14.2265</v>
      </c>
      <c r="D948" s="60">
        <f>14.2431 * CHOOSE(CONTROL!$C$19, $C$6, 100%, $E$6)</f>
        <v>14.2431</v>
      </c>
      <c r="E948" s="61">
        <f>17.2044 * CHOOSE(CONTROL!$C$19, $C$6, 100%, $E$6)</f>
        <v>17.2044</v>
      </c>
      <c r="F948" s="61">
        <f>17.2044 * CHOOSE(CONTROL!$C$19, $C$6, 100%, $E$6)</f>
        <v>17.2044</v>
      </c>
      <c r="G948" s="61">
        <f>17.2046 * CHOOSE(CONTROL!$C$19, $C$6, 100%, $E$6)</f>
        <v>17.204599999999999</v>
      </c>
      <c r="H948" s="61">
        <f>23.6503* CHOOSE(CONTROL!$C$19, $C$6, 100%, $E$6)</f>
        <v>23.650300000000001</v>
      </c>
      <c r="I948" s="61">
        <f>23.6505 * CHOOSE(CONTROL!$C$19, $C$6, 100%, $E$6)</f>
        <v>23.650500000000001</v>
      </c>
      <c r="J948" s="61">
        <f>17.2044 * CHOOSE(CONTROL!$C$19, $C$6, 100%, $E$6)</f>
        <v>17.2044</v>
      </c>
      <c r="K948" s="61">
        <f>17.2046 * CHOOSE(CONTROL!$C$19, $C$6, 100%, $E$6)</f>
        <v>17.204599999999999</v>
      </c>
    </row>
    <row r="949" spans="1:11" ht="15">
      <c r="A949" s="13">
        <v>70950</v>
      </c>
      <c r="B949" s="60">
        <f>14.2343 * CHOOSE(CONTROL!$C$19, $C$6, 100%, $E$6)</f>
        <v>14.234299999999999</v>
      </c>
      <c r="C949" s="60">
        <f>14.2343 * CHOOSE(CONTROL!$C$19, $C$6, 100%, $E$6)</f>
        <v>14.234299999999999</v>
      </c>
      <c r="D949" s="60">
        <f>14.2508 * CHOOSE(CONTROL!$C$19, $C$6, 100%, $E$6)</f>
        <v>14.2508</v>
      </c>
      <c r="E949" s="61">
        <f>17.4439 * CHOOSE(CONTROL!$C$19, $C$6, 100%, $E$6)</f>
        <v>17.443899999999999</v>
      </c>
      <c r="F949" s="61">
        <f>17.4439 * CHOOSE(CONTROL!$C$19, $C$6, 100%, $E$6)</f>
        <v>17.443899999999999</v>
      </c>
      <c r="G949" s="61">
        <f>17.4441 * CHOOSE(CONTROL!$C$19, $C$6, 100%, $E$6)</f>
        <v>17.444099999999999</v>
      </c>
      <c r="H949" s="61">
        <f>23.6996* CHOOSE(CONTROL!$C$19, $C$6, 100%, $E$6)</f>
        <v>23.6996</v>
      </c>
      <c r="I949" s="61">
        <f>23.6998 * CHOOSE(CONTROL!$C$19, $C$6, 100%, $E$6)</f>
        <v>23.6998</v>
      </c>
      <c r="J949" s="61">
        <f>17.4439 * CHOOSE(CONTROL!$C$19, $C$6, 100%, $E$6)</f>
        <v>17.443899999999999</v>
      </c>
      <c r="K949" s="61">
        <f>17.4441 * CHOOSE(CONTROL!$C$19, $C$6, 100%, $E$6)</f>
        <v>17.444099999999999</v>
      </c>
    </row>
    <row r="950" spans="1:11" ht="15">
      <c r="A950" s="13">
        <v>70980</v>
      </c>
      <c r="B950" s="60">
        <f>14.2343 * CHOOSE(CONTROL!$C$19, $C$6, 100%, $E$6)</f>
        <v>14.234299999999999</v>
      </c>
      <c r="C950" s="60">
        <f>14.2343 * CHOOSE(CONTROL!$C$19, $C$6, 100%, $E$6)</f>
        <v>14.234299999999999</v>
      </c>
      <c r="D950" s="60">
        <f>14.2673 * CHOOSE(CONTROL!$C$19, $C$6, 100%, $E$6)</f>
        <v>14.267300000000001</v>
      </c>
      <c r="E950" s="61">
        <f>17.5353 * CHOOSE(CONTROL!$C$19, $C$6, 100%, $E$6)</f>
        <v>17.535299999999999</v>
      </c>
      <c r="F950" s="61">
        <f>17.5353 * CHOOSE(CONTROL!$C$19, $C$6, 100%, $E$6)</f>
        <v>17.535299999999999</v>
      </c>
      <c r="G950" s="61">
        <f>17.5374 * CHOOSE(CONTROL!$C$19, $C$6, 100%, $E$6)</f>
        <v>17.537400000000002</v>
      </c>
      <c r="H950" s="61">
        <f>23.749* CHOOSE(CONTROL!$C$19, $C$6, 100%, $E$6)</f>
        <v>23.748999999999999</v>
      </c>
      <c r="I950" s="61">
        <f>23.751 * CHOOSE(CONTROL!$C$19, $C$6, 100%, $E$6)</f>
        <v>23.751000000000001</v>
      </c>
      <c r="J950" s="61">
        <f>17.5353 * CHOOSE(CONTROL!$C$19, $C$6, 100%, $E$6)</f>
        <v>17.535299999999999</v>
      </c>
      <c r="K950" s="61">
        <f>17.5374 * CHOOSE(CONTROL!$C$19, $C$6, 100%, $E$6)</f>
        <v>17.537400000000002</v>
      </c>
    </row>
    <row r="951" spans="1:11" ht="15">
      <c r="A951" s="13">
        <v>71011</v>
      </c>
      <c r="B951" s="60">
        <f>14.2404 * CHOOSE(CONTROL!$C$19, $C$6, 100%, $E$6)</f>
        <v>14.240399999999999</v>
      </c>
      <c r="C951" s="60">
        <f>14.2404 * CHOOSE(CONTROL!$C$19, $C$6, 100%, $E$6)</f>
        <v>14.240399999999999</v>
      </c>
      <c r="D951" s="60">
        <f>14.2734 * CHOOSE(CONTROL!$C$19, $C$6, 100%, $E$6)</f>
        <v>14.273400000000001</v>
      </c>
      <c r="E951" s="61">
        <f>17.4482 * CHOOSE(CONTROL!$C$19, $C$6, 100%, $E$6)</f>
        <v>17.4482</v>
      </c>
      <c r="F951" s="61">
        <f>17.4482 * CHOOSE(CONTROL!$C$19, $C$6, 100%, $E$6)</f>
        <v>17.4482</v>
      </c>
      <c r="G951" s="61">
        <f>17.4502 * CHOOSE(CONTROL!$C$19, $C$6, 100%, $E$6)</f>
        <v>17.450199999999999</v>
      </c>
      <c r="H951" s="61">
        <f>23.7985* CHOOSE(CONTROL!$C$19, $C$6, 100%, $E$6)</f>
        <v>23.798500000000001</v>
      </c>
      <c r="I951" s="61">
        <f>23.8005 * CHOOSE(CONTROL!$C$19, $C$6, 100%, $E$6)</f>
        <v>23.8005</v>
      </c>
      <c r="J951" s="61">
        <f>17.4482 * CHOOSE(CONTROL!$C$19, $C$6, 100%, $E$6)</f>
        <v>17.4482</v>
      </c>
      <c r="K951" s="61">
        <f>17.4502 * CHOOSE(CONTROL!$C$19, $C$6, 100%, $E$6)</f>
        <v>17.450199999999999</v>
      </c>
    </row>
    <row r="952" spans="1:11" ht="15">
      <c r="A952" s="13">
        <v>71041</v>
      </c>
      <c r="B952" s="60">
        <f>14.436 * CHOOSE(CONTROL!$C$19, $C$6, 100%, $E$6)</f>
        <v>14.436</v>
      </c>
      <c r="C952" s="60">
        <f>14.436 * CHOOSE(CONTROL!$C$19, $C$6, 100%, $E$6)</f>
        <v>14.436</v>
      </c>
      <c r="D952" s="60">
        <f>14.469 * CHOOSE(CONTROL!$C$19, $C$6, 100%, $E$6)</f>
        <v>14.468999999999999</v>
      </c>
      <c r="E952" s="61">
        <f>17.7631 * CHOOSE(CONTROL!$C$19, $C$6, 100%, $E$6)</f>
        <v>17.763100000000001</v>
      </c>
      <c r="F952" s="61">
        <f>17.7631 * CHOOSE(CONTROL!$C$19, $C$6, 100%, $E$6)</f>
        <v>17.763100000000001</v>
      </c>
      <c r="G952" s="61">
        <f>17.7651 * CHOOSE(CONTROL!$C$19, $C$6, 100%, $E$6)</f>
        <v>17.7651</v>
      </c>
      <c r="H952" s="61">
        <f>23.848* CHOOSE(CONTROL!$C$19, $C$6, 100%, $E$6)</f>
        <v>23.847999999999999</v>
      </c>
      <c r="I952" s="61">
        <f>23.8501 * CHOOSE(CONTROL!$C$19, $C$6, 100%, $E$6)</f>
        <v>23.850100000000001</v>
      </c>
      <c r="J952" s="61">
        <f>17.7631 * CHOOSE(CONTROL!$C$19, $C$6, 100%, $E$6)</f>
        <v>17.763100000000001</v>
      </c>
      <c r="K952" s="61">
        <f>17.7651 * CHOOSE(CONTROL!$C$19, $C$6, 100%, $E$6)</f>
        <v>17.7651</v>
      </c>
    </row>
    <row r="953" spans="1:11" ht="15">
      <c r="A953" s="13">
        <v>71072</v>
      </c>
      <c r="B953" s="60">
        <f>14.4427 * CHOOSE(CONTROL!$C$19, $C$6, 100%, $E$6)</f>
        <v>14.4427</v>
      </c>
      <c r="C953" s="60">
        <f>14.4427 * CHOOSE(CONTROL!$C$19, $C$6, 100%, $E$6)</f>
        <v>14.4427</v>
      </c>
      <c r="D953" s="60">
        <f>14.4757 * CHOOSE(CONTROL!$C$19, $C$6, 100%, $E$6)</f>
        <v>14.4757</v>
      </c>
      <c r="E953" s="61">
        <f>17.4935 * CHOOSE(CONTROL!$C$19, $C$6, 100%, $E$6)</f>
        <v>17.493500000000001</v>
      </c>
      <c r="F953" s="61">
        <f>17.4935 * CHOOSE(CONTROL!$C$19, $C$6, 100%, $E$6)</f>
        <v>17.493500000000001</v>
      </c>
      <c r="G953" s="61">
        <f>17.4956 * CHOOSE(CONTROL!$C$19, $C$6, 100%, $E$6)</f>
        <v>17.4956</v>
      </c>
      <c r="H953" s="61">
        <f>23.8977* CHOOSE(CONTROL!$C$19, $C$6, 100%, $E$6)</f>
        <v>23.8977</v>
      </c>
      <c r="I953" s="61">
        <f>23.8998 * CHOOSE(CONTROL!$C$19, $C$6, 100%, $E$6)</f>
        <v>23.899799999999999</v>
      </c>
      <c r="J953" s="61">
        <f>17.4935 * CHOOSE(CONTROL!$C$19, $C$6, 100%, $E$6)</f>
        <v>17.493500000000001</v>
      </c>
      <c r="K953" s="61">
        <f>17.4956 * CHOOSE(CONTROL!$C$19, $C$6, 100%, $E$6)</f>
        <v>17.4956</v>
      </c>
    </row>
    <row r="954" spans="1:11" ht="15">
      <c r="A954" s="13">
        <v>71103</v>
      </c>
      <c r="B954" s="60">
        <f>14.4397 * CHOOSE(CONTROL!$C$19, $C$6, 100%, $E$6)</f>
        <v>14.4397</v>
      </c>
      <c r="C954" s="60">
        <f>14.4397 * CHOOSE(CONTROL!$C$19, $C$6, 100%, $E$6)</f>
        <v>14.4397</v>
      </c>
      <c r="D954" s="60">
        <f>14.4727 * CHOOSE(CONTROL!$C$19, $C$6, 100%, $E$6)</f>
        <v>14.4727</v>
      </c>
      <c r="E954" s="61">
        <f>17.4609 * CHOOSE(CONTROL!$C$19, $C$6, 100%, $E$6)</f>
        <v>17.460899999999999</v>
      </c>
      <c r="F954" s="61">
        <f>17.4609 * CHOOSE(CONTROL!$C$19, $C$6, 100%, $E$6)</f>
        <v>17.460899999999999</v>
      </c>
      <c r="G954" s="61">
        <f>17.463 * CHOOSE(CONTROL!$C$19, $C$6, 100%, $E$6)</f>
        <v>17.463000000000001</v>
      </c>
      <c r="H954" s="61">
        <f>23.9475* CHOOSE(CONTROL!$C$19, $C$6, 100%, $E$6)</f>
        <v>23.947500000000002</v>
      </c>
      <c r="I954" s="61">
        <f>23.9496 * CHOOSE(CONTROL!$C$19, $C$6, 100%, $E$6)</f>
        <v>23.9496</v>
      </c>
      <c r="J954" s="61">
        <f>17.4609 * CHOOSE(CONTROL!$C$19, $C$6, 100%, $E$6)</f>
        <v>17.460899999999999</v>
      </c>
      <c r="K954" s="61">
        <f>17.463 * CHOOSE(CONTROL!$C$19, $C$6, 100%, $E$6)</f>
        <v>17.463000000000001</v>
      </c>
    </row>
    <row r="955" spans="1:11" ht="15">
      <c r="A955" s="13">
        <v>71133</v>
      </c>
      <c r="B955" s="60">
        <f>14.4744 * CHOOSE(CONTROL!$C$19, $C$6, 100%, $E$6)</f>
        <v>14.474399999999999</v>
      </c>
      <c r="C955" s="60">
        <f>14.4744 * CHOOSE(CONTROL!$C$19, $C$6, 100%, $E$6)</f>
        <v>14.474399999999999</v>
      </c>
      <c r="D955" s="60">
        <f>14.4909 * CHOOSE(CONTROL!$C$19, $C$6, 100%, $E$6)</f>
        <v>14.4909</v>
      </c>
      <c r="E955" s="61">
        <f>17.5694 * CHOOSE(CONTROL!$C$19, $C$6, 100%, $E$6)</f>
        <v>17.569400000000002</v>
      </c>
      <c r="F955" s="61">
        <f>17.5694 * CHOOSE(CONTROL!$C$19, $C$6, 100%, $E$6)</f>
        <v>17.569400000000002</v>
      </c>
      <c r="G955" s="61">
        <f>17.5696 * CHOOSE(CONTROL!$C$19, $C$6, 100%, $E$6)</f>
        <v>17.569600000000001</v>
      </c>
      <c r="H955" s="61">
        <f>23.9974* CHOOSE(CONTROL!$C$19, $C$6, 100%, $E$6)</f>
        <v>23.997399999999999</v>
      </c>
      <c r="I955" s="61">
        <f>23.9976 * CHOOSE(CONTROL!$C$19, $C$6, 100%, $E$6)</f>
        <v>23.997599999999998</v>
      </c>
      <c r="J955" s="61">
        <f>17.5694 * CHOOSE(CONTROL!$C$19, $C$6, 100%, $E$6)</f>
        <v>17.569400000000002</v>
      </c>
      <c r="K955" s="61">
        <f>17.5696 * CHOOSE(CONTROL!$C$19, $C$6, 100%, $E$6)</f>
        <v>17.569600000000001</v>
      </c>
    </row>
    <row r="956" spans="1:11" ht="15">
      <c r="A956" s="13">
        <v>71164</v>
      </c>
      <c r="B956" s="60">
        <f>14.4774 * CHOOSE(CONTROL!$C$19, $C$6, 100%, $E$6)</f>
        <v>14.477399999999999</v>
      </c>
      <c r="C956" s="60">
        <f>14.4774 * CHOOSE(CONTROL!$C$19, $C$6, 100%, $E$6)</f>
        <v>14.477399999999999</v>
      </c>
      <c r="D956" s="60">
        <f>14.4939 * CHOOSE(CONTROL!$C$19, $C$6, 100%, $E$6)</f>
        <v>14.4939</v>
      </c>
      <c r="E956" s="61">
        <f>17.6324 * CHOOSE(CONTROL!$C$19, $C$6, 100%, $E$6)</f>
        <v>17.632400000000001</v>
      </c>
      <c r="F956" s="61">
        <f>17.6324 * CHOOSE(CONTROL!$C$19, $C$6, 100%, $E$6)</f>
        <v>17.632400000000001</v>
      </c>
      <c r="G956" s="61">
        <f>17.6326 * CHOOSE(CONTROL!$C$19, $C$6, 100%, $E$6)</f>
        <v>17.6326</v>
      </c>
      <c r="H956" s="61">
        <f>24.0474* CHOOSE(CONTROL!$C$19, $C$6, 100%, $E$6)</f>
        <v>24.0474</v>
      </c>
      <c r="I956" s="61">
        <f>24.0476 * CHOOSE(CONTROL!$C$19, $C$6, 100%, $E$6)</f>
        <v>24.047599999999999</v>
      </c>
      <c r="J956" s="61">
        <f>17.6324 * CHOOSE(CONTROL!$C$19, $C$6, 100%, $E$6)</f>
        <v>17.632400000000001</v>
      </c>
      <c r="K956" s="61">
        <f>17.6326 * CHOOSE(CONTROL!$C$19, $C$6, 100%, $E$6)</f>
        <v>17.6326</v>
      </c>
    </row>
    <row r="957" spans="1:11" ht="15">
      <c r="A957" s="13">
        <v>71194</v>
      </c>
      <c r="B957" s="60">
        <f>14.4774 * CHOOSE(CONTROL!$C$19, $C$6, 100%, $E$6)</f>
        <v>14.477399999999999</v>
      </c>
      <c r="C957" s="60">
        <f>14.4774 * CHOOSE(CONTROL!$C$19, $C$6, 100%, $E$6)</f>
        <v>14.477399999999999</v>
      </c>
      <c r="D957" s="60">
        <f>14.4939 * CHOOSE(CONTROL!$C$19, $C$6, 100%, $E$6)</f>
        <v>14.4939</v>
      </c>
      <c r="E957" s="61">
        <f>17.4801 * CHOOSE(CONTROL!$C$19, $C$6, 100%, $E$6)</f>
        <v>17.4801</v>
      </c>
      <c r="F957" s="61">
        <f>17.4801 * CHOOSE(CONTROL!$C$19, $C$6, 100%, $E$6)</f>
        <v>17.4801</v>
      </c>
      <c r="G957" s="61">
        <f>17.4803 * CHOOSE(CONTROL!$C$19, $C$6, 100%, $E$6)</f>
        <v>17.4803</v>
      </c>
      <c r="H957" s="61">
        <f>24.0975* CHOOSE(CONTROL!$C$19, $C$6, 100%, $E$6)</f>
        <v>24.0975</v>
      </c>
      <c r="I957" s="61">
        <f>24.0977 * CHOOSE(CONTROL!$C$19, $C$6, 100%, $E$6)</f>
        <v>24.0977</v>
      </c>
      <c r="J957" s="61">
        <f>17.4801 * CHOOSE(CONTROL!$C$19, $C$6, 100%, $E$6)</f>
        <v>17.4801</v>
      </c>
      <c r="K957" s="61">
        <f>17.4803 * CHOOSE(CONTROL!$C$19, $C$6, 100%, $E$6)</f>
        <v>17.4803</v>
      </c>
    </row>
    <row r="958" spans="1:11" ht="15">
      <c r="A958" s="13">
        <v>71225</v>
      </c>
      <c r="B958" s="60">
        <f>14.4292 * CHOOSE(CONTROL!$C$19, $C$6, 100%, $E$6)</f>
        <v>14.4292</v>
      </c>
      <c r="C958" s="60">
        <f>14.4292 * CHOOSE(CONTROL!$C$19, $C$6, 100%, $E$6)</f>
        <v>14.4292</v>
      </c>
      <c r="D958" s="60">
        <f>14.4457 * CHOOSE(CONTROL!$C$19, $C$6, 100%, $E$6)</f>
        <v>14.4457</v>
      </c>
      <c r="E958" s="61">
        <f>17.5214 * CHOOSE(CONTROL!$C$19, $C$6, 100%, $E$6)</f>
        <v>17.5214</v>
      </c>
      <c r="F958" s="61">
        <f>17.5214 * CHOOSE(CONTROL!$C$19, $C$6, 100%, $E$6)</f>
        <v>17.5214</v>
      </c>
      <c r="G958" s="61">
        <f>17.5216 * CHOOSE(CONTROL!$C$19, $C$6, 100%, $E$6)</f>
        <v>17.521599999999999</v>
      </c>
      <c r="H958" s="61">
        <f>23.8768* CHOOSE(CONTROL!$C$19, $C$6, 100%, $E$6)</f>
        <v>23.876799999999999</v>
      </c>
      <c r="I958" s="61">
        <f>23.8769 * CHOOSE(CONTROL!$C$19, $C$6, 100%, $E$6)</f>
        <v>23.876899999999999</v>
      </c>
      <c r="J958" s="61">
        <f>17.5214 * CHOOSE(CONTROL!$C$19, $C$6, 100%, $E$6)</f>
        <v>17.5214</v>
      </c>
      <c r="K958" s="61">
        <f>17.5216 * CHOOSE(CONTROL!$C$19, $C$6, 100%, $E$6)</f>
        <v>17.521599999999999</v>
      </c>
    </row>
    <row r="959" spans="1:11" ht="15">
      <c r="A959" s="13">
        <v>71256</v>
      </c>
      <c r="B959" s="60">
        <f>14.4262 * CHOOSE(CONTROL!$C$19, $C$6, 100%, $E$6)</f>
        <v>14.4262</v>
      </c>
      <c r="C959" s="60">
        <f>14.4262 * CHOOSE(CONTROL!$C$19, $C$6, 100%, $E$6)</f>
        <v>14.4262</v>
      </c>
      <c r="D959" s="60">
        <f>14.4427 * CHOOSE(CONTROL!$C$19, $C$6, 100%, $E$6)</f>
        <v>14.4427</v>
      </c>
      <c r="E959" s="61">
        <f>17.2269 * CHOOSE(CONTROL!$C$19, $C$6, 100%, $E$6)</f>
        <v>17.226900000000001</v>
      </c>
      <c r="F959" s="61">
        <f>17.2269 * CHOOSE(CONTROL!$C$19, $C$6, 100%, $E$6)</f>
        <v>17.226900000000001</v>
      </c>
      <c r="G959" s="61">
        <f>17.2271 * CHOOSE(CONTROL!$C$19, $C$6, 100%, $E$6)</f>
        <v>17.2271</v>
      </c>
      <c r="H959" s="61">
        <f>23.9265* CHOOSE(CONTROL!$C$19, $C$6, 100%, $E$6)</f>
        <v>23.926500000000001</v>
      </c>
      <c r="I959" s="61">
        <f>23.9267 * CHOOSE(CONTROL!$C$19, $C$6, 100%, $E$6)</f>
        <v>23.9267</v>
      </c>
      <c r="J959" s="61">
        <f>17.2269 * CHOOSE(CONTROL!$C$19, $C$6, 100%, $E$6)</f>
        <v>17.226900000000001</v>
      </c>
      <c r="K959" s="61">
        <f>17.2271 * CHOOSE(CONTROL!$C$19, $C$6, 100%, $E$6)</f>
        <v>17.2271</v>
      </c>
    </row>
    <row r="960" spans="1:11" ht="15">
      <c r="A960" s="13">
        <v>71284</v>
      </c>
      <c r="B960" s="60">
        <f>14.4232 * CHOOSE(CONTROL!$C$19, $C$6, 100%, $E$6)</f>
        <v>14.4232</v>
      </c>
      <c r="C960" s="60">
        <f>14.4232 * CHOOSE(CONTROL!$C$19, $C$6, 100%, $E$6)</f>
        <v>14.4232</v>
      </c>
      <c r="D960" s="60">
        <f>14.4397 * CHOOSE(CONTROL!$C$19, $C$6, 100%, $E$6)</f>
        <v>14.4397</v>
      </c>
      <c r="E960" s="61">
        <f>17.4553 * CHOOSE(CONTROL!$C$19, $C$6, 100%, $E$6)</f>
        <v>17.455300000000001</v>
      </c>
      <c r="F960" s="61">
        <f>17.4553 * CHOOSE(CONTROL!$C$19, $C$6, 100%, $E$6)</f>
        <v>17.455300000000001</v>
      </c>
      <c r="G960" s="61">
        <f>17.4555 * CHOOSE(CONTROL!$C$19, $C$6, 100%, $E$6)</f>
        <v>17.455500000000001</v>
      </c>
      <c r="H960" s="61">
        <f>23.9764* CHOOSE(CONTROL!$C$19, $C$6, 100%, $E$6)</f>
        <v>23.976400000000002</v>
      </c>
      <c r="I960" s="61">
        <f>23.9765 * CHOOSE(CONTROL!$C$19, $C$6, 100%, $E$6)</f>
        <v>23.976500000000001</v>
      </c>
      <c r="J960" s="61">
        <f>17.4553 * CHOOSE(CONTROL!$C$19, $C$6, 100%, $E$6)</f>
        <v>17.455300000000001</v>
      </c>
      <c r="K960" s="61">
        <f>17.4555 * CHOOSE(CONTROL!$C$19, $C$6, 100%, $E$6)</f>
        <v>17.455500000000001</v>
      </c>
    </row>
    <row r="961" spans="1:11" ht="15">
      <c r="A961" s="13">
        <v>71315</v>
      </c>
      <c r="B961" s="60">
        <f>14.4311 * CHOOSE(CONTROL!$C$19, $C$6, 100%, $E$6)</f>
        <v>14.431100000000001</v>
      </c>
      <c r="C961" s="60">
        <f>14.4311 * CHOOSE(CONTROL!$C$19, $C$6, 100%, $E$6)</f>
        <v>14.431100000000001</v>
      </c>
      <c r="D961" s="60">
        <f>14.4476 * CHOOSE(CONTROL!$C$19, $C$6, 100%, $E$6)</f>
        <v>14.4476</v>
      </c>
      <c r="E961" s="61">
        <f>17.6986 * CHOOSE(CONTROL!$C$19, $C$6, 100%, $E$6)</f>
        <v>17.698599999999999</v>
      </c>
      <c r="F961" s="61">
        <f>17.6986 * CHOOSE(CONTROL!$C$19, $C$6, 100%, $E$6)</f>
        <v>17.698599999999999</v>
      </c>
      <c r="G961" s="61">
        <f>17.6988 * CHOOSE(CONTROL!$C$19, $C$6, 100%, $E$6)</f>
        <v>17.698799999999999</v>
      </c>
      <c r="H961" s="61">
        <f>24.0263* CHOOSE(CONTROL!$C$19, $C$6, 100%, $E$6)</f>
        <v>24.026299999999999</v>
      </c>
      <c r="I961" s="61">
        <f>24.0265 * CHOOSE(CONTROL!$C$19, $C$6, 100%, $E$6)</f>
        <v>24.026499999999999</v>
      </c>
      <c r="J961" s="61">
        <f>17.6986 * CHOOSE(CONTROL!$C$19, $C$6, 100%, $E$6)</f>
        <v>17.698599999999999</v>
      </c>
      <c r="K961" s="61">
        <f>17.6988 * CHOOSE(CONTROL!$C$19, $C$6, 100%, $E$6)</f>
        <v>17.698799999999999</v>
      </c>
    </row>
    <row r="962" spans="1:11" ht="15">
      <c r="A962" s="13">
        <v>71345</v>
      </c>
      <c r="B962" s="60">
        <f>14.4311 * CHOOSE(CONTROL!$C$19, $C$6, 100%, $E$6)</f>
        <v>14.431100000000001</v>
      </c>
      <c r="C962" s="60">
        <f>14.4311 * CHOOSE(CONTROL!$C$19, $C$6, 100%, $E$6)</f>
        <v>14.431100000000001</v>
      </c>
      <c r="D962" s="60">
        <f>14.4641 * CHOOSE(CONTROL!$C$19, $C$6, 100%, $E$6)</f>
        <v>14.4641</v>
      </c>
      <c r="E962" s="61">
        <f>17.7914 * CHOOSE(CONTROL!$C$19, $C$6, 100%, $E$6)</f>
        <v>17.791399999999999</v>
      </c>
      <c r="F962" s="61">
        <f>17.7914 * CHOOSE(CONTROL!$C$19, $C$6, 100%, $E$6)</f>
        <v>17.791399999999999</v>
      </c>
      <c r="G962" s="61">
        <f>17.7935 * CHOOSE(CONTROL!$C$19, $C$6, 100%, $E$6)</f>
        <v>17.793500000000002</v>
      </c>
      <c r="H962" s="61">
        <f>24.0764* CHOOSE(CONTROL!$C$19, $C$6, 100%, $E$6)</f>
        <v>24.0764</v>
      </c>
      <c r="I962" s="61">
        <f>24.0784 * CHOOSE(CONTROL!$C$19, $C$6, 100%, $E$6)</f>
        <v>24.078399999999998</v>
      </c>
      <c r="J962" s="61">
        <f>17.7914 * CHOOSE(CONTROL!$C$19, $C$6, 100%, $E$6)</f>
        <v>17.791399999999999</v>
      </c>
      <c r="K962" s="61">
        <f>17.7935 * CHOOSE(CONTROL!$C$19, $C$6, 100%, $E$6)</f>
        <v>17.793500000000002</v>
      </c>
    </row>
    <row r="963" spans="1:11" ht="15">
      <c r="A963" s="13">
        <v>71376</v>
      </c>
      <c r="B963" s="60">
        <f>14.4372 * CHOOSE(CONTROL!$C$19, $C$6, 100%, $E$6)</f>
        <v>14.437200000000001</v>
      </c>
      <c r="C963" s="60">
        <f>14.4372 * CHOOSE(CONTROL!$C$19, $C$6, 100%, $E$6)</f>
        <v>14.437200000000001</v>
      </c>
      <c r="D963" s="60">
        <f>14.4702 * CHOOSE(CONTROL!$C$19, $C$6, 100%, $E$6)</f>
        <v>14.4702</v>
      </c>
      <c r="E963" s="61">
        <f>17.7028 * CHOOSE(CONTROL!$C$19, $C$6, 100%, $E$6)</f>
        <v>17.7028</v>
      </c>
      <c r="F963" s="61">
        <f>17.7028 * CHOOSE(CONTROL!$C$19, $C$6, 100%, $E$6)</f>
        <v>17.7028</v>
      </c>
      <c r="G963" s="61">
        <f>17.7049 * CHOOSE(CONTROL!$C$19, $C$6, 100%, $E$6)</f>
        <v>17.704899999999999</v>
      </c>
      <c r="H963" s="61">
        <f>24.1265* CHOOSE(CONTROL!$C$19, $C$6, 100%, $E$6)</f>
        <v>24.1265</v>
      </c>
      <c r="I963" s="61">
        <f>24.1286 * CHOOSE(CONTROL!$C$19, $C$6, 100%, $E$6)</f>
        <v>24.128599999999999</v>
      </c>
      <c r="J963" s="61">
        <f>17.7028 * CHOOSE(CONTROL!$C$19, $C$6, 100%, $E$6)</f>
        <v>17.7028</v>
      </c>
      <c r="K963" s="61">
        <f>17.7049 * CHOOSE(CONTROL!$C$19, $C$6, 100%, $E$6)</f>
        <v>17.704899999999999</v>
      </c>
    </row>
    <row r="964" spans="1:11" ht="15">
      <c r="A964" s="13">
        <v>71406</v>
      </c>
      <c r="B964" s="60">
        <f>14.6354 * CHOOSE(CONTROL!$C$19, $C$6, 100%, $E$6)</f>
        <v>14.635400000000001</v>
      </c>
      <c r="C964" s="60">
        <f>14.6354 * CHOOSE(CONTROL!$C$19, $C$6, 100%, $E$6)</f>
        <v>14.635400000000001</v>
      </c>
      <c r="D964" s="60">
        <f>14.6684 * CHOOSE(CONTROL!$C$19, $C$6, 100%, $E$6)</f>
        <v>14.6684</v>
      </c>
      <c r="E964" s="61">
        <f>18.0222 * CHOOSE(CONTROL!$C$19, $C$6, 100%, $E$6)</f>
        <v>18.022200000000002</v>
      </c>
      <c r="F964" s="61">
        <f>18.0222 * CHOOSE(CONTROL!$C$19, $C$6, 100%, $E$6)</f>
        <v>18.022200000000002</v>
      </c>
      <c r="G964" s="61">
        <f>18.0242 * CHOOSE(CONTROL!$C$19, $C$6, 100%, $E$6)</f>
        <v>18.0242</v>
      </c>
      <c r="H964" s="61">
        <f>24.1768* CHOOSE(CONTROL!$C$19, $C$6, 100%, $E$6)</f>
        <v>24.1768</v>
      </c>
      <c r="I964" s="61">
        <f>24.1788 * CHOOSE(CONTROL!$C$19, $C$6, 100%, $E$6)</f>
        <v>24.178799999999999</v>
      </c>
      <c r="J964" s="61">
        <f>18.0222 * CHOOSE(CONTROL!$C$19, $C$6, 100%, $E$6)</f>
        <v>18.022200000000002</v>
      </c>
      <c r="K964" s="61">
        <f>18.0242 * CHOOSE(CONTROL!$C$19, $C$6, 100%, $E$6)</f>
        <v>18.0242</v>
      </c>
    </row>
    <row r="965" spans="1:11" ht="15">
      <c r="A965" s="13">
        <v>71437</v>
      </c>
      <c r="B965" s="60">
        <f>14.642 * CHOOSE(CONTROL!$C$19, $C$6, 100%, $E$6)</f>
        <v>14.641999999999999</v>
      </c>
      <c r="C965" s="60">
        <f>14.642 * CHOOSE(CONTROL!$C$19, $C$6, 100%, $E$6)</f>
        <v>14.641999999999999</v>
      </c>
      <c r="D965" s="60">
        <f>14.675 * CHOOSE(CONTROL!$C$19, $C$6, 100%, $E$6)</f>
        <v>14.675000000000001</v>
      </c>
      <c r="E965" s="61">
        <f>17.7484 * CHOOSE(CONTROL!$C$19, $C$6, 100%, $E$6)</f>
        <v>17.7484</v>
      </c>
      <c r="F965" s="61">
        <f>17.7484 * CHOOSE(CONTROL!$C$19, $C$6, 100%, $E$6)</f>
        <v>17.7484</v>
      </c>
      <c r="G965" s="61">
        <f>17.7504 * CHOOSE(CONTROL!$C$19, $C$6, 100%, $E$6)</f>
        <v>17.750399999999999</v>
      </c>
      <c r="H965" s="61">
        <f>24.2271* CHOOSE(CONTROL!$C$19, $C$6, 100%, $E$6)</f>
        <v>24.2271</v>
      </c>
      <c r="I965" s="61">
        <f>24.2292 * CHOOSE(CONTROL!$C$19, $C$6, 100%, $E$6)</f>
        <v>24.229199999999999</v>
      </c>
      <c r="J965" s="61">
        <f>17.7484 * CHOOSE(CONTROL!$C$19, $C$6, 100%, $E$6)</f>
        <v>17.7484</v>
      </c>
      <c r="K965" s="61">
        <f>17.7504 * CHOOSE(CONTROL!$C$19, $C$6, 100%, $E$6)</f>
        <v>17.750399999999999</v>
      </c>
    </row>
    <row r="966" spans="1:11" ht="15">
      <c r="A966" s="13">
        <v>71468</v>
      </c>
      <c r="B966" s="60">
        <f>14.639 * CHOOSE(CONTROL!$C$19, $C$6, 100%, $E$6)</f>
        <v>14.638999999999999</v>
      </c>
      <c r="C966" s="60">
        <f>14.639 * CHOOSE(CONTROL!$C$19, $C$6, 100%, $E$6)</f>
        <v>14.638999999999999</v>
      </c>
      <c r="D966" s="60">
        <f>14.672 * CHOOSE(CONTROL!$C$19, $C$6, 100%, $E$6)</f>
        <v>14.672000000000001</v>
      </c>
      <c r="E966" s="61">
        <f>17.7153 * CHOOSE(CONTROL!$C$19, $C$6, 100%, $E$6)</f>
        <v>17.715299999999999</v>
      </c>
      <c r="F966" s="61">
        <f>17.7153 * CHOOSE(CONTROL!$C$19, $C$6, 100%, $E$6)</f>
        <v>17.715299999999999</v>
      </c>
      <c r="G966" s="61">
        <f>17.7173 * CHOOSE(CONTROL!$C$19, $C$6, 100%, $E$6)</f>
        <v>17.717300000000002</v>
      </c>
      <c r="H966" s="61">
        <f>24.2776* CHOOSE(CONTROL!$C$19, $C$6, 100%, $E$6)</f>
        <v>24.2776</v>
      </c>
      <c r="I966" s="61">
        <f>24.2797 * CHOOSE(CONTROL!$C$19, $C$6, 100%, $E$6)</f>
        <v>24.279699999999998</v>
      </c>
      <c r="J966" s="61">
        <f>17.7153 * CHOOSE(CONTROL!$C$19, $C$6, 100%, $E$6)</f>
        <v>17.715299999999999</v>
      </c>
      <c r="K966" s="61">
        <f>17.7173 * CHOOSE(CONTROL!$C$19, $C$6, 100%, $E$6)</f>
        <v>17.717300000000002</v>
      </c>
    </row>
    <row r="967" spans="1:11" ht="15">
      <c r="A967" s="13">
        <v>71498</v>
      </c>
      <c r="B967" s="60">
        <f>14.6745 * CHOOSE(CONTROL!$C$19, $C$6, 100%, $E$6)</f>
        <v>14.6745</v>
      </c>
      <c r="C967" s="60">
        <f>14.6745 * CHOOSE(CONTROL!$C$19, $C$6, 100%, $E$6)</f>
        <v>14.6745</v>
      </c>
      <c r="D967" s="60">
        <f>14.691 * CHOOSE(CONTROL!$C$19, $C$6, 100%, $E$6)</f>
        <v>14.691000000000001</v>
      </c>
      <c r="E967" s="61">
        <f>17.8256 * CHOOSE(CONTROL!$C$19, $C$6, 100%, $E$6)</f>
        <v>17.825600000000001</v>
      </c>
      <c r="F967" s="61">
        <f>17.8256 * CHOOSE(CONTROL!$C$19, $C$6, 100%, $E$6)</f>
        <v>17.825600000000001</v>
      </c>
      <c r="G967" s="61">
        <f>17.8258 * CHOOSE(CONTROL!$C$19, $C$6, 100%, $E$6)</f>
        <v>17.825800000000001</v>
      </c>
      <c r="H967" s="61">
        <f>24.3282* CHOOSE(CONTROL!$C$19, $C$6, 100%, $E$6)</f>
        <v>24.328199999999999</v>
      </c>
      <c r="I967" s="61">
        <f>24.3284 * CHOOSE(CONTROL!$C$19, $C$6, 100%, $E$6)</f>
        <v>24.328399999999998</v>
      </c>
      <c r="J967" s="61">
        <f>17.8256 * CHOOSE(CONTROL!$C$19, $C$6, 100%, $E$6)</f>
        <v>17.825600000000001</v>
      </c>
      <c r="K967" s="61">
        <f>17.8258 * CHOOSE(CONTROL!$C$19, $C$6, 100%, $E$6)</f>
        <v>17.825800000000001</v>
      </c>
    </row>
    <row r="968" spans="1:11" ht="15">
      <c r="A968" s="13">
        <v>71529</v>
      </c>
      <c r="B968" s="60">
        <f>14.6775 * CHOOSE(CONTROL!$C$19, $C$6, 100%, $E$6)</f>
        <v>14.6775</v>
      </c>
      <c r="C968" s="60">
        <f>14.6775 * CHOOSE(CONTROL!$C$19, $C$6, 100%, $E$6)</f>
        <v>14.6775</v>
      </c>
      <c r="D968" s="60">
        <f>14.694 * CHOOSE(CONTROL!$C$19, $C$6, 100%, $E$6)</f>
        <v>14.694000000000001</v>
      </c>
      <c r="E968" s="61">
        <f>17.8896 * CHOOSE(CONTROL!$C$19, $C$6, 100%, $E$6)</f>
        <v>17.889600000000002</v>
      </c>
      <c r="F968" s="61">
        <f>17.8896 * CHOOSE(CONTROL!$C$19, $C$6, 100%, $E$6)</f>
        <v>17.889600000000002</v>
      </c>
      <c r="G968" s="61">
        <f>17.8898 * CHOOSE(CONTROL!$C$19, $C$6, 100%, $E$6)</f>
        <v>17.889800000000001</v>
      </c>
      <c r="H968" s="61">
        <f>24.3789* CHOOSE(CONTROL!$C$19, $C$6, 100%, $E$6)</f>
        <v>24.378900000000002</v>
      </c>
      <c r="I968" s="61">
        <f>24.3791 * CHOOSE(CONTROL!$C$19, $C$6, 100%, $E$6)</f>
        <v>24.379100000000001</v>
      </c>
      <c r="J968" s="61">
        <f>17.8896 * CHOOSE(CONTROL!$C$19, $C$6, 100%, $E$6)</f>
        <v>17.889600000000002</v>
      </c>
      <c r="K968" s="61">
        <f>17.8898 * CHOOSE(CONTROL!$C$19, $C$6, 100%, $E$6)</f>
        <v>17.889800000000001</v>
      </c>
    </row>
    <row r="969" spans="1:11" ht="15">
      <c r="A969" s="13">
        <v>71559</v>
      </c>
      <c r="B969" s="60">
        <f>14.6775 * CHOOSE(CONTROL!$C$19, $C$6, 100%, $E$6)</f>
        <v>14.6775</v>
      </c>
      <c r="C969" s="60">
        <f>14.6775 * CHOOSE(CONTROL!$C$19, $C$6, 100%, $E$6)</f>
        <v>14.6775</v>
      </c>
      <c r="D969" s="60">
        <f>14.694 * CHOOSE(CONTROL!$C$19, $C$6, 100%, $E$6)</f>
        <v>14.694000000000001</v>
      </c>
      <c r="E969" s="61">
        <f>17.7349 * CHOOSE(CONTROL!$C$19, $C$6, 100%, $E$6)</f>
        <v>17.7349</v>
      </c>
      <c r="F969" s="61">
        <f>17.7349 * CHOOSE(CONTROL!$C$19, $C$6, 100%, $E$6)</f>
        <v>17.7349</v>
      </c>
      <c r="G969" s="61">
        <f>17.7351 * CHOOSE(CONTROL!$C$19, $C$6, 100%, $E$6)</f>
        <v>17.735099999999999</v>
      </c>
      <c r="H969" s="61">
        <f>24.4297* CHOOSE(CONTROL!$C$19, $C$6, 100%, $E$6)</f>
        <v>24.4297</v>
      </c>
      <c r="I969" s="61">
        <f>24.4298 * CHOOSE(CONTROL!$C$19, $C$6, 100%, $E$6)</f>
        <v>24.4298</v>
      </c>
      <c r="J969" s="61">
        <f>17.7349 * CHOOSE(CONTROL!$C$19, $C$6, 100%, $E$6)</f>
        <v>17.7349</v>
      </c>
      <c r="K969" s="61">
        <f>17.7351 * CHOOSE(CONTROL!$C$19, $C$6, 100%, $E$6)</f>
        <v>17.735099999999999</v>
      </c>
    </row>
    <row r="970" spans="1:11" ht="15">
      <c r="A970" s="13">
        <v>71590</v>
      </c>
      <c r="B970" s="60">
        <f>14.6259 * CHOOSE(CONTROL!$C$19, $C$6, 100%, $E$6)</f>
        <v>14.6259</v>
      </c>
      <c r="C970" s="60">
        <f>14.6259 * CHOOSE(CONTROL!$C$19, $C$6, 100%, $E$6)</f>
        <v>14.6259</v>
      </c>
      <c r="D970" s="60">
        <f>14.6424 * CHOOSE(CONTROL!$C$19, $C$6, 100%, $E$6)</f>
        <v>14.6424</v>
      </c>
      <c r="E970" s="61">
        <f>17.7733 * CHOOSE(CONTROL!$C$19, $C$6, 100%, $E$6)</f>
        <v>17.773299999999999</v>
      </c>
      <c r="F970" s="61">
        <f>17.7733 * CHOOSE(CONTROL!$C$19, $C$6, 100%, $E$6)</f>
        <v>17.773299999999999</v>
      </c>
      <c r="G970" s="61">
        <f>17.7734 * CHOOSE(CONTROL!$C$19, $C$6, 100%, $E$6)</f>
        <v>17.773399999999999</v>
      </c>
      <c r="H970" s="61">
        <f>24.2014* CHOOSE(CONTROL!$C$19, $C$6, 100%, $E$6)</f>
        <v>24.2014</v>
      </c>
      <c r="I970" s="61">
        <f>24.2016 * CHOOSE(CONTROL!$C$19, $C$6, 100%, $E$6)</f>
        <v>24.201599999999999</v>
      </c>
      <c r="J970" s="61">
        <f>17.7733 * CHOOSE(CONTROL!$C$19, $C$6, 100%, $E$6)</f>
        <v>17.773299999999999</v>
      </c>
      <c r="K970" s="61">
        <f>17.7734 * CHOOSE(CONTROL!$C$19, $C$6, 100%, $E$6)</f>
        <v>17.773399999999999</v>
      </c>
    </row>
    <row r="971" spans="1:11" ht="15">
      <c r="A971" s="13">
        <v>71621</v>
      </c>
      <c r="B971" s="60">
        <f>14.6228 * CHOOSE(CONTROL!$C$19, $C$6, 100%, $E$6)</f>
        <v>14.6228</v>
      </c>
      <c r="C971" s="60">
        <f>14.6228 * CHOOSE(CONTROL!$C$19, $C$6, 100%, $E$6)</f>
        <v>14.6228</v>
      </c>
      <c r="D971" s="60">
        <f>14.6393 * CHOOSE(CONTROL!$C$19, $C$6, 100%, $E$6)</f>
        <v>14.6393</v>
      </c>
      <c r="E971" s="61">
        <f>17.4743 * CHOOSE(CONTROL!$C$19, $C$6, 100%, $E$6)</f>
        <v>17.474299999999999</v>
      </c>
      <c r="F971" s="61">
        <f>17.4743 * CHOOSE(CONTROL!$C$19, $C$6, 100%, $E$6)</f>
        <v>17.474299999999999</v>
      </c>
      <c r="G971" s="61">
        <f>17.4745 * CHOOSE(CONTROL!$C$19, $C$6, 100%, $E$6)</f>
        <v>17.474499999999999</v>
      </c>
      <c r="H971" s="61">
        <f>24.2518* CHOOSE(CONTROL!$C$19, $C$6, 100%, $E$6)</f>
        <v>24.251799999999999</v>
      </c>
      <c r="I971" s="61">
        <f>24.252 * CHOOSE(CONTROL!$C$19, $C$6, 100%, $E$6)</f>
        <v>24.251999999999999</v>
      </c>
      <c r="J971" s="61">
        <f>17.4743 * CHOOSE(CONTROL!$C$19, $C$6, 100%, $E$6)</f>
        <v>17.474299999999999</v>
      </c>
      <c r="K971" s="61">
        <f>17.4745 * CHOOSE(CONTROL!$C$19, $C$6, 100%, $E$6)</f>
        <v>17.474499999999999</v>
      </c>
    </row>
    <row r="972" spans="1:11" ht="15">
      <c r="A972" s="13">
        <v>71650</v>
      </c>
      <c r="B972" s="60">
        <f>14.6198 * CHOOSE(CONTROL!$C$19, $C$6, 100%, $E$6)</f>
        <v>14.6198</v>
      </c>
      <c r="C972" s="60">
        <f>14.6198 * CHOOSE(CONTROL!$C$19, $C$6, 100%, $E$6)</f>
        <v>14.6198</v>
      </c>
      <c r="D972" s="60">
        <f>14.6363 * CHOOSE(CONTROL!$C$19, $C$6, 100%, $E$6)</f>
        <v>14.6363</v>
      </c>
      <c r="E972" s="61">
        <f>17.7062 * CHOOSE(CONTROL!$C$19, $C$6, 100%, $E$6)</f>
        <v>17.706199999999999</v>
      </c>
      <c r="F972" s="61">
        <f>17.7062 * CHOOSE(CONTROL!$C$19, $C$6, 100%, $E$6)</f>
        <v>17.706199999999999</v>
      </c>
      <c r="G972" s="61">
        <f>17.7064 * CHOOSE(CONTROL!$C$19, $C$6, 100%, $E$6)</f>
        <v>17.706399999999999</v>
      </c>
      <c r="H972" s="61">
        <f>24.3024* CHOOSE(CONTROL!$C$19, $C$6, 100%, $E$6)</f>
        <v>24.302399999999999</v>
      </c>
      <c r="I972" s="61">
        <f>24.3025 * CHOOSE(CONTROL!$C$19, $C$6, 100%, $E$6)</f>
        <v>24.302499999999998</v>
      </c>
      <c r="J972" s="61">
        <f>17.7062 * CHOOSE(CONTROL!$C$19, $C$6, 100%, $E$6)</f>
        <v>17.706199999999999</v>
      </c>
      <c r="K972" s="61">
        <f>17.7064 * CHOOSE(CONTROL!$C$19, $C$6, 100%, $E$6)</f>
        <v>17.706399999999999</v>
      </c>
    </row>
    <row r="973" spans="1:11" ht="15">
      <c r="A973" s="13">
        <v>71681</v>
      </c>
      <c r="B973" s="60">
        <f>14.6279 * CHOOSE(CONTROL!$C$19, $C$6, 100%, $E$6)</f>
        <v>14.6279</v>
      </c>
      <c r="C973" s="60">
        <f>14.6279 * CHOOSE(CONTROL!$C$19, $C$6, 100%, $E$6)</f>
        <v>14.6279</v>
      </c>
      <c r="D973" s="60">
        <f>14.6444 * CHOOSE(CONTROL!$C$19, $C$6, 100%, $E$6)</f>
        <v>14.644399999999999</v>
      </c>
      <c r="E973" s="61">
        <f>17.9533 * CHOOSE(CONTROL!$C$19, $C$6, 100%, $E$6)</f>
        <v>17.953299999999999</v>
      </c>
      <c r="F973" s="61">
        <f>17.9533 * CHOOSE(CONTROL!$C$19, $C$6, 100%, $E$6)</f>
        <v>17.953299999999999</v>
      </c>
      <c r="G973" s="61">
        <f>17.9535 * CHOOSE(CONTROL!$C$19, $C$6, 100%, $E$6)</f>
        <v>17.953499999999998</v>
      </c>
      <c r="H973" s="61">
        <f>24.353* CHOOSE(CONTROL!$C$19, $C$6, 100%, $E$6)</f>
        <v>24.353000000000002</v>
      </c>
      <c r="I973" s="61">
        <f>24.3532 * CHOOSE(CONTROL!$C$19, $C$6, 100%, $E$6)</f>
        <v>24.353200000000001</v>
      </c>
      <c r="J973" s="61">
        <f>17.9533 * CHOOSE(CONTROL!$C$19, $C$6, 100%, $E$6)</f>
        <v>17.953299999999999</v>
      </c>
      <c r="K973" s="61">
        <f>17.9535 * CHOOSE(CONTROL!$C$19, $C$6, 100%, $E$6)</f>
        <v>17.953499999999998</v>
      </c>
    </row>
    <row r="974" spans="1:11" ht="15">
      <c r="A974" s="13">
        <v>71711</v>
      </c>
      <c r="B974" s="60">
        <f>14.6279 * CHOOSE(CONTROL!$C$19, $C$6, 100%, $E$6)</f>
        <v>14.6279</v>
      </c>
      <c r="C974" s="60">
        <f>14.6279 * CHOOSE(CONTROL!$C$19, $C$6, 100%, $E$6)</f>
        <v>14.6279</v>
      </c>
      <c r="D974" s="60">
        <f>14.6609 * CHOOSE(CONTROL!$C$19, $C$6, 100%, $E$6)</f>
        <v>14.6609</v>
      </c>
      <c r="E974" s="61">
        <f>18.0475 * CHOOSE(CONTROL!$C$19, $C$6, 100%, $E$6)</f>
        <v>18.047499999999999</v>
      </c>
      <c r="F974" s="61">
        <f>18.0475 * CHOOSE(CONTROL!$C$19, $C$6, 100%, $E$6)</f>
        <v>18.047499999999999</v>
      </c>
      <c r="G974" s="61">
        <f>18.0496 * CHOOSE(CONTROL!$C$19, $C$6, 100%, $E$6)</f>
        <v>18.049600000000002</v>
      </c>
      <c r="H974" s="61">
        <f>24.4037* CHOOSE(CONTROL!$C$19, $C$6, 100%, $E$6)</f>
        <v>24.403700000000001</v>
      </c>
      <c r="I974" s="61">
        <f>24.4058 * CHOOSE(CONTROL!$C$19, $C$6, 100%, $E$6)</f>
        <v>24.405799999999999</v>
      </c>
      <c r="J974" s="61">
        <f>18.0475 * CHOOSE(CONTROL!$C$19, $C$6, 100%, $E$6)</f>
        <v>18.047499999999999</v>
      </c>
      <c r="K974" s="61">
        <f>18.0496 * CHOOSE(CONTROL!$C$19, $C$6, 100%, $E$6)</f>
        <v>18.049600000000002</v>
      </c>
    </row>
    <row r="975" spans="1:11" ht="15">
      <c r="A975" s="13">
        <v>71742</v>
      </c>
      <c r="B975" s="60">
        <f>14.634 * CHOOSE(CONTROL!$C$19, $C$6, 100%, $E$6)</f>
        <v>14.634</v>
      </c>
      <c r="C975" s="60">
        <f>14.634 * CHOOSE(CONTROL!$C$19, $C$6, 100%, $E$6)</f>
        <v>14.634</v>
      </c>
      <c r="D975" s="60">
        <f>14.667 * CHOOSE(CONTROL!$C$19, $C$6, 100%, $E$6)</f>
        <v>14.667</v>
      </c>
      <c r="E975" s="61">
        <f>17.9575 * CHOOSE(CONTROL!$C$19, $C$6, 100%, $E$6)</f>
        <v>17.9575</v>
      </c>
      <c r="F975" s="61">
        <f>17.9575 * CHOOSE(CONTROL!$C$19, $C$6, 100%, $E$6)</f>
        <v>17.9575</v>
      </c>
      <c r="G975" s="61">
        <f>17.9596 * CHOOSE(CONTROL!$C$19, $C$6, 100%, $E$6)</f>
        <v>17.959599999999998</v>
      </c>
      <c r="H975" s="61">
        <f>24.4546* CHOOSE(CONTROL!$C$19, $C$6, 100%, $E$6)</f>
        <v>24.454599999999999</v>
      </c>
      <c r="I975" s="61">
        <f>24.4566 * CHOOSE(CONTROL!$C$19, $C$6, 100%, $E$6)</f>
        <v>24.456600000000002</v>
      </c>
      <c r="J975" s="61">
        <f>17.9575 * CHOOSE(CONTROL!$C$19, $C$6, 100%, $E$6)</f>
        <v>17.9575</v>
      </c>
      <c r="K975" s="61">
        <f>17.9596 * CHOOSE(CONTROL!$C$19, $C$6, 100%, $E$6)</f>
        <v>17.959599999999998</v>
      </c>
    </row>
    <row r="976" spans="1:11" ht="15">
      <c r="A976" s="13">
        <v>71772</v>
      </c>
      <c r="B976" s="60">
        <f>14.8347 * CHOOSE(CONTROL!$C$19, $C$6, 100%, $E$6)</f>
        <v>14.8347</v>
      </c>
      <c r="C976" s="60">
        <f>14.8347 * CHOOSE(CONTROL!$C$19, $C$6, 100%, $E$6)</f>
        <v>14.8347</v>
      </c>
      <c r="D976" s="60">
        <f>14.8677 * CHOOSE(CONTROL!$C$19, $C$6, 100%, $E$6)</f>
        <v>14.867699999999999</v>
      </c>
      <c r="E976" s="61">
        <f>18.2813 * CHOOSE(CONTROL!$C$19, $C$6, 100%, $E$6)</f>
        <v>18.281300000000002</v>
      </c>
      <c r="F976" s="61">
        <f>18.2813 * CHOOSE(CONTROL!$C$19, $C$6, 100%, $E$6)</f>
        <v>18.281300000000002</v>
      </c>
      <c r="G976" s="61">
        <f>18.2833 * CHOOSE(CONTROL!$C$19, $C$6, 100%, $E$6)</f>
        <v>18.283300000000001</v>
      </c>
      <c r="H976" s="61">
        <f>24.5055* CHOOSE(CONTROL!$C$19, $C$6, 100%, $E$6)</f>
        <v>24.505500000000001</v>
      </c>
      <c r="I976" s="61">
        <f>24.5076 * CHOOSE(CONTROL!$C$19, $C$6, 100%, $E$6)</f>
        <v>24.5076</v>
      </c>
      <c r="J976" s="61">
        <f>18.2813 * CHOOSE(CONTROL!$C$19, $C$6, 100%, $E$6)</f>
        <v>18.281300000000002</v>
      </c>
      <c r="K976" s="61">
        <f>18.2833 * CHOOSE(CONTROL!$C$19, $C$6, 100%, $E$6)</f>
        <v>18.283300000000001</v>
      </c>
    </row>
    <row r="977" spans="1:11" ht="15">
      <c r="A977" s="13">
        <v>71803</v>
      </c>
      <c r="B977" s="60">
        <f>14.8414 * CHOOSE(CONTROL!$C$19, $C$6, 100%, $E$6)</f>
        <v>14.8414</v>
      </c>
      <c r="C977" s="60">
        <f>14.8414 * CHOOSE(CONTROL!$C$19, $C$6, 100%, $E$6)</f>
        <v>14.8414</v>
      </c>
      <c r="D977" s="60">
        <f>14.8744 * CHOOSE(CONTROL!$C$19, $C$6, 100%, $E$6)</f>
        <v>14.8744</v>
      </c>
      <c r="E977" s="61">
        <f>18.0032 * CHOOSE(CONTROL!$C$19, $C$6, 100%, $E$6)</f>
        <v>18.0032</v>
      </c>
      <c r="F977" s="61">
        <f>18.0032 * CHOOSE(CONTROL!$C$19, $C$6, 100%, $E$6)</f>
        <v>18.0032</v>
      </c>
      <c r="G977" s="61">
        <f>18.0052 * CHOOSE(CONTROL!$C$19, $C$6, 100%, $E$6)</f>
        <v>18.005199999999999</v>
      </c>
      <c r="H977" s="61">
        <f>24.5566* CHOOSE(CONTROL!$C$19, $C$6, 100%, $E$6)</f>
        <v>24.5566</v>
      </c>
      <c r="I977" s="61">
        <f>24.5586 * CHOOSE(CONTROL!$C$19, $C$6, 100%, $E$6)</f>
        <v>24.558599999999998</v>
      </c>
      <c r="J977" s="61">
        <f>18.0032 * CHOOSE(CONTROL!$C$19, $C$6, 100%, $E$6)</f>
        <v>18.0032</v>
      </c>
      <c r="K977" s="61">
        <f>18.0052 * CHOOSE(CONTROL!$C$19, $C$6, 100%, $E$6)</f>
        <v>18.005199999999999</v>
      </c>
    </row>
    <row r="978" spans="1:11" ht="15">
      <c r="A978" s="13">
        <v>71834</v>
      </c>
      <c r="B978" s="60">
        <f>14.8383 * CHOOSE(CONTROL!$C$19, $C$6, 100%, $E$6)</f>
        <v>14.8383</v>
      </c>
      <c r="C978" s="60">
        <f>14.8383 * CHOOSE(CONTROL!$C$19, $C$6, 100%, $E$6)</f>
        <v>14.8383</v>
      </c>
      <c r="D978" s="60">
        <f>14.8713 * CHOOSE(CONTROL!$C$19, $C$6, 100%, $E$6)</f>
        <v>14.8713</v>
      </c>
      <c r="E978" s="61">
        <f>17.9697 * CHOOSE(CONTROL!$C$19, $C$6, 100%, $E$6)</f>
        <v>17.9697</v>
      </c>
      <c r="F978" s="61">
        <f>17.9697 * CHOOSE(CONTROL!$C$19, $C$6, 100%, $E$6)</f>
        <v>17.9697</v>
      </c>
      <c r="G978" s="61">
        <f>17.9717 * CHOOSE(CONTROL!$C$19, $C$6, 100%, $E$6)</f>
        <v>17.971699999999998</v>
      </c>
      <c r="H978" s="61">
        <f>24.6077* CHOOSE(CONTROL!$C$19, $C$6, 100%, $E$6)</f>
        <v>24.607700000000001</v>
      </c>
      <c r="I978" s="61">
        <f>24.6098 * CHOOSE(CONTROL!$C$19, $C$6, 100%, $E$6)</f>
        <v>24.6098</v>
      </c>
      <c r="J978" s="61">
        <f>17.9697 * CHOOSE(CONTROL!$C$19, $C$6, 100%, $E$6)</f>
        <v>17.9697</v>
      </c>
      <c r="K978" s="61">
        <f>17.9717 * CHOOSE(CONTROL!$C$19, $C$6, 100%, $E$6)</f>
        <v>17.971699999999998</v>
      </c>
    </row>
    <row r="979" spans="1:11" ht="15">
      <c r="A979" s="13">
        <v>71864</v>
      </c>
      <c r="B979" s="60">
        <f>14.8745 * CHOOSE(CONTROL!$C$19, $C$6, 100%, $E$6)</f>
        <v>14.874499999999999</v>
      </c>
      <c r="C979" s="60">
        <f>14.8745 * CHOOSE(CONTROL!$C$19, $C$6, 100%, $E$6)</f>
        <v>14.874499999999999</v>
      </c>
      <c r="D979" s="60">
        <f>14.891 * CHOOSE(CONTROL!$C$19, $C$6, 100%, $E$6)</f>
        <v>14.891</v>
      </c>
      <c r="E979" s="61">
        <f>18.0819 * CHOOSE(CONTROL!$C$19, $C$6, 100%, $E$6)</f>
        <v>18.081900000000001</v>
      </c>
      <c r="F979" s="61">
        <f>18.0819 * CHOOSE(CONTROL!$C$19, $C$6, 100%, $E$6)</f>
        <v>18.081900000000001</v>
      </c>
      <c r="G979" s="61">
        <f>18.0821 * CHOOSE(CONTROL!$C$19, $C$6, 100%, $E$6)</f>
        <v>18.082100000000001</v>
      </c>
      <c r="H979" s="61">
        <f>24.659* CHOOSE(CONTROL!$C$19, $C$6, 100%, $E$6)</f>
        <v>24.658999999999999</v>
      </c>
      <c r="I979" s="61">
        <f>24.6592 * CHOOSE(CONTROL!$C$19, $C$6, 100%, $E$6)</f>
        <v>24.659199999999998</v>
      </c>
      <c r="J979" s="61">
        <f>18.0819 * CHOOSE(CONTROL!$C$19, $C$6, 100%, $E$6)</f>
        <v>18.081900000000001</v>
      </c>
      <c r="K979" s="61">
        <f>18.0821 * CHOOSE(CONTROL!$C$19, $C$6, 100%, $E$6)</f>
        <v>18.082100000000001</v>
      </c>
    </row>
    <row r="980" spans="1:11" ht="15">
      <c r="A980" s="13">
        <v>71895</v>
      </c>
      <c r="B980" s="60">
        <f>14.8776 * CHOOSE(CONTROL!$C$19, $C$6, 100%, $E$6)</f>
        <v>14.877599999999999</v>
      </c>
      <c r="C980" s="60">
        <f>14.8776 * CHOOSE(CONTROL!$C$19, $C$6, 100%, $E$6)</f>
        <v>14.877599999999999</v>
      </c>
      <c r="D980" s="60">
        <f>14.8941 * CHOOSE(CONTROL!$C$19, $C$6, 100%, $E$6)</f>
        <v>14.8941</v>
      </c>
      <c r="E980" s="61">
        <f>18.1469 * CHOOSE(CONTROL!$C$19, $C$6, 100%, $E$6)</f>
        <v>18.146899999999999</v>
      </c>
      <c r="F980" s="61">
        <f>18.1469 * CHOOSE(CONTROL!$C$19, $C$6, 100%, $E$6)</f>
        <v>18.146899999999999</v>
      </c>
      <c r="G980" s="61">
        <f>18.147 * CHOOSE(CONTROL!$C$19, $C$6, 100%, $E$6)</f>
        <v>18.146999999999998</v>
      </c>
      <c r="H980" s="61">
        <f>24.7104* CHOOSE(CONTROL!$C$19, $C$6, 100%, $E$6)</f>
        <v>24.7104</v>
      </c>
      <c r="I980" s="61">
        <f>24.7105 * CHOOSE(CONTROL!$C$19, $C$6, 100%, $E$6)</f>
        <v>24.7105</v>
      </c>
      <c r="J980" s="61">
        <f>18.1469 * CHOOSE(CONTROL!$C$19, $C$6, 100%, $E$6)</f>
        <v>18.146899999999999</v>
      </c>
      <c r="K980" s="61">
        <f>18.147 * CHOOSE(CONTROL!$C$19, $C$6, 100%, $E$6)</f>
        <v>18.146999999999998</v>
      </c>
    </row>
    <row r="981" spans="1:11" ht="15">
      <c r="A981" s="13">
        <v>71925</v>
      </c>
      <c r="B981" s="60">
        <f>14.8776 * CHOOSE(CONTROL!$C$19, $C$6, 100%, $E$6)</f>
        <v>14.877599999999999</v>
      </c>
      <c r="C981" s="60">
        <f>14.8776 * CHOOSE(CONTROL!$C$19, $C$6, 100%, $E$6)</f>
        <v>14.877599999999999</v>
      </c>
      <c r="D981" s="60">
        <f>14.8941 * CHOOSE(CONTROL!$C$19, $C$6, 100%, $E$6)</f>
        <v>14.8941</v>
      </c>
      <c r="E981" s="61">
        <f>17.9898 * CHOOSE(CONTROL!$C$19, $C$6, 100%, $E$6)</f>
        <v>17.989799999999999</v>
      </c>
      <c r="F981" s="61">
        <f>17.9898 * CHOOSE(CONTROL!$C$19, $C$6, 100%, $E$6)</f>
        <v>17.989799999999999</v>
      </c>
      <c r="G981" s="61">
        <f>17.99 * CHOOSE(CONTROL!$C$19, $C$6, 100%, $E$6)</f>
        <v>17.989999999999998</v>
      </c>
      <c r="H981" s="61">
        <f>24.7619* CHOOSE(CONTROL!$C$19, $C$6, 100%, $E$6)</f>
        <v>24.761900000000001</v>
      </c>
      <c r="I981" s="61">
        <f>24.762 * CHOOSE(CONTROL!$C$19, $C$6, 100%, $E$6)</f>
        <v>24.762</v>
      </c>
      <c r="J981" s="61">
        <f>17.9898 * CHOOSE(CONTROL!$C$19, $C$6, 100%, $E$6)</f>
        <v>17.989799999999999</v>
      </c>
      <c r="K981" s="61">
        <f>17.99 * CHOOSE(CONTROL!$C$19, $C$6, 100%, $E$6)</f>
        <v>17.989999999999998</v>
      </c>
    </row>
    <row r="982" spans="1:11" ht="15">
      <c r="A982" s="13">
        <v>71956</v>
      </c>
      <c r="B982" s="60">
        <f>14.8225 * CHOOSE(CONTROL!$C$19, $C$6, 100%, $E$6)</f>
        <v>14.8225</v>
      </c>
      <c r="C982" s="60">
        <f>14.8225 * CHOOSE(CONTROL!$C$19, $C$6, 100%, $E$6)</f>
        <v>14.8225</v>
      </c>
      <c r="D982" s="60">
        <f>14.839 * CHOOSE(CONTROL!$C$19, $C$6, 100%, $E$6)</f>
        <v>14.839</v>
      </c>
      <c r="E982" s="61">
        <f>18.0251 * CHOOSE(CONTROL!$C$19, $C$6, 100%, $E$6)</f>
        <v>18.025099999999998</v>
      </c>
      <c r="F982" s="61">
        <f>18.0251 * CHOOSE(CONTROL!$C$19, $C$6, 100%, $E$6)</f>
        <v>18.025099999999998</v>
      </c>
      <c r="G982" s="61">
        <f>18.0253 * CHOOSE(CONTROL!$C$19, $C$6, 100%, $E$6)</f>
        <v>18.025300000000001</v>
      </c>
      <c r="H982" s="61">
        <f>24.5261* CHOOSE(CONTROL!$C$19, $C$6, 100%, $E$6)</f>
        <v>24.5261</v>
      </c>
      <c r="I982" s="61">
        <f>24.5263 * CHOOSE(CONTROL!$C$19, $C$6, 100%, $E$6)</f>
        <v>24.526299999999999</v>
      </c>
      <c r="J982" s="61">
        <f>18.0251 * CHOOSE(CONTROL!$C$19, $C$6, 100%, $E$6)</f>
        <v>18.025099999999998</v>
      </c>
      <c r="K982" s="61">
        <f>18.0253 * CHOOSE(CONTROL!$C$19, $C$6, 100%, $E$6)</f>
        <v>18.025300000000001</v>
      </c>
    </row>
    <row r="983" spans="1:11" ht="15">
      <c r="A983" s="13">
        <v>71987</v>
      </c>
      <c r="B983" s="60">
        <f>14.8194 * CHOOSE(CONTROL!$C$19, $C$6, 100%, $E$6)</f>
        <v>14.8194</v>
      </c>
      <c r="C983" s="60">
        <f>14.8194 * CHOOSE(CONTROL!$C$19, $C$6, 100%, $E$6)</f>
        <v>14.8194</v>
      </c>
      <c r="D983" s="60">
        <f>14.8359 * CHOOSE(CONTROL!$C$19, $C$6, 100%, $E$6)</f>
        <v>14.835900000000001</v>
      </c>
      <c r="E983" s="61">
        <f>17.7217 * CHOOSE(CONTROL!$C$19, $C$6, 100%, $E$6)</f>
        <v>17.721699999999998</v>
      </c>
      <c r="F983" s="61">
        <f>17.7217 * CHOOSE(CONTROL!$C$19, $C$6, 100%, $E$6)</f>
        <v>17.721699999999998</v>
      </c>
      <c r="G983" s="61">
        <f>17.7218 * CHOOSE(CONTROL!$C$19, $C$6, 100%, $E$6)</f>
        <v>17.721800000000002</v>
      </c>
      <c r="H983" s="61">
        <f>24.5772* CHOOSE(CONTROL!$C$19, $C$6, 100%, $E$6)</f>
        <v>24.577200000000001</v>
      </c>
      <c r="I983" s="61">
        <f>24.5774 * CHOOSE(CONTROL!$C$19, $C$6, 100%, $E$6)</f>
        <v>24.577400000000001</v>
      </c>
      <c r="J983" s="61">
        <f>17.7217 * CHOOSE(CONTROL!$C$19, $C$6, 100%, $E$6)</f>
        <v>17.721699999999998</v>
      </c>
      <c r="K983" s="61">
        <f>17.7218 * CHOOSE(CONTROL!$C$19, $C$6, 100%, $E$6)</f>
        <v>17.721800000000002</v>
      </c>
    </row>
    <row r="984" spans="1:11" ht="15">
      <c r="A984" s="13">
        <v>72015</v>
      </c>
      <c r="B984" s="60">
        <f>14.8164 * CHOOSE(CONTROL!$C$19, $C$6, 100%, $E$6)</f>
        <v>14.8164</v>
      </c>
      <c r="C984" s="60">
        <f>14.8164 * CHOOSE(CONTROL!$C$19, $C$6, 100%, $E$6)</f>
        <v>14.8164</v>
      </c>
      <c r="D984" s="60">
        <f>14.8329 * CHOOSE(CONTROL!$C$19, $C$6, 100%, $E$6)</f>
        <v>14.8329</v>
      </c>
      <c r="E984" s="61">
        <f>17.9571 * CHOOSE(CONTROL!$C$19, $C$6, 100%, $E$6)</f>
        <v>17.957100000000001</v>
      </c>
      <c r="F984" s="61">
        <f>17.9571 * CHOOSE(CONTROL!$C$19, $C$6, 100%, $E$6)</f>
        <v>17.957100000000001</v>
      </c>
      <c r="G984" s="61">
        <f>17.9573 * CHOOSE(CONTROL!$C$19, $C$6, 100%, $E$6)</f>
        <v>17.9573</v>
      </c>
      <c r="H984" s="61">
        <f>24.6284* CHOOSE(CONTROL!$C$19, $C$6, 100%, $E$6)</f>
        <v>24.628399999999999</v>
      </c>
      <c r="I984" s="61">
        <f>24.6286 * CHOOSE(CONTROL!$C$19, $C$6, 100%, $E$6)</f>
        <v>24.628599999999999</v>
      </c>
      <c r="J984" s="61">
        <f>17.9571 * CHOOSE(CONTROL!$C$19, $C$6, 100%, $E$6)</f>
        <v>17.957100000000001</v>
      </c>
      <c r="K984" s="61">
        <f>17.9573 * CHOOSE(CONTROL!$C$19, $C$6, 100%, $E$6)</f>
        <v>17.9573</v>
      </c>
    </row>
    <row r="985" spans="1:11" ht="15">
      <c r="A985" s="13">
        <v>72046</v>
      </c>
      <c r="B985" s="60">
        <f>14.8247 * CHOOSE(CONTROL!$C$19, $C$6, 100%, $E$6)</f>
        <v>14.8247</v>
      </c>
      <c r="C985" s="60">
        <f>14.8247 * CHOOSE(CONTROL!$C$19, $C$6, 100%, $E$6)</f>
        <v>14.8247</v>
      </c>
      <c r="D985" s="60">
        <f>14.8412 * CHOOSE(CONTROL!$C$19, $C$6, 100%, $E$6)</f>
        <v>14.841200000000001</v>
      </c>
      <c r="E985" s="61">
        <f>18.208 * CHOOSE(CONTROL!$C$19, $C$6, 100%, $E$6)</f>
        <v>18.207999999999998</v>
      </c>
      <c r="F985" s="61">
        <f>18.208 * CHOOSE(CONTROL!$C$19, $C$6, 100%, $E$6)</f>
        <v>18.207999999999998</v>
      </c>
      <c r="G985" s="61">
        <f>18.2081 * CHOOSE(CONTROL!$C$19, $C$6, 100%, $E$6)</f>
        <v>18.208100000000002</v>
      </c>
      <c r="H985" s="61">
        <f>24.6797* CHOOSE(CONTROL!$C$19, $C$6, 100%, $E$6)</f>
        <v>24.6797</v>
      </c>
      <c r="I985" s="61">
        <f>24.6799 * CHOOSE(CONTROL!$C$19, $C$6, 100%, $E$6)</f>
        <v>24.6799</v>
      </c>
      <c r="J985" s="61">
        <f>18.208 * CHOOSE(CONTROL!$C$19, $C$6, 100%, $E$6)</f>
        <v>18.207999999999998</v>
      </c>
      <c r="K985" s="61">
        <f>18.2081 * CHOOSE(CONTROL!$C$19, $C$6, 100%, $E$6)</f>
        <v>18.208100000000002</v>
      </c>
    </row>
    <row r="986" spans="1:11" ht="15">
      <c r="A986" s="13">
        <v>72076</v>
      </c>
      <c r="B986" s="60">
        <f>14.8247 * CHOOSE(CONTROL!$C$19, $C$6, 100%, $E$6)</f>
        <v>14.8247</v>
      </c>
      <c r="C986" s="60">
        <f>14.8247 * CHOOSE(CONTROL!$C$19, $C$6, 100%, $E$6)</f>
        <v>14.8247</v>
      </c>
      <c r="D986" s="60">
        <f>14.8577 * CHOOSE(CONTROL!$C$19, $C$6, 100%, $E$6)</f>
        <v>14.857699999999999</v>
      </c>
      <c r="E986" s="61">
        <f>18.3036 * CHOOSE(CONTROL!$C$19, $C$6, 100%, $E$6)</f>
        <v>18.303599999999999</v>
      </c>
      <c r="F986" s="61">
        <f>18.3036 * CHOOSE(CONTROL!$C$19, $C$6, 100%, $E$6)</f>
        <v>18.303599999999999</v>
      </c>
      <c r="G986" s="61">
        <f>18.3057 * CHOOSE(CONTROL!$C$19, $C$6, 100%, $E$6)</f>
        <v>18.305700000000002</v>
      </c>
      <c r="H986" s="61">
        <f>24.7311* CHOOSE(CONTROL!$C$19, $C$6, 100%, $E$6)</f>
        <v>24.731100000000001</v>
      </c>
      <c r="I986" s="61">
        <f>24.7332 * CHOOSE(CONTROL!$C$19, $C$6, 100%, $E$6)</f>
        <v>24.7332</v>
      </c>
      <c r="J986" s="61">
        <f>18.3036 * CHOOSE(CONTROL!$C$19, $C$6, 100%, $E$6)</f>
        <v>18.303599999999999</v>
      </c>
      <c r="K986" s="61">
        <f>18.3057 * CHOOSE(CONTROL!$C$19, $C$6, 100%, $E$6)</f>
        <v>18.305700000000002</v>
      </c>
    </row>
    <row r="987" spans="1:11" ht="15">
      <c r="A987" s="13">
        <v>72107</v>
      </c>
      <c r="B987" s="60">
        <f>14.8308 * CHOOSE(CONTROL!$C$19, $C$6, 100%, $E$6)</f>
        <v>14.8308</v>
      </c>
      <c r="C987" s="60">
        <f>14.8308 * CHOOSE(CONTROL!$C$19, $C$6, 100%, $E$6)</f>
        <v>14.8308</v>
      </c>
      <c r="D987" s="60">
        <f>14.8638 * CHOOSE(CONTROL!$C$19, $C$6, 100%, $E$6)</f>
        <v>14.863799999999999</v>
      </c>
      <c r="E987" s="61">
        <f>18.2122 * CHOOSE(CONTROL!$C$19, $C$6, 100%, $E$6)</f>
        <v>18.212199999999999</v>
      </c>
      <c r="F987" s="61">
        <f>18.2122 * CHOOSE(CONTROL!$C$19, $C$6, 100%, $E$6)</f>
        <v>18.212199999999999</v>
      </c>
      <c r="G987" s="61">
        <f>18.2142 * CHOOSE(CONTROL!$C$19, $C$6, 100%, $E$6)</f>
        <v>18.214200000000002</v>
      </c>
      <c r="H987" s="61">
        <f>24.7826* CHOOSE(CONTROL!$C$19, $C$6, 100%, $E$6)</f>
        <v>24.782599999999999</v>
      </c>
      <c r="I987" s="61">
        <f>24.7847 * CHOOSE(CONTROL!$C$19, $C$6, 100%, $E$6)</f>
        <v>24.784700000000001</v>
      </c>
      <c r="J987" s="61">
        <f>18.2122 * CHOOSE(CONTROL!$C$19, $C$6, 100%, $E$6)</f>
        <v>18.212199999999999</v>
      </c>
      <c r="K987" s="61">
        <f>18.2142 * CHOOSE(CONTROL!$C$19, $C$6, 100%, $E$6)</f>
        <v>18.214200000000002</v>
      </c>
    </row>
    <row r="988" spans="1:11" ht="15">
      <c r="A988" s="13">
        <v>72137</v>
      </c>
      <c r="B988" s="60">
        <f>15.034 * CHOOSE(CONTROL!$C$19, $C$6, 100%, $E$6)</f>
        <v>15.034000000000001</v>
      </c>
      <c r="C988" s="60">
        <f>15.034 * CHOOSE(CONTROL!$C$19, $C$6, 100%, $E$6)</f>
        <v>15.034000000000001</v>
      </c>
      <c r="D988" s="60">
        <f>15.067 * CHOOSE(CONTROL!$C$19, $C$6, 100%, $E$6)</f>
        <v>15.067</v>
      </c>
      <c r="E988" s="61">
        <f>18.5404 * CHOOSE(CONTROL!$C$19, $C$6, 100%, $E$6)</f>
        <v>18.540400000000002</v>
      </c>
      <c r="F988" s="61">
        <f>18.5404 * CHOOSE(CONTROL!$C$19, $C$6, 100%, $E$6)</f>
        <v>18.540400000000002</v>
      </c>
      <c r="G988" s="61">
        <f>18.5424 * CHOOSE(CONTROL!$C$19, $C$6, 100%, $E$6)</f>
        <v>18.542400000000001</v>
      </c>
      <c r="H988" s="61">
        <f>24.8343* CHOOSE(CONTROL!$C$19, $C$6, 100%, $E$6)</f>
        <v>24.834299999999999</v>
      </c>
      <c r="I988" s="61">
        <f>24.8363 * CHOOSE(CONTROL!$C$19, $C$6, 100%, $E$6)</f>
        <v>24.836300000000001</v>
      </c>
      <c r="J988" s="61">
        <f>18.5404 * CHOOSE(CONTROL!$C$19, $C$6, 100%, $E$6)</f>
        <v>18.540400000000002</v>
      </c>
      <c r="K988" s="61">
        <f>18.5424 * CHOOSE(CONTROL!$C$19, $C$6, 100%, $E$6)</f>
        <v>18.542400000000001</v>
      </c>
    </row>
    <row r="989" spans="1:11" ht="15">
      <c r="A989" s="13">
        <v>72168</v>
      </c>
      <c r="B989" s="60">
        <f>15.0407 * CHOOSE(CONTROL!$C$19, $C$6, 100%, $E$6)</f>
        <v>15.040699999999999</v>
      </c>
      <c r="C989" s="60">
        <f>15.0407 * CHOOSE(CONTROL!$C$19, $C$6, 100%, $E$6)</f>
        <v>15.040699999999999</v>
      </c>
      <c r="D989" s="60">
        <f>15.0737 * CHOOSE(CONTROL!$C$19, $C$6, 100%, $E$6)</f>
        <v>15.073700000000001</v>
      </c>
      <c r="E989" s="61">
        <f>18.258 * CHOOSE(CONTROL!$C$19, $C$6, 100%, $E$6)</f>
        <v>18.257999999999999</v>
      </c>
      <c r="F989" s="61">
        <f>18.258 * CHOOSE(CONTROL!$C$19, $C$6, 100%, $E$6)</f>
        <v>18.257999999999999</v>
      </c>
      <c r="G989" s="61">
        <f>18.2601 * CHOOSE(CONTROL!$C$19, $C$6, 100%, $E$6)</f>
        <v>18.260100000000001</v>
      </c>
      <c r="H989" s="61">
        <f>24.886* CHOOSE(CONTROL!$C$19, $C$6, 100%, $E$6)</f>
        <v>24.885999999999999</v>
      </c>
      <c r="I989" s="61">
        <f>24.888 * CHOOSE(CONTROL!$C$19, $C$6, 100%, $E$6)</f>
        <v>24.888000000000002</v>
      </c>
      <c r="J989" s="61">
        <f>18.258 * CHOOSE(CONTROL!$C$19, $C$6, 100%, $E$6)</f>
        <v>18.257999999999999</v>
      </c>
      <c r="K989" s="61">
        <f>18.2601 * CHOOSE(CONTROL!$C$19, $C$6, 100%, $E$6)</f>
        <v>18.260100000000001</v>
      </c>
    </row>
    <row r="990" spans="1:11" ht="15">
      <c r="A990" s="13">
        <v>72199</v>
      </c>
      <c r="B990" s="60">
        <f>15.0376 * CHOOSE(CONTROL!$C$19, $C$6, 100%, $E$6)</f>
        <v>15.037599999999999</v>
      </c>
      <c r="C990" s="60">
        <f>15.0376 * CHOOSE(CONTROL!$C$19, $C$6, 100%, $E$6)</f>
        <v>15.037599999999999</v>
      </c>
      <c r="D990" s="60">
        <f>15.0706 * CHOOSE(CONTROL!$C$19, $C$6, 100%, $E$6)</f>
        <v>15.070600000000001</v>
      </c>
      <c r="E990" s="61">
        <f>18.224 * CHOOSE(CONTROL!$C$19, $C$6, 100%, $E$6)</f>
        <v>18.224</v>
      </c>
      <c r="F990" s="61">
        <f>18.224 * CHOOSE(CONTROL!$C$19, $C$6, 100%, $E$6)</f>
        <v>18.224</v>
      </c>
      <c r="G990" s="61">
        <f>18.2261 * CHOOSE(CONTROL!$C$19, $C$6, 100%, $E$6)</f>
        <v>18.226099999999999</v>
      </c>
      <c r="H990" s="61">
        <f>24.9378* CHOOSE(CONTROL!$C$19, $C$6, 100%, $E$6)</f>
        <v>24.937799999999999</v>
      </c>
      <c r="I990" s="61">
        <f>24.9399 * CHOOSE(CONTROL!$C$19, $C$6, 100%, $E$6)</f>
        <v>24.939900000000002</v>
      </c>
      <c r="J990" s="61">
        <f>18.224 * CHOOSE(CONTROL!$C$19, $C$6, 100%, $E$6)</f>
        <v>18.224</v>
      </c>
      <c r="K990" s="61">
        <f>18.2261 * CHOOSE(CONTROL!$C$19, $C$6, 100%, $E$6)</f>
        <v>18.226099999999999</v>
      </c>
    </row>
    <row r="991" spans="1:11" ht="15">
      <c r="A991" s="13">
        <v>72229</v>
      </c>
      <c r="B991" s="60">
        <f>15.0746 * CHOOSE(CONTROL!$C$19, $C$6, 100%, $E$6)</f>
        <v>15.0746</v>
      </c>
      <c r="C991" s="60">
        <f>15.0746 * CHOOSE(CONTROL!$C$19, $C$6, 100%, $E$6)</f>
        <v>15.0746</v>
      </c>
      <c r="D991" s="60">
        <f>15.0911 * CHOOSE(CONTROL!$C$19, $C$6, 100%, $E$6)</f>
        <v>15.091100000000001</v>
      </c>
      <c r="E991" s="61">
        <f>18.3382 * CHOOSE(CONTROL!$C$19, $C$6, 100%, $E$6)</f>
        <v>18.338200000000001</v>
      </c>
      <c r="F991" s="61">
        <f>18.3382 * CHOOSE(CONTROL!$C$19, $C$6, 100%, $E$6)</f>
        <v>18.338200000000001</v>
      </c>
      <c r="G991" s="61">
        <f>18.3383 * CHOOSE(CONTROL!$C$19, $C$6, 100%, $E$6)</f>
        <v>18.3383</v>
      </c>
      <c r="H991" s="61">
        <f>24.9898* CHOOSE(CONTROL!$C$19, $C$6, 100%, $E$6)</f>
        <v>24.989799999999999</v>
      </c>
      <c r="I991" s="61">
        <f>24.99 * CHOOSE(CONTROL!$C$19, $C$6, 100%, $E$6)</f>
        <v>24.99</v>
      </c>
      <c r="J991" s="61">
        <f>18.3382 * CHOOSE(CONTROL!$C$19, $C$6, 100%, $E$6)</f>
        <v>18.338200000000001</v>
      </c>
      <c r="K991" s="61">
        <f>18.3383 * CHOOSE(CONTROL!$C$19, $C$6, 100%, $E$6)</f>
        <v>18.3383</v>
      </c>
    </row>
    <row r="992" spans="1:11" ht="15">
      <c r="A992" s="13">
        <v>72260</v>
      </c>
      <c r="B992" s="60">
        <f>15.0776 * CHOOSE(CONTROL!$C$19, $C$6, 100%, $E$6)</f>
        <v>15.0776</v>
      </c>
      <c r="C992" s="60">
        <f>15.0776 * CHOOSE(CONTROL!$C$19, $C$6, 100%, $E$6)</f>
        <v>15.0776</v>
      </c>
      <c r="D992" s="60">
        <f>15.0941 * CHOOSE(CONTROL!$C$19, $C$6, 100%, $E$6)</f>
        <v>15.094099999999999</v>
      </c>
      <c r="E992" s="61">
        <f>18.4041 * CHOOSE(CONTROL!$C$19, $C$6, 100%, $E$6)</f>
        <v>18.4041</v>
      </c>
      <c r="F992" s="61">
        <f>18.4041 * CHOOSE(CONTROL!$C$19, $C$6, 100%, $E$6)</f>
        <v>18.4041</v>
      </c>
      <c r="G992" s="61">
        <f>18.4042 * CHOOSE(CONTROL!$C$19, $C$6, 100%, $E$6)</f>
        <v>18.404199999999999</v>
      </c>
      <c r="H992" s="61">
        <f>25.0419* CHOOSE(CONTROL!$C$19, $C$6, 100%, $E$6)</f>
        <v>25.041899999999998</v>
      </c>
      <c r="I992" s="61">
        <f>25.042 * CHOOSE(CONTROL!$C$19, $C$6, 100%, $E$6)</f>
        <v>25.042000000000002</v>
      </c>
      <c r="J992" s="61">
        <f>18.4041 * CHOOSE(CONTROL!$C$19, $C$6, 100%, $E$6)</f>
        <v>18.4041</v>
      </c>
      <c r="K992" s="61">
        <f>18.4042 * CHOOSE(CONTROL!$C$19, $C$6, 100%, $E$6)</f>
        <v>18.404199999999999</v>
      </c>
    </row>
    <row r="993" spans="1:11" ht="15">
      <c r="A993" s="13">
        <v>72290</v>
      </c>
      <c r="B993" s="60">
        <f>15.0776 * CHOOSE(CONTROL!$C$19, $C$6, 100%, $E$6)</f>
        <v>15.0776</v>
      </c>
      <c r="C993" s="60">
        <f>15.0776 * CHOOSE(CONTROL!$C$19, $C$6, 100%, $E$6)</f>
        <v>15.0776</v>
      </c>
      <c r="D993" s="60">
        <f>15.0941 * CHOOSE(CONTROL!$C$19, $C$6, 100%, $E$6)</f>
        <v>15.094099999999999</v>
      </c>
      <c r="E993" s="61">
        <f>18.2446 * CHOOSE(CONTROL!$C$19, $C$6, 100%, $E$6)</f>
        <v>18.244599999999998</v>
      </c>
      <c r="F993" s="61">
        <f>18.2446 * CHOOSE(CONTROL!$C$19, $C$6, 100%, $E$6)</f>
        <v>18.244599999999998</v>
      </c>
      <c r="G993" s="61">
        <f>18.2448 * CHOOSE(CONTROL!$C$19, $C$6, 100%, $E$6)</f>
        <v>18.244800000000001</v>
      </c>
      <c r="H993" s="61">
        <f>25.094* CHOOSE(CONTROL!$C$19, $C$6, 100%, $E$6)</f>
        <v>25.094000000000001</v>
      </c>
      <c r="I993" s="61">
        <f>25.0942 * CHOOSE(CONTROL!$C$19, $C$6, 100%, $E$6)</f>
        <v>25.094200000000001</v>
      </c>
      <c r="J993" s="61">
        <f>18.2446 * CHOOSE(CONTROL!$C$19, $C$6, 100%, $E$6)</f>
        <v>18.244599999999998</v>
      </c>
      <c r="K993" s="61">
        <f>18.2448 * CHOOSE(CONTROL!$C$19, $C$6, 100%, $E$6)</f>
        <v>18.244800000000001</v>
      </c>
    </row>
    <row r="994" spans="1:11" ht="15">
      <c r="A994" s="13">
        <v>72321</v>
      </c>
      <c r="B994" s="60">
        <f>15.0191 * CHOOSE(CONTROL!$C$19, $C$6, 100%, $E$6)</f>
        <v>15.0191</v>
      </c>
      <c r="C994" s="60">
        <f>15.0191 * CHOOSE(CONTROL!$C$19, $C$6, 100%, $E$6)</f>
        <v>15.0191</v>
      </c>
      <c r="D994" s="60">
        <f>15.0356 * CHOOSE(CONTROL!$C$19, $C$6, 100%, $E$6)</f>
        <v>15.035600000000001</v>
      </c>
      <c r="E994" s="61">
        <f>18.2769 * CHOOSE(CONTROL!$C$19, $C$6, 100%, $E$6)</f>
        <v>18.276900000000001</v>
      </c>
      <c r="F994" s="61">
        <f>18.2769 * CHOOSE(CONTROL!$C$19, $C$6, 100%, $E$6)</f>
        <v>18.276900000000001</v>
      </c>
      <c r="G994" s="61">
        <f>18.2771 * CHOOSE(CONTROL!$C$19, $C$6, 100%, $E$6)</f>
        <v>18.277100000000001</v>
      </c>
      <c r="H994" s="61">
        <f>24.8507* CHOOSE(CONTROL!$C$19, $C$6, 100%, $E$6)</f>
        <v>24.8507</v>
      </c>
      <c r="I994" s="61">
        <f>24.8509 * CHOOSE(CONTROL!$C$19, $C$6, 100%, $E$6)</f>
        <v>24.850899999999999</v>
      </c>
      <c r="J994" s="61">
        <f>18.2769 * CHOOSE(CONTROL!$C$19, $C$6, 100%, $E$6)</f>
        <v>18.276900000000001</v>
      </c>
      <c r="K994" s="61">
        <f>18.2771 * CHOOSE(CONTROL!$C$19, $C$6, 100%, $E$6)</f>
        <v>18.277100000000001</v>
      </c>
    </row>
    <row r="995" spans="1:11" ht="15">
      <c r="A995" s="13">
        <v>72352</v>
      </c>
      <c r="B995" s="60">
        <f>15.0161 * CHOOSE(CONTROL!$C$19, $C$6, 100%, $E$6)</f>
        <v>15.0161</v>
      </c>
      <c r="C995" s="60">
        <f>15.0161 * CHOOSE(CONTROL!$C$19, $C$6, 100%, $E$6)</f>
        <v>15.0161</v>
      </c>
      <c r="D995" s="60">
        <f>15.0326 * CHOOSE(CONTROL!$C$19, $C$6, 100%, $E$6)</f>
        <v>15.0326</v>
      </c>
      <c r="E995" s="61">
        <f>17.969 * CHOOSE(CONTROL!$C$19, $C$6, 100%, $E$6)</f>
        <v>17.969000000000001</v>
      </c>
      <c r="F995" s="61">
        <f>17.969 * CHOOSE(CONTROL!$C$19, $C$6, 100%, $E$6)</f>
        <v>17.969000000000001</v>
      </c>
      <c r="G995" s="61">
        <f>17.9692 * CHOOSE(CONTROL!$C$19, $C$6, 100%, $E$6)</f>
        <v>17.969200000000001</v>
      </c>
      <c r="H995" s="61">
        <f>24.9025* CHOOSE(CONTROL!$C$19, $C$6, 100%, $E$6)</f>
        <v>24.9025</v>
      </c>
      <c r="I995" s="61">
        <f>24.9027 * CHOOSE(CONTROL!$C$19, $C$6, 100%, $E$6)</f>
        <v>24.902699999999999</v>
      </c>
      <c r="J995" s="61">
        <f>17.969 * CHOOSE(CONTROL!$C$19, $C$6, 100%, $E$6)</f>
        <v>17.969000000000001</v>
      </c>
      <c r="K995" s="61">
        <f>17.9692 * CHOOSE(CONTROL!$C$19, $C$6, 100%, $E$6)</f>
        <v>17.969200000000001</v>
      </c>
    </row>
    <row r="996" spans="1:11" ht="15">
      <c r="A996" s="13">
        <v>72380</v>
      </c>
      <c r="B996" s="60">
        <f>15.013 * CHOOSE(CONTROL!$C$19, $C$6, 100%, $E$6)</f>
        <v>15.013</v>
      </c>
      <c r="C996" s="60">
        <f>15.013 * CHOOSE(CONTROL!$C$19, $C$6, 100%, $E$6)</f>
        <v>15.013</v>
      </c>
      <c r="D996" s="60">
        <f>15.0295 * CHOOSE(CONTROL!$C$19, $C$6, 100%, $E$6)</f>
        <v>15.029500000000001</v>
      </c>
      <c r="E996" s="61">
        <f>18.208 * CHOOSE(CONTROL!$C$19, $C$6, 100%, $E$6)</f>
        <v>18.207999999999998</v>
      </c>
      <c r="F996" s="61">
        <f>18.208 * CHOOSE(CONTROL!$C$19, $C$6, 100%, $E$6)</f>
        <v>18.207999999999998</v>
      </c>
      <c r="G996" s="61">
        <f>18.2082 * CHOOSE(CONTROL!$C$19, $C$6, 100%, $E$6)</f>
        <v>18.208200000000001</v>
      </c>
      <c r="H996" s="61">
        <f>24.9544* CHOOSE(CONTROL!$C$19, $C$6, 100%, $E$6)</f>
        <v>24.9544</v>
      </c>
      <c r="I996" s="61">
        <f>24.9546 * CHOOSE(CONTROL!$C$19, $C$6, 100%, $E$6)</f>
        <v>24.954599999999999</v>
      </c>
      <c r="J996" s="61">
        <f>18.208 * CHOOSE(CONTROL!$C$19, $C$6, 100%, $E$6)</f>
        <v>18.207999999999998</v>
      </c>
      <c r="K996" s="61">
        <f>18.2082 * CHOOSE(CONTROL!$C$19, $C$6, 100%, $E$6)</f>
        <v>18.208200000000001</v>
      </c>
    </row>
    <row r="997" spans="1:11" ht="15">
      <c r="A997" s="13">
        <v>72411</v>
      </c>
      <c r="B997" s="60">
        <f>15.0215 * CHOOSE(CONTROL!$C$19, $C$6, 100%, $E$6)</f>
        <v>15.0215</v>
      </c>
      <c r="C997" s="60">
        <f>15.0215 * CHOOSE(CONTROL!$C$19, $C$6, 100%, $E$6)</f>
        <v>15.0215</v>
      </c>
      <c r="D997" s="60">
        <f>15.038 * CHOOSE(CONTROL!$C$19, $C$6, 100%, $E$6)</f>
        <v>15.038</v>
      </c>
      <c r="E997" s="61">
        <f>18.4626 * CHOOSE(CONTROL!$C$19, $C$6, 100%, $E$6)</f>
        <v>18.462599999999998</v>
      </c>
      <c r="F997" s="61">
        <f>18.4626 * CHOOSE(CONTROL!$C$19, $C$6, 100%, $E$6)</f>
        <v>18.462599999999998</v>
      </c>
      <c r="G997" s="61">
        <f>18.4628 * CHOOSE(CONTROL!$C$19, $C$6, 100%, $E$6)</f>
        <v>18.462800000000001</v>
      </c>
      <c r="H997" s="61">
        <f>25.0064* CHOOSE(CONTROL!$C$19, $C$6, 100%, $E$6)</f>
        <v>25.006399999999999</v>
      </c>
      <c r="I997" s="61">
        <f>25.0066 * CHOOSE(CONTROL!$C$19, $C$6, 100%, $E$6)</f>
        <v>25.006599999999999</v>
      </c>
      <c r="J997" s="61">
        <f>18.4626 * CHOOSE(CONTROL!$C$19, $C$6, 100%, $E$6)</f>
        <v>18.462599999999998</v>
      </c>
      <c r="K997" s="61">
        <f>18.4628 * CHOOSE(CONTROL!$C$19, $C$6, 100%, $E$6)</f>
        <v>18.462800000000001</v>
      </c>
    </row>
    <row r="998" spans="1:11" ht="15">
      <c r="A998" s="13">
        <v>72441</v>
      </c>
      <c r="B998" s="60">
        <f>15.0215 * CHOOSE(CONTROL!$C$19, $C$6, 100%, $E$6)</f>
        <v>15.0215</v>
      </c>
      <c r="C998" s="60">
        <f>15.0215 * CHOOSE(CONTROL!$C$19, $C$6, 100%, $E$6)</f>
        <v>15.0215</v>
      </c>
      <c r="D998" s="60">
        <f>15.0545 * CHOOSE(CONTROL!$C$19, $C$6, 100%, $E$6)</f>
        <v>15.054500000000001</v>
      </c>
      <c r="E998" s="61">
        <f>18.5597 * CHOOSE(CONTROL!$C$19, $C$6, 100%, $E$6)</f>
        <v>18.559699999999999</v>
      </c>
      <c r="F998" s="61">
        <f>18.5597 * CHOOSE(CONTROL!$C$19, $C$6, 100%, $E$6)</f>
        <v>18.559699999999999</v>
      </c>
      <c r="G998" s="61">
        <f>18.5618 * CHOOSE(CONTROL!$C$19, $C$6, 100%, $E$6)</f>
        <v>18.561800000000002</v>
      </c>
      <c r="H998" s="61">
        <f>25.0585* CHOOSE(CONTROL!$C$19, $C$6, 100%, $E$6)</f>
        <v>25.058499999999999</v>
      </c>
      <c r="I998" s="61">
        <f>25.0605 * CHOOSE(CONTROL!$C$19, $C$6, 100%, $E$6)</f>
        <v>25.060500000000001</v>
      </c>
      <c r="J998" s="61">
        <f>18.5597 * CHOOSE(CONTROL!$C$19, $C$6, 100%, $E$6)</f>
        <v>18.559699999999999</v>
      </c>
      <c r="K998" s="61">
        <f>18.5618 * CHOOSE(CONTROL!$C$19, $C$6, 100%, $E$6)</f>
        <v>18.561800000000002</v>
      </c>
    </row>
    <row r="999" spans="1:11" ht="15">
      <c r="A999" s="13">
        <v>72472</v>
      </c>
      <c r="B999" s="60">
        <f>15.0276 * CHOOSE(CONTROL!$C$19, $C$6, 100%, $E$6)</f>
        <v>15.0276</v>
      </c>
      <c r="C999" s="60">
        <f>15.0276 * CHOOSE(CONTROL!$C$19, $C$6, 100%, $E$6)</f>
        <v>15.0276</v>
      </c>
      <c r="D999" s="60">
        <f>15.0606 * CHOOSE(CONTROL!$C$19, $C$6, 100%, $E$6)</f>
        <v>15.060600000000001</v>
      </c>
      <c r="E999" s="61">
        <f>18.4669 * CHOOSE(CONTROL!$C$19, $C$6, 100%, $E$6)</f>
        <v>18.466899999999999</v>
      </c>
      <c r="F999" s="61">
        <f>18.4669 * CHOOSE(CONTROL!$C$19, $C$6, 100%, $E$6)</f>
        <v>18.466899999999999</v>
      </c>
      <c r="G999" s="61">
        <f>18.4689 * CHOOSE(CONTROL!$C$19, $C$6, 100%, $E$6)</f>
        <v>18.468900000000001</v>
      </c>
      <c r="H999" s="61">
        <f>25.1107* CHOOSE(CONTROL!$C$19, $C$6, 100%, $E$6)</f>
        <v>25.110700000000001</v>
      </c>
      <c r="I999" s="61">
        <f>25.1127 * CHOOSE(CONTROL!$C$19, $C$6, 100%, $E$6)</f>
        <v>25.1127</v>
      </c>
      <c r="J999" s="61">
        <f>18.4669 * CHOOSE(CONTROL!$C$19, $C$6, 100%, $E$6)</f>
        <v>18.466899999999999</v>
      </c>
      <c r="K999" s="61">
        <f>18.4689 * CHOOSE(CONTROL!$C$19, $C$6, 100%, $E$6)</f>
        <v>18.468900000000001</v>
      </c>
    </row>
    <row r="1000" spans="1:11" ht="15">
      <c r="A1000" s="13">
        <v>72502</v>
      </c>
      <c r="B1000" s="60">
        <f>15.2333 * CHOOSE(CONTROL!$C$19, $C$6, 100%, $E$6)</f>
        <v>15.2333</v>
      </c>
      <c r="C1000" s="60">
        <f>15.2333 * CHOOSE(CONTROL!$C$19, $C$6, 100%, $E$6)</f>
        <v>15.2333</v>
      </c>
      <c r="D1000" s="60">
        <f>15.2663 * CHOOSE(CONTROL!$C$19, $C$6, 100%, $E$6)</f>
        <v>15.266299999999999</v>
      </c>
      <c r="E1000" s="61">
        <f>18.7995 * CHOOSE(CONTROL!$C$19, $C$6, 100%, $E$6)</f>
        <v>18.799499999999998</v>
      </c>
      <c r="F1000" s="61">
        <f>18.7995 * CHOOSE(CONTROL!$C$19, $C$6, 100%, $E$6)</f>
        <v>18.799499999999998</v>
      </c>
      <c r="G1000" s="61">
        <f>18.8015 * CHOOSE(CONTROL!$C$19, $C$6, 100%, $E$6)</f>
        <v>18.801500000000001</v>
      </c>
      <c r="H1000" s="61">
        <f>25.163* CHOOSE(CONTROL!$C$19, $C$6, 100%, $E$6)</f>
        <v>25.163</v>
      </c>
      <c r="I1000" s="61">
        <f>25.1651 * CHOOSE(CONTROL!$C$19, $C$6, 100%, $E$6)</f>
        <v>25.165099999999999</v>
      </c>
      <c r="J1000" s="61">
        <f>18.7995 * CHOOSE(CONTROL!$C$19, $C$6, 100%, $E$6)</f>
        <v>18.799499999999998</v>
      </c>
      <c r="K1000" s="61">
        <f>18.8015 * CHOOSE(CONTROL!$C$19, $C$6, 100%, $E$6)</f>
        <v>18.801500000000001</v>
      </c>
    </row>
    <row r="1001" spans="1:11" ht="15">
      <c r="A1001" s="13">
        <v>72533</v>
      </c>
      <c r="B1001" s="60">
        <f>15.24 * CHOOSE(CONTROL!$C$19, $C$6, 100%, $E$6)</f>
        <v>15.24</v>
      </c>
      <c r="C1001" s="60">
        <f>15.24 * CHOOSE(CONTROL!$C$19, $C$6, 100%, $E$6)</f>
        <v>15.24</v>
      </c>
      <c r="D1001" s="60">
        <f>15.273 * CHOOSE(CONTROL!$C$19, $C$6, 100%, $E$6)</f>
        <v>15.273</v>
      </c>
      <c r="E1001" s="61">
        <f>18.5129 * CHOOSE(CONTROL!$C$19, $C$6, 100%, $E$6)</f>
        <v>18.512899999999998</v>
      </c>
      <c r="F1001" s="61">
        <f>18.5129 * CHOOSE(CONTROL!$C$19, $C$6, 100%, $E$6)</f>
        <v>18.512899999999998</v>
      </c>
      <c r="G1001" s="61">
        <f>18.5149 * CHOOSE(CONTROL!$C$19, $C$6, 100%, $E$6)</f>
        <v>18.514900000000001</v>
      </c>
      <c r="H1001" s="61">
        <f>25.2154* CHOOSE(CONTROL!$C$19, $C$6, 100%, $E$6)</f>
        <v>25.215399999999999</v>
      </c>
      <c r="I1001" s="61">
        <f>25.2175 * CHOOSE(CONTROL!$C$19, $C$6, 100%, $E$6)</f>
        <v>25.217500000000001</v>
      </c>
      <c r="J1001" s="61">
        <f>18.5129 * CHOOSE(CONTROL!$C$19, $C$6, 100%, $E$6)</f>
        <v>18.512899999999998</v>
      </c>
      <c r="K1001" s="61">
        <f>18.5149 * CHOOSE(CONTROL!$C$19, $C$6, 100%, $E$6)</f>
        <v>18.514900000000001</v>
      </c>
    </row>
    <row r="1002" spans="1:11" ht="15">
      <c r="A1002" s="13">
        <v>72564</v>
      </c>
      <c r="B1002" s="60">
        <f>15.2369 * CHOOSE(CONTROL!$C$19, $C$6, 100%, $E$6)</f>
        <v>15.2369</v>
      </c>
      <c r="C1002" s="60">
        <f>15.2369 * CHOOSE(CONTROL!$C$19, $C$6, 100%, $E$6)</f>
        <v>15.2369</v>
      </c>
      <c r="D1002" s="60">
        <f>15.2699 * CHOOSE(CONTROL!$C$19, $C$6, 100%, $E$6)</f>
        <v>15.2699</v>
      </c>
      <c r="E1002" s="61">
        <f>18.4784 * CHOOSE(CONTROL!$C$19, $C$6, 100%, $E$6)</f>
        <v>18.478400000000001</v>
      </c>
      <c r="F1002" s="61">
        <f>18.4784 * CHOOSE(CONTROL!$C$19, $C$6, 100%, $E$6)</f>
        <v>18.478400000000001</v>
      </c>
      <c r="G1002" s="61">
        <f>18.4805 * CHOOSE(CONTROL!$C$19, $C$6, 100%, $E$6)</f>
        <v>18.480499999999999</v>
      </c>
      <c r="H1002" s="61">
        <f>25.268* CHOOSE(CONTROL!$C$19, $C$6, 100%, $E$6)</f>
        <v>25.268000000000001</v>
      </c>
      <c r="I1002" s="61">
        <f>25.27 * CHOOSE(CONTROL!$C$19, $C$6, 100%, $E$6)</f>
        <v>25.27</v>
      </c>
      <c r="J1002" s="61">
        <f>18.4784 * CHOOSE(CONTROL!$C$19, $C$6, 100%, $E$6)</f>
        <v>18.478400000000001</v>
      </c>
      <c r="K1002" s="61">
        <f>18.4805 * CHOOSE(CONTROL!$C$19, $C$6, 100%, $E$6)</f>
        <v>18.480499999999999</v>
      </c>
    </row>
    <row r="1003" spans="1:11" ht="15">
      <c r="A1003" s="13">
        <v>72594</v>
      </c>
      <c r="B1003" s="60">
        <f>15.2747 * CHOOSE(CONTROL!$C$19, $C$6, 100%, $E$6)</f>
        <v>15.274699999999999</v>
      </c>
      <c r="C1003" s="60">
        <f>15.2747 * CHOOSE(CONTROL!$C$19, $C$6, 100%, $E$6)</f>
        <v>15.274699999999999</v>
      </c>
      <c r="D1003" s="60">
        <f>15.2912 * CHOOSE(CONTROL!$C$19, $C$6, 100%, $E$6)</f>
        <v>15.2912</v>
      </c>
      <c r="E1003" s="61">
        <f>18.5944 * CHOOSE(CONTROL!$C$19, $C$6, 100%, $E$6)</f>
        <v>18.5944</v>
      </c>
      <c r="F1003" s="61">
        <f>18.5944 * CHOOSE(CONTROL!$C$19, $C$6, 100%, $E$6)</f>
        <v>18.5944</v>
      </c>
      <c r="G1003" s="61">
        <f>18.5946 * CHOOSE(CONTROL!$C$19, $C$6, 100%, $E$6)</f>
        <v>18.5946</v>
      </c>
      <c r="H1003" s="61">
        <f>25.3206* CHOOSE(CONTROL!$C$19, $C$6, 100%, $E$6)</f>
        <v>25.320599999999999</v>
      </c>
      <c r="I1003" s="61">
        <f>25.3208 * CHOOSE(CONTROL!$C$19, $C$6, 100%, $E$6)</f>
        <v>25.320799999999998</v>
      </c>
      <c r="J1003" s="61">
        <f>18.5944 * CHOOSE(CONTROL!$C$19, $C$6, 100%, $E$6)</f>
        <v>18.5944</v>
      </c>
      <c r="K1003" s="61">
        <f>18.5946 * CHOOSE(CONTROL!$C$19, $C$6, 100%, $E$6)</f>
        <v>18.5946</v>
      </c>
    </row>
    <row r="1004" spans="1:11" ht="15">
      <c r="A1004" s="13">
        <v>72625</v>
      </c>
      <c r="B1004" s="60">
        <f>15.2777 * CHOOSE(CONTROL!$C$19, $C$6, 100%, $E$6)</f>
        <v>15.277699999999999</v>
      </c>
      <c r="C1004" s="60">
        <f>15.2777 * CHOOSE(CONTROL!$C$19, $C$6, 100%, $E$6)</f>
        <v>15.277699999999999</v>
      </c>
      <c r="D1004" s="60">
        <f>15.2942 * CHOOSE(CONTROL!$C$19, $C$6, 100%, $E$6)</f>
        <v>15.2942</v>
      </c>
      <c r="E1004" s="61">
        <f>18.6613 * CHOOSE(CONTROL!$C$19, $C$6, 100%, $E$6)</f>
        <v>18.661300000000001</v>
      </c>
      <c r="F1004" s="61">
        <f>18.6613 * CHOOSE(CONTROL!$C$19, $C$6, 100%, $E$6)</f>
        <v>18.661300000000001</v>
      </c>
      <c r="G1004" s="61">
        <f>18.6614 * CHOOSE(CONTROL!$C$19, $C$6, 100%, $E$6)</f>
        <v>18.6614</v>
      </c>
      <c r="H1004" s="61">
        <f>25.3733* CHOOSE(CONTROL!$C$19, $C$6, 100%, $E$6)</f>
        <v>25.3733</v>
      </c>
      <c r="I1004" s="61">
        <f>25.3735 * CHOOSE(CONTROL!$C$19, $C$6, 100%, $E$6)</f>
        <v>25.3735</v>
      </c>
      <c r="J1004" s="61">
        <f>18.6613 * CHOOSE(CONTROL!$C$19, $C$6, 100%, $E$6)</f>
        <v>18.661300000000001</v>
      </c>
      <c r="K1004" s="61">
        <f>18.6614 * CHOOSE(CONTROL!$C$19, $C$6, 100%, $E$6)</f>
        <v>18.6614</v>
      </c>
    </row>
    <row r="1005" spans="1:11" ht="15">
      <c r="A1005" s="13">
        <v>72655</v>
      </c>
      <c r="B1005" s="60">
        <f>15.2777 * CHOOSE(CONTROL!$C$19, $C$6, 100%, $E$6)</f>
        <v>15.277699999999999</v>
      </c>
      <c r="C1005" s="60">
        <f>15.2777 * CHOOSE(CONTROL!$C$19, $C$6, 100%, $E$6)</f>
        <v>15.277699999999999</v>
      </c>
      <c r="D1005" s="60">
        <f>15.2942 * CHOOSE(CONTROL!$C$19, $C$6, 100%, $E$6)</f>
        <v>15.2942</v>
      </c>
      <c r="E1005" s="61">
        <f>18.4995 * CHOOSE(CONTROL!$C$19, $C$6, 100%, $E$6)</f>
        <v>18.499500000000001</v>
      </c>
      <c r="F1005" s="61">
        <f>18.4995 * CHOOSE(CONTROL!$C$19, $C$6, 100%, $E$6)</f>
        <v>18.499500000000001</v>
      </c>
      <c r="G1005" s="61">
        <f>18.4996 * CHOOSE(CONTROL!$C$19, $C$6, 100%, $E$6)</f>
        <v>18.499600000000001</v>
      </c>
      <c r="H1005" s="61">
        <f>25.4262* CHOOSE(CONTROL!$C$19, $C$6, 100%, $E$6)</f>
        <v>25.426200000000001</v>
      </c>
      <c r="I1005" s="61">
        <f>25.4264 * CHOOSE(CONTROL!$C$19, $C$6, 100%, $E$6)</f>
        <v>25.426400000000001</v>
      </c>
      <c r="J1005" s="61">
        <f>18.4995 * CHOOSE(CONTROL!$C$19, $C$6, 100%, $E$6)</f>
        <v>18.499500000000001</v>
      </c>
      <c r="K1005" s="61">
        <f>18.4996 * CHOOSE(CONTROL!$C$19, $C$6, 100%, $E$6)</f>
        <v>18.499600000000001</v>
      </c>
    </row>
    <row r="1006" spans="1:11" ht="15">
      <c r="A1006" s="13">
        <v>72686</v>
      </c>
      <c r="B1006" s="60">
        <f>15.2157 * CHOOSE(CONTROL!$C$19, $C$6, 100%, $E$6)</f>
        <v>15.2157</v>
      </c>
      <c r="C1006" s="60">
        <f>15.2157 * CHOOSE(CONTROL!$C$19, $C$6, 100%, $E$6)</f>
        <v>15.2157</v>
      </c>
      <c r="D1006" s="60">
        <f>15.2322 * CHOOSE(CONTROL!$C$19, $C$6, 100%, $E$6)</f>
        <v>15.232200000000001</v>
      </c>
      <c r="E1006" s="61">
        <f>18.5288 * CHOOSE(CONTROL!$C$19, $C$6, 100%, $E$6)</f>
        <v>18.5288</v>
      </c>
      <c r="F1006" s="61">
        <f>18.5288 * CHOOSE(CONTROL!$C$19, $C$6, 100%, $E$6)</f>
        <v>18.5288</v>
      </c>
      <c r="G1006" s="61">
        <f>18.5289 * CHOOSE(CONTROL!$C$19, $C$6, 100%, $E$6)</f>
        <v>18.5289</v>
      </c>
      <c r="H1006" s="61">
        <f>25.1754* CHOOSE(CONTROL!$C$19, $C$6, 100%, $E$6)</f>
        <v>25.1754</v>
      </c>
      <c r="I1006" s="61">
        <f>25.1756 * CHOOSE(CONTROL!$C$19, $C$6, 100%, $E$6)</f>
        <v>25.175599999999999</v>
      </c>
      <c r="J1006" s="61">
        <f>18.5288 * CHOOSE(CONTROL!$C$19, $C$6, 100%, $E$6)</f>
        <v>18.5288</v>
      </c>
      <c r="K1006" s="61">
        <f>18.5289 * CHOOSE(CONTROL!$C$19, $C$6, 100%, $E$6)</f>
        <v>18.5289</v>
      </c>
    </row>
    <row r="1007" spans="1:11" ht="15">
      <c r="A1007" s="13">
        <v>72717</v>
      </c>
      <c r="B1007" s="60">
        <f>15.2127 * CHOOSE(CONTROL!$C$19, $C$6, 100%, $E$6)</f>
        <v>15.2127</v>
      </c>
      <c r="C1007" s="60">
        <f>15.2127 * CHOOSE(CONTROL!$C$19, $C$6, 100%, $E$6)</f>
        <v>15.2127</v>
      </c>
      <c r="D1007" s="60">
        <f>15.2292 * CHOOSE(CONTROL!$C$19, $C$6, 100%, $E$6)</f>
        <v>15.229200000000001</v>
      </c>
      <c r="E1007" s="61">
        <f>18.2164 * CHOOSE(CONTROL!$C$19, $C$6, 100%, $E$6)</f>
        <v>18.2164</v>
      </c>
      <c r="F1007" s="61">
        <f>18.2164 * CHOOSE(CONTROL!$C$19, $C$6, 100%, $E$6)</f>
        <v>18.2164</v>
      </c>
      <c r="G1007" s="61">
        <f>18.2166 * CHOOSE(CONTROL!$C$19, $C$6, 100%, $E$6)</f>
        <v>18.2166</v>
      </c>
      <c r="H1007" s="61">
        <f>25.2279* CHOOSE(CONTROL!$C$19, $C$6, 100%, $E$6)</f>
        <v>25.227900000000002</v>
      </c>
      <c r="I1007" s="61">
        <f>25.228 * CHOOSE(CONTROL!$C$19, $C$6, 100%, $E$6)</f>
        <v>25.228000000000002</v>
      </c>
      <c r="J1007" s="61">
        <f>18.2164 * CHOOSE(CONTROL!$C$19, $C$6, 100%, $E$6)</f>
        <v>18.2164</v>
      </c>
      <c r="K1007" s="61">
        <f>18.2166 * CHOOSE(CONTROL!$C$19, $C$6, 100%, $E$6)</f>
        <v>18.2166</v>
      </c>
    </row>
    <row r="1008" spans="1:11" ht="15">
      <c r="A1008" s="13">
        <v>72745</v>
      </c>
      <c r="B1008" s="60">
        <f>15.2096 * CHOOSE(CONTROL!$C$19, $C$6, 100%, $E$6)</f>
        <v>15.2096</v>
      </c>
      <c r="C1008" s="60">
        <f>15.2096 * CHOOSE(CONTROL!$C$19, $C$6, 100%, $E$6)</f>
        <v>15.2096</v>
      </c>
      <c r="D1008" s="60">
        <f>15.2261 * CHOOSE(CONTROL!$C$19, $C$6, 100%, $E$6)</f>
        <v>15.226100000000001</v>
      </c>
      <c r="E1008" s="61">
        <f>18.4589 * CHOOSE(CONTROL!$C$19, $C$6, 100%, $E$6)</f>
        <v>18.4589</v>
      </c>
      <c r="F1008" s="61">
        <f>18.4589 * CHOOSE(CONTROL!$C$19, $C$6, 100%, $E$6)</f>
        <v>18.4589</v>
      </c>
      <c r="G1008" s="61">
        <f>18.459 * CHOOSE(CONTROL!$C$19, $C$6, 100%, $E$6)</f>
        <v>18.459</v>
      </c>
      <c r="H1008" s="61">
        <f>25.2804* CHOOSE(CONTROL!$C$19, $C$6, 100%, $E$6)</f>
        <v>25.2804</v>
      </c>
      <c r="I1008" s="61">
        <f>25.2806 * CHOOSE(CONTROL!$C$19, $C$6, 100%, $E$6)</f>
        <v>25.2806</v>
      </c>
      <c r="J1008" s="61">
        <f>18.4589 * CHOOSE(CONTROL!$C$19, $C$6, 100%, $E$6)</f>
        <v>18.4589</v>
      </c>
      <c r="K1008" s="61">
        <f>18.459 * CHOOSE(CONTROL!$C$19, $C$6, 100%, $E$6)</f>
        <v>18.459</v>
      </c>
    </row>
    <row r="1009" spans="1:11" ht="15">
      <c r="A1009" s="13">
        <v>72776</v>
      </c>
      <c r="B1009" s="60">
        <f>15.2183 * CHOOSE(CONTROL!$C$19, $C$6, 100%, $E$6)</f>
        <v>15.218299999999999</v>
      </c>
      <c r="C1009" s="60">
        <f>15.2183 * CHOOSE(CONTROL!$C$19, $C$6, 100%, $E$6)</f>
        <v>15.218299999999999</v>
      </c>
      <c r="D1009" s="60">
        <f>15.2348 * CHOOSE(CONTROL!$C$19, $C$6, 100%, $E$6)</f>
        <v>15.2348</v>
      </c>
      <c r="E1009" s="61">
        <f>18.7173 * CHOOSE(CONTROL!$C$19, $C$6, 100%, $E$6)</f>
        <v>18.717300000000002</v>
      </c>
      <c r="F1009" s="61">
        <f>18.7173 * CHOOSE(CONTROL!$C$19, $C$6, 100%, $E$6)</f>
        <v>18.717300000000002</v>
      </c>
      <c r="G1009" s="61">
        <f>18.7175 * CHOOSE(CONTROL!$C$19, $C$6, 100%, $E$6)</f>
        <v>18.717500000000001</v>
      </c>
      <c r="H1009" s="61">
        <f>25.3331* CHOOSE(CONTROL!$C$19, $C$6, 100%, $E$6)</f>
        <v>25.333100000000002</v>
      </c>
      <c r="I1009" s="61">
        <f>25.3333 * CHOOSE(CONTROL!$C$19, $C$6, 100%, $E$6)</f>
        <v>25.333300000000001</v>
      </c>
      <c r="J1009" s="61">
        <f>18.7173 * CHOOSE(CONTROL!$C$19, $C$6, 100%, $E$6)</f>
        <v>18.717300000000002</v>
      </c>
      <c r="K1009" s="61">
        <f>18.7175 * CHOOSE(CONTROL!$C$19, $C$6, 100%, $E$6)</f>
        <v>18.717500000000001</v>
      </c>
    </row>
    <row r="1010" spans="1:11" ht="15">
      <c r="A1010" s="13">
        <v>72806</v>
      </c>
      <c r="B1010" s="60">
        <f>15.2183 * CHOOSE(CONTROL!$C$19, $C$6, 100%, $E$6)</f>
        <v>15.218299999999999</v>
      </c>
      <c r="C1010" s="60">
        <f>15.2183 * CHOOSE(CONTROL!$C$19, $C$6, 100%, $E$6)</f>
        <v>15.218299999999999</v>
      </c>
      <c r="D1010" s="60">
        <f>15.2513 * CHOOSE(CONTROL!$C$19, $C$6, 100%, $E$6)</f>
        <v>15.251300000000001</v>
      </c>
      <c r="E1010" s="61">
        <f>18.8158 * CHOOSE(CONTROL!$C$19, $C$6, 100%, $E$6)</f>
        <v>18.815799999999999</v>
      </c>
      <c r="F1010" s="61">
        <f>18.8158 * CHOOSE(CONTROL!$C$19, $C$6, 100%, $E$6)</f>
        <v>18.815799999999999</v>
      </c>
      <c r="G1010" s="61">
        <f>18.8179 * CHOOSE(CONTROL!$C$19, $C$6, 100%, $E$6)</f>
        <v>18.817900000000002</v>
      </c>
      <c r="H1010" s="61">
        <f>25.3859* CHOOSE(CONTROL!$C$19, $C$6, 100%, $E$6)</f>
        <v>25.385899999999999</v>
      </c>
      <c r="I1010" s="61">
        <f>25.3879 * CHOOSE(CONTROL!$C$19, $C$6, 100%, $E$6)</f>
        <v>25.387899999999998</v>
      </c>
      <c r="J1010" s="61">
        <f>18.8158 * CHOOSE(CONTROL!$C$19, $C$6, 100%, $E$6)</f>
        <v>18.815799999999999</v>
      </c>
      <c r="K1010" s="61">
        <f>18.8179 * CHOOSE(CONTROL!$C$19, $C$6, 100%, $E$6)</f>
        <v>18.817900000000002</v>
      </c>
    </row>
    <row r="1011" spans="1:11" ht="15">
      <c r="A1011" s="13">
        <v>72837</v>
      </c>
      <c r="B1011" s="60">
        <f>15.2244 * CHOOSE(CONTROL!$C$19, $C$6, 100%, $E$6)</f>
        <v>15.224399999999999</v>
      </c>
      <c r="C1011" s="60">
        <f>15.2244 * CHOOSE(CONTROL!$C$19, $C$6, 100%, $E$6)</f>
        <v>15.224399999999999</v>
      </c>
      <c r="D1011" s="60">
        <f>15.2574 * CHOOSE(CONTROL!$C$19, $C$6, 100%, $E$6)</f>
        <v>15.257400000000001</v>
      </c>
      <c r="E1011" s="61">
        <f>18.7215 * CHOOSE(CONTROL!$C$19, $C$6, 100%, $E$6)</f>
        <v>18.721499999999999</v>
      </c>
      <c r="F1011" s="61">
        <f>18.7215 * CHOOSE(CONTROL!$C$19, $C$6, 100%, $E$6)</f>
        <v>18.721499999999999</v>
      </c>
      <c r="G1011" s="61">
        <f>18.7236 * CHOOSE(CONTROL!$C$19, $C$6, 100%, $E$6)</f>
        <v>18.723600000000001</v>
      </c>
      <c r="H1011" s="61">
        <f>25.4387* CHOOSE(CONTROL!$C$19, $C$6, 100%, $E$6)</f>
        <v>25.438700000000001</v>
      </c>
      <c r="I1011" s="61">
        <f>25.4408 * CHOOSE(CONTROL!$C$19, $C$6, 100%, $E$6)</f>
        <v>25.440799999999999</v>
      </c>
      <c r="J1011" s="61">
        <f>18.7215 * CHOOSE(CONTROL!$C$19, $C$6, 100%, $E$6)</f>
        <v>18.721499999999999</v>
      </c>
      <c r="K1011" s="61">
        <f>18.7236 * CHOOSE(CONTROL!$C$19, $C$6, 100%, $E$6)</f>
        <v>18.723600000000001</v>
      </c>
    </row>
    <row r="1012" spans="1:11" ht="15">
      <c r="A1012" s="13">
        <v>72867</v>
      </c>
      <c r="B1012" s="60">
        <f>15.4326 * CHOOSE(CONTROL!$C$19, $C$6, 100%, $E$6)</f>
        <v>15.432600000000001</v>
      </c>
      <c r="C1012" s="60">
        <f>15.4326 * CHOOSE(CONTROL!$C$19, $C$6, 100%, $E$6)</f>
        <v>15.432600000000001</v>
      </c>
      <c r="D1012" s="60">
        <f>15.4656 * CHOOSE(CONTROL!$C$19, $C$6, 100%, $E$6)</f>
        <v>15.4656</v>
      </c>
      <c r="E1012" s="61">
        <f>19.0586 * CHOOSE(CONTROL!$C$19, $C$6, 100%, $E$6)</f>
        <v>19.058599999999998</v>
      </c>
      <c r="F1012" s="61">
        <f>19.0586 * CHOOSE(CONTROL!$C$19, $C$6, 100%, $E$6)</f>
        <v>19.058599999999998</v>
      </c>
      <c r="G1012" s="61">
        <f>19.0606 * CHOOSE(CONTROL!$C$19, $C$6, 100%, $E$6)</f>
        <v>19.060600000000001</v>
      </c>
      <c r="H1012" s="61">
        <f>25.4917* CHOOSE(CONTROL!$C$19, $C$6, 100%, $E$6)</f>
        <v>25.491700000000002</v>
      </c>
      <c r="I1012" s="61">
        <f>25.4938 * CHOOSE(CONTROL!$C$19, $C$6, 100%, $E$6)</f>
        <v>25.4938</v>
      </c>
      <c r="J1012" s="61">
        <f>19.0586 * CHOOSE(CONTROL!$C$19, $C$6, 100%, $E$6)</f>
        <v>19.058599999999998</v>
      </c>
      <c r="K1012" s="61">
        <f>19.0606 * CHOOSE(CONTROL!$C$19, $C$6, 100%, $E$6)</f>
        <v>19.060600000000001</v>
      </c>
    </row>
    <row r="1013" spans="1:11" ht="15">
      <c r="A1013" s="13">
        <v>72898</v>
      </c>
      <c r="B1013" s="60">
        <f>15.4393 * CHOOSE(CONTROL!$C$19, $C$6, 100%, $E$6)</f>
        <v>15.439299999999999</v>
      </c>
      <c r="C1013" s="60">
        <f>15.4393 * CHOOSE(CONTROL!$C$19, $C$6, 100%, $E$6)</f>
        <v>15.439299999999999</v>
      </c>
      <c r="D1013" s="60">
        <f>15.4723 * CHOOSE(CONTROL!$C$19, $C$6, 100%, $E$6)</f>
        <v>15.472300000000001</v>
      </c>
      <c r="E1013" s="61">
        <f>18.7677 * CHOOSE(CONTROL!$C$19, $C$6, 100%, $E$6)</f>
        <v>18.767700000000001</v>
      </c>
      <c r="F1013" s="61">
        <f>18.7677 * CHOOSE(CONTROL!$C$19, $C$6, 100%, $E$6)</f>
        <v>18.767700000000001</v>
      </c>
      <c r="G1013" s="61">
        <f>18.7698 * CHOOSE(CONTROL!$C$19, $C$6, 100%, $E$6)</f>
        <v>18.7698</v>
      </c>
      <c r="H1013" s="61">
        <f>25.5448* CHOOSE(CONTROL!$C$19, $C$6, 100%, $E$6)</f>
        <v>25.544799999999999</v>
      </c>
      <c r="I1013" s="61">
        <f>25.5469 * CHOOSE(CONTROL!$C$19, $C$6, 100%, $E$6)</f>
        <v>25.546900000000001</v>
      </c>
      <c r="J1013" s="61">
        <f>18.7677 * CHOOSE(CONTROL!$C$19, $C$6, 100%, $E$6)</f>
        <v>18.767700000000001</v>
      </c>
      <c r="K1013" s="61">
        <f>18.7698 * CHOOSE(CONTROL!$C$19, $C$6, 100%, $E$6)</f>
        <v>18.7698</v>
      </c>
    </row>
    <row r="1014" spans="1:11" ht="15">
      <c r="A1014" s="13">
        <v>72929</v>
      </c>
      <c r="B1014" s="60">
        <f>15.4363 * CHOOSE(CONTROL!$C$19, $C$6, 100%, $E$6)</f>
        <v>15.436299999999999</v>
      </c>
      <c r="C1014" s="60">
        <f>15.4363 * CHOOSE(CONTROL!$C$19, $C$6, 100%, $E$6)</f>
        <v>15.436299999999999</v>
      </c>
      <c r="D1014" s="60">
        <f>15.4693 * CHOOSE(CONTROL!$C$19, $C$6, 100%, $E$6)</f>
        <v>15.4693</v>
      </c>
      <c r="E1014" s="61">
        <f>18.7328 * CHOOSE(CONTROL!$C$19, $C$6, 100%, $E$6)</f>
        <v>18.732800000000001</v>
      </c>
      <c r="F1014" s="61">
        <f>18.7328 * CHOOSE(CONTROL!$C$19, $C$6, 100%, $E$6)</f>
        <v>18.732800000000001</v>
      </c>
      <c r="G1014" s="61">
        <f>18.7348 * CHOOSE(CONTROL!$C$19, $C$6, 100%, $E$6)</f>
        <v>18.7348</v>
      </c>
      <c r="H1014" s="61">
        <f>25.5981* CHOOSE(CONTROL!$C$19, $C$6, 100%, $E$6)</f>
        <v>25.598099999999999</v>
      </c>
      <c r="I1014" s="61">
        <f>25.6001 * CHOOSE(CONTROL!$C$19, $C$6, 100%, $E$6)</f>
        <v>25.600100000000001</v>
      </c>
      <c r="J1014" s="61">
        <f>18.7328 * CHOOSE(CONTROL!$C$19, $C$6, 100%, $E$6)</f>
        <v>18.732800000000001</v>
      </c>
      <c r="K1014" s="61">
        <f>18.7348 * CHOOSE(CONTROL!$C$19, $C$6, 100%, $E$6)</f>
        <v>18.7348</v>
      </c>
    </row>
    <row r="1015" spans="1:11" ht="15">
      <c r="A1015" s="13">
        <v>72959</v>
      </c>
      <c r="B1015" s="60">
        <f>15.4747 * CHOOSE(CONTROL!$C$19, $C$6, 100%, $E$6)</f>
        <v>15.4747</v>
      </c>
      <c r="C1015" s="60">
        <f>15.4747 * CHOOSE(CONTROL!$C$19, $C$6, 100%, $E$6)</f>
        <v>15.4747</v>
      </c>
      <c r="D1015" s="60">
        <f>15.4912 * CHOOSE(CONTROL!$C$19, $C$6, 100%, $E$6)</f>
        <v>15.491199999999999</v>
      </c>
      <c r="E1015" s="61">
        <f>18.8507 * CHOOSE(CONTROL!$C$19, $C$6, 100%, $E$6)</f>
        <v>18.8507</v>
      </c>
      <c r="F1015" s="61">
        <f>18.8507 * CHOOSE(CONTROL!$C$19, $C$6, 100%, $E$6)</f>
        <v>18.8507</v>
      </c>
      <c r="G1015" s="61">
        <f>18.8509 * CHOOSE(CONTROL!$C$19, $C$6, 100%, $E$6)</f>
        <v>18.850899999999999</v>
      </c>
      <c r="H1015" s="61">
        <f>25.6514* CHOOSE(CONTROL!$C$19, $C$6, 100%, $E$6)</f>
        <v>25.651399999999999</v>
      </c>
      <c r="I1015" s="61">
        <f>25.6516 * CHOOSE(CONTROL!$C$19, $C$6, 100%, $E$6)</f>
        <v>25.651599999999998</v>
      </c>
      <c r="J1015" s="61">
        <f>18.8507 * CHOOSE(CONTROL!$C$19, $C$6, 100%, $E$6)</f>
        <v>18.8507</v>
      </c>
      <c r="K1015" s="61">
        <f>18.8509 * CHOOSE(CONTROL!$C$19, $C$6, 100%, $E$6)</f>
        <v>18.850899999999999</v>
      </c>
    </row>
    <row r="1016" spans="1:11" ht="15">
      <c r="A1016" s="13">
        <v>72990</v>
      </c>
      <c r="B1016" s="60">
        <f>15.4778 * CHOOSE(CONTROL!$C$19, $C$6, 100%, $E$6)</f>
        <v>15.4778</v>
      </c>
      <c r="C1016" s="60">
        <f>15.4778 * CHOOSE(CONTROL!$C$19, $C$6, 100%, $E$6)</f>
        <v>15.4778</v>
      </c>
      <c r="D1016" s="60">
        <f>15.4943 * CHOOSE(CONTROL!$C$19, $C$6, 100%, $E$6)</f>
        <v>15.494300000000001</v>
      </c>
      <c r="E1016" s="61">
        <f>18.9185 * CHOOSE(CONTROL!$C$19, $C$6, 100%, $E$6)</f>
        <v>18.918500000000002</v>
      </c>
      <c r="F1016" s="61">
        <f>18.9185 * CHOOSE(CONTROL!$C$19, $C$6, 100%, $E$6)</f>
        <v>18.918500000000002</v>
      </c>
      <c r="G1016" s="61">
        <f>18.9187 * CHOOSE(CONTROL!$C$19, $C$6, 100%, $E$6)</f>
        <v>18.918700000000001</v>
      </c>
      <c r="H1016" s="61">
        <f>25.7048* CHOOSE(CONTROL!$C$19, $C$6, 100%, $E$6)</f>
        <v>25.704799999999999</v>
      </c>
      <c r="I1016" s="61">
        <f>25.705 * CHOOSE(CONTROL!$C$19, $C$6, 100%, $E$6)</f>
        <v>25.704999999999998</v>
      </c>
      <c r="J1016" s="61">
        <f>18.9185 * CHOOSE(CONTROL!$C$19, $C$6, 100%, $E$6)</f>
        <v>18.918500000000002</v>
      </c>
      <c r="K1016" s="61">
        <f>18.9187 * CHOOSE(CONTROL!$C$19, $C$6, 100%, $E$6)</f>
        <v>18.918700000000001</v>
      </c>
    </row>
    <row r="1017" spans="1:11" ht="15">
      <c r="A1017" s="13">
        <v>73020</v>
      </c>
      <c r="B1017" s="60">
        <f>15.4778 * CHOOSE(CONTROL!$C$19, $C$6, 100%, $E$6)</f>
        <v>15.4778</v>
      </c>
      <c r="C1017" s="60">
        <f>15.4778 * CHOOSE(CONTROL!$C$19, $C$6, 100%, $E$6)</f>
        <v>15.4778</v>
      </c>
      <c r="D1017" s="60">
        <f>15.4943 * CHOOSE(CONTROL!$C$19, $C$6, 100%, $E$6)</f>
        <v>15.494300000000001</v>
      </c>
      <c r="E1017" s="61">
        <f>18.7543 * CHOOSE(CONTROL!$C$19, $C$6, 100%, $E$6)</f>
        <v>18.754300000000001</v>
      </c>
      <c r="F1017" s="61">
        <f>18.7543 * CHOOSE(CONTROL!$C$19, $C$6, 100%, $E$6)</f>
        <v>18.754300000000001</v>
      </c>
      <c r="G1017" s="61">
        <f>18.7545 * CHOOSE(CONTROL!$C$19, $C$6, 100%, $E$6)</f>
        <v>18.7545</v>
      </c>
      <c r="H1017" s="61">
        <f>25.7584* CHOOSE(CONTROL!$C$19, $C$6, 100%, $E$6)</f>
        <v>25.758400000000002</v>
      </c>
      <c r="I1017" s="61">
        <f>25.7586 * CHOOSE(CONTROL!$C$19, $C$6, 100%, $E$6)</f>
        <v>25.758600000000001</v>
      </c>
      <c r="J1017" s="61">
        <f>18.7543 * CHOOSE(CONTROL!$C$19, $C$6, 100%, $E$6)</f>
        <v>18.754300000000001</v>
      </c>
      <c r="K1017" s="61">
        <f>18.7545 * CHOOSE(CONTROL!$C$19, $C$6, 100%, $E$6)</f>
        <v>18.7545</v>
      </c>
    </row>
    <row r="1018" spans="1:11" ht="15">
      <c r="A1018" s="13">
        <v>73051</v>
      </c>
      <c r="B1018" s="60">
        <f>15.4123 * CHOOSE(CONTROL!$C$19, $C$6, 100%, $E$6)</f>
        <v>15.4123</v>
      </c>
      <c r="C1018" s="60">
        <f>15.4123 * CHOOSE(CONTROL!$C$19, $C$6, 100%, $E$6)</f>
        <v>15.4123</v>
      </c>
      <c r="D1018" s="60">
        <f>15.4288 * CHOOSE(CONTROL!$C$19, $C$6, 100%, $E$6)</f>
        <v>15.428800000000001</v>
      </c>
      <c r="E1018" s="61">
        <f>18.7806 * CHOOSE(CONTROL!$C$19, $C$6, 100%, $E$6)</f>
        <v>18.7806</v>
      </c>
      <c r="F1018" s="61">
        <f>18.7806 * CHOOSE(CONTROL!$C$19, $C$6, 100%, $E$6)</f>
        <v>18.7806</v>
      </c>
      <c r="G1018" s="61">
        <f>18.7808 * CHOOSE(CONTROL!$C$19, $C$6, 100%, $E$6)</f>
        <v>18.780799999999999</v>
      </c>
      <c r="H1018" s="61">
        <f>25.5001* CHOOSE(CONTROL!$C$19, $C$6, 100%, $E$6)</f>
        <v>25.5001</v>
      </c>
      <c r="I1018" s="61">
        <f>25.5002 * CHOOSE(CONTROL!$C$19, $C$6, 100%, $E$6)</f>
        <v>25.5002</v>
      </c>
      <c r="J1018" s="61">
        <f>18.7806 * CHOOSE(CONTROL!$C$19, $C$6, 100%, $E$6)</f>
        <v>18.7806</v>
      </c>
      <c r="K1018" s="61">
        <f>18.7808 * CHOOSE(CONTROL!$C$19, $C$6, 100%, $E$6)</f>
        <v>18.780799999999999</v>
      </c>
    </row>
    <row r="1019" spans="1:11" ht="15">
      <c r="A1019" s="13">
        <v>73082</v>
      </c>
      <c r="B1019" s="60">
        <f>15.4093 * CHOOSE(CONTROL!$C$19, $C$6, 100%, $E$6)</f>
        <v>15.4093</v>
      </c>
      <c r="C1019" s="60">
        <f>15.4093 * CHOOSE(CONTROL!$C$19, $C$6, 100%, $E$6)</f>
        <v>15.4093</v>
      </c>
      <c r="D1019" s="60">
        <f>15.4258 * CHOOSE(CONTROL!$C$19, $C$6, 100%, $E$6)</f>
        <v>15.425800000000001</v>
      </c>
      <c r="E1019" s="61">
        <f>18.4638 * CHOOSE(CONTROL!$C$19, $C$6, 100%, $E$6)</f>
        <v>18.463799999999999</v>
      </c>
      <c r="F1019" s="61">
        <f>18.4638 * CHOOSE(CONTROL!$C$19, $C$6, 100%, $E$6)</f>
        <v>18.463799999999999</v>
      </c>
      <c r="G1019" s="61">
        <f>18.4639 * CHOOSE(CONTROL!$C$19, $C$6, 100%, $E$6)</f>
        <v>18.463899999999999</v>
      </c>
      <c r="H1019" s="61">
        <f>25.5532* CHOOSE(CONTROL!$C$19, $C$6, 100%, $E$6)</f>
        <v>25.5532</v>
      </c>
      <c r="I1019" s="61">
        <f>25.5534 * CHOOSE(CONTROL!$C$19, $C$6, 100%, $E$6)</f>
        <v>25.5534</v>
      </c>
      <c r="J1019" s="61">
        <f>18.4638 * CHOOSE(CONTROL!$C$19, $C$6, 100%, $E$6)</f>
        <v>18.463799999999999</v>
      </c>
      <c r="K1019" s="61">
        <f>18.4639 * CHOOSE(CONTROL!$C$19, $C$6, 100%, $E$6)</f>
        <v>18.463899999999999</v>
      </c>
    </row>
    <row r="1020" spans="1:11" ht="15">
      <c r="A1020" s="13">
        <v>73110</v>
      </c>
      <c r="B1020" s="60">
        <f>15.4063 * CHOOSE(CONTROL!$C$19, $C$6, 100%, $E$6)</f>
        <v>15.4063</v>
      </c>
      <c r="C1020" s="60">
        <f>15.4063 * CHOOSE(CONTROL!$C$19, $C$6, 100%, $E$6)</f>
        <v>15.4063</v>
      </c>
      <c r="D1020" s="60">
        <f>15.4228 * CHOOSE(CONTROL!$C$19, $C$6, 100%, $E$6)</f>
        <v>15.422800000000001</v>
      </c>
      <c r="E1020" s="61">
        <f>18.7098 * CHOOSE(CONTROL!$C$19, $C$6, 100%, $E$6)</f>
        <v>18.709800000000001</v>
      </c>
      <c r="F1020" s="61">
        <f>18.7098 * CHOOSE(CONTROL!$C$19, $C$6, 100%, $E$6)</f>
        <v>18.709800000000001</v>
      </c>
      <c r="G1020" s="61">
        <f>18.7099 * CHOOSE(CONTROL!$C$19, $C$6, 100%, $E$6)</f>
        <v>18.709900000000001</v>
      </c>
      <c r="H1020" s="61">
        <f>25.6064* CHOOSE(CONTROL!$C$19, $C$6, 100%, $E$6)</f>
        <v>25.606400000000001</v>
      </c>
      <c r="I1020" s="61">
        <f>25.6066 * CHOOSE(CONTROL!$C$19, $C$6, 100%, $E$6)</f>
        <v>25.6066</v>
      </c>
      <c r="J1020" s="61">
        <f>18.7098 * CHOOSE(CONTROL!$C$19, $C$6, 100%, $E$6)</f>
        <v>18.709800000000001</v>
      </c>
      <c r="K1020" s="61">
        <f>18.7099 * CHOOSE(CONTROL!$C$19, $C$6, 100%, $E$6)</f>
        <v>18.709900000000001</v>
      </c>
    </row>
    <row r="1021" spans="1:11" ht="15">
      <c r="A1021" s="13">
        <v>73141</v>
      </c>
      <c r="B1021" s="60">
        <f>15.4152 * CHOOSE(CONTROL!$C$19, $C$6, 100%, $E$6)</f>
        <v>15.4152</v>
      </c>
      <c r="C1021" s="60">
        <f>15.4152 * CHOOSE(CONTROL!$C$19, $C$6, 100%, $E$6)</f>
        <v>15.4152</v>
      </c>
      <c r="D1021" s="60">
        <f>15.4317 * CHOOSE(CONTROL!$C$19, $C$6, 100%, $E$6)</f>
        <v>15.431699999999999</v>
      </c>
      <c r="E1021" s="61">
        <f>18.972 * CHOOSE(CONTROL!$C$19, $C$6, 100%, $E$6)</f>
        <v>18.972000000000001</v>
      </c>
      <c r="F1021" s="61">
        <f>18.972 * CHOOSE(CONTROL!$C$19, $C$6, 100%, $E$6)</f>
        <v>18.972000000000001</v>
      </c>
      <c r="G1021" s="61">
        <f>18.9722 * CHOOSE(CONTROL!$C$19, $C$6, 100%, $E$6)</f>
        <v>18.972200000000001</v>
      </c>
      <c r="H1021" s="61">
        <f>25.6598* CHOOSE(CONTROL!$C$19, $C$6, 100%, $E$6)</f>
        <v>25.659800000000001</v>
      </c>
      <c r="I1021" s="61">
        <f>25.6599 * CHOOSE(CONTROL!$C$19, $C$6, 100%, $E$6)</f>
        <v>25.6599</v>
      </c>
      <c r="J1021" s="61">
        <f>18.972 * CHOOSE(CONTROL!$C$19, $C$6, 100%, $E$6)</f>
        <v>18.972000000000001</v>
      </c>
      <c r="K1021" s="61">
        <f>18.9722 * CHOOSE(CONTROL!$C$19, $C$6, 100%, $E$6)</f>
        <v>18.972200000000001</v>
      </c>
    </row>
    <row r="1022" spans="1:11" ht="15">
      <c r="A1022" s="13">
        <v>73171</v>
      </c>
      <c r="B1022" s="60">
        <f>15.4152 * CHOOSE(CONTROL!$C$19, $C$6, 100%, $E$6)</f>
        <v>15.4152</v>
      </c>
      <c r="C1022" s="60">
        <f>15.4152 * CHOOSE(CONTROL!$C$19, $C$6, 100%, $E$6)</f>
        <v>15.4152</v>
      </c>
      <c r="D1022" s="60">
        <f>15.4482 * CHOOSE(CONTROL!$C$19, $C$6, 100%, $E$6)</f>
        <v>15.4482</v>
      </c>
      <c r="E1022" s="61">
        <f>19.0719 * CHOOSE(CONTROL!$C$19, $C$6, 100%, $E$6)</f>
        <v>19.071899999999999</v>
      </c>
      <c r="F1022" s="61">
        <f>19.0719 * CHOOSE(CONTROL!$C$19, $C$6, 100%, $E$6)</f>
        <v>19.071899999999999</v>
      </c>
      <c r="G1022" s="61">
        <f>19.074 * CHOOSE(CONTROL!$C$19, $C$6, 100%, $E$6)</f>
        <v>19.074000000000002</v>
      </c>
      <c r="H1022" s="61">
        <f>25.7132* CHOOSE(CONTROL!$C$19, $C$6, 100%, $E$6)</f>
        <v>25.713200000000001</v>
      </c>
      <c r="I1022" s="61">
        <f>25.7153 * CHOOSE(CONTROL!$C$19, $C$6, 100%, $E$6)</f>
        <v>25.715299999999999</v>
      </c>
      <c r="J1022" s="61">
        <f>19.0719 * CHOOSE(CONTROL!$C$19, $C$6, 100%, $E$6)</f>
        <v>19.071899999999999</v>
      </c>
      <c r="K1022" s="61">
        <f>19.074 * CHOOSE(CONTROL!$C$19, $C$6, 100%, $E$6)</f>
        <v>19.074000000000002</v>
      </c>
    </row>
    <row r="1023" spans="1:11" ht="15">
      <c r="A1023" s="13">
        <v>73202</v>
      </c>
      <c r="B1023" s="60">
        <f>15.4212 * CHOOSE(CONTROL!$C$19, $C$6, 100%, $E$6)</f>
        <v>15.421200000000001</v>
      </c>
      <c r="C1023" s="60">
        <f>15.4212 * CHOOSE(CONTROL!$C$19, $C$6, 100%, $E$6)</f>
        <v>15.421200000000001</v>
      </c>
      <c r="D1023" s="60">
        <f>15.4542 * CHOOSE(CONTROL!$C$19, $C$6, 100%, $E$6)</f>
        <v>15.4542</v>
      </c>
      <c r="E1023" s="61">
        <f>18.9762 * CHOOSE(CONTROL!$C$19, $C$6, 100%, $E$6)</f>
        <v>18.976199999999999</v>
      </c>
      <c r="F1023" s="61">
        <f>18.9762 * CHOOSE(CONTROL!$C$19, $C$6, 100%, $E$6)</f>
        <v>18.976199999999999</v>
      </c>
      <c r="G1023" s="61">
        <f>18.9783 * CHOOSE(CONTROL!$C$19, $C$6, 100%, $E$6)</f>
        <v>18.978300000000001</v>
      </c>
      <c r="H1023" s="61">
        <f>25.7668* CHOOSE(CONTROL!$C$19, $C$6, 100%, $E$6)</f>
        <v>25.7668</v>
      </c>
      <c r="I1023" s="61">
        <f>25.7689 * CHOOSE(CONTROL!$C$19, $C$6, 100%, $E$6)</f>
        <v>25.768899999999999</v>
      </c>
      <c r="J1023" s="61">
        <f>18.9762 * CHOOSE(CONTROL!$C$19, $C$6, 100%, $E$6)</f>
        <v>18.976199999999999</v>
      </c>
      <c r="K1023" s="61">
        <f>18.9783 * CHOOSE(CONTROL!$C$19, $C$6, 100%, $E$6)</f>
        <v>18.978300000000001</v>
      </c>
    </row>
    <row r="1024" spans="1:11" ht="15">
      <c r="A1024" s="13">
        <v>73232</v>
      </c>
      <c r="B1024" s="60">
        <f>15.6319 * CHOOSE(CONTROL!$C$19, $C$6, 100%, $E$6)</f>
        <v>15.6319</v>
      </c>
      <c r="C1024" s="60">
        <f>15.6319 * CHOOSE(CONTROL!$C$19, $C$6, 100%, $E$6)</f>
        <v>15.6319</v>
      </c>
      <c r="D1024" s="60">
        <f>15.6649 * CHOOSE(CONTROL!$C$19, $C$6, 100%, $E$6)</f>
        <v>15.664899999999999</v>
      </c>
      <c r="E1024" s="61">
        <f>19.3177 * CHOOSE(CONTROL!$C$19, $C$6, 100%, $E$6)</f>
        <v>19.317699999999999</v>
      </c>
      <c r="F1024" s="61">
        <f>19.3177 * CHOOSE(CONTROL!$C$19, $C$6, 100%, $E$6)</f>
        <v>19.317699999999999</v>
      </c>
      <c r="G1024" s="61">
        <f>19.3197 * CHOOSE(CONTROL!$C$19, $C$6, 100%, $E$6)</f>
        <v>19.319700000000001</v>
      </c>
      <c r="H1024" s="61">
        <f>25.8205* CHOOSE(CONTROL!$C$19, $C$6, 100%, $E$6)</f>
        <v>25.820499999999999</v>
      </c>
      <c r="I1024" s="61">
        <f>25.8225 * CHOOSE(CONTROL!$C$19, $C$6, 100%, $E$6)</f>
        <v>25.822500000000002</v>
      </c>
      <c r="J1024" s="61">
        <f>19.3177 * CHOOSE(CONTROL!$C$19, $C$6, 100%, $E$6)</f>
        <v>19.317699999999999</v>
      </c>
      <c r="K1024" s="61">
        <f>19.3197 * CHOOSE(CONTROL!$C$19, $C$6, 100%, $E$6)</f>
        <v>19.319700000000001</v>
      </c>
    </row>
    <row r="1025" spans="1:11" ht="15">
      <c r="A1025" s="13">
        <v>73263</v>
      </c>
      <c r="B1025" s="60">
        <f>15.6386 * CHOOSE(CONTROL!$C$19, $C$6, 100%, $E$6)</f>
        <v>15.6386</v>
      </c>
      <c r="C1025" s="60">
        <f>15.6386 * CHOOSE(CONTROL!$C$19, $C$6, 100%, $E$6)</f>
        <v>15.6386</v>
      </c>
      <c r="D1025" s="60">
        <f>15.6716 * CHOOSE(CONTROL!$C$19, $C$6, 100%, $E$6)</f>
        <v>15.6716</v>
      </c>
      <c r="E1025" s="61">
        <f>19.0226 * CHOOSE(CONTROL!$C$19, $C$6, 100%, $E$6)</f>
        <v>19.022600000000001</v>
      </c>
      <c r="F1025" s="61">
        <f>19.0226 * CHOOSE(CONTROL!$C$19, $C$6, 100%, $E$6)</f>
        <v>19.022600000000001</v>
      </c>
      <c r="G1025" s="61">
        <f>19.0246 * CHOOSE(CONTROL!$C$19, $C$6, 100%, $E$6)</f>
        <v>19.0246</v>
      </c>
      <c r="H1025" s="61">
        <f>25.8743* CHOOSE(CONTROL!$C$19, $C$6, 100%, $E$6)</f>
        <v>25.874300000000002</v>
      </c>
      <c r="I1025" s="61">
        <f>25.8763 * CHOOSE(CONTROL!$C$19, $C$6, 100%, $E$6)</f>
        <v>25.876300000000001</v>
      </c>
      <c r="J1025" s="61">
        <f>19.0226 * CHOOSE(CONTROL!$C$19, $C$6, 100%, $E$6)</f>
        <v>19.022600000000001</v>
      </c>
      <c r="K1025" s="61">
        <f>19.0246 * CHOOSE(CONTROL!$C$19, $C$6, 100%, $E$6)</f>
        <v>19.0246</v>
      </c>
    </row>
    <row r="1026" spans="1:11" ht="15">
      <c r="A1026" s="13">
        <v>73294</v>
      </c>
      <c r="B1026" s="60">
        <f>15.6356 * CHOOSE(CONTROL!$C$19, $C$6, 100%, $E$6)</f>
        <v>15.6356</v>
      </c>
      <c r="C1026" s="60">
        <f>15.6356 * CHOOSE(CONTROL!$C$19, $C$6, 100%, $E$6)</f>
        <v>15.6356</v>
      </c>
      <c r="D1026" s="60">
        <f>15.6686 * CHOOSE(CONTROL!$C$19, $C$6, 100%, $E$6)</f>
        <v>15.6686</v>
      </c>
      <c r="E1026" s="61">
        <f>18.9871 * CHOOSE(CONTROL!$C$19, $C$6, 100%, $E$6)</f>
        <v>18.987100000000002</v>
      </c>
      <c r="F1026" s="61">
        <f>18.9871 * CHOOSE(CONTROL!$C$19, $C$6, 100%, $E$6)</f>
        <v>18.987100000000002</v>
      </c>
      <c r="G1026" s="61">
        <f>18.9892 * CHOOSE(CONTROL!$C$19, $C$6, 100%, $E$6)</f>
        <v>18.9892</v>
      </c>
      <c r="H1026" s="61">
        <f>25.9282* CHOOSE(CONTROL!$C$19, $C$6, 100%, $E$6)</f>
        <v>25.9282</v>
      </c>
      <c r="I1026" s="61">
        <f>25.9302 * CHOOSE(CONTROL!$C$19, $C$6, 100%, $E$6)</f>
        <v>25.930199999999999</v>
      </c>
      <c r="J1026" s="61">
        <f>18.9871 * CHOOSE(CONTROL!$C$19, $C$6, 100%, $E$6)</f>
        <v>18.987100000000002</v>
      </c>
      <c r="K1026" s="61">
        <f>18.9892 * CHOOSE(CONTROL!$C$19, $C$6, 100%, $E$6)</f>
        <v>18.9892</v>
      </c>
    </row>
    <row r="1027" spans="1:11" ht="15">
      <c r="A1027" s="13">
        <v>73324</v>
      </c>
      <c r="B1027" s="60">
        <f>15.6748 * CHOOSE(CONTROL!$C$19, $C$6, 100%, $E$6)</f>
        <v>15.674799999999999</v>
      </c>
      <c r="C1027" s="60">
        <f>15.6748 * CHOOSE(CONTROL!$C$19, $C$6, 100%, $E$6)</f>
        <v>15.674799999999999</v>
      </c>
      <c r="D1027" s="60">
        <f>15.6913 * CHOOSE(CONTROL!$C$19, $C$6, 100%, $E$6)</f>
        <v>15.6913</v>
      </c>
      <c r="E1027" s="61">
        <f>19.107 * CHOOSE(CONTROL!$C$19, $C$6, 100%, $E$6)</f>
        <v>19.106999999999999</v>
      </c>
      <c r="F1027" s="61">
        <f>19.107 * CHOOSE(CONTROL!$C$19, $C$6, 100%, $E$6)</f>
        <v>19.106999999999999</v>
      </c>
      <c r="G1027" s="61">
        <f>19.1071 * CHOOSE(CONTROL!$C$19, $C$6, 100%, $E$6)</f>
        <v>19.107099999999999</v>
      </c>
      <c r="H1027" s="61">
        <f>25.9822* CHOOSE(CONTROL!$C$19, $C$6, 100%, $E$6)</f>
        <v>25.982199999999999</v>
      </c>
      <c r="I1027" s="61">
        <f>25.9824 * CHOOSE(CONTROL!$C$19, $C$6, 100%, $E$6)</f>
        <v>25.982399999999998</v>
      </c>
      <c r="J1027" s="61">
        <f>19.107 * CHOOSE(CONTROL!$C$19, $C$6, 100%, $E$6)</f>
        <v>19.106999999999999</v>
      </c>
      <c r="K1027" s="61">
        <f>19.1071 * CHOOSE(CONTROL!$C$19, $C$6, 100%, $E$6)</f>
        <v>19.107099999999999</v>
      </c>
    </row>
    <row r="1028" spans="1:11" ht="15">
      <c r="A1028" s="13">
        <v>73355</v>
      </c>
      <c r="B1028" s="60">
        <f>15.6778 * CHOOSE(CONTROL!$C$19, $C$6, 100%, $E$6)</f>
        <v>15.6778</v>
      </c>
      <c r="C1028" s="60">
        <f>15.6778 * CHOOSE(CONTROL!$C$19, $C$6, 100%, $E$6)</f>
        <v>15.6778</v>
      </c>
      <c r="D1028" s="60">
        <f>15.6943 * CHOOSE(CONTROL!$C$19, $C$6, 100%, $E$6)</f>
        <v>15.6943</v>
      </c>
      <c r="E1028" s="61">
        <f>19.1757 * CHOOSE(CONTROL!$C$19, $C$6, 100%, $E$6)</f>
        <v>19.175699999999999</v>
      </c>
      <c r="F1028" s="61">
        <f>19.1757 * CHOOSE(CONTROL!$C$19, $C$6, 100%, $E$6)</f>
        <v>19.175699999999999</v>
      </c>
      <c r="G1028" s="61">
        <f>19.1759 * CHOOSE(CONTROL!$C$19, $C$6, 100%, $E$6)</f>
        <v>19.175899999999999</v>
      </c>
      <c r="H1028" s="61">
        <f>26.0363* CHOOSE(CONTROL!$C$19, $C$6, 100%, $E$6)</f>
        <v>26.036300000000001</v>
      </c>
      <c r="I1028" s="61">
        <f>26.0365 * CHOOSE(CONTROL!$C$19, $C$6, 100%, $E$6)</f>
        <v>26.0365</v>
      </c>
      <c r="J1028" s="61">
        <f>19.1757 * CHOOSE(CONTROL!$C$19, $C$6, 100%, $E$6)</f>
        <v>19.175699999999999</v>
      </c>
      <c r="K1028" s="61">
        <f>19.1759 * CHOOSE(CONTROL!$C$19, $C$6, 100%, $E$6)</f>
        <v>19.175899999999999</v>
      </c>
    </row>
    <row r="1029" spans="1:11" ht="15">
      <c r="A1029" s="13">
        <v>73385</v>
      </c>
      <c r="B1029" s="60">
        <f>15.6778 * CHOOSE(CONTROL!$C$19, $C$6, 100%, $E$6)</f>
        <v>15.6778</v>
      </c>
      <c r="C1029" s="60">
        <f>15.6778 * CHOOSE(CONTROL!$C$19, $C$6, 100%, $E$6)</f>
        <v>15.6778</v>
      </c>
      <c r="D1029" s="60">
        <f>15.6943 * CHOOSE(CONTROL!$C$19, $C$6, 100%, $E$6)</f>
        <v>15.6943</v>
      </c>
      <c r="E1029" s="61">
        <f>19.0091 * CHOOSE(CONTROL!$C$19, $C$6, 100%, $E$6)</f>
        <v>19.0091</v>
      </c>
      <c r="F1029" s="61">
        <f>19.0091 * CHOOSE(CONTROL!$C$19, $C$6, 100%, $E$6)</f>
        <v>19.0091</v>
      </c>
      <c r="G1029" s="61">
        <f>19.0093 * CHOOSE(CONTROL!$C$19, $C$6, 100%, $E$6)</f>
        <v>19.0093</v>
      </c>
      <c r="H1029" s="61">
        <f>26.0906* CHOOSE(CONTROL!$C$19, $C$6, 100%, $E$6)</f>
        <v>26.090599999999998</v>
      </c>
      <c r="I1029" s="61">
        <f>26.0907 * CHOOSE(CONTROL!$C$19, $C$6, 100%, $E$6)</f>
        <v>26.090699999999998</v>
      </c>
      <c r="J1029" s="61">
        <f>19.0091 * CHOOSE(CONTROL!$C$19, $C$6, 100%, $E$6)</f>
        <v>19.0091</v>
      </c>
      <c r="K1029" s="61">
        <f>19.0093 * CHOOSE(CONTROL!$C$19, $C$6, 100%, $E$6)</f>
        <v>19.0093</v>
      </c>
    </row>
    <row r="1030" spans="1:11" ht="15">
      <c r="A1030" s="10"/>
      <c r="B1030" s="60"/>
      <c r="C1030" s="60"/>
      <c r="D1030" s="60"/>
      <c r="E1030" s="61"/>
      <c r="F1030" s="61"/>
      <c r="G1030" s="61"/>
      <c r="H1030" s="61"/>
      <c r="I1030" s="61"/>
      <c r="J1030" s="61"/>
      <c r="K1030" s="61"/>
    </row>
    <row r="1031" spans="1:11" ht="15">
      <c r="A1031" s="3">
        <v>2016</v>
      </c>
      <c r="B1031" s="60">
        <f t="shared" ref="B1031:K1031" si="0">AVERAGE(B10:B21)</f>
        <v>2.3326333333333338</v>
      </c>
      <c r="C1031" s="60">
        <f t="shared" si="0"/>
        <v>2.3326333333333338</v>
      </c>
      <c r="D1031" s="60">
        <f t="shared" si="0"/>
        <v>2.356008333333333</v>
      </c>
      <c r="E1031" s="60">
        <f t="shared" si="0"/>
        <v>3.0010749999999997</v>
      </c>
      <c r="F1031" s="60">
        <f t="shared" si="0"/>
        <v>2.0505</v>
      </c>
      <c r="G1031" s="60">
        <f t="shared" si="0"/>
        <v>2.0514916666666667</v>
      </c>
      <c r="H1031" s="60">
        <f t="shared" si="0"/>
        <v>4.4683083333333338</v>
      </c>
      <c r="I1031" s="60">
        <f t="shared" si="0"/>
        <v>4.4692833333333333</v>
      </c>
      <c r="J1031" s="60">
        <f t="shared" si="0"/>
        <v>3.0010749999999997</v>
      </c>
      <c r="K1031" s="60">
        <f t="shared" si="0"/>
        <v>3.0020416666666665</v>
      </c>
    </row>
    <row r="1032" spans="1:11" ht="15">
      <c r="A1032" s="3">
        <v>2017</v>
      </c>
      <c r="B1032" s="60">
        <f t="shared" ref="B1032:K1032" si="1">AVERAGE(B22:B33)</f>
        <v>2.2862499999999994</v>
      </c>
      <c r="C1032" s="60">
        <f t="shared" si="1"/>
        <v>2.2862499999999994</v>
      </c>
      <c r="D1032" s="60">
        <f t="shared" si="1"/>
        <v>2.3096249999999996</v>
      </c>
      <c r="E1032" s="60">
        <f t="shared" si="1"/>
        <v>3.4390666666666667</v>
      </c>
      <c r="F1032" s="60">
        <f t="shared" si="1"/>
        <v>2.0505</v>
      </c>
      <c r="G1032" s="60">
        <f t="shared" si="1"/>
        <v>2.0514916666666667</v>
      </c>
      <c r="H1032" s="60">
        <f t="shared" si="1"/>
        <v>4.3277583333333327</v>
      </c>
      <c r="I1032" s="60">
        <f t="shared" si="1"/>
        <v>4.3287166666666659</v>
      </c>
      <c r="J1032" s="60">
        <f t="shared" si="1"/>
        <v>3.4390666666666667</v>
      </c>
      <c r="K1032" s="60">
        <f t="shared" si="1"/>
        <v>3.4400583333333334</v>
      </c>
    </row>
    <row r="1033" spans="1:11" ht="15">
      <c r="A1033" s="3">
        <v>2018</v>
      </c>
      <c r="B1033" s="60">
        <f t="shared" ref="B1033:K1033" si="2">AVERAGE(B34:B45)</f>
        <v>2.3824083333333332</v>
      </c>
      <c r="C1033" s="60">
        <f t="shared" si="2"/>
        <v>2.3824083333333332</v>
      </c>
      <c r="D1033" s="60">
        <f t="shared" si="2"/>
        <v>2.4057833333333338</v>
      </c>
      <c r="E1033" s="60">
        <f t="shared" si="2"/>
        <v>2.4131499999999995</v>
      </c>
      <c r="F1033" s="60">
        <f t="shared" si="2"/>
        <v>2.4131499999999995</v>
      </c>
      <c r="G1033" s="60">
        <f t="shared" si="2"/>
        <v>2.4140749999999995</v>
      </c>
      <c r="H1033" s="60">
        <f t="shared" si="2"/>
        <v>4.4372083333333334</v>
      </c>
      <c r="I1033" s="60">
        <f t="shared" si="2"/>
        <v>4.438158333333333</v>
      </c>
      <c r="J1033" s="60">
        <f t="shared" si="2"/>
        <v>2.4131499999999995</v>
      </c>
      <c r="K1033" s="60">
        <f t="shared" si="2"/>
        <v>2.4140749999999995</v>
      </c>
    </row>
    <row r="1034" spans="1:11" ht="15">
      <c r="A1034" s="3">
        <v>2019</v>
      </c>
      <c r="B1034" s="60">
        <f t="shared" ref="B1034:K1034" si="3">AVERAGE(B46:B57)</f>
        <v>2.4799249999999997</v>
      </c>
      <c r="C1034" s="60">
        <f t="shared" si="3"/>
        <v>2.4799249999999997</v>
      </c>
      <c r="D1034" s="60">
        <f t="shared" si="3"/>
        <v>2.5032999999999999</v>
      </c>
      <c r="E1034" s="60">
        <f t="shared" si="3"/>
        <v>2.5851166666666665</v>
      </c>
      <c r="F1034" s="60">
        <f t="shared" si="3"/>
        <v>2.5851166666666665</v>
      </c>
      <c r="G1034" s="60">
        <f t="shared" si="3"/>
        <v>2.5860666666666665</v>
      </c>
      <c r="H1034" s="60">
        <f t="shared" si="3"/>
        <v>4.5494083333333339</v>
      </c>
      <c r="I1034" s="60">
        <f t="shared" si="3"/>
        <v>4.5503833333333334</v>
      </c>
      <c r="J1034" s="60">
        <f t="shared" si="3"/>
        <v>2.5851166666666665</v>
      </c>
      <c r="K1034" s="60">
        <f t="shared" si="3"/>
        <v>2.5860666666666665</v>
      </c>
    </row>
    <row r="1035" spans="1:11" ht="15">
      <c r="A1035" s="3">
        <v>2020</v>
      </c>
      <c r="B1035" s="60">
        <f t="shared" ref="B1035:K1035" si="4">AVERAGE(B58:B69)</f>
        <v>2.7314916666666664</v>
      </c>
      <c r="C1035" s="60">
        <f t="shared" si="4"/>
        <v>2.7314916666666664</v>
      </c>
      <c r="D1035" s="60">
        <f t="shared" si="4"/>
        <v>2.754891666666667</v>
      </c>
      <c r="E1035" s="60">
        <f t="shared" si="4"/>
        <v>2.7418416666666663</v>
      </c>
      <c r="F1035" s="60">
        <f t="shared" si="4"/>
        <v>2.7418416666666663</v>
      </c>
      <c r="G1035" s="60">
        <f t="shared" si="4"/>
        <v>2.7427916666666667</v>
      </c>
      <c r="H1035" s="60">
        <f t="shared" si="4"/>
        <v>4.6644499999999995</v>
      </c>
      <c r="I1035" s="60">
        <f t="shared" si="4"/>
        <v>4.6654</v>
      </c>
      <c r="J1035" s="60">
        <f t="shared" si="4"/>
        <v>2.7418416666666663</v>
      </c>
      <c r="K1035" s="60">
        <f t="shared" si="4"/>
        <v>2.7427916666666667</v>
      </c>
    </row>
    <row r="1036" spans="1:11" ht="15">
      <c r="A1036" s="3">
        <v>2021</v>
      </c>
      <c r="B1036" s="60">
        <f t="shared" ref="B1036:K1036" si="5">AVERAGE(B70:B81)</f>
        <v>2.8390749999999998</v>
      </c>
      <c r="C1036" s="60">
        <f t="shared" si="5"/>
        <v>2.8390749999999998</v>
      </c>
      <c r="D1036" s="60">
        <f t="shared" si="5"/>
        <v>2.8624500000000004</v>
      </c>
      <c r="E1036" s="60">
        <f t="shared" si="5"/>
        <v>2.8837499999999996</v>
      </c>
      <c r="F1036" s="60">
        <f t="shared" si="5"/>
        <v>2.8837499999999996</v>
      </c>
      <c r="G1036" s="60">
        <f t="shared" si="5"/>
        <v>2.8847083333333337</v>
      </c>
      <c r="H1036" s="60">
        <f t="shared" si="5"/>
        <v>4.7824166666666672</v>
      </c>
      <c r="I1036" s="60">
        <f t="shared" si="5"/>
        <v>4.7833666666666668</v>
      </c>
      <c r="J1036" s="60">
        <f t="shared" si="5"/>
        <v>2.8837499999999996</v>
      </c>
      <c r="K1036" s="60">
        <f t="shared" si="5"/>
        <v>2.8847083333333337</v>
      </c>
    </row>
    <row r="1037" spans="1:11" ht="15">
      <c r="A1037" s="3">
        <v>2022</v>
      </c>
      <c r="B1037" s="60">
        <f t="shared" ref="B1037:K1037" si="6">AVERAGE(B82:B93)</f>
        <v>2.9780166666666665</v>
      </c>
      <c r="C1037" s="60">
        <f t="shared" si="6"/>
        <v>2.9780166666666665</v>
      </c>
      <c r="D1037" s="60">
        <f t="shared" si="6"/>
        <v>3.0013916666666667</v>
      </c>
      <c r="E1037" s="60">
        <f t="shared" si="6"/>
        <v>3.0113999999999987</v>
      </c>
      <c r="F1037" s="60">
        <f t="shared" si="6"/>
        <v>3.0113999999999987</v>
      </c>
      <c r="G1037" s="60">
        <f t="shared" si="6"/>
        <v>3.0123583333333332</v>
      </c>
      <c r="H1037" s="60">
        <f t="shared" si="6"/>
        <v>4.9033499999999997</v>
      </c>
      <c r="I1037" s="60">
        <f t="shared" si="6"/>
        <v>4.9043083333333337</v>
      </c>
      <c r="J1037" s="60">
        <f t="shared" si="6"/>
        <v>3.0113999999999987</v>
      </c>
      <c r="K1037" s="60">
        <f t="shared" si="6"/>
        <v>3.0123583333333332</v>
      </c>
    </row>
    <row r="1038" spans="1:11" ht="15">
      <c r="A1038" s="3">
        <v>2023</v>
      </c>
      <c r="B1038" s="60">
        <f t="shared" ref="B1038:K1038" si="7">AVERAGE(B94:B105)</f>
        <v>3.0768416666666667</v>
      </c>
      <c r="C1038" s="60">
        <f t="shared" si="7"/>
        <v>3.0768416666666667</v>
      </c>
      <c r="D1038" s="60">
        <f t="shared" si="7"/>
        <v>3.1002416666666668</v>
      </c>
      <c r="E1038" s="60">
        <f t="shared" si="7"/>
        <v>3.1658749999999998</v>
      </c>
      <c r="F1038" s="60">
        <f t="shared" si="7"/>
        <v>3.1658749999999998</v>
      </c>
      <c r="G1038" s="60">
        <f t="shared" si="7"/>
        <v>3.1668666666666661</v>
      </c>
      <c r="H1038" s="60">
        <f t="shared" si="7"/>
        <v>5.0273500000000002</v>
      </c>
      <c r="I1038" s="60">
        <f t="shared" si="7"/>
        <v>5.0283000000000007</v>
      </c>
      <c r="J1038" s="60">
        <f t="shared" si="7"/>
        <v>3.1658749999999998</v>
      </c>
      <c r="K1038" s="60">
        <f t="shared" si="7"/>
        <v>3.1668666666666661</v>
      </c>
    </row>
    <row r="1039" spans="1:11" ht="15">
      <c r="A1039" s="3">
        <v>2024</v>
      </c>
      <c r="B1039" s="60">
        <f t="shared" ref="B1039:K1039" si="8">AVERAGE(B106:B117)</f>
        <v>3.1546750000000006</v>
      </c>
      <c r="C1039" s="60">
        <f t="shared" si="8"/>
        <v>3.1546750000000006</v>
      </c>
      <c r="D1039" s="60">
        <f t="shared" si="8"/>
        <v>3.1780500000000003</v>
      </c>
      <c r="E1039" s="60">
        <f t="shared" si="8"/>
        <v>3.2875416666666664</v>
      </c>
      <c r="F1039" s="60">
        <f t="shared" si="8"/>
        <v>3.2875416666666664</v>
      </c>
      <c r="G1039" s="60">
        <f t="shared" si="8"/>
        <v>3.2884666666666664</v>
      </c>
      <c r="H1039" s="60">
        <f t="shared" si="8"/>
        <v>5.1544750000000006</v>
      </c>
      <c r="I1039" s="60">
        <f t="shared" si="8"/>
        <v>5.1554416666666674</v>
      </c>
      <c r="J1039" s="60">
        <f t="shared" si="8"/>
        <v>3.2875416666666664</v>
      </c>
      <c r="K1039" s="60">
        <f t="shared" si="8"/>
        <v>3.2884666666666664</v>
      </c>
    </row>
    <row r="1040" spans="1:11" ht="15">
      <c r="A1040" s="3">
        <v>2025</v>
      </c>
      <c r="B1040" s="60">
        <f t="shared" ref="B1040:K1040" si="9">AVERAGE(B118:B129)</f>
        <v>3.2306000000000004</v>
      </c>
      <c r="C1040" s="60">
        <f t="shared" si="9"/>
        <v>3.2306000000000004</v>
      </c>
      <c r="D1040" s="60">
        <f t="shared" si="9"/>
        <v>3.2539750000000001</v>
      </c>
      <c r="E1040" s="60">
        <f t="shared" si="9"/>
        <v>3.4095249999999999</v>
      </c>
      <c r="F1040" s="60">
        <f t="shared" si="9"/>
        <v>3.4095249999999999</v>
      </c>
      <c r="G1040" s="60">
        <f t="shared" si="9"/>
        <v>3.4104833333333331</v>
      </c>
      <c r="H1040" s="60">
        <f t="shared" si="9"/>
        <v>5.2848250000000005</v>
      </c>
      <c r="I1040" s="60">
        <f t="shared" si="9"/>
        <v>5.2857916666666673</v>
      </c>
      <c r="J1040" s="60">
        <f t="shared" si="9"/>
        <v>3.4095249999999999</v>
      </c>
      <c r="K1040" s="60">
        <f t="shared" si="9"/>
        <v>3.4104833333333331</v>
      </c>
    </row>
    <row r="1041" spans="1:11" ht="15">
      <c r="A1041" s="3">
        <v>2026</v>
      </c>
      <c r="B1041" s="60">
        <f t="shared" ref="B1041:K1041" si="10">AVERAGE(B130:B141)</f>
        <v>3.3089750000000002</v>
      </c>
      <c r="C1041" s="60">
        <f t="shared" si="10"/>
        <v>3.3089750000000002</v>
      </c>
      <c r="D1041" s="60">
        <f t="shared" si="10"/>
        <v>3.3323583333333335</v>
      </c>
      <c r="E1041" s="60">
        <f t="shared" si="10"/>
        <v>3.5205666666666668</v>
      </c>
      <c r="F1041" s="60">
        <f t="shared" si="10"/>
        <v>3.5205666666666668</v>
      </c>
      <c r="G1041" s="60">
        <f t="shared" si="10"/>
        <v>3.5215166666666669</v>
      </c>
      <c r="H1041" s="60">
        <f t="shared" si="10"/>
        <v>5.4184833333333335</v>
      </c>
      <c r="I1041" s="60">
        <f t="shared" si="10"/>
        <v>5.419433333333334</v>
      </c>
      <c r="J1041" s="60">
        <f t="shared" si="10"/>
        <v>3.5205666666666668</v>
      </c>
      <c r="K1041" s="60">
        <f t="shared" si="10"/>
        <v>3.5215166666666669</v>
      </c>
    </row>
    <row r="1042" spans="1:11" ht="15">
      <c r="A1042" s="3">
        <v>2027</v>
      </c>
      <c r="B1042" s="60">
        <f t="shared" ref="B1042:K1042" si="11">AVERAGE(B142:B153)</f>
        <v>3.3874416666666671</v>
      </c>
      <c r="C1042" s="60">
        <f t="shared" si="11"/>
        <v>3.3874416666666671</v>
      </c>
      <c r="D1042" s="60">
        <f t="shared" si="11"/>
        <v>3.4108166666666668</v>
      </c>
      <c r="E1042" s="60">
        <f t="shared" si="11"/>
        <v>3.6206999999999998</v>
      </c>
      <c r="F1042" s="60">
        <f t="shared" si="11"/>
        <v>3.6206999999999998</v>
      </c>
      <c r="G1042" s="60">
        <f t="shared" si="11"/>
        <v>3.6216666666666666</v>
      </c>
      <c r="H1042" s="60">
        <f t="shared" si="11"/>
        <v>5.555483333333334</v>
      </c>
      <c r="I1042" s="60">
        <f t="shared" si="11"/>
        <v>5.5564666666666653</v>
      </c>
      <c r="J1042" s="60">
        <f t="shared" si="11"/>
        <v>3.6206999999999998</v>
      </c>
      <c r="K1042" s="60">
        <f t="shared" si="11"/>
        <v>3.6216666666666666</v>
      </c>
    </row>
    <row r="1043" spans="1:11" ht="15">
      <c r="A1043" s="3">
        <v>2028</v>
      </c>
      <c r="B1043" s="60">
        <f t="shared" ref="B1043:K1043" si="12">AVERAGE(B154:B165)</f>
        <v>3.4717833333333332</v>
      </c>
      <c r="C1043" s="60">
        <f t="shared" si="12"/>
        <v>3.4717833333333332</v>
      </c>
      <c r="D1043" s="60">
        <f t="shared" si="12"/>
        <v>3.4951583333333343</v>
      </c>
      <c r="E1043" s="60">
        <f t="shared" si="12"/>
        <v>3.6455333333333333</v>
      </c>
      <c r="F1043" s="60">
        <f t="shared" si="12"/>
        <v>3.6455333333333333</v>
      </c>
      <c r="G1043" s="60">
        <f t="shared" si="12"/>
        <v>3.6464749999999992</v>
      </c>
      <c r="H1043" s="60">
        <f t="shared" si="12"/>
        <v>5.6960000000000006</v>
      </c>
      <c r="I1043" s="60">
        <f t="shared" si="12"/>
        <v>5.6969500000000002</v>
      </c>
      <c r="J1043" s="60">
        <f t="shared" si="12"/>
        <v>3.6455333333333333</v>
      </c>
      <c r="K1043" s="60">
        <f t="shared" si="12"/>
        <v>3.6464749999999992</v>
      </c>
    </row>
    <row r="1044" spans="1:11" ht="15">
      <c r="A1044" s="3">
        <v>2029</v>
      </c>
      <c r="B1044" s="60">
        <f t="shared" ref="B1044:K1044" si="13">AVERAGE(B166:B177)</f>
        <v>3.5597499999999997</v>
      </c>
      <c r="C1044" s="60">
        <f t="shared" si="13"/>
        <v>3.5597499999999997</v>
      </c>
      <c r="D1044" s="60">
        <f t="shared" si="13"/>
        <v>3.5831333333333326</v>
      </c>
      <c r="E1044" s="60">
        <f t="shared" si="13"/>
        <v>3.7360416666666669</v>
      </c>
      <c r="F1044" s="60">
        <f t="shared" si="13"/>
        <v>3.7360416666666669</v>
      </c>
      <c r="G1044" s="60">
        <f t="shared" si="13"/>
        <v>3.7369999999999997</v>
      </c>
      <c r="H1044" s="60">
        <f t="shared" si="13"/>
        <v>5.8400250000000007</v>
      </c>
      <c r="I1044" s="60">
        <f t="shared" si="13"/>
        <v>5.8410000000000002</v>
      </c>
      <c r="J1044" s="60">
        <f t="shared" si="13"/>
        <v>3.7360416666666669</v>
      </c>
      <c r="K1044" s="60">
        <f t="shared" si="13"/>
        <v>3.7369999999999997</v>
      </c>
    </row>
    <row r="1045" spans="1:11" ht="15">
      <c r="A1045" s="3">
        <v>2030</v>
      </c>
      <c r="B1045" s="60">
        <f t="shared" ref="B1045:K1045" si="14">AVERAGE(B178:B189)</f>
        <v>3.6564333333333328</v>
      </c>
      <c r="C1045" s="60">
        <f t="shared" si="14"/>
        <v>3.6564333333333328</v>
      </c>
      <c r="D1045" s="60">
        <f t="shared" si="14"/>
        <v>3.6798083333333333</v>
      </c>
      <c r="E1045" s="60">
        <f t="shared" si="14"/>
        <v>3.8432166666666667</v>
      </c>
      <c r="F1045" s="60">
        <f t="shared" si="14"/>
        <v>3.8432166666666667</v>
      </c>
      <c r="G1045" s="60">
        <f t="shared" si="14"/>
        <v>3.8441666666666663</v>
      </c>
      <c r="H1045" s="60">
        <f t="shared" si="14"/>
        <v>5.9877166666666666</v>
      </c>
      <c r="I1045" s="60">
        <f t="shared" si="14"/>
        <v>5.988691666666667</v>
      </c>
      <c r="J1045" s="60">
        <f t="shared" si="14"/>
        <v>3.8432166666666667</v>
      </c>
      <c r="K1045" s="60">
        <f t="shared" si="14"/>
        <v>3.8441666666666663</v>
      </c>
    </row>
    <row r="1046" spans="1:11" ht="15">
      <c r="A1046" s="3">
        <v>2031</v>
      </c>
      <c r="B1046" s="60">
        <f t="shared" ref="B1046:K1046" si="15">AVERAGE(B190:B201)</f>
        <v>3.7383999999999999</v>
      </c>
      <c r="C1046" s="60">
        <f t="shared" si="15"/>
        <v>3.7383999999999999</v>
      </c>
      <c r="D1046" s="60">
        <f t="shared" si="15"/>
        <v>3.7617833333333333</v>
      </c>
      <c r="E1046" s="60">
        <f t="shared" si="15"/>
        <v>3.9515583333333333</v>
      </c>
      <c r="F1046" s="60">
        <f t="shared" si="15"/>
        <v>3.9515583333333333</v>
      </c>
      <c r="G1046" s="60">
        <f t="shared" si="15"/>
        <v>3.9525083333333328</v>
      </c>
      <c r="H1046" s="60">
        <f t="shared" si="15"/>
        <v>6.1391416666666672</v>
      </c>
      <c r="I1046" s="60">
        <f t="shared" si="15"/>
        <v>6.1400916666666667</v>
      </c>
      <c r="J1046" s="60">
        <f t="shared" si="15"/>
        <v>3.9515583333333333</v>
      </c>
      <c r="K1046" s="60">
        <f t="shared" si="15"/>
        <v>3.9525083333333328</v>
      </c>
    </row>
    <row r="1047" spans="1:11" ht="15">
      <c r="A1047" s="3">
        <v>2032</v>
      </c>
      <c r="B1047" s="60">
        <f t="shared" ref="B1047:K1047" si="16">AVERAGE(B202:B213)</f>
        <v>3.8228833333333339</v>
      </c>
      <c r="C1047" s="60">
        <f t="shared" si="16"/>
        <v>3.8228833333333339</v>
      </c>
      <c r="D1047" s="60">
        <f t="shared" si="16"/>
        <v>3.8462583333333336</v>
      </c>
      <c r="E1047" s="60">
        <f t="shared" si="16"/>
        <v>4.0618500000000006</v>
      </c>
      <c r="F1047" s="60">
        <f t="shared" si="16"/>
        <v>4.0618500000000006</v>
      </c>
      <c r="G1047" s="60">
        <f t="shared" si="16"/>
        <v>4.0628166666666674</v>
      </c>
      <c r="H1047" s="60">
        <f t="shared" si="16"/>
        <v>6.2944000000000004</v>
      </c>
      <c r="I1047" s="60">
        <f t="shared" si="16"/>
        <v>6.2953416666666682</v>
      </c>
      <c r="J1047" s="60">
        <f t="shared" si="16"/>
        <v>4.0618500000000006</v>
      </c>
      <c r="K1047" s="60">
        <f t="shared" si="16"/>
        <v>4.0628166666666674</v>
      </c>
    </row>
    <row r="1048" spans="1:11" ht="15">
      <c r="A1048" s="3">
        <v>2033</v>
      </c>
      <c r="B1048" s="60">
        <f t="shared" ref="B1048:K1048" si="17">AVERAGE(B214:B225)</f>
        <v>3.9006083333333326</v>
      </c>
      <c r="C1048" s="60">
        <f t="shared" si="17"/>
        <v>3.9006083333333326</v>
      </c>
      <c r="D1048" s="60">
        <f t="shared" si="17"/>
        <v>3.9239833333333336</v>
      </c>
      <c r="E1048" s="60">
        <f t="shared" si="17"/>
        <v>4.1747916666666658</v>
      </c>
      <c r="F1048" s="60">
        <f t="shared" si="17"/>
        <v>4.1747916666666658</v>
      </c>
      <c r="G1048" s="60">
        <f t="shared" si="17"/>
        <v>4.1757499999999999</v>
      </c>
      <c r="H1048" s="60">
        <f t="shared" si="17"/>
        <v>6.4535749999999998</v>
      </c>
      <c r="I1048" s="60">
        <f t="shared" si="17"/>
        <v>6.4545166666666676</v>
      </c>
      <c r="J1048" s="60">
        <f t="shared" si="17"/>
        <v>4.1747916666666658</v>
      </c>
      <c r="K1048" s="60">
        <f t="shared" si="17"/>
        <v>4.1757499999999999</v>
      </c>
    </row>
    <row r="1049" spans="1:11" ht="15">
      <c r="A1049" s="3">
        <v>2034</v>
      </c>
      <c r="B1049" s="60">
        <f t="shared" ref="B1049:K1049" si="18">AVERAGE(B226:B237)</f>
        <v>3.9877083333333334</v>
      </c>
      <c r="C1049" s="60">
        <f t="shared" si="18"/>
        <v>3.9877083333333334</v>
      </c>
      <c r="D1049" s="60">
        <f t="shared" si="18"/>
        <v>4.0110833333333327</v>
      </c>
      <c r="E1049" s="60">
        <f t="shared" si="18"/>
        <v>4.2910750000000002</v>
      </c>
      <c r="F1049" s="60">
        <f t="shared" si="18"/>
        <v>4.2910750000000002</v>
      </c>
      <c r="G1049" s="60">
        <f t="shared" si="18"/>
        <v>4.292041666666667</v>
      </c>
      <c r="H1049" s="60">
        <f t="shared" si="18"/>
        <v>6.6167833333333341</v>
      </c>
      <c r="I1049" s="60">
        <f t="shared" si="18"/>
        <v>6.6177166666666665</v>
      </c>
      <c r="J1049" s="60">
        <f t="shared" si="18"/>
        <v>4.2910750000000002</v>
      </c>
      <c r="K1049" s="60">
        <f t="shared" si="18"/>
        <v>4.292041666666667</v>
      </c>
    </row>
    <row r="1050" spans="1:11" ht="15">
      <c r="A1050" s="3">
        <v>2035</v>
      </c>
      <c r="B1050" s="60">
        <f t="shared" ref="B1050:K1050" si="19">AVERAGE(B238:B249)</f>
        <v>4.0831583333333343</v>
      </c>
      <c r="C1050" s="60">
        <f t="shared" si="19"/>
        <v>4.0831583333333343</v>
      </c>
      <c r="D1050" s="60">
        <f t="shared" si="19"/>
        <v>4.1065333333333323</v>
      </c>
      <c r="E1050" s="60">
        <f t="shared" si="19"/>
        <v>4.4108166666666664</v>
      </c>
      <c r="F1050" s="60">
        <f t="shared" si="19"/>
        <v>4.4108166666666664</v>
      </c>
      <c r="G1050" s="60">
        <f t="shared" si="19"/>
        <v>4.4117583333333341</v>
      </c>
      <c r="H1050" s="60">
        <f t="shared" si="19"/>
        <v>6.7840999999999996</v>
      </c>
      <c r="I1050" s="60">
        <f t="shared" si="19"/>
        <v>6.7850583333333327</v>
      </c>
      <c r="J1050" s="60">
        <f t="shared" si="19"/>
        <v>4.4108166666666664</v>
      </c>
      <c r="K1050" s="60">
        <f t="shared" si="19"/>
        <v>4.4117583333333341</v>
      </c>
    </row>
    <row r="1051" spans="1:11" ht="15">
      <c r="A1051" s="3">
        <v>2036</v>
      </c>
      <c r="B1051" s="60">
        <f t="shared" ref="B1051:K1051" si="20">AVERAGE(B250:B261)</f>
        <v>4.1822749999999997</v>
      </c>
      <c r="C1051" s="60">
        <f t="shared" si="20"/>
        <v>4.1822749999999997</v>
      </c>
      <c r="D1051" s="60">
        <f t="shared" si="20"/>
        <v>4.2056583333333331</v>
      </c>
      <c r="E1051" s="60">
        <f t="shared" si="20"/>
        <v>4.5303666666666667</v>
      </c>
      <c r="F1051" s="60">
        <f t="shared" si="20"/>
        <v>4.5303666666666667</v>
      </c>
      <c r="G1051" s="60">
        <f t="shared" si="20"/>
        <v>4.5313083333333335</v>
      </c>
      <c r="H1051" s="60">
        <f t="shared" si="20"/>
        <v>6.9556416666666658</v>
      </c>
      <c r="I1051" s="60">
        <f t="shared" si="20"/>
        <v>6.956616666666668</v>
      </c>
      <c r="J1051" s="60">
        <f t="shared" si="20"/>
        <v>4.5303666666666667</v>
      </c>
      <c r="K1051" s="60">
        <f t="shared" si="20"/>
        <v>4.5313083333333335</v>
      </c>
    </row>
    <row r="1052" spans="1:11" ht="15">
      <c r="A1052" s="3">
        <v>2037</v>
      </c>
      <c r="B1052" s="60">
        <f t="shared" ref="B1052:K1052" si="21">AVERAGE(B262:B273)</f>
        <v>4.2830666666666675</v>
      </c>
      <c r="C1052" s="60">
        <f t="shared" si="21"/>
        <v>4.2830666666666675</v>
      </c>
      <c r="D1052" s="60">
        <f t="shared" si="21"/>
        <v>4.3064416666666672</v>
      </c>
      <c r="E1052" s="60">
        <f t="shared" si="21"/>
        <v>4.6544583333333334</v>
      </c>
      <c r="F1052" s="60">
        <f t="shared" si="21"/>
        <v>4.6544583333333334</v>
      </c>
      <c r="G1052" s="60">
        <f t="shared" si="21"/>
        <v>4.6554250000000001</v>
      </c>
      <c r="H1052" s="60">
        <f t="shared" si="21"/>
        <v>7.1315666666666653</v>
      </c>
      <c r="I1052" s="60">
        <f t="shared" si="21"/>
        <v>7.1324999999999994</v>
      </c>
      <c r="J1052" s="60">
        <f t="shared" si="21"/>
        <v>4.6544583333333334</v>
      </c>
      <c r="K1052" s="60">
        <f t="shared" si="21"/>
        <v>4.6554250000000001</v>
      </c>
    </row>
    <row r="1053" spans="1:11" ht="15">
      <c r="A1053" s="3">
        <v>2038</v>
      </c>
      <c r="B1053" s="60">
        <f t="shared" ref="B1053:K1053" si="22">AVERAGE(B274:B285)</f>
        <v>4.3887583333333327</v>
      </c>
      <c r="C1053" s="60">
        <f t="shared" si="22"/>
        <v>4.3887583333333327</v>
      </c>
      <c r="D1053" s="60">
        <f t="shared" si="22"/>
        <v>4.4121333333333324</v>
      </c>
      <c r="E1053" s="60">
        <f t="shared" si="22"/>
        <v>4.7885083333333336</v>
      </c>
      <c r="F1053" s="60">
        <f t="shared" si="22"/>
        <v>4.7885083333333336</v>
      </c>
      <c r="G1053" s="60">
        <f t="shared" si="22"/>
        <v>4.7894666666666676</v>
      </c>
      <c r="H1053" s="60">
        <f t="shared" si="22"/>
        <v>7.3119083333333323</v>
      </c>
      <c r="I1053" s="60">
        <f t="shared" si="22"/>
        <v>7.3128583333333337</v>
      </c>
      <c r="J1053" s="60">
        <f t="shared" si="22"/>
        <v>4.7885083333333336</v>
      </c>
      <c r="K1053" s="60">
        <f t="shared" si="22"/>
        <v>4.7894666666666676</v>
      </c>
    </row>
    <row r="1054" spans="1:11" ht="15">
      <c r="A1054" s="3">
        <v>2039</v>
      </c>
      <c r="B1054" s="60">
        <f t="shared" ref="B1054:K1054" si="23">AVERAGE(B286:B297)</f>
        <v>4.4963916666666668</v>
      </c>
      <c r="C1054" s="60">
        <f t="shared" si="23"/>
        <v>4.4963916666666668</v>
      </c>
      <c r="D1054" s="60">
        <f t="shared" si="23"/>
        <v>4.5197749999999992</v>
      </c>
      <c r="E1054" s="60">
        <f t="shared" si="23"/>
        <v>4.9185083333333326</v>
      </c>
      <c r="F1054" s="60">
        <f t="shared" si="23"/>
        <v>4.9185083333333326</v>
      </c>
      <c r="G1054" s="60">
        <f t="shared" si="23"/>
        <v>4.9194666666666667</v>
      </c>
      <c r="H1054" s="60">
        <f t="shared" si="23"/>
        <v>7.4967916666666667</v>
      </c>
      <c r="I1054" s="60">
        <f t="shared" si="23"/>
        <v>7.4977749999999999</v>
      </c>
      <c r="J1054" s="60">
        <f t="shared" si="23"/>
        <v>4.9185083333333326</v>
      </c>
      <c r="K1054" s="60">
        <f t="shared" si="23"/>
        <v>4.9194666666666667</v>
      </c>
    </row>
    <row r="1055" spans="1:11" ht="15">
      <c r="A1055" s="3">
        <v>2040</v>
      </c>
      <c r="B1055" s="60">
        <f t="shared" ref="B1055:K1055" si="24">AVERAGE(B298:B309)</f>
        <v>4.6104833333333328</v>
      </c>
      <c r="C1055" s="60">
        <f t="shared" si="24"/>
        <v>4.6104833333333328</v>
      </c>
      <c r="D1055" s="60">
        <f t="shared" si="24"/>
        <v>4.6338583333333325</v>
      </c>
      <c r="E1055" s="60">
        <f t="shared" si="24"/>
        <v>5.0565249999999997</v>
      </c>
      <c r="F1055" s="60">
        <f t="shared" si="24"/>
        <v>5.0565249999999997</v>
      </c>
      <c r="G1055" s="60">
        <f t="shared" si="24"/>
        <v>5.0574750000000002</v>
      </c>
      <c r="H1055" s="60">
        <f t="shared" si="24"/>
        <v>7.6863833333333345</v>
      </c>
      <c r="I1055" s="60">
        <f t="shared" si="24"/>
        <v>7.6873499999999995</v>
      </c>
      <c r="J1055" s="60">
        <f t="shared" si="24"/>
        <v>5.0565249999999997</v>
      </c>
      <c r="K1055" s="60">
        <f t="shared" si="24"/>
        <v>5.0574750000000002</v>
      </c>
    </row>
    <row r="1056" spans="1:11" ht="15">
      <c r="A1056" s="3">
        <v>2041</v>
      </c>
      <c r="B1056" s="60">
        <f t="shared" ref="B1056:K1056" si="25">AVERAGE(B310:B321)</f>
        <v>4.727475000000001</v>
      </c>
      <c r="C1056" s="60">
        <f t="shared" si="25"/>
        <v>4.727475000000001</v>
      </c>
      <c r="D1056" s="60">
        <f t="shared" si="25"/>
        <v>4.7508499999999998</v>
      </c>
      <c r="E1056" s="60">
        <f t="shared" si="25"/>
        <v>5.1984249999999994</v>
      </c>
      <c r="F1056" s="60">
        <f t="shared" si="25"/>
        <v>5.1984249999999994</v>
      </c>
      <c r="G1056" s="60">
        <f t="shared" si="25"/>
        <v>5.1993750000000007</v>
      </c>
      <c r="H1056" s="60">
        <f t="shared" si="25"/>
        <v>7.8807833333333326</v>
      </c>
      <c r="I1056" s="60">
        <f t="shared" si="25"/>
        <v>7.8817250000000003</v>
      </c>
      <c r="J1056" s="60">
        <f t="shared" si="25"/>
        <v>5.1984249999999994</v>
      </c>
      <c r="K1056" s="60">
        <f t="shared" si="25"/>
        <v>5.1993750000000007</v>
      </c>
    </row>
    <row r="1057" spans="1:11" ht="15">
      <c r="A1057" s="3">
        <v>2042</v>
      </c>
      <c r="B1057" s="60">
        <f t="shared" ref="B1057:K1057" si="26">AVERAGE(B322:B333)</f>
        <v>4.8474083333333331</v>
      </c>
      <c r="C1057" s="60">
        <f t="shared" si="26"/>
        <v>4.8474083333333331</v>
      </c>
      <c r="D1057" s="60">
        <f t="shared" si="26"/>
        <v>4.8707833333333337</v>
      </c>
      <c r="E1057" s="60">
        <f t="shared" si="26"/>
        <v>5.3443250000000004</v>
      </c>
      <c r="F1057" s="60">
        <f t="shared" si="26"/>
        <v>5.3443250000000004</v>
      </c>
      <c r="G1057" s="60">
        <f t="shared" si="26"/>
        <v>5.3452833333333336</v>
      </c>
      <c r="H1057" s="60">
        <f t="shared" si="26"/>
        <v>8.0800583333333336</v>
      </c>
      <c r="I1057" s="60">
        <f t="shared" si="26"/>
        <v>8.0810166666666667</v>
      </c>
      <c r="J1057" s="60">
        <f t="shared" si="26"/>
        <v>5.3443250000000004</v>
      </c>
      <c r="K1057" s="60">
        <f t="shared" si="26"/>
        <v>5.3452833333333336</v>
      </c>
    </row>
    <row r="1058" spans="1:11" ht="15">
      <c r="A1058" s="3">
        <v>2043</v>
      </c>
      <c r="B1058" s="60">
        <f t="shared" ref="B1058:K1058" si="27">AVERAGE(B334:B345)</f>
        <v>4.9704083333333342</v>
      </c>
      <c r="C1058" s="60">
        <f t="shared" si="27"/>
        <v>4.9704083333333342</v>
      </c>
      <c r="D1058" s="60">
        <f t="shared" si="27"/>
        <v>4.9937833333333339</v>
      </c>
      <c r="E1058" s="60">
        <f t="shared" si="27"/>
        <v>5.4943166666666663</v>
      </c>
      <c r="F1058" s="60">
        <f t="shared" si="27"/>
        <v>5.4943166666666663</v>
      </c>
      <c r="G1058" s="60">
        <f t="shared" si="27"/>
        <v>5.4952916666666667</v>
      </c>
      <c r="H1058" s="60">
        <f t="shared" si="27"/>
        <v>8.2843999999999998</v>
      </c>
      <c r="I1058" s="60">
        <f t="shared" si="27"/>
        <v>8.2853416666666657</v>
      </c>
      <c r="J1058" s="60">
        <f t="shared" si="27"/>
        <v>5.4943166666666663</v>
      </c>
      <c r="K1058" s="60">
        <f t="shared" si="27"/>
        <v>5.4952916666666667</v>
      </c>
    </row>
    <row r="1059" spans="1:11" ht="15">
      <c r="A1059" s="3">
        <v>2044</v>
      </c>
      <c r="B1059" s="60">
        <f t="shared" ref="B1059:K1059" si="28">AVERAGE(B346:B357)</f>
        <v>5.0965250000000006</v>
      </c>
      <c r="C1059" s="60">
        <f t="shared" si="28"/>
        <v>5.0965250000000006</v>
      </c>
      <c r="D1059" s="60">
        <f t="shared" si="28"/>
        <v>5.1198999999999995</v>
      </c>
      <c r="E1059" s="60">
        <f t="shared" si="28"/>
        <v>5.6485583333333338</v>
      </c>
      <c r="F1059" s="60">
        <f t="shared" si="28"/>
        <v>5.6485583333333338</v>
      </c>
      <c r="G1059" s="60">
        <f t="shared" si="28"/>
        <v>5.6495083333333334</v>
      </c>
      <c r="H1059" s="60">
        <f t="shared" si="28"/>
        <v>8.4938916666666664</v>
      </c>
      <c r="I1059" s="60">
        <f t="shared" si="28"/>
        <v>8.4948500000000013</v>
      </c>
      <c r="J1059" s="60">
        <f t="shared" si="28"/>
        <v>5.6485583333333338</v>
      </c>
      <c r="K1059" s="60">
        <f t="shared" si="28"/>
        <v>5.6495083333333334</v>
      </c>
    </row>
    <row r="1060" spans="1:11" ht="15">
      <c r="A1060" s="3">
        <v>2045</v>
      </c>
      <c r="B1060" s="60">
        <f t="shared" ref="B1060:K1060" si="29">AVERAGE(B358:B369)</f>
        <v>5.2258749999999994</v>
      </c>
      <c r="C1060" s="60">
        <f t="shared" si="29"/>
        <v>5.2258749999999994</v>
      </c>
      <c r="D1060" s="60">
        <f t="shared" si="29"/>
        <v>5.2492583333333327</v>
      </c>
      <c r="E1060" s="60">
        <f t="shared" si="29"/>
        <v>5.8071166666666683</v>
      </c>
      <c r="F1060" s="60">
        <f t="shared" si="29"/>
        <v>5.8071166666666683</v>
      </c>
      <c r="G1060" s="60">
        <f t="shared" si="29"/>
        <v>5.8080833333333333</v>
      </c>
      <c r="H1060" s="60">
        <f t="shared" si="29"/>
        <v>8.7086833333333331</v>
      </c>
      <c r="I1060" s="60">
        <f t="shared" si="29"/>
        <v>8.7096416666666663</v>
      </c>
      <c r="J1060" s="60">
        <f t="shared" si="29"/>
        <v>5.8071166666666683</v>
      </c>
      <c r="K1060" s="60">
        <f t="shared" si="29"/>
        <v>5.8080833333333333</v>
      </c>
    </row>
    <row r="1061" spans="1:11" ht="15">
      <c r="A1061" s="3">
        <v>2046</v>
      </c>
      <c r="B1061" s="60">
        <f t="shared" ref="B1061:K1061" si="30">AVERAGE(B370:B381)</f>
        <v>5.3584916666666667</v>
      </c>
      <c r="C1061" s="60">
        <f t="shared" si="30"/>
        <v>5.3584916666666667</v>
      </c>
      <c r="D1061" s="60">
        <f t="shared" si="30"/>
        <v>5.3818666666666672</v>
      </c>
      <c r="E1061" s="60">
        <f t="shared" si="30"/>
        <v>5.9701666666666666</v>
      </c>
      <c r="F1061" s="60">
        <f t="shared" si="30"/>
        <v>5.9701666666666666</v>
      </c>
      <c r="G1061" s="60">
        <f t="shared" si="30"/>
        <v>5.9711249999999998</v>
      </c>
      <c r="H1061" s="60">
        <f t="shared" si="30"/>
        <v>8.928941666666665</v>
      </c>
      <c r="I1061" s="60">
        <f t="shared" si="30"/>
        <v>8.9298750000000009</v>
      </c>
      <c r="J1061" s="60">
        <f t="shared" si="30"/>
        <v>5.9701666666666666</v>
      </c>
      <c r="K1061" s="60">
        <f t="shared" si="30"/>
        <v>5.9711249999999998</v>
      </c>
    </row>
    <row r="1062" spans="1:11" ht="15">
      <c r="A1062" s="3">
        <v>2047</v>
      </c>
      <c r="B1062" s="60">
        <f t="shared" ref="B1062:K1062" si="31">AVERAGE(B382:B393)</f>
        <v>5.4945083333333331</v>
      </c>
      <c r="C1062" s="60">
        <f t="shared" si="31"/>
        <v>5.4945083333333331</v>
      </c>
      <c r="D1062" s="60">
        <f t="shared" si="31"/>
        <v>5.5178916666666673</v>
      </c>
      <c r="E1062" s="60">
        <f t="shared" si="31"/>
        <v>6.1377999999999995</v>
      </c>
      <c r="F1062" s="60">
        <f t="shared" si="31"/>
        <v>6.1377999999999995</v>
      </c>
      <c r="G1062" s="60">
        <f t="shared" si="31"/>
        <v>6.1387416666666672</v>
      </c>
      <c r="H1062" s="60">
        <f t="shared" si="31"/>
        <v>9.1547083333333337</v>
      </c>
      <c r="I1062" s="60">
        <f t="shared" si="31"/>
        <v>9.1556750000000005</v>
      </c>
      <c r="J1062" s="60">
        <f t="shared" si="31"/>
        <v>6.1377999999999995</v>
      </c>
      <c r="K1062" s="60">
        <f t="shared" si="31"/>
        <v>6.1387416666666672</v>
      </c>
    </row>
    <row r="1063" spans="1:11" ht="15">
      <c r="A1063" s="3">
        <v>2048</v>
      </c>
      <c r="B1063" s="60">
        <f t="shared" ref="B1063:K1063" si="32">AVERAGE(B394:B405)</f>
        <v>5.6339333333333341</v>
      </c>
      <c r="C1063" s="60">
        <f t="shared" si="32"/>
        <v>5.6339333333333341</v>
      </c>
      <c r="D1063" s="60">
        <f t="shared" si="32"/>
        <v>5.6573083333333338</v>
      </c>
      <c r="E1063" s="60">
        <f t="shared" si="32"/>
        <v>6.3101416666666674</v>
      </c>
      <c r="F1063" s="60">
        <f t="shared" si="32"/>
        <v>6.3101416666666674</v>
      </c>
      <c r="G1063" s="60">
        <f t="shared" si="32"/>
        <v>6.3110999999999988</v>
      </c>
      <c r="H1063" s="60">
        <f t="shared" si="32"/>
        <v>9.3862249999999996</v>
      </c>
      <c r="I1063" s="60">
        <f t="shared" si="32"/>
        <v>9.3871833333333345</v>
      </c>
      <c r="J1063" s="60">
        <f t="shared" si="32"/>
        <v>6.3101416666666674</v>
      </c>
      <c r="K1063" s="60">
        <f t="shared" si="32"/>
        <v>6.3110999999999988</v>
      </c>
    </row>
    <row r="1064" spans="1:11" ht="15">
      <c r="A1064" s="3">
        <v>2049</v>
      </c>
      <c r="B1064" s="60">
        <f t="shared" ref="B1064:K1064" si="33">AVERAGE(B406:B417)</f>
        <v>5.7769416666666666</v>
      </c>
      <c r="C1064" s="60">
        <f t="shared" si="33"/>
        <v>5.7769416666666666</v>
      </c>
      <c r="D1064" s="60">
        <f t="shared" si="33"/>
        <v>5.8003166666666672</v>
      </c>
      <c r="E1064" s="60">
        <f t="shared" si="33"/>
        <v>6.487333333333333</v>
      </c>
      <c r="F1064" s="60">
        <f t="shared" si="33"/>
        <v>6.487333333333333</v>
      </c>
      <c r="G1064" s="60">
        <f t="shared" si="33"/>
        <v>6.4883083333333325</v>
      </c>
      <c r="H1064" s="60">
        <f t="shared" si="33"/>
        <v>9.6235750000000007</v>
      </c>
      <c r="I1064" s="60">
        <f t="shared" si="33"/>
        <v>9.6245583333333347</v>
      </c>
      <c r="J1064" s="60">
        <f t="shared" si="33"/>
        <v>6.487333333333333</v>
      </c>
      <c r="K1064" s="60">
        <f t="shared" si="33"/>
        <v>6.4883083333333325</v>
      </c>
    </row>
    <row r="1065" spans="1:11" ht="15">
      <c r="A1065" s="3">
        <v>2050</v>
      </c>
      <c r="B1065" s="60">
        <f t="shared" ref="B1065:K1065" si="34">AVERAGE(B418:B429)</f>
        <v>5.923566666666666</v>
      </c>
      <c r="C1065" s="60">
        <f t="shared" si="34"/>
        <v>5.923566666666666</v>
      </c>
      <c r="D1065" s="60">
        <f t="shared" si="34"/>
        <v>5.9469416666666666</v>
      </c>
      <c r="E1065" s="60">
        <f t="shared" si="34"/>
        <v>6.6695499999999983</v>
      </c>
      <c r="F1065" s="60">
        <f t="shared" si="34"/>
        <v>6.6695499999999983</v>
      </c>
      <c r="G1065" s="60">
        <f t="shared" si="34"/>
        <v>6.6705083333333341</v>
      </c>
      <c r="H1065" s="60">
        <f t="shared" si="34"/>
        <v>9.8669416666666674</v>
      </c>
      <c r="I1065" s="60">
        <f t="shared" si="34"/>
        <v>9.867916666666666</v>
      </c>
      <c r="J1065" s="60">
        <f t="shared" si="34"/>
        <v>6.6695499999999983</v>
      </c>
      <c r="K1065" s="60">
        <f t="shared" si="34"/>
        <v>6.6705083333333341</v>
      </c>
    </row>
    <row r="1066" spans="1:11" ht="15">
      <c r="A1066" s="3">
        <v>2051</v>
      </c>
      <c r="B1066" s="60">
        <f t="shared" ref="B1066:K1066" si="35">AVERAGE(B430:B441)</f>
        <v>6.0739333333333336</v>
      </c>
      <c r="C1066" s="60">
        <f t="shared" si="35"/>
        <v>6.0739333333333336</v>
      </c>
      <c r="D1066" s="60">
        <f t="shared" si="35"/>
        <v>6.0973083333333333</v>
      </c>
      <c r="E1066" s="60">
        <f t="shared" si="35"/>
        <v>6.8568833333333332</v>
      </c>
      <c r="F1066" s="60">
        <f t="shared" si="35"/>
        <v>6.8568833333333332</v>
      </c>
      <c r="G1066" s="60">
        <f t="shared" si="35"/>
        <v>6.8578416666666664</v>
      </c>
      <c r="H1066" s="60">
        <f t="shared" si="35"/>
        <v>10.116474999999999</v>
      </c>
      <c r="I1066" s="60">
        <f t="shared" si="35"/>
        <v>10.117425000000003</v>
      </c>
      <c r="J1066" s="60">
        <f t="shared" si="35"/>
        <v>6.8568833333333332</v>
      </c>
      <c r="K1066" s="60">
        <f t="shared" si="35"/>
        <v>6.8578416666666664</v>
      </c>
    </row>
    <row r="1067" spans="1:11" ht="15">
      <c r="A1067" s="3">
        <v>2052</v>
      </c>
      <c r="B1067" s="60">
        <f t="shared" ref="B1067:K1067" si="36">AVERAGE(B442:B453)</f>
        <v>6.2281083333333322</v>
      </c>
      <c r="C1067" s="60">
        <f t="shared" si="36"/>
        <v>6.2281083333333322</v>
      </c>
      <c r="D1067" s="60">
        <f t="shared" si="36"/>
        <v>6.2514833333333328</v>
      </c>
      <c r="E1067" s="60">
        <f t="shared" si="36"/>
        <v>7.049475000000001</v>
      </c>
      <c r="F1067" s="60">
        <f t="shared" si="36"/>
        <v>7.049475000000001</v>
      </c>
      <c r="G1067" s="60">
        <f t="shared" si="36"/>
        <v>7.0504249999999997</v>
      </c>
      <c r="H1067" s="60">
        <f t="shared" si="36"/>
        <v>10.372300000000001</v>
      </c>
      <c r="I1067" s="60">
        <f t="shared" si="36"/>
        <v>10.373258333333332</v>
      </c>
      <c r="J1067" s="60">
        <f t="shared" si="36"/>
        <v>7.049475000000001</v>
      </c>
      <c r="K1067" s="60">
        <f t="shared" si="36"/>
        <v>7.0504249999999997</v>
      </c>
    </row>
    <row r="1068" spans="1:11" ht="15">
      <c r="A1068" s="3">
        <v>2053</v>
      </c>
      <c r="B1068" s="60">
        <f t="shared" ref="B1068:K1068" si="37">AVERAGE(B454:B465)</f>
        <v>6.386216666666666</v>
      </c>
      <c r="C1068" s="60">
        <f t="shared" si="37"/>
        <v>6.386216666666666</v>
      </c>
      <c r="D1068" s="60">
        <f t="shared" si="37"/>
        <v>6.4095916666666666</v>
      </c>
      <c r="E1068" s="60">
        <f t="shared" si="37"/>
        <v>7.2475249999999996</v>
      </c>
      <c r="F1068" s="60">
        <f t="shared" si="37"/>
        <v>7.2475249999999996</v>
      </c>
      <c r="G1068" s="60">
        <f t="shared" si="37"/>
        <v>7.2484833333333336</v>
      </c>
      <c r="H1068" s="60">
        <f t="shared" si="37"/>
        <v>10.634608333333333</v>
      </c>
      <c r="I1068" s="60">
        <f t="shared" si="37"/>
        <v>10.63555</v>
      </c>
      <c r="J1068" s="60">
        <f t="shared" si="37"/>
        <v>7.2475249999999996</v>
      </c>
      <c r="K1068" s="60">
        <f t="shared" si="37"/>
        <v>7.2484833333333336</v>
      </c>
    </row>
    <row r="1069" spans="1:11" ht="15">
      <c r="A1069" s="3">
        <v>2054</v>
      </c>
      <c r="B1069" s="60">
        <f t="shared" ref="B1069:K1069" si="38">AVERAGE(B466:B477)</f>
        <v>6.5483416666666656</v>
      </c>
      <c r="C1069" s="60">
        <f t="shared" si="38"/>
        <v>6.5483416666666656</v>
      </c>
      <c r="D1069" s="60">
        <f t="shared" si="38"/>
        <v>6.571716666666668</v>
      </c>
      <c r="E1069" s="60">
        <f t="shared" si="38"/>
        <v>7.4511333333333338</v>
      </c>
      <c r="F1069" s="60">
        <f t="shared" si="38"/>
        <v>7.4511333333333338</v>
      </c>
      <c r="G1069" s="60">
        <f t="shared" si="38"/>
        <v>7.452091666666667</v>
      </c>
      <c r="H1069" s="60">
        <f t="shared" si="38"/>
        <v>10.903533333333334</v>
      </c>
      <c r="I1069" s="60">
        <f t="shared" si="38"/>
        <v>10.904483333333333</v>
      </c>
      <c r="J1069" s="60">
        <f t="shared" si="38"/>
        <v>7.4511333333333338</v>
      </c>
      <c r="K1069" s="60">
        <f t="shared" si="38"/>
        <v>7.452091666666667</v>
      </c>
    </row>
    <row r="1070" spans="1:11" ht="15">
      <c r="A1070" s="3">
        <v>2055</v>
      </c>
      <c r="B1070" s="60">
        <f t="shared" ref="B1070:K1070" si="39">AVERAGE(B10:B489)</f>
        <v>4.2844087499999954</v>
      </c>
      <c r="C1070" s="60">
        <f t="shared" si="39"/>
        <v>4.2844087499999954</v>
      </c>
      <c r="D1070" s="60">
        <f t="shared" si="39"/>
        <v>4.307786458333335</v>
      </c>
      <c r="E1070" s="60">
        <f t="shared" si="39"/>
        <v>4.7119027083333327</v>
      </c>
      <c r="F1070" s="60">
        <f t="shared" si="39"/>
        <v>4.6534241666666665</v>
      </c>
      <c r="G1070" s="60">
        <f t="shared" si="39"/>
        <v>4.6543814583333303</v>
      </c>
      <c r="H1070" s="60">
        <f t="shared" si="39"/>
        <v>7.1645485416666759</v>
      </c>
      <c r="I1070" s="60">
        <f t="shared" si="39"/>
        <v>7.1655058333333352</v>
      </c>
      <c r="J1070" s="60">
        <f t="shared" si="39"/>
        <v>4.7119027083333327</v>
      </c>
      <c r="K1070" s="60">
        <f t="shared" si="39"/>
        <v>4.7128593749999981</v>
      </c>
    </row>
    <row r="1071" spans="1:11" ht="15">
      <c r="A1071" s="3">
        <v>2056</v>
      </c>
      <c r="B1071" s="60">
        <f t="shared" ref="B1071:K1071" si="40">AVERAGE(B490:B501)</f>
        <v>6.8850749999999996</v>
      </c>
      <c r="C1071" s="60">
        <f t="shared" si="40"/>
        <v>6.8850749999999996</v>
      </c>
      <c r="D1071" s="60">
        <f t="shared" si="40"/>
        <v>6.9084583333333347</v>
      </c>
      <c r="E1071" s="60">
        <f t="shared" si="40"/>
        <v>7.8757666666666664</v>
      </c>
      <c r="F1071" s="60">
        <f t="shared" si="40"/>
        <v>7.8757666666666664</v>
      </c>
      <c r="G1071" s="60">
        <f t="shared" si="40"/>
        <v>7.876691666666666</v>
      </c>
      <c r="H1071" s="60">
        <f t="shared" si="40"/>
        <v>11.461975000000002</v>
      </c>
      <c r="I1071" s="60">
        <f t="shared" si="40"/>
        <v>11.462933333333334</v>
      </c>
      <c r="J1071" s="60">
        <f t="shared" si="40"/>
        <v>7.8757666666666664</v>
      </c>
      <c r="K1071" s="60">
        <f t="shared" si="40"/>
        <v>7.876691666666666</v>
      </c>
    </row>
    <row r="1072" spans="1:11" ht="15">
      <c r="A1072" s="3">
        <v>2057</v>
      </c>
      <c r="B1072" s="60">
        <f t="shared" ref="B1072:K1072" si="41">AVERAGE(B502:B513)</f>
        <v>7.0598833333333326</v>
      </c>
      <c r="C1072" s="60">
        <f t="shared" si="41"/>
        <v>7.0598833333333326</v>
      </c>
      <c r="D1072" s="60">
        <f t="shared" si="41"/>
        <v>7.0832583333333323</v>
      </c>
      <c r="E1072" s="60">
        <f t="shared" si="41"/>
        <v>8.0970833333333321</v>
      </c>
      <c r="F1072" s="60">
        <f t="shared" si="41"/>
        <v>8.0970833333333321</v>
      </c>
      <c r="G1072" s="60">
        <f t="shared" si="41"/>
        <v>8.0980249999999998</v>
      </c>
      <c r="H1072" s="60">
        <f t="shared" si="41"/>
        <v>11.751825000000002</v>
      </c>
      <c r="I1072" s="60">
        <f t="shared" si="41"/>
        <v>11.752791666666667</v>
      </c>
      <c r="J1072" s="60">
        <f t="shared" si="41"/>
        <v>8.0970833333333321</v>
      </c>
      <c r="K1072" s="60">
        <f t="shared" si="41"/>
        <v>8.0980249999999998</v>
      </c>
    </row>
    <row r="1073" spans="1:11" ht="15">
      <c r="A1073" s="3">
        <v>2058</v>
      </c>
      <c r="B1073" s="60">
        <f t="shared" ref="B1073:K1073" si="42">AVERAGE(B514:B525)</f>
        <v>7.239141666666665</v>
      </c>
      <c r="C1073" s="60">
        <f t="shared" si="42"/>
        <v>7.239141666666665</v>
      </c>
      <c r="D1073" s="60">
        <f t="shared" si="42"/>
        <v>7.2625166666666674</v>
      </c>
      <c r="E1073" s="60">
        <f t="shared" si="42"/>
        <v>8.3246583333333337</v>
      </c>
      <c r="F1073" s="60">
        <f t="shared" si="42"/>
        <v>8.3246583333333337</v>
      </c>
      <c r="G1073" s="60">
        <f t="shared" si="42"/>
        <v>8.3255999999999997</v>
      </c>
      <c r="H1073" s="60">
        <f t="shared" si="42"/>
        <v>12.049024999999999</v>
      </c>
      <c r="I1073" s="60">
        <f t="shared" si="42"/>
        <v>12.049975000000002</v>
      </c>
      <c r="J1073" s="60">
        <f t="shared" si="42"/>
        <v>8.3246583333333337</v>
      </c>
      <c r="K1073" s="60">
        <f t="shared" si="42"/>
        <v>8.3255999999999997</v>
      </c>
    </row>
    <row r="1074" spans="1:11" ht="15">
      <c r="A1074" s="3">
        <v>2059</v>
      </c>
      <c r="B1074" s="60">
        <f t="shared" ref="B1074:K1074" si="43">AVERAGE(B526:B537)</f>
        <v>7.4229666666666665</v>
      </c>
      <c r="C1074" s="60">
        <f t="shared" si="43"/>
        <v>7.4229666666666665</v>
      </c>
      <c r="D1074" s="60">
        <f t="shared" si="43"/>
        <v>7.4463416666666662</v>
      </c>
      <c r="E1074" s="60">
        <f t="shared" si="43"/>
        <v>8.5586166666666657</v>
      </c>
      <c r="F1074" s="60">
        <f t="shared" si="43"/>
        <v>8.5586166666666657</v>
      </c>
      <c r="G1074" s="60">
        <f t="shared" si="43"/>
        <v>8.559583333333336</v>
      </c>
      <c r="H1074" s="60">
        <f t="shared" si="43"/>
        <v>12.353700000000002</v>
      </c>
      <c r="I1074" s="60">
        <f t="shared" si="43"/>
        <v>12.354675</v>
      </c>
      <c r="J1074" s="60">
        <f t="shared" si="43"/>
        <v>8.5586166666666657</v>
      </c>
      <c r="K1074" s="60">
        <f t="shared" si="43"/>
        <v>8.559583333333336</v>
      </c>
    </row>
    <row r="1075" spans="1:11" ht="15">
      <c r="A1075" s="3">
        <v>2060</v>
      </c>
      <c r="B1075" s="60">
        <f t="shared" ref="B1075:K1075" si="44">AVERAGE(B538:B549)</f>
        <v>7.611433333333335</v>
      </c>
      <c r="C1075" s="60">
        <f t="shared" si="44"/>
        <v>7.611433333333335</v>
      </c>
      <c r="D1075" s="60">
        <f t="shared" si="44"/>
        <v>7.634808333333333</v>
      </c>
      <c r="E1075" s="60">
        <f t="shared" si="44"/>
        <v>8.7992083333333344</v>
      </c>
      <c r="F1075" s="60">
        <f t="shared" si="44"/>
        <v>8.7992083333333344</v>
      </c>
      <c r="G1075" s="60">
        <f t="shared" si="44"/>
        <v>8.8001749999999976</v>
      </c>
      <c r="H1075" s="60">
        <f t="shared" si="44"/>
        <v>12.666124999999999</v>
      </c>
      <c r="I1075" s="60">
        <f t="shared" si="44"/>
        <v>12.667066666666669</v>
      </c>
      <c r="J1075" s="60">
        <f t="shared" si="44"/>
        <v>8.7992083333333344</v>
      </c>
      <c r="K1075" s="60">
        <f t="shared" si="44"/>
        <v>8.8001749999999976</v>
      </c>
    </row>
    <row r="1076" spans="1:11" ht="15">
      <c r="A1076" s="3">
        <v>2061</v>
      </c>
      <c r="B1076" s="60">
        <f t="shared" ref="B1076:K1076" si="45">AVERAGE(B550:B561)</f>
        <v>7.804733333333334</v>
      </c>
      <c r="C1076" s="60">
        <f t="shared" si="45"/>
        <v>7.804733333333334</v>
      </c>
      <c r="D1076" s="60">
        <f t="shared" si="45"/>
        <v>7.8281083333333328</v>
      </c>
      <c r="E1076" s="60">
        <f t="shared" si="45"/>
        <v>9.0465833333333325</v>
      </c>
      <c r="F1076" s="60">
        <f t="shared" si="45"/>
        <v>9.0465833333333325</v>
      </c>
      <c r="G1076" s="60">
        <f t="shared" si="45"/>
        <v>9.0475499999999993</v>
      </c>
      <c r="H1076" s="60">
        <f t="shared" si="45"/>
        <v>12.986416666666665</v>
      </c>
      <c r="I1076" s="60">
        <f t="shared" si="45"/>
        <v>12.987391666666666</v>
      </c>
      <c r="J1076" s="60">
        <f t="shared" si="45"/>
        <v>9.0465833333333325</v>
      </c>
      <c r="K1076" s="60">
        <f t="shared" si="45"/>
        <v>9.0475499999999993</v>
      </c>
    </row>
    <row r="1077" spans="1:11" ht="15">
      <c r="A1077" s="3">
        <v>2062</v>
      </c>
      <c r="B1077" s="60">
        <f t="shared" ref="B1077:K1086" ca="1" si="46">AVERAGE(OFFSET(B$562,($A1077-$A$1077)*12,0,12,1))</f>
        <v>8.002933333333333</v>
      </c>
      <c r="C1077" s="60">
        <f t="shared" ca="1" si="46"/>
        <v>8.002933333333333</v>
      </c>
      <c r="D1077" s="60">
        <f t="shared" ca="1" si="46"/>
        <v>8.0263166666666681</v>
      </c>
      <c r="E1077" s="60">
        <f t="shared" ca="1" si="46"/>
        <v>9.3009249999999994</v>
      </c>
      <c r="F1077" s="60">
        <f t="shared" ca="1" si="46"/>
        <v>9.3009249999999994</v>
      </c>
      <c r="G1077" s="60">
        <f t="shared" ca="1" si="46"/>
        <v>9.3018916666666662</v>
      </c>
      <c r="H1077" s="60">
        <f t="shared" ca="1" si="46"/>
        <v>13.314841666666666</v>
      </c>
      <c r="I1077" s="60">
        <f t="shared" ca="1" si="46"/>
        <v>13.315783333333334</v>
      </c>
      <c r="J1077" s="60">
        <f t="shared" ca="1" si="46"/>
        <v>9.3009249999999994</v>
      </c>
      <c r="K1077" s="60">
        <f t="shared" ca="1" si="46"/>
        <v>9.3018916666666662</v>
      </c>
    </row>
    <row r="1078" spans="1:11" ht="15">
      <c r="A1078" s="3">
        <v>2063</v>
      </c>
      <c r="B1078" s="60">
        <f t="shared" ca="1" si="46"/>
        <v>8.2011416666666666</v>
      </c>
      <c r="C1078" s="60">
        <f t="shared" ca="1" si="46"/>
        <v>8.2011416666666666</v>
      </c>
      <c r="D1078" s="60">
        <f t="shared" ca="1" si="46"/>
        <v>8.2245166666666663</v>
      </c>
      <c r="E1078" s="60">
        <f t="shared" ca="1" si="46"/>
        <v>9.5553000000000008</v>
      </c>
      <c r="F1078" s="60">
        <f t="shared" ca="1" si="46"/>
        <v>9.5553000000000008</v>
      </c>
      <c r="G1078" s="60">
        <f t="shared" ca="1" si="46"/>
        <v>9.5562333333333331</v>
      </c>
      <c r="H1078" s="60">
        <f t="shared" ca="1" si="46"/>
        <v>13.643241666666668</v>
      </c>
      <c r="I1078" s="60">
        <f t="shared" ca="1" si="46"/>
        <v>13.644199999999998</v>
      </c>
      <c r="J1078" s="60">
        <f t="shared" ca="1" si="46"/>
        <v>9.5553000000000008</v>
      </c>
      <c r="K1078" s="60">
        <f t="shared" ca="1" si="46"/>
        <v>9.5562333333333331</v>
      </c>
    </row>
    <row r="1079" spans="1:11" ht="15">
      <c r="A1079" s="3">
        <v>2064</v>
      </c>
      <c r="B1079" s="60">
        <f t="shared" ca="1" si="46"/>
        <v>8.3993333333333347</v>
      </c>
      <c r="C1079" s="60">
        <f t="shared" ca="1" si="46"/>
        <v>8.3993333333333347</v>
      </c>
      <c r="D1079" s="60">
        <f t="shared" ca="1" si="46"/>
        <v>8.4227083333333326</v>
      </c>
      <c r="E1079" s="60">
        <f t="shared" ca="1" si="46"/>
        <v>9.8096166666666686</v>
      </c>
      <c r="F1079" s="60">
        <f t="shared" ca="1" si="46"/>
        <v>9.8096166666666686</v>
      </c>
      <c r="G1079" s="60">
        <f t="shared" ca="1" si="46"/>
        <v>9.8106000000000009</v>
      </c>
      <c r="H1079" s="60">
        <f t="shared" ca="1" si="46"/>
        <v>13.971650000000002</v>
      </c>
      <c r="I1079" s="60">
        <f t="shared" ca="1" si="46"/>
        <v>13.972608333333332</v>
      </c>
      <c r="J1079" s="60">
        <f t="shared" ca="1" si="46"/>
        <v>9.8096166666666686</v>
      </c>
      <c r="K1079" s="60">
        <f t="shared" ca="1" si="46"/>
        <v>9.8106000000000009</v>
      </c>
    </row>
    <row r="1080" spans="1:11" ht="15">
      <c r="A1080" s="3">
        <v>2065</v>
      </c>
      <c r="B1080" s="60">
        <f t="shared" ca="1" si="46"/>
        <v>8.5975333333333328</v>
      </c>
      <c r="C1080" s="60">
        <f t="shared" ca="1" si="46"/>
        <v>8.5975333333333328</v>
      </c>
      <c r="D1080" s="60">
        <f t="shared" ca="1" si="46"/>
        <v>8.6209083333333343</v>
      </c>
      <c r="E1080" s="60">
        <f t="shared" ca="1" si="46"/>
        <v>10.063975000000001</v>
      </c>
      <c r="F1080" s="60">
        <f t="shared" ca="1" si="46"/>
        <v>10.063975000000001</v>
      </c>
      <c r="G1080" s="60">
        <f t="shared" ca="1" si="46"/>
        <v>10.064933333333336</v>
      </c>
      <c r="H1080" s="60">
        <f t="shared" ca="1" si="46"/>
        <v>14.300050000000001</v>
      </c>
      <c r="I1080" s="60">
        <f t="shared" ca="1" si="46"/>
        <v>14.301016666666667</v>
      </c>
      <c r="J1080" s="60">
        <f t="shared" ca="1" si="46"/>
        <v>10.063975000000001</v>
      </c>
      <c r="K1080" s="60">
        <f t="shared" ca="1" si="46"/>
        <v>10.064933333333336</v>
      </c>
    </row>
    <row r="1081" spans="1:11" ht="15">
      <c r="A1081" s="3">
        <v>2066</v>
      </c>
      <c r="B1081" s="60">
        <f t="shared" ca="1" si="46"/>
        <v>8.7957416666666663</v>
      </c>
      <c r="C1081" s="60">
        <f t="shared" ca="1" si="46"/>
        <v>8.7957416666666663</v>
      </c>
      <c r="D1081" s="60">
        <f t="shared" ca="1" si="46"/>
        <v>8.819116666666666</v>
      </c>
      <c r="E1081" s="60">
        <f t="shared" ca="1" si="46"/>
        <v>10.318325</v>
      </c>
      <c r="F1081" s="60">
        <f t="shared" ca="1" si="46"/>
        <v>10.318325</v>
      </c>
      <c r="G1081" s="60">
        <f t="shared" ca="1" si="46"/>
        <v>10.319283333333333</v>
      </c>
      <c r="H1081" s="60">
        <f t="shared" ca="1" si="46"/>
        <v>14.628458333333333</v>
      </c>
      <c r="I1081" s="60">
        <f t="shared" ca="1" si="46"/>
        <v>14.629424999999998</v>
      </c>
      <c r="J1081" s="60">
        <f t="shared" ca="1" si="46"/>
        <v>10.318325</v>
      </c>
      <c r="K1081" s="60">
        <f t="shared" ca="1" si="46"/>
        <v>10.319283333333333</v>
      </c>
    </row>
    <row r="1082" spans="1:11" ht="15">
      <c r="A1082" s="3">
        <v>2067</v>
      </c>
      <c r="B1082" s="60">
        <f t="shared" ca="1" si="46"/>
        <v>8.9939499999999999</v>
      </c>
      <c r="C1082" s="60">
        <f t="shared" ca="1" si="46"/>
        <v>8.9939499999999999</v>
      </c>
      <c r="D1082" s="60">
        <f t="shared" ca="1" si="46"/>
        <v>9.0173416666666686</v>
      </c>
      <c r="E1082" s="60">
        <f t="shared" ca="1" si="46"/>
        <v>10.572658333333333</v>
      </c>
      <c r="F1082" s="60">
        <f t="shared" ca="1" si="46"/>
        <v>10.572658333333333</v>
      </c>
      <c r="G1082" s="60">
        <f t="shared" ca="1" si="46"/>
        <v>10.573625000000002</v>
      </c>
      <c r="H1082" s="60">
        <f t="shared" ca="1" si="46"/>
        <v>14.956875000000004</v>
      </c>
      <c r="I1082" s="60">
        <f t="shared" ca="1" si="46"/>
        <v>14.957816666666666</v>
      </c>
      <c r="J1082" s="60">
        <f t="shared" ca="1" si="46"/>
        <v>10.572658333333333</v>
      </c>
      <c r="K1082" s="60">
        <f t="shared" ca="1" si="46"/>
        <v>10.573625000000002</v>
      </c>
    </row>
    <row r="1083" spans="1:11" ht="15">
      <c r="A1083" s="3">
        <v>2068</v>
      </c>
      <c r="B1083" s="60">
        <f t="shared" ca="1" si="46"/>
        <v>9.1921583333333334</v>
      </c>
      <c r="C1083" s="60">
        <f t="shared" ca="1" si="46"/>
        <v>9.1921583333333334</v>
      </c>
      <c r="D1083" s="60">
        <f t="shared" ca="1" si="46"/>
        <v>9.2155333333333331</v>
      </c>
      <c r="E1083" s="60">
        <f t="shared" ca="1" si="46"/>
        <v>10.827016666666665</v>
      </c>
      <c r="F1083" s="60">
        <f t="shared" ca="1" si="46"/>
        <v>10.827016666666665</v>
      </c>
      <c r="G1083" s="60">
        <f t="shared" ca="1" si="46"/>
        <v>10.827975</v>
      </c>
      <c r="H1083" s="60">
        <f t="shared" ca="1" si="46"/>
        <v>15.285266666666667</v>
      </c>
      <c r="I1083" s="60">
        <f t="shared" ca="1" si="46"/>
        <v>15.286225000000004</v>
      </c>
      <c r="J1083" s="60">
        <f t="shared" ca="1" si="46"/>
        <v>10.827016666666665</v>
      </c>
      <c r="K1083" s="60">
        <f t="shared" ca="1" si="46"/>
        <v>10.827975</v>
      </c>
    </row>
    <row r="1084" spans="1:11" ht="15">
      <c r="A1084" s="3">
        <v>2069</v>
      </c>
      <c r="B1084" s="60">
        <f t="shared" ca="1" si="46"/>
        <v>9.3903750000000006</v>
      </c>
      <c r="C1084" s="60">
        <f t="shared" ca="1" si="46"/>
        <v>9.3903750000000006</v>
      </c>
      <c r="D1084" s="60">
        <f t="shared" ca="1" si="46"/>
        <v>9.4137500000000003</v>
      </c>
      <c r="E1084" s="60">
        <f t="shared" ca="1" si="46"/>
        <v>11.081358333333334</v>
      </c>
      <c r="F1084" s="60">
        <f t="shared" ca="1" si="46"/>
        <v>11.081358333333334</v>
      </c>
      <c r="G1084" s="60">
        <f t="shared" ca="1" si="46"/>
        <v>11.082308333333332</v>
      </c>
      <c r="H1084" s="60">
        <f t="shared" ca="1" si="46"/>
        <v>15.613674999999999</v>
      </c>
      <c r="I1084" s="60">
        <f t="shared" ca="1" si="46"/>
        <v>15.614641666666669</v>
      </c>
      <c r="J1084" s="60">
        <f t="shared" ca="1" si="46"/>
        <v>11.081358333333334</v>
      </c>
      <c r="K1084" s="60">
        <f t="shared" ca="1" si="46"/>
        <v>11.082308333333332</v>
      </c>
    </row>
    <row r="1085" spans="1:11" ht="15">
      <c r="A1085" s="3">
        <v>2070</v>
      </c>
      <c r="B1085" s="60">
        <f t="shared" ca="1" si="46"/>
        <v>9.5885749999999987</v>
      </c>
      <c r="C1085" s="60">
        <f t="shared" ca="1" si="46"/>
        <v>9.5885749999999987</v>
      </c>
      <c r="D1085" s="60">
        <f t="shared" ca="1" si="46"/>
        <v>9.6119500000000002</v>
      </c>
      <c r="E1085" s="60">
        <f t="shared" ca="1" si="46"/>
        <v>11.335708333333335</v>
      </c>
      <c r="F1085" s="60">
        <f t="shared" ca="1" si="46"/>
        <v>11.335708333333335</v>
      </c>
      <c r="G1085" s="60">
        <f t="shared" ca="1" si="46"/>
        <v>11.336649999999999</v>
      </c>
      <c r="H1085" s="60">
        <f t="shared" ca="1" si="46"/>
        <v>15.942091666666668</v>
      </c>
      <c r="I1085" s="60">
        <f t="shared" ca="1" si="46"/>
        <v>15.943049999999999</v>
      </c>
      <c r="J1085" s="60">
        <f t="shared" ca="1" si="46"/>
        <v>11.335708333333335</v>
      </c>
      <c r="K1085" s="60">
        <f t="shared" ca="1" si="46"/>
        <v>11.336649999999999</v>
      </c>
    </row>
    <row r="1086" spans="1:11" ht="15">
      <c r="A1086" s="3">
        <v>2071</v>
      </c>
      <c r="B1086" s="60">
        <f t="shared" ca="1" si="46"/>
        <v>9.7867666666666668</v>
      </c>
      <c r="C1086" s="60">
        <f t="shared" ca="1" si="46"/>
        <v>9.7867666666666668</v>
      </c>
      <c r="D1086" s="60">
        <f t="shared" ca="1" si="46"/>
        <v>9.8101416666666683</v>
      </c>
      <c r="E1086" s="60">
        <f t="shared" ca="1" si="46"/>
        <v>11.590058333333332</v>
      </c>
      <c r="F1086" s="60">
        <f t="shared" ca="1" si="46"/>
        <v>11.590058333333332</v>
      </c>
      <c r="G1086" s="60">
        <f t="shared" ca="1" si="46"/>
        <v>11.591008333333333</v>
      </c>
      <c r="H1086" s="60">
        <f t="shared" ca="1" si="46"/>
        <v>16.270491666666668</v>
      </c>
      <c r="I1086" s="60">
        <f t="shared" ca="1" si="46"/>
        <v>16.271458333333332</v>
      </c>
      <c r="J1086" s="60">
        <f t="shared" ca="1" si="46"/>
        <v>11.590058333333332</v>
      </c>
      <c r="K1086" s="60">
        <f t="shared" ca="1" si="46"/>
        <v>11.591008333333333</v>
      </c>
    </row>
    <row r="1087" spans="1:11" ht="15">
      <c r="A1087" s="3">
        <v>2072</v>
      </c>
      <c r="B1087" s="60">
        <f t="shared" ref="B1087:K1096" ca="1" si="47">AVERAGE(OFFSET(B$562,($A1087-$A$1077)*12,0,12,1))</f>
        <v>9.9849666666666685</v>
      </c>
      <c r="C1087" s="60">
        <f t="shared" ca="1" si="47"/>
        <v>9.9849666666666685</v>
      </c>
      <c r="D1087" s="60">
        <f t="shared" ca="1" si="47"/>
        <v>10.008341666666666</v>
      </c>
      <c r="E1087" s="60">
        <f t="shared" ca="1" si="47"/>
        <v>11.844408333333334</v>
      </c>
      <c r="F1087" s="60">
        <f t="shared" ca="1" si="47"/>
        <v>11.844408333333334</v>
      </c>
      <c r="G1087" s="60">
        <f t="shared" ca="1" si="47"/>
        <v>11.845358333333332</v>
      </c>
      <c r="H1087" s="60">
        <f t="shared" ca="1" si="47"/>
        <v>16.598916666666668</v>
      </c>
      <c r="I1087" s="60">
        <f t="shared" ca="1" si="47"/>
        <v>16.59985</v>
      </c>
      <c r="J1087" s="60">
        <f t="shared" ca="1" si="47"/>
        <v>11.844408333333334</v>
      </c>
      <c r="K1087" s="60">
        <f t="shared" ca="1" si="47"/>
        <v>11.845358333333332</v>
      </c>
    </row>
    <row r="1088" spans="1:11" ht="15">
      <c r="A1088" s="3">
        <v>2073</v>
      </c>
      <c r="B1088" s="60">
        <f t="shared" ca="1" si="47"/>
        <v>10.183174999999999</v>
      </c>
      <c r="C1088" s="60">
        <f t="shared" ca="1" si="47"/>
        <v>10.183174999999999</v>
      </c>
      <c r="D1088" s="60">
        <f t="shared" ca="1" si="47"/>
        <v>10.20655</v>
      </c>
      <c r="E1088" s="60">
        <f t="shared" ca="1" si="47"/>
        <v>12.098766666666668</v>
      </c>
      <c r="F1088" s="60">
        <f t="shared" ca="1" si="47"/>
        <v>12.098766666666668</v>
      </c>
      <c r="G1088" s="60">
        <f t="shared" ca="1" si="47"/>
        <v>12.099708333333334</v>
      </c>
      <c r="H1088" s="60">
        <f t="shared" ca="1" si="47"/>
        <v>16.927299999999999</v>
      </c>
      <c r="I1088" s="60">
        <f t="shared" ca="1" si="47"/>
        <v>16.928258333333336</v>
      </c>
      <c r="J1088" s="60">
        <f t="shared" ca="1" si="47"/>
        <v>12.098766666666668</v>
      </c>
      <c r="K1088" s="60">
        <f t="shared" ca="1" si="47"/>
        <v>12.099708333333334</v>
      </c>
    </row>
    <row r="1089" spans="1:11" ht="15">
      <c r="A1089" s="3">
        <v>2074</v>
      </c>
      <c r="B1089" s="60">
        <f t="shared" ca="1" si="47"/>
        <v>10.381366666666667</v>
      </c>
      <c r="C1089" s="60">
        <f t="shared" ca="1" si="47"/>
        <v>10.381366666666667</v>
      </c>
      <c r="D1089" s="60">
        <f t="shared" ca="1" si="47"/>
        <v>10.404750000000002</v>
      </c>
      <c r="E1089" s="60">
        <f t="shared" ca="1" si="47"/>
        <v>12.353099999999998</v>
      </c>
      <c r="F1089" s="60">
        <f t="shared" ca="1" si="47"/>
        <v>12.353099999999998</v>
      </c>
      <c r="G1089" s="60">
        <f t="shared" ca="1" si="47"/>
        <v>12.354050000000001</v>
      </c>
      <c r="H1089" s="60">
        <f t="shared" ca="1" si="47"/>
        <v>17.255700000000001</v>
      </c>
      <c r="I1089" s="60">
        <f t="shared" ca="1" si="47"/>
        <v>17.256674999999998</v>
      </c>
      <c r="J1089" s="60">
        <f t="shared" ca="1" si="47"/>
        <v>12.353099999999998</v>
      </c>
      <c r="K1089" s="60">
        <f t="shared" ca="1" si="47"/>
        <v>12.354050000000001</v>
      </c>
    </row>
    <row r="1090" spans="1:11" ht="15">
      <c r="A1090" s="3">
        <v>2075</v>
      </c>
      <c r="B1090" s="60">
        <f t="shared" ca="1" si="47"/>
        <v>10.579575</v>
      </c>
      <c r="C1090" s="60">
        <f t="shared" ca="1" si="47"/>
        <v>10.579575</v>
      </c>
      <c r="D1090" s="60">
        <f t="shared" ca="1" si="47"/>
        <v>10.602966666666667</v>
      </c>
      <c r="E1090" s="60">
        <f t="shared" ca="1" si="47"/>
        <v>12.60745</v>
      </c>
      <c r="F1090" s="60">
        <f t="shared" ca="1" si="47"/>
        <v>12.60745</v>
      </c>
      <c r="G1090" s="60">
        <f t="shared" ca="1" si="47"/>
        <v>12.608408333333331</v>
      </c>
      <c r="H1090" s="60">
        <f t="shared" ca="1" si="47"/>
        <v>17.584125</v>
      </c>
      <c r="I1090" s="60">
        <f t="shared" ca="1" si="47"/>
        <v>17.585066666666666</v>
      </c>
      <c r="J1090" s="60">
        <f t="shared" ca="1" si="47"/>
        <v>12.60745</v>
      </c>
      <c r="K1090" s="60">
        <f t="shared" ca="1" si="47"/>
        <v>12.608408333333331</v>
      </c>
    </row>
    <row r="1091" spans="1:11" ht="15">
      <c r="A1091" s="3">
        <v>2076</v>
      </c>
      <c r="B1091" s="60">
        <f t="shared" ca="1" si="47"/>
        <v>10.777783333333332</v>
      </c>
      <c r="C1091" s="60">
        <f t="shared" ca="1" si="47"/>
        <v>10.777783333333332</v>
      </c>
      <c r="D1091" s="60">
        <f t="shared" ca="1" si="47"/>
        <v>10.801166666666667</v>
      </c>
      <c r="E1091" s="60">
        <f t="shared" ca="1" si="47"/>
        <v>12.861800000000001</v>
      </c>
      <c r="F1091" s="60">
        <f t="shared" ca="1" si="47"/>
        <v>12.861800000000001</v>
      </c>
      <c r="G1091" s="60">
        <f t="shared" ca="1" si="47"/>
        <v>12.86275</v>
      </c>
      <c r="H1091" s="60">
        <f t="shared" ca="1" si="47"/>
        <v>17.912525000000002</v>
      </c>
      <c r="I1091" s="60">
        <f t="shared" ca="1" si="47"/>
        <v>17.913500000000003</v>
      </c>
      <c r="J1091" s="60">
        <f t="shared" ca="1" si="47"/>
        <v>12.861800000000001</v>
      </c>
      <c r="K1091" s="60">
        <f t="shared" ca="1" si="47"/>
        <v>12.86275</v>
      </c>
    </row>
    <row r="1092" spans="1:11" ht="15">
      <c r="A1092" s="3">
        <v>2077</v>
      </c>
      <c r="B1092" s="60">
        <f t="shared" ca="1" si="47"/>
        <v>10.975991666666667</v>
      </c>
      <c r="C1092" s="60">
        <f t="shared" ca="1" si="47"/>
        <v>10.975991666666667</v>
      </c>
      <c r="D1092" s="60">
        <f t="shared" ca="1" si="47"/>
        <v>10.999383333333334</v>
      </c>
      <c r="E1092" s="60">
        <f t="shared" ca="1" si="47"/>
        <v>13.116141666666664</v>
      </c>
      <c r="F1092" s="60">
        <f t="shared" ca="1" si="47"/>
        <v>13.116141666666664</v>
      </c>
      <c r="G1092" s="60">
        <f t="shared" ca="1" si="47"/>
        <v>13.117075</v>
      </c>
      <c r="H1092" s="60">
        <f t="shared" ca="1" si="47"/>
        <v>18.240941666666668</v>
      </c>
      <c r="I1092" s="60">
        <f t="shared" ca="1" si="47"/>
        <v>18.241891666666668</v>
      </c>
      <c r="J1092" s="60">
        <f t="shared" ca="1" si="47"/>
        <v>13.116141666666664</v>
      </c>
      <c r="K1092" s="60">
        <f t="shared" ca="1" si="47"/>
        <v>13.117075</v>
      </c>
    </row>
    <row r="1093" spans="1:11" ht="15">
      <c r="A1093" s="3">
        <v>2078</v>
      </c>
      <c r="B1093" s="60">
        <f t="shared" ca="1" si="47"/>
        <v>11.174191666666667</v>
      </c>
      <c r="C1093" s="60">
        <f t="shared" ca="1" si="47"/>
        <v>11.174191666666667</v>
      </c>
      <c r="D1093" s="60">
        <f t="shared" ca="1" si="47"/>
        <v>11.197566666666665</v>
      </c>
      <c r="E1093" s="60">
        <f t="shared" ca="1" si="47"/>
        <v>13.370483333333333</v>
      </c>
      <c r="F1093" s="60">
        <f t="shared" ca="1" si="47"/>
        <v>13.370483333333333</v>
      </c>
      <c r="G1093" s="60">
        <f t="shared" ca="1" si="47"/>
        <v>13.371450000000001</v>
      </c>
      <c r="H1093" s="60">
        <f t="shared" ca="1" si="47"/>
        <v>18.569341666666663</v>
      </c>
      <c r="I1093" s="60">
        <f t="shared" ca="1" si="47"/>
        <v>18.570308333333333</v>
      </c>
      <c r="J1093" s="60">
        <f t="shared" ca="1" si="47"/>
        <v>13.370483333333333</v>
      </c>
      <c r="K1093" s="60">
        <f t="shared" ca="1" si="47"/>
        <v>13.371450000000001</v>
      </c>
    </row>
    <row r="1094" spans="1:11" ht="15">
      <c r="A1094" s="3">
        <v>2079</v>
      </c>
      <c r="B1094" s="60">
        <f t="shared" ca="1" si="47"/>
        <v>11.372391666666667</v>
      </c>
      <c r="C1094" s="60">
        <f t="shared" ca="1" si="47"/>
        <v>11.372391666666667</v>
      </c>
      <c r="D1094" s="60">
        <f t="shared" ca="1" si="47"/>
        <v>11.395775</v>
      </c>
      <c r="E1094" s="60">
        <f t="shared" ca="1" si="47"/>
        <v>13.624833333333333</v>
      </c>
      <c r="F1094" s="60">
        <f t="shared" ca="1" si="47"/>
        <v>13.624833333333333</v>
      </c>
      <c r="G1094" s="60">
        <f t="shared" ca="1" si="47"/>
        <v>13.625774999999999</v>
      </c>
      <c r="H1094" s="60">
        <f t="shared" ca="1" si="47"/>
        <v>18.897741666666668</v>
      </c>
      <c r="I1094" s="60">
        <f t="shared" ca="1" si="47"/>
        <v>18.898716666666669</v>
      </c>
      <c r="J1094" s="60">
        <f t="shared" ca="1" si="47"/>
        <v>13.624833333333333</v>
      </c>
      <c r="K1094" s="60">
        <f t="shared" ca="1" si="47"/>
        <v>13.625774999999999</v>
      </c>
    </row>
    <row r="1095" spans="1:11" ht="15">
      <c r="A1095" s="3">
        <v>2080</v>
      </c>
      <c r="B1095" s="60">
        <f t="shared" ca="1" si="47"/>
        <v>11.570599999999999</v>
      </c>
      <c r="C1095" s="60">
        <f t="shared" ca="1" si="47"/>
        <v>11.570599999999999</v>
      </c>
      <c r="D1095" s="60">
        <f t="shared" ca="1" si="47"/>
        <v>11.593975</v>
      </c>
      <c r="E1095" s="60">
        <f t="shared" ca="1" si="47"/>
        <v>13.879166666666665</v>
      </c>
      <c r="F1095" s="60">
        <f t="shared" ca="1" si="47"/>
        <v>13.879166666666665</v>
      </c>
      <c r="G1095" s="60">
        <f t="shared" ca="1" si="47"/>
        <v>13.880149999999999</v>
      </c>
      <c r="H1095" s="60">
        <f t="shared" ca="1" si="47"/>
        <v>19.226166666666664</v>
      </c>
      <c r="I1095" s="60">
        <f t="shared" ca="1" si="47"/>
        <v>19.227108333333337</v>
      </c>
      <c r="J1095" s="60">
        <f t="shared" ca="1" si="47"/>
        <v>13.879166666666665</v>
      </c>
      <c r="K1095" s="60">
        <f t="shared" ca="1" si="47"/>
        <v>13.880149999999999</v>
      </c>
    </row>
    <row r="1096" spans="1:11" ht="15">
      <c r="A1096" s="3">
        <v>2081</v>
      </c>
      <c r="B1096" s="60">
        <f t="shared" ca="1" si="47"/>
        <v>11.768791666666665</v>
      </c>
      <c r="C1096" s="60">
        <f t="shared" ca="1" si="47"/>
        <v>11.768791666666665</v>
      </c>
      <c r="D1096" s="60">
        <f t="shared" ca="1" si="47"/>
        <v>11.792175</v>
      </c>
      <c r="E1096" s="60">
        <f t="shared" ca="1" si="47"/>
        <v>14.133525000000001</v>
      </c>
      <c r="F1096" s="60">
        <f t="shared" ca="1" si="47"/>
        <v>14.133525000000001</v>
      </c>
      <c r="G1096" s="60">
        <f t="shared" ca="1" si="47"/>
        <v>14.134483333333334</v>
      </c>
      <c r="H1096" s="60">
        <f t="shared" ca="1" si="47"/>
        <v>19.554558333333336</v>
      </c>
      <c r="I1096" s="60">
        <f t="shared" ca="1" si="47"/>
        <v>19.555524999999999</v>
      </c>
      <c r="J1096" s="60">
        <f t="shared" ca="1" si="47"/>
        <v>14.133525000000001</v>
      </c>
      <c r="K1096" s="60">
        <f t="shared" ca="1" si="47"/>
        <v>14.134483333333334</v>
      </c>
    </row>
    <row r="1097" spans="1:11" ht="15">
      <c r="A1097" s="3">
        <v>2082</v>
      </c>
      <c r="B1097" s="60">
        <f t="shared" ref="B1097:K1106" ca="1" si="48">AVERAGE(OFFSET(B$562,($A1097-$A$1077)*12,0,12,1))</f>
        <v>11.967008333333334</v>
      </c>
      <c r="C1097" s="60">
        <f t="shared" ca="1" si="48"/>
        <v>11.967008333333334</v>
      </c>
      <c r="D1097" s="60">
        <f t="shared" ca="1" si="48"/>
        <v>11.990383333333332</v>
      </c>
      <c r="E1097" s="60">
        <f t="shared" ca="1" si="48"/>
        <v>14.387866666666666</v>
      </c>
      <c r="F1097" s="60">
        <f t="shared" ca="1" si="48"/>
        <v>14.387866666666666</v>
      </c>
      <c r="G1097" s="60">
        <f t="shared" ca="1" si="48"/>
        <v>14.388816666666669</v>
      </c>
      <c r="H1097" s="60">
        <f t="shared" ca="1" si="48"/>
        <v>19.882974999999998</v>
      </c>
      <c r="I1097" s="60">
        <f t="shared" ca="1" si="48"/>
        <v>19.883916666666668</v>
      </c>
      <c r="J1097" s="60">
        <f t="shared" ca="1" si="48"/>
        <v>14.387866666666666</v>
      </c>
      <c r="K1097" s="60">
        <f t="shared" ca="1" si="48"/>
        <v>14.388816666666669</v>
      </c>
    </row>
    <row r="1098" spans="1:11" ht="15">
      <c r="A1098" s="3">
        <v>2083</v>
      </c>
      <c r="B1098" s="60">
        <f t="shared" ca="1" si="48"/>
        <v>12.165199999999999</v>
      </c>
      <c r="C1098" s="60">
        <f t="shared" ca="1" si="48"/>
        <v>12.165199999999999</v>
      </c>
      <c r="D1098" s="60">
        <f t="shared" ca="1" si="48"/>
        <v>12.188591666666669</v>
      </c>
      <c r="E1098" s="60">
        <f t="shared" ca="1" si="48"/>
        <v>14.642216666666664</v>
      </c>
      <c r="F1098" s="60">
        <f t="shared" ca="1" si="48"/>
        <v>14.642216666666664</v>
      </c>
      <c r="G1098" s="60">
        <f t="shared" ca="1" si="48"/>
        <v>14.643183333333333</v>
      </c>
      <c r="H1098" s="60">
        <f t="shared" ca="1" si="48"/>
        <v>20.211375</v>
      </c>
      <c r="I1098" s="60">
        <f t="shared" ca="1" si="48"/>
        <v>20.212325000000003</v>
      </c>
      <c r="J1098" s="60">
        <f t="shared" ca="1" si="48"/>
        <v>14.642216666666664</v>
      </c>
      <c r="K1098" s="60">
        <f t="shared" ca="1" si="48"/>
        <v>14.643183333333333</v>
      </c>
    </row>
    <row r="1099" spans="1:11" ht="15">
      <c r="A1099" s="3">
        <v>2084</v>
      </c>
      <c r="B1099" s="60">
        <f t="shared" ca="1" si="48"/>
        <v>12.363408333333332</v>
      </c>
      <c r="C1099" s="60">
        <f t="shared" ca="1" si="48"/>
        <v>12.363408333333332</v>
      </c>
      <c r="D1099" s="60">
        <f t="shared" ca="1" si="48"/>
        <v>12.386791666666667</v>
      </c>
      <c r="E1099" s="60">
        <f t="shared" ca="1" si="48"/>
        <v>14.896574999999999</v>
      </c>
      <c r="F1099" s="60">
        <f t="shared" ca="1" si="48"/>
        <v>14.896574999999999</v>
      </c>
      <c r="G1099" s="60">
        <f t="shared" ca="1" si="48"/>
        <v>14.897525</v>
      </c>
      <c r="H1099" s="60">
        <f t="shared" ca="1" si="48"/>
        <v>20.539783333333336</v>
      </c>
      <c r="I1099" s="60">
        <f t="shared" ca="1" si="48"/>
        <v>20.540741666666666</v>
      </c>
      <c r="J1099" s="60">
        <f t="shared" ca="1" si="48"/>
        <v>14.896574999999999</v>
      </c>
      <c r="K1099" s="60">
        <f t="shared" ca="1" si="48"/>
        <v>14.897525</v>
      </c>
    </row>
    <row r="1100" spans="1:11" ht="15">
      <c r="A1100" s="3">
        <v>2085</v>
      </c>
      <c r="B1100" s="60">
        <f t="shared" ca="1" si="48"/>
        <v>12.561633333333333</v>
      </c>
      <c r="C1100" s="60">
        <f t="shared" ca="1" si="48"/>
        <v>12.561633333333333</v>
      </c>
      <c r="D1100" s="60">
        <f t="shared" ca="1" si="48"/>
        <v>12.585008333333333</v>
      </c>
      <c r="E1100" s="60">
        <f t="shared" ca="1" si="48"/>
        <v>15.150924999999999</v>
      </c>
      <c r="F1100" s="60">
        <f t="shared" ca="1" si="48"/>
        <v>15.150924999999999</v>
      </c>
      <c r="G1100" s="60">
        <f t="shared" ca="1" si="48"/>
        <v>15.151850000000001</v>
      </c>
      <c r="H1100" s="60">
        <f t="shared" ca="1" si="48"/>
        <v>20.868191666666664</v>
      </c>
      <c r="I1100" s="60">
        <f t="shared" ca="1" si="48"/>
        <v>20.869150000000001</v>
      </c>
      <c r="J1100" s="60">
        <f t="shared" ca="1" si="48"/>
        <v>15.150924999999999</v>
      </c>
      <c r="K1100" s="60">
        <f t="shared" ca="1" si="48"/>
        <v>15.151850000000001</v>
      </c>
    </row>
    <row r="1101" spans="1:11" ht="15">
      <c r="A1101" s="3">
        <v>2086</v>
      </c>
      <c r="B1101" s="60">
        <f t="shared" ca="1" si="48"/>
        <v>12.759825000000001</v>
      </c>
      <c r="C1101" s="60">
        <f t="shared" ca="1" si="48"/>
        <v>12.759825000000001</v>
      </c>
      <c r="D1101" s="60">
        <f t="shared" ca="1" si="48"/>
        <v>12.783199999999999</v>
      </c>
      <c r="E1101" s="60">
        <f t="shared" ca="1" si="48"/>
        <v>15.405266666666668</v>
      </c>
      <c r="F1101" s="60">
        <f t="shared" ca="1" si="48"/>
        <v>15.405266666666668</v>
      </c>
      <c r="G1101" s="60">
        <f t="shared" ca="1" si="48"/>
        <v>15.406216666666666</v>
      </c>
      <c r="H1101" s="60">
        <f t="shared" ca="1" si="48"/>
        <v>21.1966</v>
      </c>
      <c r="I1101" s="60">
        <f t="shared" ca="1" si="48"/>
        <v>21.197558333333337</v>
      </c>
      <c r="J1101" s="60">
        <f t="shared" ca="1" si="48"/>
        <v>15.405266666666668</v>
      </c>
      <c r="K1101" s="60">
        <f t="shared" ca="1" si="48"/>
        <v>15.406216666666666</v>
      </c>
    </row>
    <row r="1102" spans="1:11" ht="15">
      <c r="A1102" s="3">
        <v>2087</v>
      </c>
      <c r="B1102" s="60">
        <f t="shared" ca="1" si="48"/>
        <v>12.958016666666666</v>
      </c>
      <c r="C1102" s="60">
        <f t="shared" ca="1" si="48"/>
        <v>12.958016666666666</v>
      </c>
      <c r="D1102" s="60">
        <f t="shared" ca="1" si="48"/>
        <v>12.981391666666667</v>
      </c>
      <c r="E1102" s="60">
        <f t="shared" ca="1" si="48"/>
        <v>15.659599999999998</v>
      </c>
      <c r="F1102" s="60">
        <f t="shared" ca="1" si="48"/>
        <v>15.659599999999998</v>
      </c>
      <c r="G1102" s="60">
        <f t="shared" ca="1" si="48"/>
        <v>15.660575000000001</v>
      </c>
      <c r="H1102" s="60">
        <f t="shared" ca="1" si="48"/>
        <v>21.525000000000002</v>
      </c>
      <c r="I1102" s="60">
        <f t="shared" ca="1" si="48"/>
        <v>21.525966666666665</v>
      </c>
      <c r="J1102" s="60">
        <f t="shared" ca="1" si="48"/>
        <v>15.659599999999998</v>
      </c>
      <c r="K1102" s="60">
        <f t="shared" ca="1" si="48"/>
        <v>15.660575000000001</v>
      </c>
    </row>
    <row r="1103" spans="1:11" ht="15">
      <c r="A1103" s="3">
        <v>2088</v>
      </c>
      <c r="B1103" s="60">
        <f t="shared" ca="1" si="48"/>
        <v>13.156224999999997</v>
      </c>
      <c r="C1103" s="60">
        <f t="shared" ca="1" si="48"/>
        <v>13.156224999999997</v>
      </c>
      <c r="D1103" s="60">
        <f t="shared" ca="1" si="48"/>
        <v>13.179599999999999</v>
      </c>
      <c r="E1103" s="60">
        <f t="shared" ca="1" si="48"/>
        <v>15.913966666666667</v>
      </c>
      <c r="F1103" s="60">
        <f t="shared" ca="1" si="48"/>
        <v>15.913966666666667</v>
      </c>
      <c r="G1103" s="60">
        <f t="shared" ca="1" si="48"/>
        <v>15.914908333333335</v>
      </c>
      <c r="H1103" s="60">
        <f t="shared" ca="1" si="48"/>
        <v>21.853391666666667</v>
      </c>
      <c r="I1103" s="60">
        <f t="shared" ca="1" si="48"/>
        <v>21.854366666666667</v>
      </c>
      <c r="J1103" s="60">
        <f t="shared" ca="1" si="48"/>
        <v>15.913966666666667</v>
      </c>
      <c r="K1103" s="60">
        <f t="shared" ca="1" si="48"/>
        <v>15.914908333333335</v>
      </c>
    </row>
    <row r="1104" spans="1:11" ht="15">
      <c r="A1104" s="3">
        <v>2089</v>
      </c>
      <c r="B1104" s="60">
        <f t="shared" ca="1" si="48"/>
        <v>13.354433333333334</v>
      </c>
      <c r="C1104" s="60">
        <f t="shared" ca="1" si="48"/>
        <v>13.354433333333334</v>
      </c>
      <c r="D1104" s="60">
        <f t="shared" ca="1" si="48"/>
        <v>13.377808333333334</v>
      </c>
      <c r="E1104" s="60">
        <f t="shared" ca="1" si="48"/>
        <v>16.168316666666669</v>
      </c>
      <c r="F1104" s="60">
        <f t="shared" ca="1" si="48"/>
        <v>16.168316666666669</v>
      </c>
      <c r="G1104" s="60">
        <f t="shared" ca="1" si="48"/>
        <v>16.169241666666665</v>
      </c>
      <c r="H1104" s="60">
        <f t="shared" ca="1" si="48"/>
        <v>22.181825</v>
      </c>
      <c r="I1104" s="60">
        <f t="shared" ca="1" si="48"/>
        <v>22.182774999999996</v>
      </c>
      <c r="J1104" s="60">
        <f t="shared" ca="1" si="48"/>
        <v>16.168316666666669</v>
      </c>
      <c r="K1104" s="60">
        <f t="shared" ca="1" si="48"/>
        <v>16.169241666666665</v>
      </c>
    </row>
    <row r="1105" spans="1:11" ht="15">
      <c r="A1105" s="3">
        <v>2090</v>
      </c>
      <c r="B1105" s="60">
        <f t="shared" ca="1" si="48"/>
        <v>13.552641666666666</v>
      </c>
      <c r="C1105" s="60">
        <f t="shared" ca="1" si="48"/>
        <v>13.552641666666666</v>
      </c>
      <c r="D1105" s="60">
        <f t="shared" ca="1" si="48"/>
        <v>13.576016666666668</v>
      </c>
      <c r="E1105" s="60">
        <f t="shared" ca="1" si="48"/>
        <v>16.422641666666667</v>
      </c>
      <c r="F1105" s="60">
        <f t="shared" ca="1" si="48"/>
        <v>16.422641666666667</v>
      </c>
      <c r="G1105" s="60">
        <f t="shared" ca="1" si="48"/>
        <v>16.423600000000004</v>
      </c>
      <c r="H1105" s="60">
        <f t="shared" ca="1" si="48"/>
        <v>22.510224999999991</v>
      </c>
      <c r="I1105" s="60">
        <f t="shared" ca="1" si="48"/>
        <v>22.511183333333332</v>
      </c>
      <c r="J1105" s="60">
        <f t="shared" ca="1" si="48"/>
        <v>16.422641666666667</v>
      </c>
      <c r="K1105" s="60">
        <f t="shared" ca="1" si="48"/>
        <v>16.423600000000004</v>
      </c>
    </row>
    <row r="1106" spans="1:11" ht="15">
      <c r="A1106" s="3">
        <v>2091</v>
      </c>
      <c r="B1106" s="60">
        <f t="shared" ca="1" si="48"/>
        <v>13.750824999999999</v>
      </c>
      <c r="C1106" s="60">
        <f t="shared" ca="1" si="48"/>
        <v>13.750824999999999</v>
      </c>
      <c r="D1106" s="60">
        <f t="shared" ca="1" si="48"/>
        <v>13.7742</v>
      </c>
      <c r="E1106" s="60">
        <f t="shared" ca="1" si="48"/>
        <v>16.677</v>
      </c>
      <c r="F1106" s="60">
        <f t="shared" ca="1" si="48"/>
        <v>16.677</v>
      </c>
      <c r="G1106" s="60">
        <f t="shared" ca="1" si="48"/>
        <v>16.677949999999999</v>
      </c>
      <c r="H1106" s="60">
        <f t="shared" ca="1" si="48"/>
        <v>22.83863333333333</v>
      </c>
      <c r="I1106" s="60">
        <f t="shared" ca="1" si="48"/>
        <v>22.839583333333334</v>
      </c>
      <c r="J1106" s="60">
        <f t="shared" ca="1" si="48"/>
        <v>16.677</v>
      </c>
      <c r="K1106" s="60">
        <f t="shared" ca="1" si="48"/>
        <v>16.677949999999999</v>
      </c>
    </row>
    <row r="1107" spans="1:11" ht="15">
      <c r="A1107" s="3">
        <v>2092</v>
      </c>
      <c r="B1107" s="60">
        <f t="shared" ref="B1107:K1115" ca="1" si="49">AVERAGE(OFFSET(B$562,($A1107-$A$1077)*12,0,12,1))</f>
        <v>13.949050000000002</v>
      </c>
      <c r="C1107" s="60">
        <f t="shared" ca="1" si="49"/>
        <v>13.949050000000002</v>
      </c>
      <c r="D1107" s="60">
        <f t="shared" ca="1" si="49"/>
        <v>13.972433333333329</v>
      </c>
      <c r="E1107" s="60">
        <f t="shared" ca="1" si="49"/>
        <v>16.931341666666665</v>
      </c>
      <c r="F1107" s="60">
        <f t="shared" ca="1" si="49"/>
        <v>16.931341666666665</v>
      </c>
      <c r="G1107" s="60">
        <f t="shared" ca="1" si="49"/>
        <v>16.932300000000001</v>
      </c>
      <c r="H1107" s="60">
        <f t="shared" ca="1" si="49"/>
        <v>23.167033333333332</v>
      </c>
      <c r="I1107" s="60">
        <f t="shared" ca="1" si="49"/>
        <v>23.168000000000003</v>
      </c>
      <c r="J1107" s="60">
        <f t="shared" ca="1" si="49"/>
        <v>16.931341666666665</v>
      </c>
      <c r="K1107" s="60">
        <f t="shared" ca="1" si="49"/>
        <v>16.932300000000001</v>
      </c>
    </row>
    <row r="1108" spans="1:11" ht="15">
      <c r="A1108" s="3">
        <v>2093</v>
      </c>
      <c r="B1108" s="60">
        <f t="shared" ca="1" si="49"/>
        <v>14.147258333333333</v>
      </c>
      <c r="C1108" s="60">
        <f t="shared" ca="1" si="49"/>
        <v>14.147258333333333</v>
      </c>
      <c r="D1108" s="60">
        <f t="shared" ca="1" si="49"/>
        <v>14.170633333333335</v>
      </c>
      <c r="E1108" s="60">
        <f t="shared" ca="1" si="49"/>
        <v>17.185691666666667</v>
      </c>
      <c r="F1108" s="60">
        <f t="shared" ca="1" si="49"/>
        <v>17.185691666666667</v>
      </c>
      <c r="G1108" s="60">
        <f t="shared" ca="1" si="49"/>
        <v>17.186633333333329</v>
      </c>
      <c r="H1108" s="60">
        <f t="shared" ca="1" si="49"/>
        <v>23.495433333333335</v>
      </c>
      <c r="I1108" s="60">
        <f t="shared" ca="1" si="49"/>
        <v>23.496416666666661</v>
      </c>
      <c r="J1108" s="60">
        <f t="shared" ca="1" si="49"/>
        <v>17.185691666666667</v>
      </c>
      <c r="K1108" s="60">
        <f t="shared" ca="1" si="49"/>
        <v>17.186633333333329</v>
      </c>
    </row>
    <row r="1109" spans="1:11" ht="15">
      <c r="A1109" s="3">
        <v>2094</v>
      </c>
      <c r="B1109" s="60">
        <f t="shared" ca="1" si="49"/>
        <v>14.345441666666664</v>
      </c>
      <c r="C1109" s="60">
        <f t="shared" ca="1" si="49"/>
        <v>14.345441666666664</v>
      </c>
      <c r="D1109" s="60">
        <f t="shared" ca="1" si="49"/>
        <v>14.368824999999999</v>
      </c>
      <c r="E1109" s="60">
        <f t="shared" ca="1" si="49"/>
        <v>17.440033333333336</v>
      </c>
      <c r="F1109" s="60">
        <f t="shared" ca="1" si="49"/>
        <v>17.440033333333336</v>
      </c>
      <c r="G1109" s="60">
        <f t="shared" ca="1" si="49"/>
        <v>17.440999999999999</v>
      </c>
      <c r="H1109" s="60">
        <f t="shared" ca="1" si="49"/>
        <v>23.823850000000004</v>
      </c>
      <c r="I1109" s="60">
        <f t="shared" ca="1" si="49"/>
        <v>23.824816666666667</v>
      </c>
      <c r="J1109" s="60">
        <f t="shared" ca="1" si="49"/>
        <v>17.440033333333336</v>
      </c>
      <c r="K1109" s="60">
        <f t="shared" ca="1" si="49"/>
        <v>17.440999999999999</v>
      </c>
    </row>
    <row r="1110" spans="1:11" ht="15">
      <c r="A1110" s="3">
        <v>2095</v>
      </c>
      <c r="B1110" s="60">
        <f t="shared" ca="1" si="49"/>
        <v>14.543658333333335</v>
      </c>
      <c r="C1110" s="60">
        <f t="shared" ca="1" si="49"/>
        <v>14.543658333333335</v>
      </c>
      <c r="D1110" s="60">
        <f t="shared" ca="1" si="49"/>
        <v>14.567033333333333</v>
      </c>
      <c r="E1110" s="60">
        <f t="shared" ca="1" si="49"/>
        <v>17.694366666666667</v>
      </c>
      <c r="F1110" s="60">
        <f t="shared" ca="1" si="49"/>
        <v>17.694366666666667</v>
      </c>
      <c r="G1110" s="60">
        <f t="shared" ca="1" si="49"/>
        <v>17.69533333333333</v>
      </c>
      <c r="H1110" s="60">
        <f t="shared" ca="1" si="49"/>
        <v>24.152266666666673</v>
      </c>
      <c r="I1110" s="60">
        <f t="shared" ca="1" si="49"/>
        <v>24.153216666666665</v>
      </c>
      <c r="J1110" s="60">
        <f t="shared" ca="1" si="49"/>
        <v>17.694366666666667</v>
      </c>
      <c r="K1110" s="60">
        <f t="shared" ca="1" si="49"/>
        <v>17.69533333333333</v>
      </c>
    </row>
    <row r="1111" spans="1:11" ht="15">
      <c r="A1111" s="3">
        <v>2096</v>
      </c>
      <c r="B1111" s="60">
        <f t="shared" ca="1" si="49"/>
        <v>14.741866666666667</v>
      </c>
      <c r="C1111" s="60">
        <f t="shared" ca="1" si="49"/>
        <v>14.741866666666667</v>
      </c>
      <c r="D1111" s="60">
        <f t="shared" ca="1" si="49"/>
        <v>14.765241666666666</v>
      </c>
      <c r="E1111" s="60">
        <f t="shared" ca="1" si="49"/>
        <v>17.948741666666663</v>
      </c>
      <c r="F1111" s="60">
        <f t="shared" ca="1" si="49"/>
        <v>17.948741666666663</v>
      </c>
      <c r="G1111" s="60">
        <f t="shared" ca="1" si="49"/>
        <v>17.949691666666666</v>
      </c>
      <c r="H1111" s="60">
        <f t="shared" ca="1" si="49"/>
        <v>24.480666666666668</v>
      </c>
      <c r="I1111" s="60">
        <f t="shared" ca="1" si="49"/>
        <v>24.481616666666667</v>
      </c>
      <c r="J1111" s="60">
        <f t="shared" ca="1" si="49"/>
        <v>17.948741666666663</v>
      </c>
      <c r="K1111" s="60">
        <f t="shared" ca="1" si="49"/>
        <v>17.949691666666666</v>
      </c>
    </row>
    <row r="1112" spans="1:11" ht="15">
      <c r="A1112" s="3">
        <v>2097</v>
      </c>
      <c r="B1112" s="60">
        <f t="shared" ca="1" si="49"/>
        <v>14.940049999999999</v>
      </c>
      <c r="C1112" s="60">
        <f t="shared" ca="1" si="49"/>
        <v>14.940049999999999</v>
      </c>
      <c r="D1112" s="60">
        <f t="shared" ca="1" si="49"/>
        <v>14.963425000000001</v>
      </c>
      <c r="E1112" s="60">
        <f t="shared" ca="1" si="49"/>
        <v>18.203083333333332</v>
      </c>
      <c r="F1112" s="60">
        <f t="shared" ca="1" si="49"/>
        <v>18.203083333333332</v>
      </c>
      <c r="G1112" s="60">
        <f t="shared" ca="1" si="49"/>
        <v>18.204025000000001</v>
      </c>
      <c r="H1112" s="60">
        <f t="shared" ca="1" si="49"/>
        <v>24.809074999999996</v>
      </c>
      <c r="I1112" s="60">
        <f t="shared" ca="1" si="49"/>
        <v>24.810041666666667</v>
      </c>
      <c r="J1112" s="60">
        <f t="shared" ca="1" si="49"/>
        <v>18.203083333333332</v>
      </c>
      <c r="K1112" s="60">
        <f t="shared" ca="1" si="49"/>
        <v>18.204025000000001</v>
      </c>
    </row>
    <row r="1113" spans="1:11" ht="15">
      <c r="A1113" s="3">
        <v>2098</v>
      </c>
      <c r="B1113" s="60">
        <f t="shared" ca="1" si="49"/>
        <v>15.138258333333333</v>
      </c>
      <c r="C1113" s="60">
        <f t="shared" ca="1" si="49"/>
        <v>15.138258333333333</v>
      </c>
      <c r="D1113" s="60">
        <f t="shared" ca="1" si="49"/>
        <v>15.161633333333333</v>
      </c>
      <c r="E1113" s="60">
        <f t="shared" ca="1" si="49"/>
        <v>18.457425000000004</v>
      </c>
      <c r="F1113" s="60">
        <f t="shared" ca="1" si="49"/>
        <v>18.457425000000004</v>
      </c>
      <c r="G1113" s="60">
        <f t="shared" ca="1" si="49"/>
        <v>18.458375000000004</v>
      </c>
      <c r="H1113" s="60">
        <f t="shared" ca="1" si="49"/>
        <v>25.137474999999995</v>
      </c>
      <c r="I1113" s="60">
        <f t="shared" ca="1" si="49"/>
        <v>25.138441666666665</v>
      </c>
      <c r="J1113" s="60">
        <f t="shared" ca="1" si="49"/>
        <v>18.457425000000004</v>
      </c>
      <c r="K1113" s="60">
        <f t="shared" ca="1" si="49"/>
        <v>18.458375000000004</v>
      </c>
    </row>
    <row r="1114" spans="1:11" ht="15">
      <c r="A1114" s="3">
        <v>2099</v>
      </c>
      <c r="B1114" s="60">
        <f t="shared" ca="1" si="49"/>
        <v>15.336458333333335</v>
      </c>
      <c r="C1114" s="60">
        <f t="shared" ca="1" si="49"/>
        <v>15.336458333333335</v>
      </c>
      <c r="D1114" s="60">
        <f t="shared" ca="1" si="49"/>
        <v>15.359833333333334</v>
      </c>
      <c r="E1114" s="60">
        <f t="shared" ca="1" si="49"/>
        <v>18.711774999999996</v>
      </c>
      <c r="F1114" s="60">
        <f t="shared" ca="1" si="49"/>
        <v>18.711774999999996</v>
      </c>
      <c r="G1114" s="60">
        <f t="shared" ca="1" si="49"/>
        <v>18.712733333333336</v>
      </c>
      <c r="H1114" s="60">
        <f t="shared" ca="1" si="49"/>
        <v>25.465883333333334</v>
      </c>
      <c r="I1114" s="60">
        <f t="shared" ca="1" si="49"/>
        <v>25.466849999999997</v>
      </c>
      <c r="J1114" s="60">
        <f t="shared" ca="1" si="49"/>
        <v>18.711774999999996</v>
      </c>
      <c r="K1114" s="60">
        <f t="shared" ca="1" si="49"/>
        <v>18.712733333333336</v>
      </c>
    </row>
    <row r="1115" spans="1:11" ht="15">
      <c r="A1115" s="3">
        <v>2100</v>
      </c>
      <c r="B1115" s="60">
        <f t="shared" ca="1" si="49"/>
        <v>15.534666666666666</v>
      </c>
      <c r="C1115" s="60">
        <f t="shared" ca="1" si="49"/>
        <v>15.534666666666666</v>
      </c>
      <c r="D1115" s="60">
        <f t="shared" ca="1" si="49"/>
        <v>15.558041666666668</v>
      </c>
      <c r="E1115" s="60">
        <f t="shared" ca="1" si="49"/>
        <v>18.966125000000002</v>
      </c>
      <c r="F1115" s="60">
        <f t="shared" ca="1" si="49"/>
        <v>18.966125000000002</v>
      </c>
      <c r="G1115" s="60">
        <f t="shared" ca="1" si="49"/>
        <v>18.967074999999998</v>
      </c>
      <c r="H1115" s="60">
        <f t="shared" ca="1" si="49"/>
        <v>25.794299999999996</v>
      </c>
      <c r="I1115" s="60">
        <f t="shared" ca="1" si="49"/>
        <v>25.795241666666659</v>
      </c>
      <c r="J1115" s="60">
        <f t="shared" ca="1" si="49"/>
        <v>18.966125000000002</v>
      </c>
      <c r="K1115" s="60">
        <f t="shared" ca="1" si="49"/>
        <v>18.967074999999998</v>
      </c>
    </row>
  </sheetData>
  <mergeCells count="7">
    <mergeCell ref="B7:D7"/>
    <mergeCell ref="L7:M7"/>
    <mergeCell ref="N7:O7"/>
    <mergeCell ref="L6:O6"/>
    <mergeCell ref="E7:G7"/>
    <mergeCell ref="J7:K7"/>
    <mergeCell ref="H7:I7"/>
  </mergeCells>
  <pageMargins left="0.75" right="0.75" top="1" bottom="1" header="0.5" footer="0.5"/>
  <pageSetup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locked="0" defaultSize="0" autoLine="0" autoPict="0">
                <anchor moveWithCells="1">
                  <from>
                    <xdr:col>5</xdr:col>
                    <xdr:colOff>373380</xdr:colOff>
                    <xdr:row>4</xdr:row>
                    <xdr:rowOff>45720</xdr:rowOff>
                  </from>
                  <to>
                    <xdr:col>6</xdr:col>
                    <xdr:colOff>381000</xdr:colOff>
                    <xdr:row>5</xdr:row>
                    <xdr:rowOff>144780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E34"/>
  <sheetViews>
    <sheetView showGridLines="0" workbookViewId="0"/>
  </sheetViews>
  <sheetFormatPr defaultColWidth="8.90625" defaultRowHeight="15.6"/>
  <cols>
    <col min="1" max="1" width="8.90625" style="73"/>
    <col min="2" max="2" width="15.54296875" style="73" bestFit="1" customWidth="1"/>
    <col min="3" max="3" width="9.54296875" style="73" bestFit="1" customWidth="1"/>
    <col min="4" max="16384" width="8.90625" style="73"/>
  </cols>
  <sheetData>
    <row r="1" spans="1:3">
      <c r="A1" s="93" t="s">
        <v>68</v>
      </c>
    </row>
    <row r="5" spans="1:3">
      <c r="B5" s="78" t="s">
        <v>63</v>
      </c>
      <c r="C5" s="78" t="s">
        <v>54</v>
      </c>
    </row>
    <row r="6" spans="1:3">
      <c r="B6" s="80" t="s">
        <v>61</v>
      </c>
      <c r="C6" s="89">
        <v>2</v>
      </c>
    </row>
    <row r="7" spans="1:3">
      <c r="B7" s="80" t="s">
        <v>60</v>
      </c>
      <c r="C7" s="91"/>
    </row>
    <row r="8" spans="1:3">
      <c r="B8" s="79" t="s">
        <v>59</v>
      </c>
      <c r="C8" s="90"/>
    </row>
    <row r="11" spans="1:3">
      <c r="B11" s="78" t="s">
        <v>55</v>
      </c>
      <c r="C11" s="78" t="s">
        <v>54</v>
      </c>
    </row>
    <row r="12" spans="1:3">
      <c r="B12" s="80" t="s">
        <v>61</v>
      </c>
      <c r="C12" s="89">
        <v>2</v>
      </c>
    </row>
    <row r="13" spans="1:3">
      <c r="B13" s="80" t="s">
        <v>60</v>
      </c>
      <c r="C13" s="91"/>
    </row>
    <row r="14" spans="1:3">
      <c r="B14" s="79" t="s">
        <v>59</v>
      </c>
      <c r="C14" s="90"/>
    </row>
    <row r="18" spans="2:3">
      <c r="B18" s="78" t="s">
        <v>62</v>
      </c>
      <c r="C18" s="78" t="s">
        <v>54</v>
      </c>
    </row>
    <row r="19" spans="2:3">
      <c r="B19" s="80" t="s">
        <v>61</v>
      </c>
      <c r="C19" s="89">
        <v>2</v>
      </c>
    </row>
    <row r="20" spans="2:3">
      <c r="B20" s="80" t="s">
        <v>60</v>
      </c>
      <c r="C20" s="91"/>
    </row>
    <row r="21" spans="2:3">
      <c r="B21" s="79" t="s">
        <v>59</v>
      </c>
      <c r="C21" s="90"/>
    </row>
    <row r="24" spans="2:3">
      <c r="B24" s="78" t="s">
        <v>58</v>
      </c>
      <c r="C24" s="78" t="s">
        <v>54</v>
      </c>
    </row>
    <row r="25" spans="2:3">
      <c r="B25" s="77" t="s">
        <v>57</v>
      </c>
      <c r="C25" s="89">
        <v>2</v>
      </c>
    </row>
    <row r="26" spans="2:3">
      <c r="B26" s="76" t="s">
        <v>56</v>
      </c>
      <c r="C26" s="90"/>
    </row>
    <row r="28" spans="2:3">
      <c r="B28" s="78" t="s">
        <v>55</v>
      </c>
      <c r="C28" s="78" t="s">
        <v>54</v>
      </c>
    </row>
    <row r="29" spans="2:3">
      <c r="B29" s="77" t="s">
        <v>53</v>
      </c>
      <c r="C29" s="89">
        <v>2</v>
      </c>
    </row>
    <row r="30" spans="2:3">
      <c r="B30" s="76" t="s">
        <v>52</v>
      </c>
      <c r="C30" s="90"/>
    </row>
    <row r="34" spans="3:5">
      <c r="C34" s="75"/>
      <c r="E34" s="74"/>
    </row>
  </sheetData>
  <mergeCells count="5">
    <mergeCell ref="C29:C30"/>
    <mergeCell ref="C19:C21"/>
    <mergeCell ref="C25:C26"/>
    <mergeCell ref="C6:C8"/>
    <mergeCell ref="C12:C14"/>
  </mergeCells>
  <pageMargins left="0.75" right="0.75" top="1" bottom="1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RAP-NATURAL GAS PRICES</vt:lpstr>
      <vt:lpstr>RAP TEMPLATE-GAS AVAILABILITY</vt:lpstr>
      <vt:lpstr>RAP-HEAVY &amp; LIGHT OIL &amp; WTI</vt:lpstr>
      <vt:lpstr>RAP-SOLID FUEL PRICES</vt:lpstr>
      <vt:lpstr>CONTROL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2017-07-10T19:44:03Z</dcterms:created>
  <dcterms:modified xsi:type="dcterms:W3CDTF">2017-07-10T20:33:25Z</dcterms:modified>
</cp:coreProperties>
</file>