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filterPrivacy="1" defaultThemeVersion="166925"/>
  <xr:revisionPtr revIDLastSave="0" documentId="13_ncr:1_{4D08D228-7CD2-4B0F-B73C-193451575B8E}" xr6:coauthVersionLast="31" xr6:coauthVersionMax="32" xr10:uidLastSave="{00000000-0000-0000-0000-000000000000}"/>
  <bookViews>
    <workbookView xWindow="0" yWindow="600" windowWidth="28800" windowHeight="12225" xr2:uid="{15A0B475-CC30-4254-A523-A3E23F2B0691}"/>
  </bookViews>
  <sheets>
    <sheet name="Q28" sheetId="1" r:id="rId1"/>
  </sheets>
  <externalReferences>
    <externalReference r:id="rId2"/>
  </externalReferences>
  <definedNames>
    <definedName name="CE_Ratio">'[1]RR Input'!$D$5</definedName>
    <definedName name="Debt_Ratio">'[1]RR Input'!$D$7</definedName>
    <definedName name="FixOM_Esc_Rate">'[1]RR Input'!$C$14</definedName>
    <definedName name="_xlnm.Print_Area" localSheetId="0">'Q28'!$B$1:$Y$72</definedName>
    <definedName name="Property_Tax_Rate">'[1]RR Input'!$C$12</definedName>
    <definedName name="PS_Ratio">'[1]RR Input'!$D$6</definedName>
    <definedName name="ROCE">'[1]RR Input'!$C$5</definedName>
    <definedName name="ROD">'[1]RR Input'!$C$7</definedName>
    <definedName name="Start_Year">'[1]RR Input'!$C$10</definedName>
    <definedName name="Tax_Column">[1]Tables!$D$247:$E$251</definedName>
    <definedName name="Tax_Dep_Table">[1]Tables!$D$215:$I$238</definedName>
    <definedName name="Tax_Rate">'[1]RR Input'!$C$11</definedName>
    <definedName name="Unit_1_Book_Life">'[1]RR Input'!$C$58</definedName>
    <definedName name="Unit_1_FixOM_Rate">'[1]RR Input'!$C$56</definedName>
    <definedName name="Unit_1_Fuel_Cost">[1]Tables!$E$4:$AH$4</definedName>
    <definedName name="Unit_1_Ins_Mon">'[1]RM Input'!$B$47</definedName>
    <definedName name="Unit_1_Ins_Yr">'[1]RM Input'!$A$47</definedName>
    <definedName name="Unit_1_MW">'[1]RR Input'!$C$41</definedName>
    <definedName name="Unit_1_Name">'[1]RM Input'!$E$47</definedName>
    <definedName name="Unit_1_Tax_Life">'[1]RR Input'!$C$59</definedName>
    <definedName name="Unit_1_Total_Cap_Ex">'[1]RR Input'!$C$91</definedName>
    <definedName name="Unit_1_VarOM_Rate">'[1]RR Input'!$C$57</definedName>
    <definedName name="Unit_2_Name">'[1]RM Input'!$E$48</definedName>
    <definedName name="VarOM_Esc_Rate">'[1]RR Input'!$C$15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2" i="1" l="1"/>
  <c r="O52" i="1"/>
  <c r="K52" i="1"/>
  <c r="G52" i="1"/>
  <c r="C52" i="1"/>
  <c r="T51" i="1"/>
  <c r="P51" i="1"/>
  <c r="L51" i="1"/>
  <c r="H51" i="1"/>
  <c r="D51" i="1"/>
  <c r="D50" i="1"/>
  <c r="T49" i="1"/>
  <c r="P49" i="1"/>
  <c r="L49" i="1"/>
  <c r="H49" i="1"/>
  <c r="D49" i="1"/>
  <c r="D52" i="1" s="1"/>
  <c r="AA30" i="1"/>
  <c r="Z30" i="1"/>
  <c r="Y30" i="1"/>
  <c r="X30" i="1"/>
  <c r="R28" i="1"/>
  <c r="N28" i="1"/>
  <c r="J28" i="1"/>
  <c r="F28" i="1"/>
  <c r="C28" i="1"/>
  <c r="O28" i="1" s="1"/>
  <c r="P28" i="1" s="1"/>
  <c r="P47" i="1" s="1"/>
  <c r="S17" i="1" s="1"/>
  <c r="B28" i="1"/>
  <c r="E25" i="1"/>
  <c r="E24" i="1"/>
  <c r="E23" i="1"/>
  <c r="E22" i="1"/>
  <c r="E21" i="1"/>
  <c r="D20" i="1"/>
  <c r="C20" i="1"/>
  <c r="E12" i="1"/>
  <c r="E11" i="1"/>
  <c r="E10" i="1"/>
  <c r="E9" i="1"/>
  <c r="E8" i="1"/>
  <c r="E7" i="1"/>
  <c r="E6" i="1"/>
  <c r="L7" i="1"/>
  <c r="H7" i="1"/>
  <c r="E5" i="1"/>
  <c r="H6" i="1"/>
  <c r="H5" i="1"/>
  <c r="E4" i="1"/>
  <c r="H33" i="1" s="1"/>
  <c r="L4" i="1"/>
  <c r="T50" i="1" s="1"/>
  <c r="H4" i="1"/>
  <c r="L3" i="1"/>
  <c r="M3" i="1" s="1"/>
  <c r="H3" i="1"/>
  <c r="E3" i="1"/>
  <c r="D33" i="1" s="1"/>
  <c r="D2" i="1"/>
  <c r="T52" i="1" l="1"/>
  <c r="T35" i="1"/>
  <c r="L35" i="1"/>
  <c r="H35" i="1"/>
  <c r="D35" i="1"/>
  <c r="L33" i="1"/>
  <c r="H34" i="1"/>
  <c r="P33" i="1"/>
  <c r="G28" i="1"/>
  <c r="D39" i="1"/>
  <c r="H50" i="1"/>
  <c r="H52" i="1" s="1"/>
  <c r="H39" i="1"/>
  <c r="L50" i="1"/>
  <c r="L52" i="1" s="1"/>
  <c r="L39" i="1"/>
  <c r="P50" i="1"/>
  <c r="P52" i="1" s="1"/>
  <c r="D34" i="1"/>
  <c r="T39" i="1"/>
  <c r="D28" i="1"/>
  <c r="D47" i="1" s="1"/>
  <c r="S14" i="1" s="1"/>
  <c r="P39" i="1"/>
  <c r="T33" i="1"/>
  <c r="S20" i="1" l="1"/>
  <c r="S28" i="1"/>
  <c r="T28" i="1" s="1"/>
  <c r="T47" i="1" s="1"/>
  <c r="S18" i="1" s="1"/>
  <c r="H28" i="1"/>
  <c r="H47" i="1" s="1"/>
  <c r="S15" i="1" s="1"/>
  <c r="K28" i="1"/>
  <c r="L28" i="1" s="1"/>
  <c r="L47" i="1" s="1"/>
  <c r="S16" i="1" s="1"/>
  <c r="T34" i="1"/>
  <c r="P34" i="1"/>
  <c r="S19" i="1"/>
  <c r="L34" i="1"/>
  <c r="D37" i="1"/>
  <c r="D38" i="1" s="1"/>
  <c r="D40" i="1" s="1"/>
  <c r="D36" i="1"/>
  <c r="H37" i="1"/>
  <c r="H38" i="1" s="1"/>
  <c r="H40" i="1" s="1"/>
  <c r="H36" i="1"/>
  <c r="L36" i="1"/>
  <c r="L37" i="1"/>
  <c r="L38" i="1" s="1"/>
  <c r="P35" i="1"/>
  <c r="T37" i="1"/>
  <c r="T38" i="1" s="1"/>
  <c r="T36" i="1"/>
  <c r="L40" i="1" l="1"/>
  <c r="L41" i="1" s="1"/>
  <c r="H41" i="1"/>
  <c r="H42" i="1"/>
  <c r="H43" i="1"/>
  <c r="L43" i="1"/>
  <c r="L42" i="1"/>
  <c r="T40" i="1"/>
  <c r="D42" i="1"/>
  <c r="D41" i="1"/>
  <c r="D43" i="1"/>
  <c r="P37" i="1"/>
  <c r="P38" i="1" s="1"/>
  <c r="P40" i="1" s="1"/>
  <c r="P36" i="1"/>
  <c r="P41" i="1" l="1"/>
  <c r="P42" i="1"/>
  <c r="P43" i="1"/>
  <c r="D44" i="1"/>
  <c r="D45" i="1" s="1"/>
  <c r="S8" i="1" s="1"/>
  <c r="T41" i="1"/>
  <c r="T43" i="1"/>
  <c r="T42" i="1"/>
  <c r="L44" i="1"/>
  <c r="L45" i="1" s="1"/>
  <c r="S10" i="1" s="1"/>
  <c r="H44" i="1"/>
  <c r="H45" i="1" s="1"/>
  <c r="S9" i="1" s="1"/>
  <c r="T44" i="1" l="1"/>
  <c r="T45" i="1" s="1"/>
  <c r="S12" i="1" s="1"/>
  <c r="P44" i="1"/>
  <c r="P45" i="1" s="1"/>
  <c r="S11" i="1" s="1"/>
  <c r="S13" i="1" l="1"/>
  <c r="S21" i="1" s="1"/>
</calcChain>
</file>

<file path=xl/sharedStrings.xml><?xml version="1.0" encoding="utf-8"?>
<sst xmlns="http://schemas.openxmlformats.org/spreadsheetml/2006/main" count="164" uniqueCount="62">
  <si>
    <t>Tax Dep Tables</t>
  </si>
  <si>
    <t>Cap Ex Schedule ($000)</t>
  </si>
  <si>
    <t>Total</t>
  </si>
  <si>
    <t>MW</t>
  </si>
  <si>
    <t>Investment Tax Credit</t>
  </si>
  <si>
    <t>Lithia Solar</t>
  </si>
  <si>
    <t>Permanent tax diff</t>
  </si>
  <si>
    <t>YEAR</t>
  </si>
  <si>
    <t>3 YEAR</t>
  </si>
  <si>
    <t>5 YEAR</t>
  </si>
  <si>
    <t>10 YEAR</t>
  </si>
  <si>
    <t>15 YEAR</t>
  </si>
  <si>
    <t>20 YEAR</t>
  </si>
  <si>
    <t>Tax Rate eff</t>
  </si>
  <si>
    <t>DDB-SL</t>
  </si>
  <si>
    <t>150DB-SL</t>
  </si>
  <si>
    <t>Grange Hall Solar</t>
  </si>
  <si>
    <t>Peace Creek Solar</t>
  </si>
  <si>
    <t>Property Tax Rate</t>
  </si>
  <si>
    <t>($000)</t>
  </si>
  <si>
    <t>Bonnie Mine Solar</t>
  </si>
  <si>
    <t>Common Equity</t>
  </si>
  <si>
    <t>Lake Hancock Solar</t>
  </si>
  <si>
    <t>Preferred Stock</t>
  </si>
  <si>
    <t>Debt</t>
  </si>
  <si>
    <t>Lithia Solar Land</t>
  </si>
  <si>
    <t>Capital RR</t>
  </si>
  <si>
    <t>Grange Hall Land</t>
  </si>
  <si>
    <t>Peace Creek Land</t>
  </si>
  <si>
    <t>Bonnie Mine Land</t>
  </si>
  <si>
    <t>Lake Hancock Land</t>
  </si>
  <si>
    <t xml:space="preserve">FOM </t>
  </si>
  <si>
    <t>AFUDC Schedule ($000)</t>
  </si>
  <si>
    <t>Land RR</t>
  </si>
  <si>
    <t>TOTAL RR</t>
  </si>
  <si>
    <t>Tax Year</t>
  </si>
  <si>
    <t>Tax Column</t>
  </si>
  <si>
    <t>TOTAL</t>
  </si>
  <si>
    <t>Book Life</t>
  </si>
  <si>
    <t xml:space="preserve">MACRS - Modified Accelerated Cost Recovery System </t>
  </si>
  <si>
    <t>Book Depreciation</t>
  </si>
  <si>
    <t>Cumulative Book</t>
  </si>
  <si>
    <t>Tax Depreciation</t>
  </si>
  <si>
    <t>Cumulative Tax</t>
  </si>
  <si>
    <t>Deferred Taxes</t>
  </si>
  <si>
    <t>Cumulative Def Tax</t>
  </si>
  <si>
    <t>Property Tax</t>
  </si>
  <si>
    <t>Average Plant Value</t>
  </si>
  <si>
    <t>Return on Equity</t>
  </si>
  <si>
    <t>Return on Preferred Stock</t>
  </si>
  <si>
    <t>Return on Debt</t>
  </si>
  <si>
    <t>Federal Taxes</t>
  </si>
  <si>
    <t>Fixed O&amp;M</t>
  </si>
  <si>
    <t>Total RR of Land for Solar</t>
  </si>
  <si>
    <t>Revenue Requirements for Second SOBRA</t>
  </si>
  <si>
    <t>260.3 MW of Solar Projects</t>
  </si>
  <si>
    <t>Land Property Tax Rate</t>
  </si>
  <si>
    <t>Lithia</t>
  </si>
  <si>
    <t>Grange Hall</t>
  </si>
  <si>
    <t>Peace Creek</t>
  </si>
  <si>
    <t>Bonnie Mine</t>
  </si>
  <si>
    <t>Lake Hancock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</si>
</sst>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.0"/>
    <numFmt numFmtId="167" formatCode="0.000%"/>
    <numFmt numFmtId="168" formatCode="_(#,##0_);_(\(#,##0\);_(&quot;-&quot;_);_(@_)"/>
    <numFmt numFmtId="169" formatCode="0.000_)"/>
    <numFmt numFmtId="170" formatCode="0.0%"/>
    <numFmt numFmtId="171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164" fontId="6" fillId="0" borderId="0"/>
  </cellStyleXfs>
  <cellXfs count="64">
    <xf numFmtId="0" fontId="0" fillId="0" borderId="0" xfId="0"/>
    <xf numFmtId="0" fontId="4" fillId="0" borderId="0" xfId="0" applyFont="1"/>
    <xf numFmtId="9" fontId="5" fillId="0" borderId="0" xfId="2" applyFont="1" applyAlignment="1">
      <alignment horizontal="center"/>
    </xf>
    <xf numFmtId="164" fontId="7" fillId="0" borderId="2" xfId="4" applyNumberFormat="1" applyFont="1" applyBorder="1" applyProtection="1"/>
    <xf numFmtId="164" fontId="8" fillId="0" borderId="3" xfId="4" applyNumberFormat="1" applyFont="1" applyBorder="1" applyProtection="1"/>
    <xf numFmtId="164" fontId="8" fillId="0" borderId="3" xfId="4" applyNumberFormat="1" applyFont="1" applyBorder="1" applyAlignment="1" applyProtection="1">
      <alignment horizontal="center"/>
    </xf>
    <xf numFmtId="164" fontId="8" fillId="0" borderId="4" xfId="4" applyNumberFormat="1" applyFont="1" applyBorder="1" applyProtection="1"/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9" fontId="0" fillId="0" borderId="0" xfId="0" applyNumberFormat="1" applyAlignment="1">
      <alignment horizontal="center"/>
    </xf>
    <xf numFmtId="164" fontId="8" fillId="0" borderId="5" xfId="4" applyNumberFormat="1" applyFont="1" applyBorder="1" applyProtection="1"/>
    <xf numFmtId="164" fontId="8" fillId="0" borderId="0" xfId="4" applyNumberFormat="1" applyFont="1" applyBorder="1" applyProtection="1"/>
    <xf numFmtId="164" fontId="8" fillId="0" borderId="6" xfId="4" applyNumberFormat="1" applyFont="1" applyBorder="1" applyProtection="1"/>
    <xf numFmtId="165" fontId="4" fillId="0" borderId="0" xfId="1" applyNumberFormat="1" applyFont="1"/>
    <xf numFmtId="165" fontId="0" fillId="0" borderId="0" xfId="0" applyNumberFormat="1"/>
    <xf numFmtId="166" fontId="2" fillId="2" borderId="1" xfId="3" applyNumberFormat="1" applyAlignment="1">
      <alignment horizontal="center"/>
    </xf>
    <xf numFmtId="0" fontId="0" fillId="0" borderId="0" xfId="0" quotePrefix="1" applyAlignment="1">
      <alignment horizontal="right"/>
    </xf>
    <xf numFmtId="9" fontId="0" fillId="0" borderId="0" xfId="2" applyNumberFormat="1" applyFont="1" applyAlignment="1">
      <alignment horizontal="center"/>
    </xf>
    <xf numFmtId="164" fontId="8" fillId="0" borderId="5" xfId="4" applyNumberFormat="1" applyFont="1" applyBorder="1" applyAlignment="1" applyProtection="1">
      <alignment horizontal="center"/>
    </xf>
    <xf numFmtId="164" fontId="8" fillId="0" borderId="0" xfId="4" applyNumberFormat="1" applyFont="1" applyBorder="1" applyAlignment="1" applyProtection="1">
      <alignment horizontal="center"/>
    </xf>
    <xf numFmtId="43" fontId="0" fillId="0" borderId="0" xfId="0" applyNumberFormat="1"/>
    <xf numFmtId="167" fontId="0" fillId="0" borderId="0" xfId="2" applyNumberFormat="1" applyFont="1" applyAlignment="1">
      <alignment horizontal="center"/>
    </xf>
    <xf numFmtId="164" fontId="8" fillId="0" borderId="7" xfId="4" applyNumberFormat="1" applyFont="1" applyBorder="1" applyProtection="1"/>
    <xf numFmtId="164" fontId="8" fillId="0" borderId="8" xfId="4" applyNumberFormat="1" applyFont="1" applyBorder="1" applyProtection="1"/>
    <xf numFmtId="0" fontId="0" fillId="0" borderId="0" xfId="0" applyAlignment="1">
      <alignment horizontal="center" wrapText="1"/>
    </xf>
    <xf numFmtId="164" fontId="8" fillId="4" borderId="5" xfId="4" applyNumberFormat="1" applyFont="1" applyFill="1" applyBorder="1" applyProtection="1"/>
    <xf numFmtId="10" fontId="8" fillId="0" borderId="0" xfId="2" applyNumberFormat="1" applyFont="1" applyFill="1" applyBorder="1" applyProtection="1"/>
    <xf numFmtId="10" fontId="8" fillId="0" borderId="0" xfId="2" applyNumberFormat="1" applyFont="1" applyBorder="1" applyProtection="1"/>
    <xf numFmtId="167" fontId="8" fillId="0" borderId="0" xfId="2" applyNumberFormat="1" applyFont="1" applyBorder="1" applyProtection="1"/>
    <xf numFmtId="6" fontId="3" fillId="5" borderId="9" xfId="0" quotePrefix="1" applyNumberFormat="1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1" fillId="0" borderId="10" xfId="0" applyFont="1" applyBorder="1" applyAlignment="1">
      <alignment horizontal="left"/>
    </xf>
    <xf numFmtId="168" fontId="1" fillId="0" borderId="10" xfId="0" applyNumberFormat="1" applyFont="1" applyBorder="1"/>
    <xf numFmtId="169" fontId="8" fillId="0" borderId="6" xfId="4" applyNumberFormat="1" applyFont="1" applyBorder="1" applyProtection="1"/>
    <xf numFmtId="0" fontId="1" fillId="0" borderId="9" xfId="0" applyFont="1" applyBorder="1" applyAlignment="1">
      <alignment horizontal="left"/>
    </xf>
    <xf numFmtId="168" fontId="1" fillId="0" borderId="9" xfId="0" applyNumberFormat="1" applyFont="1" applyBorder="1"/>
    <xf numFmtId="10" fontId="0" fillId="0" borderId="0" xfId="2" applyNumberFormat="1" applyFont="1" applyAlignment="1">
      <alignment horizontal="center"/>
    </xf>
    <xf numFmtId="170" fontId="8" fillId="0" borderId="0" xfId="2" applyNumberFormat="1" applyFont="1" applyFill="1" applyBorder="1" applyProtection="1"/>
    <xf numFmtId="0" fontId="1" fillId="0" borderId="11" xfId="0" applyFont="1" applyBorder="1" applyAlignment="1">
      <alignment horizontal="left"/>
    </xf>
    <xf numFmtId="168" fontId="1" fillId="0" borderId="11" xfId="0" applyNumberFormat="1" applyFont="1" applyBorder="1"/>
    <xf numFmtId="170" fontId="8" fillId="0" borderId="0" xfId="2" applyNumberFormat="1" applyFont="1" applyBorder="1" applyProtection="1"/>
    <xf numFmtId="9" fontId="0" fillId="0" borderId="0" xfId="2" applyFont="1" applyAlignment="1">
      <alignment horizontal="center"/>
    </xf>
    <xf numFmtId="0" fontId="3" fillId="0" borderId="12" xfId="0" applyFont="1" applyBorder="1" applyAlignment="1">
      <alignment horizontal="right"/>
    </xf>
    <xf numFmtId="168" fontId="1" fillId="0" borderId="12" xfId="0" applyNumberFormat="1" applyFont="1" applyBorder="1"/>
    <xf numFmtId="164" fontId="4" fillId="0" borderId="6" xfId="4" applyFont="1" applyBorder="1"/>
    <xf numFmtId="0" fontId="12" fillId="0" borderId="0" xfId="0" applyFont="1" applyFill="1"/>
    <xf numFmtId="0" fontId="12" fillId="0" borderId="0" xfId="0" applyFont="1"/>
    <xf numFmtId="0" fontId="3" fillId="0" borderId="11" xfId="0" applyFont="1" applyBorder="1" applyAlignment="1">
      <alignment horizontal="right"/>
    </xf>
    <xf numFmtId="0" fontId="0" fillId="0" borderId="0" xfId="0" applyFill="1"/>
    <xf numFmtId="0" fontId="12" fillId="0" borderId="0" xfId="0" quotePrefix="1" applyFont="1"/>
    <xf numFmtId="0" fontId="9" fillId="6" borderId="0" xfId="0" applyFont="1" applyFill="1" applyBorder="1"/>
    <xf numFmtId="0" fontId="9" fillId="6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/>
    <xf numFmtId="165" fontId="4" fillId="0" borderId="0" xfId="1" applyNumberFormat="1" applyFont="1" applyFill="1" applyBorder="1" applyAlignment="1" applyProtection="1">
      <alignment horizontal="center"/>
    </xf>
    <xf numFmtId="9" fontId="8" fillId="0" borderId="0" xfId="2" applyFont="1" applyBorder="1" applyProtection="1"/>
    <xf numFmtId="164" fontId="8" fillId="0" borderId="13" xfId="4" quotePrefix="1" applyNumberFormat="1" applyFont="1" applyBorder="1" applyAlignment="1" applyProtection="1">
      <alignment horizontal="left"/>
    </xf>
    <xf numFmtId="164" fontId="8" fillId="0" borderId="14" xfId="4" applyNumberFormat="1" applyFont="1" applyBorder="1" applyProtection="1"/>
    <xf numFmtId="164" fontId="4" fillId="0" borderId="15" xfId="4" applyFont="1" applyBorder="1"/>
    <xf numFmtId="171" fontId="12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5">
    <cellStyle name="Comma" xfId="1" builtinId="3"/>
    <cellStyle name="Input" xfId="3" builtinId="20"/>
    <cellStyle name="Normal" xfId="0" builtinId="0"/>
    <cellStyle name="Normal_Case 4 rev req(components)7_5" xfId="4" xr:uid="{E2AC8E91-9C4B-4DF3-910D-BF82E09B98C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Special%20Projects/2017/17061%20-%20Strategy%20Refresh/1-2-18%20Tax%20Reform/RR/RR_17061_Reference_145MW%20of%20Solar_7-6-17(4C)_Fuel_TaxReform_V17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Assumptions"/>
      <sheetName val="Summary"/>
      <sheetName val="Coal Adder Adjustment"/>
      <sheetName val="RM Input"/>
      <sheetName val="RR Input"/>
      <sheetName val="System Data"/>
      <sheetName val="Tables"/>
      <sheetName val="Exp Plan"/>
      <sheetName val="RecCapNewUnits"/>
      <sheetName val="FCR_15"/>
      <sheetName val="FCR_20"/>
      <sheetName val="VOC Calc"/>
      <sheetName val="Extractor"/>
      <sheetName val="Cost V17.1"/>
      <sheetName val="Quantity V17.1"/>
      <sheetName val="Calcs"/>
      <sheetName val="RR"/>
      <sheetName val="LCOE"/>
      <sheetName val="CO2"/>
      <sheetName val="Other Emissions"/>
      <sheetName val="PPA"/>
      <sheetName val="Sch 7"/>
      <sheetName val="2018 GFI Load"/>
      <sheetName val="High Level Chart"/>
    </sheetNames>
    <sheetDataSet>
      <sheetData sheetId="0"/>
      <sheetData sheetId="1"/>
      <sheetData sheetId="2"/>
      <sheetData sheetId="3"/>
      <sheetData sheetId="4">
        <row r="47">
          <cell r="A47">
            <v>2018</v>
          </cell>
          <cell r="B47">
            <v>9</v>
          </cell>
          <cell r="E47" t="str">
            <v>Balm Solar</v>
          </cell>
        </row>
        <row r="48">
          <cell r="E48" t="str">
            <v>Payne Creek Solar</v>
          </cell>
        </row>
      </sheetData>
      <sheetData sheetId="5">
        <row r="5">
          <cell r="C5">
            <v>0.10249999999999999</v>
          </cell>
          <cell r="D5">
            <v>0.54</v>
          </cell>
        </row>
        <row r="6">
          <cell r="D6">
            <v>0</v>
          </cell>
        </row>
        <row r="7">
          <cell r="C7">
            <v>4.4999999999999998E-2</v>
          </cell>
          <cell r="D7">
            <v>0.46</v>
          </cell>
        </row>
        <row r="10">
          <cell r="C10">
            <v>2017</v>
          </cell>
        </row>
        <row r="11">
          <cell r="C11">
            <v>0.25344999999999995</v>
          </cell>
        </row>
        <row r="12">
          <cell r="C12">
            <v>1.21E-2</v>
          </cell>
        </row>
        <row r="14">
          <cell r="C14">
            <v>2.3E-2</v>
          </cell>
        </row>
        <row r="15">
          <cell r="C15">
            <v>2.3E-2</v>
          </cell>
        </row>
        <row r="41">
          <cell r="C41">
            <v>74.408425659964436</v>
          </cell>
        </row>
        <row r="56">
          <cell r="C56">
            <v>520.85897961975104</v>
          </cell>
        </row>
        <row r="57">
          <cell r="C57">
            <v>0</v>
          </cell>
        </row>
        <row r="58">
          <cell r="C58">
            <v>30</v>
          </cell>
        </row>
        <row r="59">
          <cell r="C59">
            <v>5</v>
          </cell>
        </row>
        <row r="91">
          <cell r="C91">
            <v>91370.314006398985</v>
          </cell>
        </row>
      </sheetData>
      <sheetData sheetId="6"/>
      <sheetData sheetId="7"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D216">
            <v>1</v>
          </cell>
          <cell r="E216">
            <v>0.33329999999999999</v>
          </cell>
          <cell r="F216">
            <v>0.2</v>
          </cell>
          <cell r="G216">
            <v>0.1</v>
          </cell>
          <cell r="H216">
            <v>0.05</v>
          </cell>
          <cell r="I216">
            <v>3.7499999999999999E-2</v>
          </cell>
        </row>
        <row r="217">
          <cell r="D217">
            <v>2</v>
          </cell>
          <cell r="E217">
            <v>0.44450000000000001</v>
          </cell>
          <cell r="F217">
            <v>0.32</v>
          </cell>
          <cell r="G217">
            <v>0.18</v>
          </cell>
          <cell r="H217">
            <v>9.5000000000000001E-2</v>
          </cell>
          <cell r="I217">
            <v>7.2190000000000004E-2</v>
          </cell>
        </row>
        <row r="218">
          <cell r="D218">
            <v>3</v>
          </cell>
          <cell r="E218">
            <v>0.14810000000000001</v>
          </cell>
          <cell r="F218">
            <v>0.192</v>
          </cell>
          <cell r="G218">
            <v>0.14399999999999999</v>
          </cell>
          <cell r="H218">
            <v>8.5500000000000007E-2</v>
          </cell>
          <cell r="I218">
            <v>6.6769999999999996E-2</v>
          </cell>
        </row>
        <row r="219">
          <cell r="D219">
            <v>4</v>
          </cell>
          <cell r="E219">
            <v>7.4099999999999999E-2</v>
          </cell>
          <cell r="F219">
            <v>0.1152</v>
          </cell>
          <cell r="G219">
            <v>0.1152</v>
          </cell>
          <cell r="H219">
            <v>7.6999999999999999E-2</v>
          </cell>
          <cell r="I219">
            <v>6.1769999999999999E-2</v>
          </cell>
        </row>
        <row r="220">
          <cell r="D220">
            <v>5</v>
          </cell>
          <cell r="E220">
            <v>0</v>
          </cell>
          <cell r="F220">
            <v>0.1152</v>
          </cell>
          <cell r="G220">
            <v>9.2200000000000004E-2</v>
          </cell>
          <cell r="H220">
            <v>6.93E-2</v>
          </cell>
          <cell r="I220">
            <v>5.713E-2</v>
          </cell>
        </row>
        <row r="221">
          <cell r="D221">
            <v>6</v>
          </cell>
          <cell r="E221">
            <v>0</v>
          </cell>
          <cell r="F221">
            <v>5.7599999999999998E-2</v>
          </cell>
          <cell r="G221">
            <v>7.3700000000000002E-2</v>
          </cell>
          <cell r="H221">
            <v>6.2300000000000001E-2</v>
          </cell>
          <cell r="I221">
            <v>5.2850000000000001E-2</v>
          </cell>
        </row>
        <row r="222">
          <cell r="D222">
            <v>7</v>
          </cell>
          <cell r="E222">
            <v>0</v>
          </cell>
          <cell r="F222">
            <v>0</v>
          </cell>
          <cell r="G222">
            <v>6.5500000000000003E-2</v>
          </cell>
          <cell r="H222">
            <v>5.8999999999999997E-2</v>
          </cell>
          <cell r="I222">
            <v>4.888E-2</v>
          </cell>
        </row>
        <row r="223">
          <cell r="D223">
            <v>8</v>
          </cell>
          <cell r="E223">
            <v>0</v>
          </cell>
          <cell r="F223">
            <v>0</v>
          </cell>
          <cell r="G223">
            <v>6.5500000000000003E-2</v>
          </cell>
          <cell r="H223">
            <v>5.8999999999999997E-2</v>
          </cell>
          <cell r="I223">
            <v>4.5220000000000003E-2</v>
          </cell>
        </row>
        <row r="224">
          <cell r="D224">
            <v>9</v>
          </cell>
          <cell r="E224">
            <v>0</v>
          </cell>
          <cell r="F224">
            <v>0</v>
          </cell>
          <cell r="G224">
            <v>6.5600000000000006E-2</v>
          </cell>
          <cell r="H224">
            <v>5.91E-2</v>
          </cell>
          <cell r="I224">
            <v>4.462E-2</v>
          </cell>
        </row>
        <row r="225">
          <cell r="D225">
            <v>10</v>
          </cell>
          <cell r="E225">
            <v>0</v>
          </cell>
          <cell r="F225">
            <v>0</v>
          </cell>
          <cell r="G225">
            <v>6.5500000000000003E-2</v>
          </cell>
          <cell r="H225">
            <v>5.8999999999999997E-2</v>
          </cell>
          <cell r="I225">
            <v>4.4609999999999997E-2</v>
          </cell>
        </row>
        <row r="226">
          <cell r="D226">
            <v>11</v>
          </cell>
          <cell r="E226">
            <v>0</v>
          </cell>
          <cell r="F226">
            <v>0</v>
          </cell>
          <cell r="G226">
            <v>3.2800000000000003E-2</v>
          </cell>
          <cell r="H226">
            <v>5.91E-2</v>
          </cell>
          <cell r="I226">
            <v>4.462E-2</v>
          </cell>
        </row>
        <row r="227"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5.8999999999999997E-2</v>
          </cell>
          <cell r="I227">
            <v>4.4609999999999997E-2</v>
          </cell>
        </row>
        <row r="228">
          <cell r="D228">
            <v>13</v>
          </cell>
          <cell r="E228">
            <v>0</v>
          </cell>
          <cell r="F228">
            <v>0</v>
          </cell>
          <cell r="G228">
            <v>0</v>
          </cell>
          <cell r="H228">
            <v>5.91E-2</v>
          </cell>
          <cell r="I228">
            <v>4.462E-2</v>
          </cell>
        </row>
        <row r="229">
          <cell r="D229">
            <v>14</v>
          </cell>
          <cell r="E229">
            <v>0</v>
          </cell>
          <cell r="F229">
            <v>0</v>
          </cell>
          <cell r="G229">
            <v>0</v>
          </cell>
          <cell r="H229">
            <v>5.8999999999999997E-2</v>
          </cell>
          <cell r="I229">
            <v>4.4609999999999997E-2</v>
          </cell>
        </row>
        <row r="230">
          <cell r="D230">
            <v>15</v>
          </cell>
          <cell r="E230">
            <v>0</v>
          </cell>
          <cell r="F230">
            <v>0</v>
          </cell>
          <cell r="G230">
            <v>0</v>
          </cell>
          <cell r="H230">
            <v>5.91E-2</v>
          </cell>
          <cell r="I230">
            <v>4.462E-2</v>
          </cell>
        </row>
        <row r="231">
          <cell r="D231">
            <v>16</v>
          </cell>
          <cell r="E231">
            <v>0</v>
          </cell>
          <cell r="F231">
            <v>0</v>
          </cell>
          <cell r="G231">
            <v>0</v>
          </cell>
          <cell r="H231">
            <v>2.9499999999999998E-2</v>
          </cell>
          <cell r="I231">
            <v>4.4609999999999997E-2</v>
          </cell>
        </row>
        <row r="232">
          <cell r="D232">
            <v>17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4.462E-2</v>
          </cell>
        </row>
        <row r="233">
          <cell r="D233">
            <v>18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4.4609999999999997E-2</v>
          </cell>
        </row>
        <row r="234">
          <cell r="D234">
            <v>19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4.462E-2</v>
          </cell>
        </row>
        <row r="235">
          <cell r="D235">
            <v>20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4.4609999999999997E-2</v>
          </cell>
        </row>
        <row r="236">
          <cell r="D236">
            <v>21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2.231E-2</v>
          </cell>
        </row>
        <row r="237">
          <cell r="D237">
            <v>22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D238">
            <v>23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47">
          <cell r="D247">
            <v>3</v>
          </cell>
          <cell r="E247">
            <v>2</v>
          </cell>
        </row>
        <row r="248">
          <cell r="D248">
            <v>5</v>
          </cell>
          <cell r="E248">
            <v>3</v>
          </cell>
        </row>
        <row r="249">
          <cell r="D249">
            <v>10</v>
          </cell>
          <cell r="E249">
            <v>4</v>
          </cell>
        </row>
        <row r="250">
          <cell r="D250">
            <v>15</v>
          </cell>
          <cell r="E250">
            <v>5</v>
          </cell>
        </row>
        <row r="251">
          <cell r="D251">
            <v>20</v>
          </cell>
          <cell r="E251">
            <v>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916AE-916D-43DC-A116-1B43D66065E9}">
  <sheetPr>
    <pageSetUpPr fitToPage="1"/>
  </sheetPr>
  <dimension ref="A1:AC78"/>
  <sheetViews>
    <sheetView showGridLines="0" tabSelected="1" zoomScale="80" zoomScaleNormal="80" workbookViewId="0">
      <selection activeCell="G12" sqref="G12"/>
    </sheetView>
  </sheetViews>
  <sheetFormatPr defaultRowHeight="15" x14ac:dyDescent="0.25"/>
  <cols>
    <col min="2" max="2" width="25" bestFit="1" customWidth="1"/>
    <col min="3" max="3" width="8.140625" bestFit="1" customWidth="1"/>
    <col min="4" max="5" width="9.85546875" bestFit="1" customWidth="1"/>
    <col min="6" max="6" width="23.140625" bestFit="1" customWidth="1"/>
    <col min="7" max="7" width="10" customWidth="1"/>
    <col min="8" max="9" width="8.85546875" customWidth="1"/>
    <col min="10" max="10" width="23.140625" bestFit="1" customWidth="1"/>
    <col min="11" max="12" width="8.5703125" customWidth="1"/>
    <col min="13" max="13" width="9.28515625" customWidth="1"/>
    <col min="14" max="14" width="23.140625" bestFit="1" customWidth="1"/>
    <col min="15" max="15" width="9.28515625" customWidth="1"/>
    <col min="18" max="18" width="23.140625" bestFit="1" customWidth="1"/>
  </cols>
  <sheetData>
    <row r="1" spans="2:28" x14ac:dyDescent="0.25">
      <c r="B1" s="1"/>
      <c r="C1" s="2"/>
      <c r="D1" s="2"/>
      <c r="V1" s="3" t="s">
        <v>0</v>
      </c>
      <c r="W1" s="4"/>
      <c r="X1" s="5"/>
      <c r="Y1" s="4"/>
      <c r="Z1" s="4"/>
      <c r="AA1" s="4"/>
      <c r="AB1" s="6"/>
    </row>
    <row r="2" spans="2:28" ht="20.25" customHeight="1" x14ac:dyDescent="0.25">
      <c r="B2" s="7" t="s">
        <v>1</v>
      </c>
      <c r="C2" s="8">
        <v>2018</v>
      </c>
      <c r="D2" s="8">
        <f>C2+1</f>
        <v>2019</v>
      </c>
      <c r="E2" s="8" t="s">
        <v>2</v>
      </c>
      <c r="I2" s="9" t="s">
        <v>3</v>
      </c>
      <c r="K2" s="10" t="s">
        <v>4</v>
      </c>
      <c r="L2" s="11">
        <v>0.3</v>
      </c>
      <c r="P2" s="62" t="s">
        <v>54</v>
      </c>
      <c r="Q2" s="62"/>
      <c r="R2" s="62"/>
      <c r="S2" s="62"/>
      <c r="T2" s="62"/>
      <c r="U2" s="62"/>
      <c r="V2" s="12"/>
      <c r="W2" s="13"/>
      <c r="X2" s="13"/>
      <c r="Y2" s="13"/>
      <c r="Z2" s="13"/>
      <c r="AA2" s="13"/>
      <c r="AB2" s="14"/>
    </row>
    <row r="3" spans="2:28" ht="15" customHeight="1" x14ac:dyDescent="0.25">
      <c r="B3" s="1" t="s">
        <v>5</v>
      </c>
      <c r="C3" s="15">
        <v>3801.909465990052</v>
      </c>
      <c r="D3" s="15">
        <v>91245.827183761241</v>
      </c>
      <c r="E3" s="15">
        <f t="shared" ref="E3" si="0">SUM(C3:D3)</f>
        <v>95047.736649751299</v>
      </c>
      <c r="G3" s="16"/>
      <c r="H3" s="10" t="str">
        <f>B3</f>
        <v>Lithia Solar</v>
      </c>
      <c r="I3" s="17">
        <v>74.5</v>
      </c>
      <c r="K3" s="18" t="s">
        <v>6</v>
      </c>
      <c r="L3" s="19">
        <f>L2/2</f>
        <v>0.15</v>
      </c>
      <c r="M3" s="19">
        <f>1-L3</f>
        <v>0.85</v>
      </c>
      <c r="P3" s="62"/>
      <c r="Q3" s="62"/>
      <c r="R3" s="62"/>
      <c r="S3" s="62"/>
      <c r="T3" s="62"/>
      <c r="U3" s="62"/>
      <c r="V3" s="20" t="s">
        <v>7</v>
      </c>
      <c r="W3" s="21" t="s">
        <v>8</v>
      </c>
      <c r="X3" s="21" t="s">
        <v>9</v>
      </c>
      <c r="Y3" s="21" t="s">
        <v>10</v>
      </c>
      <c r="Z3" s="21" t="s">
        <v>11</v>
      </c>
      <c r="AA3" s="21" t="s">
        <v>12</v>
      </c>
      <c r="AB3" s="14"/>
    </row>
    <row r="4" spans="2:28" ht="15" customHeight="1" x14ac:dyDescent="0.25">
      <c r="B4" s="1" t="s">
        <v>16</v>
      </c>
      <c r="C4" s="15">
        <v>3136.9986524000001</v>
      </c>
      <c r="D4" s="15">
        <v>75287.967657600006</v>
      </c>
      <c r="E4" s="15">
        <f t="shared" ref="E4:E12" si="1">SUM(C4:D4)</f>
        <v>78424.966310000003</v>
      </c>
      <c r="F4" s="22"/>
      <c r="H4" s="10" t="str">
        <f>B4</f>
        <v>Grange Hall Solar</v>
      </c>
      <c r="I4" s="17">
        <v>61.1</v>
      </c>
      <c r="K4" s="18" t="s">
        <v>13</v>
      </c>
      <c r="L4" s="23">
        <f>1-(1-0.21)*(1-0.055)</f>
        <v>0.25344999999999995</v>
      </c>
      <c r="Q4" s="63" t="s">
        <v>55</v>
      </c>
      <c r="R4" s="63"/>
      <c r="S4" s="63"/>
      <c r="T4" s="63"/>
      <c r="V4" s="12"/>
      <c r="W4" s="21" t="s">
        <v>14</v>
      </c>
      <c r="X4" s="21" t="s">
        <v>14</v>
      </c>
      <c r="Y4" s="21" t="s">
        <v>14</v>
      </c>
      <c r="Z4" s="21" t="s">
        <v>15</v>
      </c>
      <c r="AA4" s="21" t="s">
        <v>15</v>
      </c>
      <c r="AB4" s="14"/>
    </row>
    <row r="5" spans="2:28" ht="15" customHeight="1" x14ac:dyDescent="0.25">
      <c r="B5" s="1" t="s">
        <v>17</v>
      </c>
      <c r="C5" s="15">
        <v>2784.1967259240128</v>
      </c>
      <c r="D5" s="15">
        <v>66820.721422176299</v>
      </c>
      <c r="E5" s="15">
        <f t="shared" si="1"/>
        <v>69604.918148100318</v>
      </c>
      <c r="H5" s="10" t="str">
        <f>B5</f>
        <v>Peace Creek Solar</v>
      </c>
      <c r="I5" s="17">
        <v>55.4</v>
      </c>
      <c r="Q5" s="63"/>
      <c r="R5" s="63"/>
      <c r="S5" s="63"/>
      <c r="T5" s="63"/>
      <c r="V5" s="24">
        <v>1</v>
      </c>
      <c r="W5" s="25">
        <v>2</v>
      </c>
      <c r="X5" s="25">
        <v>3</v>
      </c>
      <c r="Y5" s="25">
        <v>4</v>
      </c>
      <c r="Z5" s="25">
        <v>5</v>
      </c>
      <c r="AA5" s="25">
        <v>6</v>
      </c>
      <c r="AB5" s="14"/>
    </row>
    <row r="6" spans="2:28" ht="15" customHeight="1" x14ac:dyDescent="0.25">
      <c r="B6" s="1" t="s">
        <v>20</v>
      </c>
      <c r="C6" s="15">
        <v>1992.6138648478359</v>
      </c>
      <c r="D6" s="15">
        <v>47822.732756348058</v>
      </c>
      <c r="E6" s="15">
        <f t="shared" si="1"/>
        <v>49815.346621195895</v>
      </c>
      <c r="H6" s="10" t="str">
        <f>B6</f>
        <v>Bonnie Mine Solar</v>
      </c>
      <c r="I6" s="17">
        <v>37.5</v>
      </c>
      <c r="K6" s="10" t="s">
        <v>56</v>
      </c>
      <c r="L6" s="23">
        <v>1.7999999999999999E-2</v>
      </c>
      <c r="M6" s="26"/>
      <c r="V6" s="27">
        <v>1</v>
      </c>
      <c r="W6" s="28">
        <v>0.33329999999999999</v>
      </c>
      <c r="X6" s="29">
        <v>0.2</v>
      </c>
      <c r="Y6" s="29">
        <v>0.1</v>
      </c>
      <c r="Z6" s="29">
        <v>0.05</v>
      </c>
      <c r="AA6" s="30">
        <v>3.7499999999999999E-2</v>
      </c>
      <c r="AB6" s="14"/>
    </row>
    <row r="7" spans="2:28" ht="15" customHeight="1" x14ac:dyDescent="0.25">
      <c r="B7" s="1" t="s">
        <v>22</v>
      </c>
      <c r="C7" s="15">
        <v>1666.7673585454547</v>
      </c>
      <c r="D7" s="15">
        <v>40002.416605090912</v>
      </c>
      <c r="E7" s="15">
        <f t="shared" si="1"/>
        <v>41669.183963636366</v>
      </c>
      <c r="H7" s="10" t="str">
        <f>B7</f>
        <v>Lake Hancock Solar</v>
      </c>
      <c r="I7" s="17">
        <v>31.8</v>
      </c>
      <c r="K7" s="10" t="s">
        <v>18</v>
      </c>
      <c r="L7" s="23">
        <f>((0.6*1.8)+0.13)/100</f>
        <v>1.21E-2</v>
      </c>
      <c r="M7" s="26"/>
      <c r="R7" s="31" t="s">
        <v>19</v>
      </c>
      <c r="S7" s="32">
        <v>2019</v>
      </c>
      <c r="V7" s="27">
        <v>2</v>
      </c>
      <c r="W7" s="28">
        <v>0.44450000000000001</v>
      </c>
      <c r="X7" s="29">
        <v>0.32</v>
      </c>
      <c r="Y7" s="29">
        <v>0.18</v>
      </c>
      <c r="Z7" s="29">
        <v>9.5000000000000001E-2</v>
      </c>
      <c r="AA7" s="30">
        <v>7.2190000000000004E-2</v>
      </c>
      <c r="AB7" s="14"/>
    </row>
    <row r="8" spans="2:28" ht="15" customHeight="1" x14ac:dyDescent="0.25">
      <c r="B8" s="1" t="s">
        <v>25</v>
      </c>
      <c r="C8" s="15">
        <v>13754.320350000002</v>
      </c>
      <c r="D8" s="15">
        <v>0</v>
      </c>
      <c r="E8" s="15">
        <f t="shared" si="1"/>
        <v>13754.320350000002</v>
      </c>
      <c r="K8" s="10"/>
      <c r="L8" s="23"/>
      <c r="R8" s="33" t="s">
        <v>57</v>
      </c>
      <c r="S8" s="34">
        <f>D45</f>
        <v>11192.8002259975</v>
      </c>
      <c r="V8" s="27">
        <v>3</v>
      </c>
      <c r="W8" s="28">
        <v>0.14810000000000001</v>
      </c>
      <c r="X8" s="29">
        <v>0.192</v>
      </c>
      <c r="Y8" s="29">
        <v>0.14399999999999999</v>
      </c>
      <c r="Z8" s="29">
        <v>8.5500000000000007E-2</v>
      </c>
      <c r="AA8" s="30">
        <v>6.6769999999999996E-2</v>
      </c>
      <c r="AB8" s="35"/>
    </row>
    <row r="9" spans="2:28" ht="15" customHeight="1" x14ac:dyDescent="0.25">
      <c r="B9" s="1" t="s">
        <v>27</v>
      </c>
      <c r="C9" s="15">
        <v>8390.4935600000008</v>
      </c>
      <c r="D9" s="15">
        <v>0</v>
      </c>
      <c r="E9" s="15">
        <f t="shared" si="1"/>
        <v>8390.4935600000008</v>
      </c>
      <c r="R9" s="36" t="s">
        <v>58</v>
      </c>
      <c r="S9" s="37">
        <f>H45</f>
        <v>9114.0028976429276</v>
      </c>
      <c r="V9" s="27">
        <v>4</v>
      </c>
      <c r="W9" s="28">
        <v>7.4099999999999999E-2</v>
      </c>
      <c r="X9" s="29">
        <v>0.1152</v>
      </c>
      <c r="Y9" s="29">
        <v>0.1152</v>
      </c>
      <c r="Z9" s="29">
        <v>7.6999999999999999E-2</v>
      </c>
      <c r="AA9" s="30">
        <v>6.1769999999999999E-2</v>
      </c>
      <c r="AB9" s="14"/>
    </row>
    <row r="10" spans="2:28" ht="15" customHeight="1" x14ac:dyDescent="0.25">
      <c r="B10" s="1" t="s">
        <v>28</v>
      </c>
      <c r="C10" s="15">
        <v>11666.468259999998</v>
      </c>
      <c r="D10" s="15">
        <v>0</v>
      </c>
      <c r="E10" s="15">
        <f t="shared" si="1"/>
        <v>11666.468259999998</v>
      </c>
      <c r="F10" s="22"/>
      <c r="J10" s="10" t="s">
        <v>21</v>
      </c>
      <c r="K10" s="38">
        <v>0.10249999999999999</v>
      </c>
      <c r="L10" s="38">
        <v>0.54</v>
      </c>
      <c r="R10" s="36" t="s">
        <v>59</v>
      </c>
      <c r="S10" s="37">
        <f>L45</f>
        <v>8141.9508088003131</v>
      </c>
      <c r="V10" s="27">
        <v>5</v>
      </c>
      <c r="W10" s="39">
        <v>0</v>
      </c>
      <c r="X10" s="29">
        <v>0.1152</v>
      </c>
      <c r="Y10" s="29">
        <v>9.2200000000000004E-2</v>
      </c>
      <c r="Z10" s="29">
        <v>6.93E-2</v>
      </c>
      <c r="AA10" s="30">
        <v>5.713E-2</v>
      </c>
      <c r="AB10" s="14"/>
    </row>
    <row r="11" spans="2:28" ht="15" customHeight="1" x14ac:dyDescent="0.25">
      <c r="B11" s="1" t="s">
        <v>29</v>
      </c>
      <c r="C11" s="15">
        <v>4270.29961</v>
      </c>
      <c r="D11" s="15">
        <v>0</v>
      </c>
      <c r="E11" s="15">
        <f t="shared" si="1"/>
        <v>4270.29961</v>
      </c>
      <c r="J11" s="10" t="s">
        <v>23</v>
      </c>
      <c r="K11" s="38">
        <v>0</v>
      </c>
      <c r="L11" s="38">
        <v>0</v>
      </c>
      <c r="R11" s="36" t="s">
        <v>60</v>
      </c>
      <c r="S11" s="37">
        <f>P45</f>
        <v>5809.1736378264604</v>
      </c>
      <c r="V11" s="27">
        <v>6</v>
      </c>
      <c r="W11" s="39">
        <v>0</v>
      </c>
      <c r="X11" s="29">
        <v>5.7599999999999998E-2</v>
      </c>
      <c r="Y11" s="29">
        <v>7.3700000000000002E-2</v>
      </c>
      <c r="Z11" s="29">
        <v>6.2300000000000001E-2</v>
      </c>
      <c r="AA11" s="30">
        <v>5.2850000000000001E-2</v>
      </c>
      <c r="AB11" s="14"/>
    </row>
    <row r="12" spans="2:28" ht="15" customHeight="1" thickBot="1" x14ac:dyDescent="0.3">
      <c r="B12" s="1" t="s">
        <v>30</v>
      </c>
      <c r="C12" s="15">
        <v>5847.3435272727274</v>
      </c>
      <c r="D12" s="15">
        <v>0</v>
      </c>
      <c r="E12" s="15">
        <f t="shared" si="1"/>
        <v>5847.3435272727274</v>
      </c>
      <c r="J12" s="10" t="s">
        <v>24</v>
      </c>
      <c r="K12" s="38">
        <v>4.2999999999999997E-2</v>
      </c>
      <c r="L12" s="38">
        <v>0.46</v>
      </c>
      <c r="R12" s="40" t="s">
        <v>61</v>
      </c>
      <c r="S12" s="41">
        <f>T45</f>
        <v>4780.514593631885</v>
      </c>
      <c r="V12" s="27">
        <v>7</v>
      </c>
      <c r="W12" s="39">
        <v>0</v>
      </c>
      <c r="X12" s="42">
        <v>0</v>
      </c>
      <c r="Y12" s="29">
        <v>6.5500000000000003E-2</v>
      </c>
      <c r="Z12" s="29">
        <v>5.8999999999999997E-2</v>
      </c>
      <c r="AA12" s="30">
        <v>4.888E-2</v>
      </c>
      <c r="AB12" s="14"/>
    </row>
    <row r="13" spans="2:28" ht="15" customHeight="1" thickTop="1" x14ac:dyDescent="0.25">
      <c r="H13" s="10"/>
      <c r="I13" s="22"/>
      <c r="J13" s="22"/>
      <c r="K13" s="22"/>
      <c r="L13" s="43"/>
      <c r="M13" s="43"/>
      <c r="R13" s="44" t="s">
        <v>26</v>
      </c>
      <c r="S13" s="45">
        <f>SUM(S8:S12)</f>
        <v>39038.44216389909</v>
      </c>
      <c r="V13" s="27">
        <v>8</v>
      </c>
      <c r="W13" s="39">
        <v>0</v>
      </c>
      <c r="X13" s="42">
        <v>0</v>
      </c>
      <c r="Y13" s="29">
        <v>6.5500000000000003E-2</v>
      </c>
      <c r="Z13" s="29">
        <v>5.8999999999999997E-2</v>
      </c>
      <c r="AA13" s="30">
        <v>4.5220000000000003E-2</v>
      </c>
      <c r="AB13" s="46"/>
    </row>
    <row r="14" spans="2:28" ht="15" customHeight="1" x14ac:dyDescent="0.25">
      <c r="H14" s="10"/>
      <c r="I14" s="22"/>
      <c r="J14" s="22"/>
      <c r="K14" s="22"/>
      <c r="L14" s="43"/>
      <c r="M14" s="43"/>
      <c r="R14" s="33" t="s">
        <v>57</v>
      </c>
      <c r="S14" s="34">
        <f>D47</f>
        <v>546.83238399999993</v>
      </c>
      <c r="V14" s="27">
        <v>9</v>
      </c>
      <c r="W14" s="39">
        <v>0</v>
      </c>
      <c r="X14" s="42">
        <v>0</v>
      </c>
      <c r="Y14" s="29">
        <v>6.5600000000000006E-2</v>
      </c>
      <c r="Z14" s="29">
        <v>5.91E-2</v>
      </c>
      <c r="AA14" s="30">
        <v>4.462E-2</v>
      </c>
      <c r="AB14" s="46"/>
    </row>
    <row r="15" spans="2:28" ht="15" customHeight="1" x14ac:dyDescent="0.25">
      <c r="F15" s="16"/>
      <c r="G15" s="16"/>
      <c r="H15" s="10"/>
      <c r="R15" s="36" t="s">
        <v>58</v>
      </c>
      <c r="S15" s="37">
        <f>H47</f>
        <v>448.47595520000004</v>
      </c>
      <c r="V15" s="27">
        <v>10</v>
      </c>
      <c r="W15" s="39">
        <v>0</v>
      </c>
      <c r="X15" s="42">
        <v>0</v>
      </c>
      <c r="Y15" s="29">
        <v>6.5500000000000003E-2</v>
      </c>
      <c r="Z15" s="29">
        <v>5.8999999999999997E-2</v>
      </c>
      <c r="AA15" s="30">
        <v>4.4609999999999997E-2</v>
      </c>
      <c r="AB15" s="46"/>
    </row>
    <row r="16" spans="2:28" ht="15" customHeight="1" x14ac:dyDescent="0.25">
      <c r="F16" s="16"/>
      <c r="H16" s="10"/>
      <c r="R16" s="36" t="s">
        <v>59</v>
      </c>
      <c r="S16" s="37">
        <f>L47</f>
        <v>406.63777279999999</v>
      </c>
      <c r="V16" s="27">
        <v>11</v>
      </c>
      <c r="W16" s="39">
        <v>0</v>
      </c>
      <c r="X16" s="42">
        <v>0</v>
      </c>
      <c r="Y16" s="29">
        <v>3.2800000000000003E-2</v>
      </c>
      <c r="Z16" s="29">
        <v>5.91E-2</v>
      </c>
      <c r="AA16" s="30">
        <v>4.462E-2</v>
      </c>
      <c r="AB16" s="46"/>
    </row>
    <row r="17" spans="1:29" ht="15" customHeight="1" x14ac:dyDescent="0.25">
      <c r="H17" s="10"/>
      <c r="R17" s="36" t="s">
        <v>60</v>
      </c>
      <c r="S17" s="37">
        <f>P47</f>
        <v>275.25120000000004</v>
      </c>
      <c r="V17" s="27">
        <v>12</v>
      </c>
      <c r="W17" s="39">
        <v>0</v>
      </c>
      <c r="X17" s="42">
        <v>0</v>
      </c>
      <c r="Y17" s="42">
        <v>0</v>
      </c>
      <c r="Z17" s="29">
        <v>5.8999999999999997E-2</v>
      </c>
      <c r="AA17" s="30">
        <v>4.4609999999999997E-2</v>
      </c>
      <c r="AB17" s="46"/>
      <c r="AC17" s="47"/>
    </row>
    <row r="18" spans="1:29" s="47" customFormat="1" ht="15.75" thickBot="1" x14ac:dyDescent="0.3">
      <c r="A18"/>
      <c r="B18" s="1"/>
      <c r="C18" s="22"/>
      <c r="D18" s="22"/>
      <c r="E18" s="22"/>
      <c r="F18"/>
      <c r="H18"/>
      <c r="I18"/>
      <c r="J18"/>
      <c r="K18"/>
      <c r="L18"/>
      <c r="M18"/>
      <c r="N18"/>
      <c r="O18"/>
      <c r="P18"/>
      <c r="R18" s="40" t="s">
        <v>61</v>
      </c>
      <c r="S18" s="41">
        <f>T47</f>
        <v>233.41301760000002</v>
      </c>
      <c r="V18" s="27">
        <v>13</v>
      </c>
      <c r="W18" s="39">
        <v>0</v>
      </c>
      <c r="X18" s="42">
        <v>0</v>
      </c>
      <c r="Y18" s="42">
        <v>0</v>
      </c>
      <c r="Z18" s="29">
        <v>5.91E-2</v>
      </c>
      <c r="AA18" s="30">
        <v>4.462E-2</v>
      </c>
      <c r="AB18" s="46"/>
      <c r="AC18" s="48"/>
    </row>
    <row r="19" spans="1:29" s="48" customFormat="1" ht="15.75" thickTop="1" x14ac:dyDescent="0.25">
      <c r="A19"/>
      <c r="B19"/>
      <c r="C19"/>
      <c r="D19"/>
      <c r="E19"/>
      <c r="F19"/>
      <c r="H19"/>
      <c r="I19"/>
      <c r="J19"/>
      <c r="K19"/>
      <c r="L19"/>
      <c r="M19"/>
      <c r="N19"/>
      <c r="O19"/>
      <c r="P19"/>
      <c r="R19" s="44" t="s">
        <v>31</v>
      </c>
      <c r="S19" s="45">
        <f>SUM(S14:S18)</f>
        <v>1910.6103296000003</v>
      </c>
      <c r="V19" s="27">
        <v>14</v>
      </c>
      <c r="W19" s="39">
        <v>0</v>
      </c>
      <c r="X19" s="42">
        <v>0</v>
      </c>
      <c r="Y19" s="42">
        <v>0</v>
      </c>
      <c r="Z19" s="29">
        <v>5.8999999999999997E-2</v>
      </c>
      <c r="AA19" s="30">
        <v>4.4609999999999997E-2</v>
      </c>
      <c r="AB19" s="46"/>
    </row>
    <row r="20" spans="1:29" s="48" customFormat="1" ht="15.75" thickBot="1" x14ac:dyDescent="0.3">
      <c r="A20"/>
      <c r="B20" s="7" t="s">
        <v>32</v>
      </c>
      <c r="C20" s="8">
        <f>C2</f>
        <v>2018</v>
      </c>
      <c r="D20" s="8">
        <f>D2</f>
        <v>2019</v>
      </c>
      <c r="E20" s="8" t="s">
        <v>2</v>
      </c>
      <c r="F20"/>
      <c r="H20"/>
      <c r="I20"/>
      <c r="J20"/>
      <c r="K20"/>
      <c r="L20"/>
      <c r="M20"/>
      <c r="N20"/>
      <c r="O20"/>
      <c r="P20"/>
      <c r="R20" s="49" t="s">
        <v>33</v>
      </c>
      <c r="S20" s="41">
        <f>D52+H52+L52+P52+T52</f>
        <v>4916.5713941271752</v>
      </c>
      <c r="V20" s="27">
        <v>15</v>
      </c>
      <c r="W20" s="39">
        <v>0</v>
      </c>
      <c r="X20" s="42">
        <v>0</v>
      </c>
      <c r="Y20" s="42">
        <v>0</v>
      </c>
      <c r="Z20" s="29">
        <v>5.91E-2</v>
      </c>
      <c r="AA20" s="30">
        <v>4.462E-2</v>
      </c>
      <c r="AB20" s="46"/>
    </row>
    <row r="21" spans="1:29" s="48" customFormat="1" ht="15.75" thickTop="1" x14ac:dyDescent="0.25">
      <c r="A21"/>
      <c r="B21" s="1" t="s">
        <v>5</v>
      </c>
      <c r="C21" s="15">
        <v>2513.9049999999997</v>
      </c>
      <c r="D21" s="15">
        <v>0</v>
      </c>
      <c r="E21" s="15">
        <f t="shared" ref="E21:E25" si="2">SUM(C21:D21)</f>
        <v>2513.9049999999997</v>
      </c>
      <c r="F21"/>
      <c r="H21"/>
      <c r="I21"/>
      <c r="J21"/>
      <c r="K21"/>
      <c r="L21"/>
      <c r="M21"/>
      <c r="N21"/>
      <c r="O21"/>
      <c r="P21"/>
      <c r="R21" s="44" t="s">
        <v>34</v>
      </c>
      <c r="S21" s="45">
        <f>S13+S19+S20</f>
        <v>45865.623887626265</v>
      </c>
      <c r="V21" s="27">
        <v>16</v>
      </c>
      <c r="W21" s="39">
        <v>0</v>
      </c>
      <c r="X21" s="42">
        <v>0</v>
      </c>
      <c r="Y21" s="42">
        <v>0</v>
      </c>
      <c r="Z21" s="29">
        <v>2.9499999999999998E-2</v>
      </c>
      <c r="AA21" s="30">
        <v>4.4609999999999997E-2</v>
      </c>
      <c r="AB21" s="46"/>
    </row>
    <row r="22" spans="1:29" s="48" customFormat="1" x14ac:dyDescent="0.25">
      <c r="A22"/>
      <c r="B22" s="1" t="s">
        <v>16</v>
      </c>
      <c r="C22" s="15">
        <v>1016.913</v>
      </c>
      <c r="D22" s="15">
        <v>0</v>
      </c>
      <c r="E22" s="15">
        <f t="shared" si="2"/>
        <v>1016.913</v>
      </c>
      <c r="F22"/>
      <c r="H22"/>
      <c r="I22"/>
      <c r="J22"/>
      <c r="K22"/>
      <c r="L22"/>
      <c r="M22"/>
      <c r="N22"/>
      <c r="O22"/>
      <c r="P22"/>
      <c r="V22" s="27">
        <v>17</v>
      </c>
      <c r="W22" s="39">
        <v>0</v>
      </c>
      <c r="X22" s="42">
        <v>0</v>
      </c>
      <c r="Y22" s="42">
        <v>0</v>
      </c>
      <c r="Z22" s="42">
        <v>0</v>
      </c>
      <c r="AA22" s="30">
        <v>4.462E-2</v>
      </c>
      <c r="AB22" s="46"/>
    </row>
    <row r="23" spans="1:29" s="48" customFormat="1" x14ac:dyDescent="0.25">
      <c r="A23"/>
      <c r="B23" s="1" t="s">
        <v>17</v>
      </c>
      <c r="C23" s="15">
        <v>1364.1039999999998</v>
      </c>
      <c r="D23" s="15">
        <v>0</v>
      </c>
      <c r="E23" s="15">
        <f t="shared" si="2"/>
        <v>1364.1039999999998</v>
      </c>
      <c r="F23"/>
      <c r="H23"/>
      <c r="I23"/>
      <c r="J23"/>
      <c r="K23"/>
      <c r="L23"/>
      <c r="M23"/>
      <c r="N23"/>
      <c r="O23"/>
      <c r="P23"/>
      <c r="V23" s="27">
        <v>18</v>
      </c>
      <c r="W23" s="39">
        <v>0</v>
      </c>
      <c r="X23" s="42">
        <v>0</v>
      </c>
      <c r="Y23" s="42">
        <v>0</v>
      </c>
      <c r="Z23" s="42">
        <v>0</v>
      </c>
      <c r="AA23" s="30">
        <v>4.4609999999999997E-2</v>
      </c>
      <c r="AB23" s="46"/>
    </row>
    <row r="24" spans="1:29" s="48" customFormat="1" x14ac:dyDescent="0.25">
      <c r="A24"/>
      <c r="B24" s="1" t="s">
        <v>20</v>
      </c>
      <c r="C24" s="15">
        <v>820.10699999999997</v>
      </c>
      <c r="D24" s="15">
        <v>0</v>
      </c>
      <c r="E24" s="15">
        <f t="shared" si="2"/>
        <v>820.10699999999997</v>
      </c>
      <c r="F24"/>
      <c r="H24"/>
      <c r="I24"/>
      <c r="J24"/>
      <c r="K24"/>
      <c r="L24"/>
      <c r="M24"/>
      <c r="N24"/>
      <c r="O24"/>
      <c r="P24"/>
      <c r="V24" s="27">
        <v>19</v>
      </c>
      <c r="W24" s="39">
        <v>0</v>
      </c>
      <c r="X24" s="42">
        <v>0</v>
      </c>
      <c r="Y24" s="42">
        <v>0</v>
      </c>
      <c r="Z24" s="42">
        <v>0</v>
      </c>
      <c r="AA24" s="30">
        <v>4.462E-2</v>
      </c>
      <c r="AB24" s="46"/>
    </row>
    <row r="25" spans="1:29" s="48" customFormat="1" x14ac:dyDescent="0.25">
      <c r="A25"/>
      <c r="B25" s="1" t="s">
        <v>22</v>
      </c>
      <c r="C25" s="15">
        <v>0</v>
      </c>
      <c r="D25" s="15">
        <v>0</v>
      </c>
      <c r="E25" s="15">
        <f t="shared" si="2"/>
        <v>0</v>
      </c>
      <c r="F25"/>
      <c r="H25"/>
      <c r="I25"/>
      <c r="J25"/>
      <c r="K25"/>
      <c r="L25"/>
      <c r="M25"/>
      <c r="N25"/>
      <c r="O25" s="50"/>
      <c r="P25"/>
      <c r="V25" s="27">
        <v>20</v>
      </c>
      <c r="W25" s="39">
        <v>0</v>
      </c>
      <c r="X25" s="42">
        <v>0</v>
      </c>
      <c r="Y25" s="42">
        <v>0</v>
      </c>
      <c r="Z25" s="42">
        <v>0</v>
      </c>
      <c r="AA25" s="30">
        <v>4.4609999999999997E-2</v>
      </c>
      <c r="AB25" s="46"/>
    </row>
    <row r="26" spans="1:29" s="48" customFormat="1" x14ac:dyDescent="0.25">
      <c r="A26"/>
      <c r="B26"/>
      <c r="C26"/>
      <c r="D26"/>
      <c r="E26"/>
      <c r="F26"/>
      <c r="H26"/>
      <c r="I26"/>
      <c r="J26" s="50"/>
      <c r="K26"/>
      <c r="L26"/>
      <c r="M26"/>
      <c r="N26"/>
      <c r="O26" s="50"/>
      <c r="P26"/>
      <c r="V26" s="27">
        <v>21</v>
      </c>
      <c r="W26" s="39">
        <v>0</v>
      </c>
      <c r="X26" s="42">
        <v>0</v>
      </c>
      <c r="Y26" s="42">
        <v>0</v>
      </c>
      <c r="Z26" s="42">
        <v>0</v>
      </c>
      <c r="AA26" s="30">
        <v>2.231E-2</v>
      </c>
      <c r="AB26" s="46"/>
    </row>
    <row r="27" spans="1:29" s="48" customFormat="1" x14ac:dyDescent="0.25">
      <c r="A27"/>
      <c r="B27"/>
      <c r="C27"/>
      <c r="D27"/>
      <c r="E27" s="50"/>
      <c r="F27"/>
      <c r="G27" s="51"/>
      <c r="H27"/>
      <c r="I27"/>
      <c r="J27" s="50"/>
      <c r="K27"/>
      <c r="L27"/>
      <c r="M27"/>
      <c r="N27"/>
      <c r="O27" s="50"/>
      <c r="P27"/>
      <c r="V27" s="27">
        <v>22</v>
      </c>
      <c r="W27" s="39">
        <v>0</v>
      </c>
      <c r="X27" s="42">
        <v>0</v>
      </c>
      <c r="Y27" s="42">
        <v>0</v>
      </c>
      <c r="Z27" s="42">
        <v>0</v>
      </c>
      <c r="AA27" s="42">
        <v>0</v>
      </c>
      <c r="AB27" s="46"/>
    </row>
    <row r="28" spans="1:29" s="48" customFormat="1" x14ac:dyDescent="0.25">
      <c r="A28"/>
      <c r="B28" s="52" t="str">
        <f>$B$3</f>
        <v>Lithia Solar</v>
      </c>
      <c r="C28" s="53">
        <f>C2</f>
        <v>2018</v>
      </c>
      <c r="D28" s="53">
        <f>C28+1</f>
        <v>2019</v>
      </c>
      <c r="E28" s="54"/>
      <c r="F28" s="52" t="str">
        <f>$B$4</f>
        <v>Grange Hall Solar</v>
      </c>
      <c r="G28" s="53">
        <f>C28</f>
        <v>2018</v>
      </c>
      <c r="H28" s="53">
        <f>G28+1</f>
        <v>2019</v>
      </c>
      <c r="J28" s="52" t="str">
        <f>$B$5</f>
        <v>Peace Creek Solar</v>
      </c>
      <c r="K28" s="53">
        <f>G28</f>
        <v>2018</v>
      </c>
      <c r="L28" s="53">
        <f>K28+1</f>
        <v>2019</v>
      </c>
      <c r="N28" s="52" t="str">
        <f>$B$6</f>
        <v>Bonnie Mine Solar</v>
      </c>
      <c r="O28" s="53">
        <f>C28</f>
        <v>2018</v>
      </c>
      <c r="P28" s="53">
        <f>O28+1</f>
        <v>2019</v>
      </c>
      <c r="R28" s="52" t="str">
        <f>$B$7</f>
        <v>Lake Hancock Solar</v>
      </c>
      <c r="S28" s="53">
        <f>G28</f>
        <v>2018</v>
      </c>
      <c r="T28" s="53">
        <f>S28+1</f>
        <v>2019</v>
      </c>
      <c r="V28" s="27">
        <v>23</v>
      </c>
      <c r="W28" s="39">
        <v>0</v>
      </c>
      <c r="X28" s="42">
        <v>0</v>
      </c>
      <c r="Y28" s="42">
        <v>0</v>
      </c>
      <c r="Z28" s="42">
        <v>0</v>
      </c>
      <c r="AA28" s="42">
        <v>0</v>
      </c>
      <c r="AB28" s="46"/>
    </row>
    <row r="29" spans="1:29" s="48" customFormat="1" x14ac:dyDescent="0.25">
      <c r="A29"/>
      <c r="B29" s="55" t="s">
        <v>35</v>
      </c>
      <c r="C29" s="56">
        <v>0</v>
      </c>
      <c r="D29" s="56">
        <v>1</v>
      </c>
      <c r="E29" s="56"/>
      <c r="F29" s="55" t="s">
        <v>35</v>
      </c>
      <c r="G29" s="56">
        <v>0</v>
      </c>
      <c r="H29" s="56">
        <v>1</v>
      </c>
      <c r="J29" s="55" t="s">
        <v>35</v>
      </c>
      <c r="K29" s="56">
        <v>0</v>
      </c>
      <c r="L29" s="56">
        <v>1</v>
      </c>
      <c r="N29" s="55" t="s">
        <v>35</v>
      </c>
      <c r="O29" s="56">
        <v>0</v>
      </c>
      <c r="P29" s="56">
        <v>1</v>
      </c>
      <c r="R29" s="55" t="s">
        <v>35</v>
      </c>
      <c r="S29" s="56">
        <v>0</v>
      </c>
      <c r="T29" s="56">
        <v>1</v>
      </c>
      <c r="V29" s="12"/>
      <c r="W29" s="13"/>
      <c r="X29" s="13"/>
      <c r="Y29" s="13"/>
      <c r="Z29" s="13"/>
      <c r="AA29" s="13"/>
      <c r="AB29" s="46"/>
    </row>
    <row r="30" spans="1:29" s="48" customFormat="1" x14ac:dyDescent="0.25">
      <c r="A30"/>
      <c r="B30" s="55" t="s">
        <v>36</v>
      </c>
      <c r="C30" s="56">
        <v>0</v>
      </c>
      <c r="D30" s="56">
        <v>3</v>
      </c>
      <c r="E30" s="56"/>
      <c r="F30" s="55" t="s">
        <v>36</v>
      </c>
      <c r="G30" s="56">
        <v>0</v>
      </c>
      <c r="H30" s="56">
        <v>3</v>
      </c>
      <c r="J30" s="55" t="s">
        <v>36</v>
      </c>
      <c r="K30" s="56">
        <v>0</v>
      </c>
      <c r="L30" s="56">
        <v>3</v>
      </c>
      <c r="N30" s="55" t="s">
        <v>36</v>
      </c>
      <c r="O30" s="56">
        <v>0</v>
      </c>
      <c r="P30" s="56">
        <v>3</v>
      </c>
      <c r="R30" s="55" t="s">
        <v>36</v>
      </c>
      <c r="S30" s="56">
        <v>0</v>
      </c>
      <c r="T30" s="56">
        <v>3</v>
      </c>
      <c r="V30" s="20" t="s">
        <v>37</v>
      </c>
      <c r="W30" s="57"/>
      <c r="X30" s="57">
        <f>SUM(X6:X28)</f>
        <v>0.99999999999999989</v>
      </c>
      <c r="Y30" s="57">
        <f>SUM(Y6:Y28)</f>
        <v>1</v>
      </c>
      <c r="Z30" s="57">
        <f>SUM(Z6:Z28)</f>
        <v>1.0000000000000002</v>
      </c>
      <c r="AA30" s="57">
        <f>SUM(AA6:AA28)</f>
        <v>1.0000000000000002</v>
      </c>
      <c r="AB30" s="46"/>
    </row>
    <row r="31" spans="1:29" s="48" customFormat="1" x14ac:dyDescent="0.25">
      <c r="A31"/>
      <c r="B31" s="55" t="s">
        <v>38</v>
      </c>
      <c r="C31" s="56">
        <v>0</v>
      </c>
      <c r="D31" s="56">
        <v>30</v>
      </c>
      <c r="E31" s="56"/>
      <c r="F31" s="55" t="s">
        <v>38</v>
      </c>
      <c r="G31" s="56">
        <v>0</v>
      </c>
      <c r="H31" s="56">
        <v>30</v>
      </c>
      <c r="J31" s="55" t="s">
        <v>38</v>
      </c>
      <c r="K31" s="56">
        <v>0</v>
      </c>
      <c r="L31" s="56">
        <v>30</v>
      </c>
      <c r="N31" s="55" t="s">
        <v>38</v>
      </c>
      <c r="O31" s="56">
        <v>0</v>
      </c>
      <c r="P31" s="56">
        <v>30</v>
      </c>
      <c r="R31" s="55" t="s">
        <v>38</v>
      </c>
      <c r="S31" s="56">
        <v>0</v>
      </c>
      <c r="T31" s="56">
        <v>30</v>
      </c>
      <c r="V31" s="12"/>
      <c r="W31" s="13"/>
      <c r="X31" s="13"/>
      <c r="Y31" s="13"/>
      <c r="Z31" s="13"/>
      <c r="AA31" s="13"/>
      <c r="AB31" s="46"/>
    </row>
    <row r="32" spans="1:29" s="48" customFormat="1" ht="15.75" thickBot="1" x14ac:dyDescent="0.3">
      <c r="A32"/>
      <c r="B32" s="55"/>
      <c r="C32" s="56"/>
      <c r="D32" s="56"/>
      <c r="E32" s="56"/>
      <c r="F32" s="55"/>
      <c r="G32" s="56"/>
      <c r="H32" s="56"/>
      <c r="J32" s="55"/>
      <c r="K32" s="56"/>
      <c r="L32" s="56"/>
      <c r="N32" s="55"/>
      <c r="O32" s="56"/>
      <c r="P32" s="56"/>
      <c r="R32" s="55"/>
      <c r="S32" s="56"/>
      <c r="T32" s="56"/>
      <c r="V32" s="58" t="s">
        <v>39</v>
      </c>
      <c r="W32" s="59"/>
      <c r="X32" s="59"/>
      <c r="Y32" s="59"/>
      <c r="Z32" s="59"/>
      <c r="AA32" s="59"/>
      <c r="AB32" s="60"/>
    </row>
    <row r="33" spans="1:25" s="48" customFormat="1" x14ac:dyDescent="0.25">
      <c r="A33"/>
      <c r="B33" s="55" t="s">
        <v>40</v>
      </c>
      <c r="C33" s="56">
        <v>0</v>
      </c>
      <c r="D33" s="56">
        <f>SUM($E$3:$E$3,$E$21)*(1/D31)</f>
        <v>3252.0547216583764</v>
      </c>
      <c r="E33" s="56"/>
      <c r="F33" s="55" t="s">
        <v>40</v>
      </c>
      <c r="G33" s="56">
        <v>0</v>
      </c>
      <c r="H33" s="56">
        <f>SUM($E$4:$E$4,$E$22)*(1/H31)</f>
        <v>2648.0626436666666</v>
      </c>
      <c r="J33" s="55" t="s">
        <v>40</v>
      </c>
      <c r="K33" s="56">
        <v>0</v>
      </c>
      <c r="L33" s="56">
        <f>SUM($E$5:$E$5,$E$23)*(1/L31)</f>
        <v>2365.6340716033442</v>
      </c>
      <c r="N33" s="55" t="s">
        <v>40</v>
      </c>
      <c r="O33" s="56">
        <v>0</v>
      </c>
      <c r="P33" s="56">
        <f>SUM($E$6:$E$6,$E$24)*(1/P31)</f>
        <v>1687.8484540398631</v>
      </c>
      <c r="R33" s="55" t="s">
        <v>40</v>
      </c>
      <c r="S33" s="56">
        <v>0</v>
      </c>
      <c r="T33" s="56">
        <f>SUM($E$7:$E$7,$E$25)*(1/T31)</f>
        <v>1388.9727987878789</v>
      </c>
    </row>
    <row r="34" spans="1:25" s="48" customFormat="1" x14ac:dyDescent="0.25">
      <c r="A34"/>
      <c r="B34" s="55" t="s">
        <v>41</v>
      </c>
      <c r="C34" s="56">
        <v>0</v>
      </c>
      <c r="D34" s="56">
        <f>SUM($C$33:D33)</f>
        <v>3252.0547216583764</v>
      </c>
      <c r="E34" s="56"/>
      <c r="F34" s="55" t="s">
        <v>41</v>
      </c>
      <c r="G34" s="56">
        <v>0</v>
      </c>
      <c r="H34" s="56">
        <f>SUM($G$33:H33)</f>
        <v>2648.0626436666666</v>
      </c>
      <c r="J34" s="55" t="s">
        <v>41</v>
      </c>
      <c r="K34" s="56">
        <v>0</v>
      </c>
      <c r="L34" s="56">
        <f>SUM($K$33:L33)</f>
        <v>2365.6340716033442</v>
      </c>
      <c r="N34" s="55" t="s">
        <v>41</v>
      </c>
      <c r="O34" s="56">
        <v>0</v>
      </c>
      <c r="P34" s="56">
        <f>SUM(O$33:$P33)</f>
        <v>1687.8484540398631</v>
      </c>
      <c r="R34" s="55" t="s">
        <v>41</v>
      </c>
      <c r="S34" s="56">
        <v>0</v>
      </c>
      <c r="T34" s="56">
        <f>SUM($S$33:T33)</f>
        <v>1388.9727987878789</v>
      </c>
    </row>
    <row r="35" spans="1:25" s="48" customFormat="1" x14ac:dyDescent="0.25">
      <c r="A35"/>
      <c r="B35" s="55" t="s">
        <v>42</v>
      </c>
      <c r="C35" s="56">
        <v>0</v>
      </c>
      <c r="D35" s="56">
        <f>IFERROR((SUM($E$3:$E$3,$E$21)*$M$3)*VLOOKUP(D29,$V$5:$AB$26,D30),0)</f>
        <v>16585.479080457721</v>
      </c>
      <c r="E35" s="56"/>
      <c r="F35" s="55" t="s">
        <v>42</v>
      </c>
      <c r="G35" s="56">
        <v>0</v>
      </c>
      <c r="H35" s="56">
        <f>IFERROR((SUM($E$4:$E$4,$E$22)*$M$3)*VLOOKUP(H29,$V$5:$AB$26,H30),0)</f>
        <v>13505.1194827</v>
      </c>
      <c r="J35" s="55" t="s">
        <v>42</v>
      </c>
      <c r="K35" s="56">
        <v>0</v>
      </c>
      <c r="L35" s="56">
        <f>IFERROR((SUM($E$5:$E$5,$E$23)*$M$3)*VLOOKUP(L29,$V$5:$AB$26,L30),0)</f>
        <v>12064.733765177056</v>
      </c>
      <c r="N35" s="55" t="s">
        <v>42</v>
      </c>
      <c r="O35" s="56">
        <v>0</v>
      </c>
      <c r="P35" s="56">
        <f>IFERROR((SUM($E$6:$E$6,$E$24)*$M$3)*VLOOKUP(P29,$V$5:$AB$26,P30),0)</f>
        <v>8608.0271156033014</v>
      </c>
      <c r="R35" s="55" t="s">
        <v>42</v>
      </c>
      <c r="S35" s="56">
        <v>0</v>
      </c>
      <c r="T35" s="56">
        <f>IFERROR((SUM($E$7:$E$7,$E$25)*$M$3)*VLOOKUP(T29,$V$5:$AB$26,T30),0)</f>
        <v>7083.7612738181824</v>
      </c>
      <c r="X35" s="61"/>
    </row>
    <row r="36" spans="1:25" s="48" customFormat="1" x14ac:dyDescent="0.25">
      <c r="A36"/>
      <c r="B36" s="55" t="s">
        <v>43</v>
      </c>
      <c r="C36" s="56">
        <v>0</v>
      </c>
      <c r="D36" s="56">
        <f>SUM($C$35:D35)</f>
        <v>16585.479080457721</v>
      </c>
      <c r="E36" s="56"/>
      <c r="F36" s="55" t="s">
        <v>43</v>
      </c>
      <c r="G36" s="56">
        <v>0</v>
      </c>
      <c r="H36" s="56">
        <f>SUM($G$35:H35)</f>
        <v>13505.1194827</v>
      </c>
      <c r="J36" s="55" t="s">
        <v>43</v>
      </c>
      <c r="K36" s="56">
        <v>0</v>
      </c>
      <c r="L36" s="56">
        <f>SUM($K$35:L35)</f>
        <v>12064.733765177056</v>
      </c>
      <c r="N36" s="55" t="s">
        <v>43</v>
      </c>
      <c r="O36" s="56">
        <v>0</v>
      </c>
      <c r="P36" s="56">
        <f>SUM(O$35:$P35)</f>
        <v>8608.0271156033014</v>
      </c>
      <c r="R36" s="55" t="s">
        <v>43</v>
      </c>
      <c r="S36" s="56">
        <v>0</v>
      </c>
      <c r="T36" s="56">
        <f>SUM($S$35:T35)</f>
        <v>7083.7612738181824</v>
      </c>
      <c r="X36" s="61"/>
    </row>
    <row r="37" spans="1:25" s="48" customFormat="1" x14ac:dyDescent="0.25">
      <c r="A37"/>
      <c r="B37" s="55" t="s">
        <v>44</v>
      </c>
      <c r="C37" s="56">
        <v>0</v>
      </c>
      <c r="D37" s="56">
        <f>(D35-D33+(D33*$L$3))*$L$4</f>
        <v>3502.9913941183404</v>
      </c>
      <c r="E37" s="56"/>
      <c r="F37" s="55" t="s">
        <v>44</v>
      </c>
      <c r="G37" s="56">
        <v>0</v>
      </c>
      <c r="H37" s="56">
        <f>(H35-H33+(H33*$L$3))*$L$4</f>
        <v>2852.3937774085957</v>
      </c>
      <c r="J37" s="55" t="s">
        <v>44</v>
      </c>
      <c r="K37" s="56">
        <v>0</v>
      </c>
      <c r="L37" s="56">
        <f>(L35-L33+(L33*$L$3))*$L$4</f>
        <v>2548.1723106534369</v>
      </c>
      <c r="N37" s="55" t="s">
        <v>44</v>
      </c>
      <c r="O37" s="56">
        <v>0</v>
      </c>
      <c r="P37" s="56">
        <f>(P35-P33+(P33*$L$3))*$L$4</f>
        <v>1818.0870603747135</v>
      </c>
      <c r="R37" s="55" t="s">
        <v>44</v>
      </c>
      <c r="S37" s="56">
        <v>0</v>
      </c>
      <c r="T37" s="56">
        <f>(T35-T33+(T33*$L$3))*$L$4</f>
        <v>1496.1494123743485</v>
      </c>
      <c r="X37" s="61"/>
    </row>
    <row r="38" spans="1:25" s="48" customFormat="1" x14ac:dyDescent="0.25">
      <c r="A38"/>
      <c r="B38" s="55" t="s">
        <v>45</v>
      </c>
      <c r="C38" s="56">
        <v>0</v>
      </c>
      <c r="D38" s="56">
        <f>SUM($C$37:D37)</f>
        <v>3502.9913941183404</v>
      </c>
      <c r="E38" s="56"/>
      <c r="F38" s="55" t="s">
        <v>45</v>
      </c>
      <c r="G38" s="56">
        <v>0</v>
      </c>
      <c r="H38" s="56">
        <f>SUM($G$37:H37)</f>
        <v>2852.3937774085957</v>
      </c>
      <c r="J38" s="55" t="s">
        <v>45</v>
      </c>
      <c r="K38" s="56">
        <v>0</v>
      </c>
      <c r="L38" s="56">
        <f>SUM($K$37:L37)</f>
        <v>2548.1723106534369</v>
      </c>
      <c r="N38" s="55" t="s">
        <v>45</v>
      </c>
      <c r="O38" s="56">
        <v>0</v>
      </c>
      <c r="P38" s="56">
        <f>SUM(O$37:$P37)</f>
        <v>1818.0870603747135</v>
      </c>
      <c r="R38" s="55" t="s">
        <v>45</v>
      </c>
      <c r="S38" s="56">
        <v>0</v>
      </c>
      <c r="T38" s="56">
        <f>SUM($S$37:T37)</f>
        <v>1496.1494123743485</v>
      </c>
      <c r="X38" s="61"/>
    </row>
    <row r="39" spans="1:25" s="48" customFormat="1" x14ac:dyDescent="0.25">
      <c r="A39"/>
      <c r="B39" s="55" t="s">
        <v>46</v>
      </c>
      <c r="C39" s="56">
        <v>0</v>
      </c>
      <c r="D39" s="56">
        <f>SUM($E$3:$E$3,$E$21)*$L$7*0.2</f>
        <v>236.09917279239812</v>
      </c>
      <c r="E39" s="56"/>
      <c r="F39" s="55" t="s">
        <v>46</v>
      </c>
      <c r="G39" s="56">
        <v>0</v>
      </c>
      <c r="H39" s="56">
        <f>SUM($E$4:$E$4,$E$22)*$L$7*0.2</f>
        <v>192.2493479302</v>
      </c>
      <c r="J39" s="55" t="s">
        <v>46</v>
      </c>
      <c r="K39" s="56">
        <v>0</v>
      </c>
      <c r="L39" s="56">
        <f>SUM($E$5:$E$5,$E$23)*$L$7*0.2</f>
        <v>171.74503359840278</v>
      </c>
      <c r="N39" s="55" t="s">
        <v>46</v>
      </c>
      <c r="O39" s="56">
        <v>0</v>
      </c>
      <c r="P39" s="56">
        <f>SUM($E$6:$E$6,$E$24)*$L$7*0.2</f>
        <v>122.53779776329405</v>
      </c>
      <c r="R39" s="55" t="s">
        <v>46</v>
      </c>
      <c r="S39" s="56">
        <v>0</v>
      </c>
      <c r="T39" s="56">
        <f>SUM($E$7:$E$7,$E$25)*$L$7*0.2</f>
        <v>100.83942519200001</v>
      </c>
      <c r="X39" s="61"/>
    </row>
    <row r="40" spans="1:25" s="48" customFormat="1" x14ac:dyDescent="0.25">
      <c r="A40"/>
      <c r="B40" s="55" t="s">
        <v>47</v>
      </c>
      <c r="C40" s="56">
        <v>0</v>
      </c>
      <c r="D40" s="56">
        <f>(((SUM($E$3:$E$3)+$E$21-C34-C38)+(SUM($E$3:$E$3)+$E$21-D34-D38))/2)</f>
        <v>94184.118591862934</v>
      </c>
      <c r="E40" s="56"/>
      <c r="F40" s="55" t="s">
        <v>47</v>
      </c>
      <c r="G40" s="56">
        <v>0</v>
      </c>
      <c r="H40" s="56">
        <f>(((SUM($E$4:$E$4)+$E$22-G34-G38)+(SUM($E$4:$E$4)+$E$22-H34-H38))/2)</f>
        <v>76691.651099462382</v>
      </c>
      <c r="J40" s="55" t="s">
        <v>47</v>
      </c>
      <c r="K40" s="56">
        <v>0</v>
      </c>
      <c r="L40" s="56">
        <f>(((SUM($E$5:$E$5)+$E$23-K34-K38)+(SUM($E$5:$E$5)+$E$23-L34-L38))/2)</f>
        <v>68512.118956971943</v>
      </c>
      <c r="N40" s="55" t="s">
        <v>47</v>
      </c>
      <c r="O40" s="56">
        <v>0</v>
      </c>
      <c r="P40" s="56">
        <f>(((SUM($E$6:$E$6)+$E$24-O34-O38)+(SUM($E$6:$E$6)+$E$24-P34-P38))/2)</f>
        <v>48882.485863988601</v>
      </c>
      <c r="R40" s="55" t="s">
        <v>47</v>
      </c>
      <c r="S40" s="56">
        <v>0</v>
      </c>
      <c r="T40" s="56">
        <f>(((SUM($E$7:$E$7)+$E$25-S34-S38)+(SUM($E$7:$E$7)+$E$25-T34-T38))/2)</f>
        <v>40226.622858055256</v>
      </c>
      <c r="X40" s="61"/>
    </row>
    <row r="41" spans="1:25" s="48" customFormat="1" x14ac:dyDescent="0.25">
      <c r="A41"/>
      <c r="B41" s="55" t="s">
        <v>48</v>
      </c>
      <c r="C41" s="56">
        <v>0</v>
      </c>
      <c r="D41" s="56">
        <f>D40*$K$10*$L$10</f>
        <v>5213.0909640596128</v>
      </c>
      <c r="E41" s="56"/>
      <c r="F41" s="55" t="s">
        <v>48</v>
      </c>
      <c r="G41" s="56">
        <v>0</v>
      </c>
      <c r="H41" s="56">
        <f>H40*$K$10*$L$10</f>
        <v>4244.8828883552424</v>
      </c>
      <c r="J41" s="55" t="s">
        <v>48</v>
      </c>
      <c r="K41" s="56">
        <v>0</v>
      </c>
      <c r="L41" s="56">
        <f>L40*$K$10*$L$10</f>
        <v>3792.1457842683967</v>
      </c>
      <c r="N41" s="55" t="s">
        <v>48</v>
      </c>
      <c r="O41" s="56">
        <v>0</v>
      </c>
      <c r="P41" s="56">
        <f>P40*$K$10*$L$10</f>
        <v>2705.6455925717692</v>
      </c>
      <c r="R41" s="55" t="s">
        <v>48</v>
      </c>
      <c r="S41" s="56">
        <v>0</v>
      </c>
      <c r="T41" s="56">
        <f>T40*$K$10*$L$10</f>
        <v>2226.5435751933583</v>
      </c>
    </row>
    <row r="42" spans="1:25" s="48" customFormat="1" x14ac:dyDescent="0.25">
      <c r="A42"/>
      <c r="B42" s="55" t="s">
        <v>49</v>
      </c>
      <c r="C42" s="56">
        <v>0</v>
      </c>
      <c r="D42" s="56">
        <f>D40*$K$11*$L$11</f>
        <v>0</v>
      </c>
      <c r="E42" s="56"/>
      <c r="F42" s="55" t="s">
        <v>49</v>
      </c>
      <c r="G42" s="56">
        <v>0</v>
      </c>
      <c r="H42" s="56">
        <f>H40*$K$11*$L$11</f>
        <v>0</v>
      </c>
      <c r="J42" s="55" t="s">
        <v>49</v>
      </c>
      <c r="K42" s="56">
        <v>0</v>
      </c>
      <c r="L42" s="56">
        <f>L40*$K$11*$L$11</f>
        <v>0</v>
      </c>
      <c r="N42" s="55" t="s">
        <v>49</v>
      </c>
      <c r="O42" s="56">
        <v>0</v>
      </c>
      <c r="P42" s="56">
        <f>P40*$K$11*$L$11</f>
        <v>0</v>
      </c>
      <c r="R42" s="55" t="s">
        <v>49</v>
      </c>
      <c r="S42" s="56">
        <v>0</v>
      </c>
      <c r="T42" s="56">
        <f>T40*$K$11*$L$11</f>
        <v>0</v>
      </c>
    </row>
    <row r="43" spans="1:25" s="48" customFormat="1" x14ac:dyDescent="0.25">
      <c r="A43"/>
      <c r="B43" s="55" t="s">
        <v>50</v>
      </c>
      <c r="C43" s="56">
        <v>0</v>
      </c>
      <c r="D43" s="56">
        <f>D40*$K$12*$L$12</f>
        <v>1862.9618657470489</v>
      </c>
      <c r="E43" s="56"/>
      <c r="F43" s="55" t="s">
        <v>50</v>
      </c>
      <c r="G43" s="56">
        <v>0</v>
      </c>
      <c r="H43" s="56">
        <f>H40*$K$12*$L$12</f>
        <v>1516.960858747366</v>
      </c>
      <c r="J43" s="55" t="s">
        <v>50</v>
      </c>
      <c r="K43" s="56">
        <v>0</v>
      </c>
      <c r="L43" s="56">
        <f>L40*$K$12*$L$12</f>
        <v>1355.1697129689051</v>
      </c>
      <c r="N43" s="55" t="s">
        <v>50</v>
      </c>
      <c r="O43" s="56">
        <v>0</v>
      </c>
      <c r="P43" s="56">
        <f>P40*$K$12*$L$12</f>
        <v>966.8955703896944</v>
      </c>
      <c r="R43" s="55" t="s">
        <v>50</v>
      </c>
      <c r="S43" s="56">
        <v>0</v>
      </c>
      <c r="T43" s="56">
        <f>T40*$K$12*$L$12</f>
        <v>795.68260013233294</v>
      </c>
    </row>
    <row r="44" spans="1:25" s="48" customFormat="1" x14ac:dyDescent="0.25">
      <c r="A44"/>
      <c r="B44" s="55" t="s">
        <v>51</v>
      </c>
      <c r="C44" s="56">
        <v>0</v>
      </c>
      <c r="D44" s="56">
        <f>((D41+D42)*$L$4)/(1-$L$4)-(D33*$L$2)/(1-$L$4)+(D33*$L$3*$L$4)/(1-$L$4)</f>
        <v>628.59350174006181</v>
      </c>
      <c r="E44" s="56"/>
      <c r="F44" s="55" t="s">
        <v>51</v>
      </c>
      <c r="G44" s="56">
        <v>0</v>
      </c>
      <c r="H44" s="56">
        <f>((H41+H42)*$L$4)/(1-$L$4)-(H33*$L$2)/(1-$L$4)+(H33*$L$3*$L$4)/(1-$L$4)</f>
        <v>511.84715894345118</v>
      </c>
      <c r="J44" s="55" t="s">
        <v>51</v>
      </c>
      <c r="K44" s="56">
        <v>0</v>
      </c>
      <c r="L44" s="56">
        <f>((L41+L42)*$L$4)/(1-$L$4)-(L33*$L$2)/(1-$L$4)+(L33*$L$3*$L$4)/(1-$L$4)</f>
        <v>457.25620636126416</v>
      </c>
      <c r="N44" s="55" t="s">
        <v>51</v>
      </c>
      <c r="O44" s="56">
        <v>0</v>
      </c>
      <c r="P44" s="56">
        <f>((P41+P42)*$L$4)/(1-$L$4)-(P33*$L$2)/(1-$L$4)+(P33*$L$3*$L$4)/(1-$L$4)</f>
        <v>326.24622306183954</v>
      </c>
      <c r="R44" s="55" t="s">
        <v>51</v>
      </c>
      <c r="S44" s="56">
        <v>0</v>
      </c>
      <c r="T44" s="56">
        <f>((T41+T42)*$L$4)/(1-$L$4)-(T33*$L$2)/(1-$L$4)+(T33*$L$3*$L$4)/(1-$L$4)</f>
        <v>268.47619432631564</v>
      </c>
    </row>
    <row r="45" spans="1:25" s="48" customFormat="1" x14ac:dyDescent="0.25">
      <c r="A45"/>
      <c r="B45" s="55" t="s">
        <v>26</v>
      </c>
      <c r="C45" s="56">
        <v>0</v>
      </c>
      <c r="D45" s="56">
        <f>D33+D39+D41+D42+D43+D44</f>
        <v>11192.8002259975</v>
      </c>
      <c r="E45" s="56"/>
      <c r="F45" s="55" t="s">
        <v>26</v>
      </c>
      <c r="G45" s="56">
        <v>0</v>
      </c>
      <c r="H45" s="56">
        <f>H33+H39+H41+H42+H43+H44</f>
        <v>9114.0028976429276</v>
      </c>
      <c r="I45" s="47"/>
      <c r="J45" s="55" t="s">
        <v>26</v>
      </c>
      <c r="K45" s="56">
        <v>0</v>
      </c>
      <c r="L45" s="56">
        <f>L33+L39+L41+L42+L43+L44</f>
        <v>8141.9508088003131</v>
      </c>
      <c r="M45" s="47"/>
      <c r="N45" s="55" t="s">
        <v>26</v>
      </c>
      <c r="O45" s="56">
        <v>0</v>
      </c>
      <c r="P45" s="56">
        <f>P33+P39+P41+P42+P43+P44</f>
        <v>5809.1736378264604</v>
      </c>
      <c r="Q45" s="47"/>
      <c r="R45" s="55" t="s">
        <v>26</v>
      </c>
      <c r="S45" s="56">
        <v>0</v>
      </c>
      <c r="T45" s="56">
        <f>T33+T39+T41+T42+T43+T44</f>
        <v>4780.514593631885</v>
      </c>
      <c r="U45" s="50"/>
      <c r="V45"/>
      <c r="W45"/>
      <c r="X45"/>
      <c r="Y45"/>
    </row>
    <row r="46" spans="1:25" s="48" customFormat="1" x14ac:dyDescent="0.25">
      <c r="A46"/>
      <c r="B46" s="55"/>
      <c r="C46" s="56"/>
      <c r="D46" s="56"/>
      <c r="E46" s="56"/>
      <c r="F46" s="55"/>
      <c r="G46" s="56"/>
      <c r="H46" s="56"/>
      <c r="I46" s="47"/>
      <c r="J46" s="55"/>
      <c r="K46" s="56"/>
      <c r="L46" s="56"/>
      <c r="M46" s="47"/>
      <c r="N46" s="55"/>
      <c r="O46" s="56"/>
      <c r="P46" s="56"/>
      <c r="Q46" s="47"/>
      <c r="R46" s="55"/>
      <c r="S46" s="56"/>
      <c r="T46" s="56"/>
      <c r="U46" s="50"/>
      <c r="V46"/>
      <c r="W46"/>
      <c r="X46"/>
      <c r="Y46"/>
    </row>
    <row r="47" spans="1:25" s="48" customFormat="1" x14ac:dyDescent="0.25">
      <c r="A47"/>
      <c r="B47" s="55" t="s">
        <v>52</v>
      </c>
      <c r="C47" s="56">
        <v>0</v>
      </c>
      <c r="D47" s="56">
        <f>(7.168*$I$3)*(1+0.024)^(D28-$C$28)</f>
        <v>546.83238399999993</v>
      </c>
      <c r="E47" s="56"/>
      <c r="F47" s="55" t="s">
        <v>52</v>
      </c>
      <c r="G47" s="56">
        <v>0</v>
      </c>
      <c r="H47" s="56">
        <f>(7.168*$I$4)*(1+0.024)^(H28-$G$28)</f>
        <v>448.47595520000004</v>
      </c>
      <c r="I47" s="47"/>
      <c r="J47" s="55" t="s">
        <v>52</v>
      </c>
      <c r="K47" s="56">
        <v>0</v>
      </c>
      <c r="L47" s="56">
        <f>(7.168*$I$5)*(1+0.024)^(L28-$K$28)</f>
        <v>406.63777279999999</v>
      </c>
      <c r="M47" s="47"/>
      <c r="N47" s="55" t="s">
        <v>52</v>
      </c>
      <c r="O47" s="56">
        <v>0</v>
      </c>
      <c r="P47" s="56">
        <f>(7.168*$I$6)*(1+0.024)^(P28-$O$28)</f>
        <v>275.25120000000004</v>
      </c>
      <c r="Q47" s="47"/>
      <c r="R47" s="55" t="s">
        <v>52</v>
      </c>
      <c r="S47" s="56">
        <v>0</v>
      </c>
      <c r="T47" s="56">
        <f>(7.168*$I$7)*(1+0.024)^(T28-$S$28)</f>
        <v>233.41301760000002</v>
      </c>
      <c r="U47" s="50"/>
      <c r="V47"/>
      <c r="W47"/>
      <c r="X47"/>
      <c r="Y47"/>
    </row>
    <row r="48" spans="1:25" s="48" customFormat="1" x14ac:dyDescent="0.25">
      <c r="A48"/>
      <c r="B48" s="55"/>
      <c r="C48" s="56"/>
      <c r="D48" s="56"/>
      <c r="E48" s="56"/>
      <c r="F48" s="55"/>
      <c r="G48" s="56"/>
      <c r="H48" s="56"/>
      <c r="I48" s="47"/>
      <c r="J48" s="56"/>
      <c r="K48" s="50"/>
      <c r="L48" s="55"/>
      <c r="M48" s="56"/>
      <c r="N48" s="55"/>
      <c r="O48" s="56"/>
      <c r="P48" s="56"/>
      <c r="Q48" s="47"/>
      <c r="R48" s="55"/>
      <c r="S48" s="56"/>
      <c r="T48" s="56"/>
      <c r="U48" s="50"/>
      <c r="V48"/>
      <c r="W48"/>
      <c r="X48"/>
      <c r="Y48"/>
    </row>
    <row r="49" spans="2:21" x14ac:dyDescent="0.25">
      <c r="B49" s="55" t="s">
        <v>50</v>
      </c>
      <c r="C49" s="56">
        <v>0</v>
      </c>
      <c r="D49" s="56">
        <f>$C$8*$K$12*$L$12</f>
        <v>272.06045652300003</v>
      </c>
      <c r="E49" s="56"/>
      <c r="F49" s="55" t="s">
        <v>50</v>
      </c>
      <c r="G49" s="56">
        <v>0</v>
      </c>
      <c r="H49" s="56">
        <f>$C$9*$K$12*$L$12</f>
        <v>165.96396261680002</v>
      </c>
      <c r="I49" s="50"/>
      <c r="J49" s="55" t="s">
        <v>50</v>
      </c>
      <c r="K49" s="56">
        <v>0</v>
      </c>
      <c r="L49" s="56">
        <f>$C$10*$K$12*$L$12</f>
        <v>230.76274218279994</v>
      </c>
      <c r="M49" s="50"/>
      <c r="N49" s="55" t="s">
        <v>50</v>
      </c>
      <c r="O49" s="56">
        <v>0</v>
      </c>
      <c r="P49" s="56">
        <f>$C$11*$K$12*$L$12</f>
        <v>84.466526285800001</v>
      </c>
      <c r="Q49" s="50"/>
      <c r="R49" s="55" t="s">
        <v>50</v>
      </c>
      <c r="S49" s="56">
        <v>0</v>
      </c>
      <c r="T49" s="56">
        <f>$C$12*$K$12*$L$12</f>
        <v>115.66045496945455</v>
      </c>
      <c r="U49" s="50"/>
    </row>
    <row r="50" spans="2:21" x14ac:dyDescent="0.25">
      <c r="B50" s="55" t="s">
        <v>48</v>
      </c>
      <c r="C50" s="56">
        <v>0</v>
      </c>
      <c r="D50" s="56">
        <f>$C$8*$K$10*$L$10/(1-$L$4)</f>
        <v>1019.7597366184449</v>
      </c>
      <c r="E50" s="56"/>
      <c r="F50" s="55" t="s">
        <v>48</v>
      </c>
      <c r="G50" s="56">
        <v>0</v>
      </c>
      <c r="H50" s="56">
        <f>$C$9*$K$10*$L$10/(1-$L$4)</f>
        <v>622.07999269439415</v>
      </c>
      <c r="I50" s="50"/>
      <c r="J50" s="55" t="s">
        <v>48</v>
      </c>
      <c r="K50" s="56">
        <v>0</v>
      </c>
      <c r="L50" s="56">
        <f>$C$10*$K$10*$L$10/(1-$L$4)</f>
        <v>864.96419287522565</v>
      </c>
      <c r="M50" s="50"/>
      <c r="N50" s="55" t="s">
        <v>48</v>
      </c>
      <c r="O50" s="56">
        <v>0</v>
      </c>
      <c r="P50" s="56">
        <f>$C$11*$K$10*$L$10/(1-$L$4)</f>
        <v>316.60449188065098</v>
      </c>
      <c r="Q50" s="50"/>
      <c r="R50" s="55" t="s">
        <v>48</v>
      </c>
      <c r="S50" s="56">
        <v>0</v>
      </c>
      <c r="T50" s="56">
        <f>$C$12*$K$10*$L$10/(1-$L$4)</f>
        <v>433.52818194969592</v>
      </c>
      <c r="U50" s="50"/>
    </row>
    <row r="51" spans="2:21" x14ac:dyDescent="0.25">
      <c r="B51" s="55" t="s">
        <v>46</v>
      </c>
      <c r="C51" s="56">
        <v>0</v>
      </c>
      <c r="D51" s="56">
        <f>$C$8*$L$6</f>
        <v>247.57776630000001</v>
      </c>
      <c r="E51" s="56"/>
      <c r="F51" s="55" t="s">
        <v>46</v>
      </c>
      <c r="G51" s="56">
        <v>0</v>
      </c>
      <c r="H51" s="56">
        <f>$C$9*$L$6</f>
        <v>151.02888408000001</v>
      </c>
      <c r="I51" s="50"/>
      <c r="J51" s="55" t="s">
        <v>46</v>
      </c>
      <c r="K51" s="56">
        <v>0</v>
      </c>
      <c r="L51" s="56">
        <f>$C$10*$L$6</f>
        <v>209.99642867999995</v>
      </c>
      <c r="M51" s="50"/>
      <c r="N51" s="55" t="s">
        <v>46</v>
      </c>
      <c r="O51" s="56">
        <v>0</v>
      </c>
      <c r="P51" s="56">
        <f>$C$11*$L$6</f>
        <v>76.865392979999996</v>
      </c>
      <c r="Q51" s="50"/>
      <c r="R51" s="55" t="s">
        <v>46</v>
      </c>
      <c r="S51" s="56">
        <v>0</v>
      </c>
      <c r="T51" s="56">
        <f>$C$12*$L$6</f>
        <v>105.25218349090909</v>
      </c>
      <c r="U51" s="50"/>
    </row>
    <row r="52" spans="2:21" x14ac:dyDescent="0.25">
      <c r="B52" s="55" t="s">
        <v>53</v>
      </c>
      <c r="C52" s="56">
        <f>SUM(C49:C51)</f>
        <v>0</v>
      </c>
      <c r="D52" s="56">
        <f t="shared" ref="D52" si="3">SUM(D49:D51)</f>
        <v>1539.397959441445</v>
      </c>
      <c r="E52" s="56"/>
      <c r="F52" s="55" t="s">
        <v>53</v>
      </c>
      <c r="G52" s="56">
        <f>SUM(G49:G51)</f>
        <v>0</v>
      </c>
      <c r="H52" s="56">
        <f>SUM(H49:H51)</f>
        <v>939.07283939119418</v>
      </c>
      <c r="I52" s="50"/>
      <c r="J52" s="55" t="s">
        <v>53</v>
      </c>
      <c r="K52" s="56">
        <f>SUM(K49:K51)</f>
        <v>0</v>
      </c>
      <c r="L52" s="56">
        <f>SUM(L49:L51)</f>
        <v>1305.7233637380257</v>
      </c>
      <c r="M52" s="50"/>
      <c r="N52" s="55" t="s">
        <v>53</v>
      </c>
      <c r="O52" s="56">
        <f>SUM(O49:O51)</f>
        <v>0</v>
      </c>
      <c r="P52" s="56">
        <f>SUM(P49:P51)</f>
        <v>477.93641114645095</v>
      </c>
      <c r="Q52" s="50"/>
      <c r="R52" s="55" t="s">
        <v>53</v>
      </c>
      <c r="S52" s="56">
        <f>SUM(S49:S51)</f>
        <v>0</v>
      </c>
      <c r="T52" s="56">
        <f>SUM(T49:T51)</f>
        <v>654.44082041005959</v>
      </c>
      <c r="U52" s="50"/>
    </row>
    <row r="53" spans="2:21" x14ac:dyDescent="0.25">
      <c r="B53" s="55"/>
      <c r="C53" s="56"/>
      <c r="D53" s="56"/>
      <c r="E53" s="56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</row>
    <row r="54" spans="2:21" x14ac:dyDescent="0.25">
      <c r="B54" s="50"/>
      <c r="C54" s="50"/>
      <c r="D54" s="50"/>
      <c r="E54" s="54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</row>
    <row r="55" spans="2:21" x14ac:dyDescent="0.25">
      <c r="E55" s="56"/>
      <c r="O55" s="50"/>
    </row>
    <row r="56" spans="2:21" x14ac:dyDescent="0.25">
      <c r="E56" s="56"/>
      <c r="O56" s="50"/>
    </row>
    <row r="57" spans="2:21" x14ac:dyDescent="0.25">
      <c r="E57" s="56"/>
      <c r="O57" s="50"/>
    </row>
    <row r="58" spans="2:21" x14ac:dyDescent="0.25">
      <c r="E58" s="56"/>
      <c r="O58" s="50"/>
    </row>
    <row r="59" spans="2:21" x14ac:dyDescent="0.25">
      <c r="E59" s="56"/>
      <c r="O59" s="50"/>
    </row>
    <row r="60" spans="2:21" x14ac:dyDescent="0.25">
      <c r="D60" s="16"/>
      <c r="E60" s="56"/>
    </row>
    <row r="61" spans="2:21" x14ac:dyDescent="0.25">
      <c r="E61" s="56"/>
    </row>
    <row r="62" spans="2:21" x14ac:dyDescent="0.25">
      <c r="E62" s="56"/>
    </row>
    <row r="63" spans="2:21" x14ac:dyDescent="0.25">
      <c r="E63" s="56"/>
    </row>
    <row r="64" spans="2:21" x14ac:dyDescent="0.25">
      <c r="E64" s="56"/>
    </row>
    <row r="65" spans="5:12" x14ac:dyDescent="0.25">
      <c r="E65" s="56"/>
    </row>
    <row r="66" spans="5:12" x14ac:dyDescent="0.25">
      <c r="E66" s="56"/>
    </row>
    <row r="67" spans="5:12" x14ac:dyDescent="0.25">
      <c r="E67" s="56"/>
    </row>
    <row r="68" spans="5:12" x14ac:dyDescent="0.25">
      <c r="E68" s="56"/>
    </row>
    <row r="69" spans="5:12" x14ac:dyDescent="0.25">
      <c r="E69" s="56"/>
    </row>
    <row r="70" spans="5:12" x14ac:dyDescent="0.25">
      <c r="E70" s="56"/>
    </row>
    <row r="71" spans="5:12" x14ac:dyDescent="0.25">
      <c r="E71" s="56"/>
    </row>
    <row r="72" spans="5:12" x14ac:dyDescent="0.25">
      <c r="E72" s="56"/>
    </row>
    <row r="73" spans="5:12" x14ac:dyDescent="0.25">
      <c r="E73" s="56"/>
    </row>
    <row r="74" spans="5:12" x14ac:dyDescent="0.25">
      <c r="E74" s="56"/>
    </row>
    <row r="75" spans="5:12" x14ac:dyDescent="0.25">
      <c r="E75" s="56"/>
    </row>
    <row r="76" spans="5:12" x14ac:dyDescent="0.25">
      <c r="E76" s="56"/>
      <c r="L76" s="56"/>
    </row>
    <row r="77" spans="5:12" x14ac:dyDescent="0.25">
      <c r="E77" s="56"/>
      <c r="L77" s="56"/>
    </row>
    <row r="78" spans="5:12" x14ac:dyDescent="0.25">
      <c r="E78" s="56"/>
      <c r="L78" s="56"/>
    </row>
  </sheetData>
  <mergeCells count="2">
    <mergeCell ref="P2:U3"/>
    <mergeCell ref="Q4:T5"/>
  </mergeCells>
  <printOptions horizontalCentered="1"/>
  <pageMargins left="0" right="0" top="0" bottom="0" header="0.3" footer="0.3"/>
  <pageSetup scale="54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Q28</vt:lpstr>
      <vt:lpstr>'Q28'!Print_Area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2018-08-06T15:20:21Z</dcterms:created>
  <dcterms:modified xsi:type="dcterms:W3CDTF">2018-08-06T15:20:26Z</dcterms:modified>
</cp:coreProperties>
</file>