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filterPrivacy="1" defaultThemeVersion="124226"/>
  <bookViews>
    <workbookView xWindow="0" yWindow="0" windowWidth="20460" windowHeight="7452" tabRatio="844" activeTab="2"/>
  </bookViews>
  <sheets>
    <sheet name="Summary" sheetId="9" r:id="rId1"/>
    <sheet name="Independant Calc" sheetId="4" r:id="rId2"/>
    <sheet name="Power Tax PY" sheetId="21" r:id="rId3"/>
    <sheet name="Power Tax CY" sheetId="23" r:id="rId4"/>
    <sheet name="Rpt 51040" sheetId="7" r:id="rId5"/>
    <sheet name="AFUDC" sheetId="8" r:id="rId6"/>
    <sheet name="NDBD NBV AMORT" sheetId="10" r:id="rId7"/>
    <sheet name="ITC Amortization" sheetId="12" r:id="rId8"/>
  </sheets>
  <definedNames>
    <definedName name="CYALLBUTPCFED">'Power Tax CY'!$B$8:$N$46</definedName>
    <definedName name="CYALLBUTPCOFFSET">'Power Tax CY'!$B$90:$N$133</definedName>
    <definedName name="CYALLBUTPCST">'Power Tax CY'!$B$160:$N$202</definedName>
    <definedName name="CYPCFED">'Power Tax CY'!$B$47:$N$67</definedName>
    <definedName name="CYPCOFFSET">'Power Tax CY'!$B$134:$N$155</definedName>
    <definedName name="CYPCST">'Power Tax CY'!$B$203:$N$224</definedName>
    <definedName name="_xlnm.Print_Area" localSheetId="5">AFUDC!$A$1:$O$39</definedName>
    <definedName name="_xlnm.Print_Area" localSheetId="0">Summary!$A$1:$F$51</definedName>
    <definedName name="Provision">'Rpt 51040'!$B$10:$G$53</definedName>
    <definedName name="PYALLBUTPCFED">'Power Tax PY'!$B$8:$N$46</definedName>
    <definedName name="PYALLBUTPCOFFSET">'Power Tax PY'!$B$90:$N$133</definedName>
    <definedName name="PYALLBUTPCST">'Power Tax PY'!$B$160:$N$202</definedName>
    <definedName name="PYPCFED">'Power Tax PY'!$B$47:$N$67</definedName>
    <definedName name="PYPCOFFSET">'Power Tax PY'!$B$134:$N$155</definedName>
    <definedName name="PYPCST">'Power Tax PY'!$B$203:$N$224</definedName>
  </definedNames>
  <calcPr calcId="171027"/>
</workbook>
</file>

<file path=xl/calcChain.xml><?xml version="1.0" encoding="utf-8"?>
<calcChain xmlns="http://schemas.openxmlformats.org/spreadsheetml/2006/main">
  <c r="F21" i="9" l="1"/>
  <c r="F22" i="9"/>
  <c r="F23" i="9"/>
  <c r="AW100" i="12" l="1"/>
  <c r="F13" i="4"/>
  <c r="M224" i="21"/>
  <c r="M219" i="21"/>
  <c r="N219" i="21"/>
  <c r="L212" i="21"/>
  <c r="M212" i="21"/>
  <c r="J209" i="21"/>
  <c r="K209" i="21"/>
  <c r="L209" i="21"/>
  <c r="N209" i="21"/>
  <c r="J210" i="21"/>
  <c r="K210" i="21"/>
  <c r="L210" i="21"/>
  <c r="N210" i="21"/>
  <c r="J211" i="21"/>
  <c r="K211" i="21"/>
  <c r="L211" i="21"/>
  <c r="N211" i="21"/>
  <c r="J213" i="21"/>
  <c r="J219" i="21" s="1"/>
  <c r="K213" i="21"/>
  <c r="K219" i="21" s="1"/>
  <c r="L213" i="21"/>
  <c r="L219" i="21" s="1"/>
  <c r="L224" i="21" s="1"/>
  <c r="N213" i="21"/>
  <c r="J214" i="21"/>
  <c r="K214" i="21"/>
  <c r="L214" i="21"/>
  <c r="N214" i="21"/>
  <c r="J215" i="21"/>
  <c r="K215" i="21"/>
  <c r="L215" i="21"/>
  <c r="N215" i="21"/>
  <c r="J216" i="21"/>
  <c r="K216" i="21"/>
  <c r="L216" i="21"/>
  <c r="N216" i="21"/>
  <c r="J217" i="21"/>
  <c r="K217" i="21"/>
  <c r="L217" i="21"/>
  <c r="N217" i="21"/>
  <c r="N208" i="21"/>
  <c r="N212" i="21" s="1"/>
  <c r="K208" i="21"/>
  <c r="K212" i="21" s="1"/>
  <c r="L208" i="21"/>
  <c r="J208" i="21"/>
  <c r="J212" i="21" s="1"/>
  <c r="K192" i="21"/>
  <c r="K202" i="21" s="1"/>
  <c r="L192" i="21"/>
  <c r="M192" i="21"/>
  <c r="M202" i="21" s="1"/>
  <c r="N189" i="21"/>
  <c r="L189" i="21"/>
  <c r="K189" i="21"/>
  <c r="J189" i="21"/>
  <c r="N188" i="21"/>
  <c r="L188" i="21"/>
  <c r="K188" i="21"/>
  <c r="J188" i="21"/>
  <c r="N187" i="21"/>
  <c r="L187" i="21"/>
  <c r="K187" i="21"/>
  <c r="J187" i="21"/>
  <c r="N186" i="21"/>
  <c r="L186" i="21"/>
  <c r="K186" i="21"/>
  <c r="J186" i="21"/>
  <c r="N185" i="21"/>
  <c r="L185" i="21"/>
  <c r="K185" i="21"/>
  <c r="J185" i="21"/>
  <c r="J192" i="21" s="1"/>
  <c r="J202" i="21" s="1"/>
  <c r="K177" i="21"/>
  <c r="J166" i="21"/>
  <c r="K166" i="21"/>
  <c r="L166" i="21"/>
  <c r="N166" i="21"/>
  <c r="J167" i="21"/>
  <c r="K167" i="21"/>
  <c r="L167" i="21"/>
  <c r="N167" i="21"/>
  <c r="J168" i="21"/>
  <c r="K168" i="21"/>
  <c r="L168" i="21"/>
  <c r="N168" i="21"/>
  <c r="J169" i="21"/>
  <c r="K169" i="21"/>
  <c r="L169" i="21"/>
  <c r="N169" i="21"/>
  <c r="J170" i="21"/>
  <c r="K170" i="21"/>
  <c r="L170" i="21"/>
  <c r="N170" i="21"/>
  <c r="J171" i="21"/>
  <c r="K171" i="21"/>
  <c r="L171" i="21"/>
  <c r="N171" i="21"/>
  <c r="J172" i="21"/>
  <c r="K172" i="21"/>
  <c r="L172" i="21"/>
  <c r="N172" i="21"/>
  <c r="J173" i="21"/>
  <c r="K173" i="21"/>
  <c r="L173" i="21"/>
  <c r="N173" i="21"/>
  <c r="J174" i="21"/>
  <c r="K174" i="21"/>
  <c r="L174" i="21"/>
  <c r="N174" i="21"/>
  <c r="J175" i="21"/>
  <c r="K175" i="21"/>
  <c r="L175" i="21"/>
  <c r="N175" i="21"/>
  <c r="J176" i="21"/>
  <c r="K176" i="21"/>
  <c r="L176" i="21"/>
  <c r="N176" i="21"/>
  <c r="J178" i="21"/>
  <c r="K178" i="21"/>
  <c r="L178" i="21"/>
  <c r="N178" i="21"/>
  <c r="N192" i="21" s="1"/>
  <c r="J179" i="21"/>
  <c r="K179" i="21"/>
  <c r="L179" i="21"/>
  <c r="N179" i="21"/>
  <c r="J180" i="21"/>
  <c r="K180" i="21"/>
  <c r="L180" i="21"/>
  <c r="N180" i="21"/>
  <c r="J181" i="21"/>
  <c r="K181" i="21"/>
  <c r="L181" i="21"/>
  <c r="N181" i="21"/>
  <c r="J182" i="21"/>
  <c r="K182" i="21"/>
  <c r="L182" i="21"/>
  <c r="N182" i="21"/>
  <c r="J183" i="21"/>
  <c r="K183" i="21"/>
  <c r="L183" i="21"/>
  <c r="N183" i="21"/>
  <c r="N165" i="21"/>
  <c r="N177" i="21" s="1"/>
  <c r="K165" i="21"/>
  <c r="L165" i="21"/>
  <c r="L177" i="21" s="1"/>
  <c r="J165" i="21"/>
  <c r="J177" i="21" s="1"/>
  <c r="L150" i="21"/>
  <c r="M150" i="21"/>
  <c r="M155" i="21" s="1"/>
  <c r="K143" i="21"/>
  <c r="L143" i="21"/>
  <c r="M143" i="21"/>
  <c r="N148" i="21"/>
  <c r="L148" i="21"/>
  <c r="K148" i="21"/>
  <c r="J148" i="21"/>
  <c r="N147" i="21"/>
  <c r="L147" i="21"/>
  <c r="K147" i="21"/>
  <c r="J147" i="21"/>
  <c r="N146" i="21"/>
  <c r="L146" i="21"/>
  <c r="K146" i="21"/>
  <c r="J146" i="21"/>
  <c r="N145" i="21"/>
  <c r="L145" i="21"/>
  <c r="K145" i="21"/>
  <c r="J145" i="21"/>
  <c r="N144" i="21"/>
  <c r="N150" i="21" s="1"/>
  <c r="L144" i="21"/>
  <c r="K144" i="21"/>
  <c r="K150" i="21" s="1"/>
  <c r="J144" i="21"/>
  <c r="J150" i="21" s="1"/>
  <c r="N142" i="21"/>
  <c r="L142" i="21"/>
  <c r="K142" i="21"/>
  <c r="J142" i="21"/>
  <c r="N141" i="21"/>
  <c r="L141" i="21"/>
  <c r="K141" i="21"/>
  <c r="J141" i="21"/>
  <c r="N140" i="21"/>
  <c r="L140" i="21"/>
  <c r="K140" i="21"/>
  <c r="J140" i="21"/>
  <c r="N139" i="21"/>
  <c r="N143" i="21" s="1"/>
  <c r="N155" i="21" s="1"/>
  <c r="L139" i="21"/>
  <c r="K139" i="21"/>
  <c r="J139" i="21"/>
  <c r="J143" i="21" s="1"/>
  <c r="J155" i="21" s="1"/>
  <c r="L122" i="21"/>
  <c r="L133" i="21" s="1"/>
  <c r="M122" i="21"/>
  <c r="M133" i="21" s="1"/>
  <c r="N119" i="21"/>
  <c r="L119" i="21"/>
  <c r="K119" i="21"/>
  <c r="J119" i="21"/>
  <c r="N118" i="21"/>
  <c r="L118" i="21"/>
  <c r="K118" i="21"/>
  <c r="J118" i="21"/>
  <c r="N117" i="21"/>
  <c r="L117" i="21"/>
  <c r="K117" i="21"/>
  <c r="J117" i="21"/>
  <c r="N116" i="21"/>
  <c r="L116" i="21"/>
  <c r="K116" i="21"/>
  <c r="J116" i="21"/>
  <c r="N115" i="21"/>
  <c r="L115" i="21"/>
  <c r="K115" i="21"/>
  <c r="J115" i="21"/>
  <c r="K107" i="21"/>
  <c r="L107" i="21"/>
  <c r="M107" i="21"/>
  <c r="J107" i="21"/>
  <c r="J108" i="21"/>
  <c r="J122" i="21" s="1"/>
  <c r="K108" i="21"/>
  <c r="K122" i="21" s="1"/>
  <c r="L108" i="21"/>
  <c r="N108" i="21"/>
  <c r="N122" i="21" s="1"/>
  <c r="J109" i="21"/>
  <c r="K109" i="21"/>
  <c r="L109" i="21"/>
  <c r="N109" i="21"/>
  <c r="J110" i="21"/>
  <c r="K110" i="21"/>
  <c r="L110" i="21"/>
  <c r="N110" i="21"/>
  <c r="J111" i="21"/>
  <c r="K111" i="21"/>
  <c r="L111" i="21"/>
  <c r="N111" i="21"/>
  <c r="J112" i="21"/>
  <c r="K112" i="21"/>
  <c r="L112" i="21"/>
  <c r="N112" i="21"/>
  <c r="J113" i="21"/>
  <c r="K113" i="21"/>
  <c r="L113" i="21"/>
  <c r="N113" i="21"/>
  <c r="J96" i="21"/>
  <c r="K96" i="21"/>
  <c r="L96" i="21"/>
  <c r="N96" i="21"/>
  <c r="J97" i="21"/>
  <c r="K97" i="21"/>
  <c r="L97" i="21"/>
  <c r="N97" i="21"/>
  <c r="J98" i="21"/>
  <c r="K98" i="21"/>
  <c r="L98" i="21"/>
  <c r="N98" i="21"/>
  <c r="J99" i="21"/>
  <c r="K99" i="21"/>
  <c r="L99" i="21"/>
  <c r="N99" i="21"/>
  <c r="J100" i="21"/>
  <c r="K100" i="21"/>
  <c r="L100" i="21"/>
  <c r="N100" i="21"/>
  <c r="J101" i="21"/>
  <c r="K101" i="21"/>
  <c r="L101" i="21"/>
  <c r="N101" i="21"/>
  <c r="J102" i="21"/>
  <c r="K102" i="21"/>
  <c r="L102" i="21"/>
  <c r="N102" i="21"/>
  <c r="J103" i="21"/>
  <c r="K103" i="21"/>
  <c r="L103" i="21"/>
  <c r="N103" i="21"/>
  <c r="J104" i="21"/>
  <c r="K104" i="21"/>
  <c r="L104" i="21"/>
  <c r="N104" i="21"/>
  <c r="J105" i="21"/>
  <c r="K105" i="21"/>
  <c r="L105" i="21"/>
  <c r="N105" i="21"/>
  <c r="J106" i="21"/>
  <c r="K106" i="21"/>
  <c r="L106" i="21"/>
  <c r="N106" i="21"/>
  <c r="N61" i="21"/>
  <c r="N60" i="21"/>
  <c r="N59" i="21"/>
  <c r="N58" i="21"/>
  <c r="N62" i="21" s="1"/>
  <c r="N56" i="21"/>
  <c r="N55" i="21"/>
  <c r="N54" i="21"/>
  <c r="N53" i="21"/>
  <c r="N52" i="21"/>
  <c r="N35" i="21"/>
  <c r="N34" i="21"/>
  <c r="N33" i="21"/>
  <c r="N32" i="21"/>
  <c r="N31" i="21"/>
  <c r="N30" i="21"/>
  <c r="N29" i="21"/>
  <c r="N28" i="21"/>
  <c r="N27" i="21"/>
  <c r="N14" i="21"/>
  <c r="N15" i="21"/>
  <c r="N16" i="21"/>
  <c r="N17" i="21"/>
  <c r="N18" i="21"/>
  <c r="N19" i="21"/>
  <c r="N20" i="21"/>
  <c r="N21" i="21"/>
  <c r="N22" i="21"/>
  <c r="N23" i="21"/>
  <c r="N24" i="21"/>
  <c r="N25" i="21"/>
  <c r="N13" i="21"/>
  <c r="N95" i="21"/>
  <c r="N107" i="21" s="1"/>
  <c r="K95" i="21"/>
  <c r="L95" i="21"/>
  <c r="J95" i="21"/>
  <c r="M57" i="21"/>
  <c r="M67" i="21" s="1"/>
  <c r="M62" i="21"/>
  <c r="L61" i="21"/>
  <c r="K61" i="21"/>
  <c r="J61" i="21"/>
  <c r="L60" i="21"/>
  <c r="K60" i="21"/>
  <c r="J60" i="21"/>
  <c r="L59" i="21"/>
  <c r="K59" i="21"/>
  <c r="J59" i="21"/>
  <c r="L58" i="21"/>
  <c r="L62" i="21" s="1"/>
  <c r="K58" i="21"/>
  <c r="K62" i="21" s="1"/>
  <c r="J58" i="21"/>
  <c r="J62" i="21" s="1"/>
  <c r="L56" i="21"/>
  <c r="K56" i="21"/>
  <c r="J56" i="21"/>
  <c r="L55" i="21"/>
  <c r="K55" i="21"/>
  <c r="J55" i="21"/>
  <c r="L54" i="21"/>
  <c r="K54" i="21"/>
  <c r="J54" i="21"/>
  <c r="L53" i="21"/>
  <c r="L57" i="21" s="1"/>
  <c r="L67" i="21" s="1"/>
  <c r="K53" i="21"/>
  <c r="J53" i="21"/>
  <c r="L52" i="21"/>
  <c r="K52" i="21"/>
  <c r="K57" i="21" s="1"/>
  <c r="J52" i="21"/>
  <c r="J57" i="21" s="1"/>
  <c r="J67" i="21" s="1"/>
  <c r="M26" i="21"/>
  <c r="M46" i="21" s="1"/>
  <c r="N36" i="21"/>
  <c r="J27" i="21"/>
  <c r="K27" i="21"/>
  <c r="L27" i="21"/>
  <c r="L36" i="21" s="1"/>
  <c r="L46" i="21" s="1"/>
  <c r="J28" i="21"/>
  <c r="J36" i="21" s="1"/>
  <c r="J46" i="21" s="1"/>
  <c r="K28" i="21"/>
  <c r="K36" i="21" s="1"/>
  <c r="L28" i="21"/>
  <c r="J29" i="21"/>
  <c r="K29" i="21"/>
  <c r="L29" i="21"/>
  <c r="J30" i="21"/>
  <c r="K30" i="21"/>
  <c r="L30" i="21"/>
  <c r="J31" i="21"/>
  <c r="K31" i="21"/>
  <c r="L31" i="21"/>
  <c r="J32" i="21"/>
  <c r="K32" i="21"/>
  <c r="L32" i="21"/>
  <c r="J33" i="21"/>
  <c r="K33" i="21"/>
  <c r="L33" i="21"/>
  <c r="J34" i="21"/>
  <c r="K34" i="21"/>
  <c r="L34" i="21"/>
  <c r="J35" i="21"/>
  <c r="K35" i="21"/>
  <c r="L35" i="21"/>
  <c r="J14" i="21"/>
  <c r="J26" i="21" s="1"/>
  <c r="K14" i="21"/>
  <c r="L14" i="21"/>
  <c r="J15" i="21"/>
  <c r="K15" i="21"/>
  <c r="L15" i="21"/>
  <c r="J16" i="21"/>
  <c r="K16" i="21"/>
  <c r="L16" i="21"/>
  <c r="J17" i="21"/>
  <c r="K17" i="21"/>
  <c r="L17" i="21"/>
  <c r="J18" i="21"/>
  <c r="K18" i="21"/>
  <c r="L18" i="21"/>
  <c r="J19" i="21"/>
  <c r="K19" i="21"/>
  <c r="L19" i="21"/>
  <c r="J20" i="21"/>
  <c r="K20" i="21"/>
  <c r="L20" i="21"/>
  <c r="J21" i="21"/>
  <c r="K21" i="21"/>
  <c r="L21" i="21"/>
  <c r="J22" i="21"/>
  <c r="K22" i="21"/>
  <c r="L22" i="21"/>
  <c r="J23" i="21"/>
  <c r="K23" i="21"/>
  <c r="L23" i="21"/>
  <c r="J24" i="21"/>
  <c r="K24" i="21"/>
  <c r="L24" i="21"/>
  <c r="J25" i="21"/>
  <c r="K25" i="21"/>
  <c r="L25" i="21"/>
  <c r="K13" i="21"/>
  <c r="K26" i="21" s="1"/>
  <c r="L13" i="21"/>
  <c r="L26" i="21" s="1"/>
  <c r="J13" i="21"/>
  <c r="N202" i="21" l="1"/>
  <c r="J224" i="21"/>
  <c r="J225" i="21" s="1"/>
  <c r="M225" i="21"/>
  <c r="L225" i="21"/>
  <c r="J68" i="21"/>
  <c r="N133" i="21"/>
  <c r="K46" i="21"/>
  <c r="K67" i="21"/>
  <c r="K68" i="21" s="1"/>
  <c r="L68" i="21"/>
  <c r="M156" i="21"/>
  <c r="L202" i="21"/>
  <c r="K224" i="21"/>
  <c r="K225" i="21" s="1"/>
  <c r="J133" i="21"/>
  <c r="J156" i="21" s="1"/>
  <c r="K133" i="21"/>
  <c r="K156" i="21" s="1"/>
  <c r="N26" i="21"/>
  <c r="N46" i="21" s="1"/>
  <c r="L156" i="21"/>
  <c r="K155" i="21"/>
  <c r="N57" i="21"/>
  <c r="L155" i="21"/>
  <c r="N224" i="21"/>
  <c r="N225" i="21" s="1"/>
  <c r="M68" i="21"/>
  <c r="N156" i="21"/>
  <c r="N67" i="21"/>
  <c r="V71" i="4"/>
  <c r="V30" i="4"/>
  <c r="N68" i="21" l="1"/>
  <c r="L52" i="4" l="1"/>
  <c r="L49" i="4" s="1"/>
  <c r="L53" i="4"/>
  <c r="L50" i="4" s="1"/>
  <c r="D53" i="4"/>
  <c r="D45" i="4"/>
  <c r="B45" i="4"/>
  <c r="B53" i="4"/>
  <c r="L44" i="4"/>
  <c r="L41" i="4" s="1"/>
  <c r="L45" i="4"/>
  <c r="L42" i="4" s="1"/>
  <c r="B40" i="4"/>
  <c r="L72" i="4"/>
  <c r="L71" i="4"/>
  <c r="L56" i="4" s="1"/>
  <c r="L73" i="4"/>
  <c r="D73" i="4"/>
  <c r="B73" i="4"/>
  <c r="D71" i="4"/>
  <c r="D56" i="4" s="1"/>
  <c r="B71" i="4"/>
  <c r="B56" i="4" s="1"/>
  <c r="L68" i="4"/>
  <c r="D68" i="4"/>
  <c r="B68" i="4"/>
  <c r="L67" i="4"/>
  <c r="L66" i="4"/>
  <c r="D66" i="4"/>
  <c r="B66" i="4"/>
  <c r="D63" i="4"/>
  <c r="B63" i="4"/>
  <c r="D61" i="4"/>
  <c r="L61" i="4"/>
  <c r="B61" i="4"/>
  <c r="L62" i="4"/>
  <c r="L63" i="4"/>
  <c r="L48" i="4"/>
  <c r="D50" i="4"/>
  <c r="D48" i="4"/>
  <c r="B50" i="4"/>
  <c r="B48" i="4"/>
  <c r="D42" i="4"/>
  <c r="B42" i="4"/>
  <c r="L40" i="4"/>
  <c r="D40" i="4"/>
  <c r="D58" i="4" l="1"/>
  <c r="B58" i="4"/>
  <c r="L76" i="4"/>
  <c r="L58" i="4"/>
  <c r="L78" i="4" s="1"/>
  <c r="L57" i="4"/>
  <c r="L77" i="4" s="1"/>
  <c r="H50" i="4"/>
  <c r="H42" i="4"/>
  <c r="J42" i="4" s="1"/>
  <c r="J41" i="4" s="1"/>
  <c r="D28" i="4"/>
  <c r="D26" i="4"/>
  <c r="D23" i="4"/>
  <c r="D21" i="4"/>
  <c r="D18" i="4"/>
  <c r="D16" i="4"/>
  <c r="D11" i="4"/>
  <c r="D78" i="4" l="1"/>
  <c r="B11" i="4"/>
  <c r="B26" i="4"/>
  <c r="Z7" i="4"/>
  <c r="V16" i="4"/>
  <c r="B18" i="4"/>
  <c r="H17" i="4"/>
  <c r="V68" i="4"/>
  <c r="V66" i="4"/>
  <c r="V63" i="4"/>
  <c r="V61" i="4"/>
  <c r="V58" i="4"/>
  <c r="V56" i="4"/>
  <c r="V50" i="4"/>
  <c r="V48" i="4"/>
  <c r="V42" i="4"/>
  <c r="V40" i="4"/>
  <c r="V32" i="4"/>
  <c r="V28" i="4"/>
  <c r="V26" i="4"/>
  <c r="V23" i="4"/>
  <c r="V21" i="4"/>
  <c r="V18" i="4"/>
  <c r="V11" i="4"/>
  <c r="V9" i="4"/>
  <c r="AX100" i="12"/>
  <c r="D30" i="4"/>
  <c r="AW101" i="12"/>
  <c r="B30" i="4" s="1"/>
  <c r="B28" i="4"/>
  <c r="B23" i="4"/>
  <c r="B21" i="4"/>
  <c r="B16" i="4"/>
  <c r="H16" i="4" s="1"/>
  <c r="P16" i="4" s="1"/>
  <c r="D9" i="4"/>
  <c r="D76" i="4" s="1"/>
  <c r="B9" i="4"/>
  <c r="V75" i="4" l="1"/>
  <c r="B76" i="4"/>
  <c r="B78" i="4"/>
  <c r="H18" i="4"/>
  <c r="P18" i="4" s="1"/>
  <c r="B36" i="8"/>
  <c r="B38" i="8" s="1"/>
  <c r="V77" i="4" l="1"/>
  <c r="V81" i="4"/>
  <c r="P17" i="4"/>
  <c r="H11" i="4" l="1"/>
  <c r="P11" i="4" s="1"/>
  <c r="P10" i="4" s="1"/>
  <c r="H9" i="4"/>
  <c r="P9" i="4" s="1"/>
  <c r="F47" i="9" l="1"/>
  <c r="A4" i="9" l="1"/>
  <c r="D80" i="4" l="1"/>
  <c r="B45" i="10" l="1"/>
  <c r="H40" i="4" l="1"/>
  <c r="H30" i="4" l="1"/>
  <c r="H58" i="4" l="1"/>
  <c r="J58" i="4" s="1"/>
  <c r="P58" i="4" s="1"/>
  <c r="J57" i="4" l="1"/>
  <c r="P57" i="4" s="1"/>
  <c r="F76" i="4" l="1"/>
  <c r="H56" i="4"/>
  <c r="J56" i="4" s="1"/>
  <c r="P56" i="4" l="1"/>
  <c r="F25" i="9"/>
  <c r="F32" i="4" l="1"/>
  <c r="H32" i="4" s="1"/>
  <c r="B14" i="9" l="1"/>
  <c r="P41" i="4" l="1"/>
  <c r="J40" i="4"/>
  <c r="P40" i="4" s="1"/>
  <c r="F78" i="4" l="1"/>
  <c r="H68" i="4" l="1"/>
  <c r="H66" i="4"/>
  <c r="J66" i="4" s="1"/>
  <c r="J68" i="4" l="1"/>
  <c r="J67" i="4" s="1"/>
  <c r="P67" i="4" s="1"/>
  <c r="P66" i="4"/>
  <c r="P68" i="4" l="1"/>
  <c r="H63" i="4"/>
  <c r="J63" i="4" s="1"/>
  <c r="J62" i="4" s="1"/>
  <c r="H61" i="4"/>
  <c r="J61" i="4" s="1"/>
  <c r="P61" i="4" s="1"/>
  <c r="H73" i="4"/>
  <c r="J73" i="4" s="1"/>
  <c r="J72" i="4" s="1"/>
  <c r="J50" i="4"/>
  <c r="J49" i="4" s="1"/>
  <c r="H48" i="4"/>
  <c r="J48" i="4" s="1"/>
  <c r="H21" i="4"/>
  <c r="P21" i="4" s="1"/>
  <c r="H22" i="4"/>
  <c r="P48" i="4" l="1"/>
  <c r="P73" i="4"/>
  <c r="P72" i="4"/>
  <c r="P63" i="4"/>
  <c r="P62" i="4"/>
  <c r="H71" i="4"/>
  <c r="J71" i="4" s="1"/>
  <c r="P50" i="4"/>
  <c r="P49" i="4"/>
  <c r="H23" i="4"/>
  <c r="P23" i="4" s="1"/>
  <c r="P71" i="4" l="1"/>
  <c r="P22" i="4"/>
  <c r="P42" i="4"/>
  <c r="H27" i="4" l="1"/>
  <c r="H10" i="4"/>
  <c r="H26" i="4" l="1"/>
  <c r="P26" i="4" s="1"/>
  <c r="H28" i="4"/>
  <c r="P28" i="4" s="1"/>
  <c r="Z8" i="4"/>
  <c r="P32" i="4" l="1"/>
  <c r="Z9" i="4"/>
  <c r="P27" i="4"/>
  <c r="P30" i="4"/>
  <c r="T68" i="4" l="1"/>
  <c r="R68" i="4" s="1"/>
  <c r="T58" i="4"/>
  <c r="T41" i="4"/>
  <c r="R41" i="4" s="1"/>
  <c r="T30" i="4"/>
  <c r="R30" i="4" s="1"/>
  <c r="T16" i="4"/>
  <c r="T18" i="4"/>
  <c r="T17" i="4"/>
  <c r="R17" i="4" s="1"/>
  <c r="T9" i="4"/>
  <c r="T11" i="4"/>
  <c r="R11" i="4" s="1"/>
  <c r="T21" i="4"/>
  <c r="T23" i="4"/>
  <c r="T42" i="4"/>
  <c r="T22" i="4"/>
  <c r="R22" i="4" s="1"/>
  <c r="T66" i="4"/>
  <c r="T73" i="4"/>
  <c r="R73" i="4" s="1"/>
  <c r="T10" i="4"/>
  <c r="T63" i="4"/>
  <c r="T67" i="4"/>
  <c r="R67" i="4" s="1"/>
  <c r="T56" i="4"/>
  <c r="R56" i="4" s="1"/>
  <c r="T62" i="4"/>
  <c r="R62" i="4" s="1"/>
  <c r="T27" i="4"/>
  <c r="R27" i="4" s="1"/>
  <c r="T32" i="4"/>
  <c r="T57" i="4"/>
  <c r="R57" i="4" s="1"/>
  <c r="T40" i="4"/>
  <c r="X40" i="4" s="1"/>
  <c r="T49" i="4"/>
  <c r="R49" i="4" s="1"/>
  <c r="T72" i="4"/>
  <c r="R72" i="4" s="1"/>
  <c r="T28" i="4"/>
  <c r="R28" i="4" s="1"/>
  <c r="T71" i="4"/>
  <c r="T61" i="4"/>
  <c r="X61" i="4" s="1"/>
  <c r="T48" i="4"/>
  <c r="X48" i="4" s="1"/>
  <c r="T50" i="4"/>
  <c r="R50" i="4" s="1"/>
  <c r="T26" i="4"/>
  <c r="R63" i="4"/>
  <c r="R58" i="4"/>
  <c r="X50" i="4" l="1"/>
  <c r="X68" i="4"/>
  <c r="X28" i="4"/>
  <c r="X42" i="4"/>
  <c r="R61" i="4"/>
  <c r="R48" i="4"/>
  <c r="X71" i="4"/>
  <c r="X30" i="4"/>
  <c r="R71" i="4"/>
  <c r="X58" i="4"/>
  <c r="X56" i="4"/>
  <c r="X11" i="4"/>
  <c r="R10" i="4"/>
  <c r="X9" i="4"/>
  <c r="R9" i="4"/>
  <c r="R42" i="4"/>
  <c r="T75" i="4"/>
  <c r="R23" i="4"/>
  <c r="X23" i="4"/>
  <c r="R26" i="4"/>
  <c r="X26" i="4"/>
  <c r="R40" i="4"/>
  <c r="R32" i="4"/>
  <c r="X32" i="4"/>
  <c r="R66" i="4"/>
  <c r="X66" i="4"/>
  <c r="R21" i="4"/>
  <c r="X21" i="4"/>
  <c r="R18" i="4"/>
  <c r="X18" i="4"/>
  <c r="X63" i="4"/>
  <c r="R16" i="4"/>
  <c r="X16" i="4"/>
  <c r="F37" i="9" l="1"/>
  <c r="F39" i="9" s="1"/>
  <c r="F49" i="9" s="1"/>
  <c r="T77" i="4"/>
  <c r="X75" i="4"/>
  <c r="X77" i="4" s="1"/>
</calcChain>
</file>

<file path=xl/sharedStrings.xml><?xml version="1.0" encoding="utf-8"?>
<sst xmlns="http://schemas.openxmlformats.org/spreadsheetml/2006/main" count="863" uniqueCount="316">
  <si>
    <t>CY</t>
  </si>
  <si>
    <t>TIMING</t>
  </si>
  <si>
    <t>REVENUE</t>
  </si>
  <si>
    <t>DIFFERENCE</t>
  </si>
  <si>
    <t>TAX</t>
  </si>
  <si>
    <t>GROSS-UP</t>
  </si>
  <si>
    <t>REQUIREMENT</t>
  </si>
  <si>
    <t>NDBD-AFUDC EQUITY (Budget):</t>
  </si>
  <si>
    <t xml:space="preserve">     FEDERAL</t>
  </si>
  <si>
    <t xml:space="preserve">     FEDERAL OFF-SET</t>
  </si>
  <si>
    <t xml:space="preserve">     STATE</t>
  </si>
  <si>
    <t>RATE DIFFERENTIAL (Budget):</t>
  </si>
  <si>
    <t>ITC BASIS ADJ (Budget):</t>
  </si>
  <si>
    <t>ITC AMORTIZATION (Actual):</t>
  </si>
  <si>
    <t>TOTAL REGULATORY DEBIT:</t>
  </si>
  <si>
    <t>Balance</t>
  </si>
  <si>
    <t>POWER TAX</t>
  </si>
  <si>
    <t>Total</t>
  </si>
  <si>
    <t xml:space="preserve">     AFUDC EQUITY (Actual):</t>
  </si>
  <si>
    <t>Difference</t>
  </si>
  <si>
    <t>+</t>
  </si>
  <si>
    <t>=</t>
  </si>
  <si>
    <t xml:space="preserve">TIMING </t>
  </si>
  <si>
    <t>PT DIFFERENCES</t>
  </si>
  <si>
    <t xml:space="preserve">182 &amp; 254 </t>
  </si>
  <si>
    <t>ADITS</t>
  </si>
  <si>
    <t>AT Current Rates</t>
  </si>
  <si>
    <t>DIFFERENTIAL</t>
  </si>
  <si>
    <t>TAX RATE</t>
  </si>
  <si>
    <t>Provision</t>
  </si>
  <si>
    <t>Variances</t>
  </si>
  <si>
    <t xml:space="preserve">            FEDERAL &amp; State</t>
  </si>
  <si>
    <t>REGULATORY ASSET &amp; LIABILITY INDEPENDENT CHECK</t>
  </si>
  <si>
    <t xml:space="preserve">A </t>
  </si>
  <si>
    <t xml:space="preserve">AT ARAM </t>
  </si>
  <si>
    <t>GULF POWER COMPANY</t>
  </si>
  <si>
    <t>NDBD-FAS109 FLOWTHRU 282 LIB (Budget):</t>
  </si>
  <si>
    <t>NDBD-FAS109 FLOWTHRU 282 BD (Budget):</t>
  </si>
  <si>
    <t>Amortization of P.C. Facilities</t>
  </si>
  <si>
    <t>Depreciation Basis Differnces</t>
  </si>
  <si>
    <t>Depreciation Life Differences</t>
  </si>
  <si>
    <t>Removal Protected</t>
  </si>
  <si>
    <t>Repairs Expense</t>
  </si>
  <si>
    <t>Accelerated Depreciation (Method Life &amp; Method)</t>
  </si>
  <si>
    <t>Gulf Power Company</t>
  </si>
  <si>
    <t>PowerTax Deferred Tax Summary Report</t>
  </si>
  <si>
    <t>Federal</t>
  </si>
  <si>
    <t>Reversal</t>
  </si>
  <si>
    <t>Federal Method Fed</t>
  </si>
  <si>
    <t>Federal Life Fed</t>
  </si>
  <si>
    <t>Federal Method Life Fed</t>
  </si>
  <si>
    <t>Federal Cor</t>
  </si>
  <si>
    <t>Subtotals:</t>
  </si>
  <si>
    <t>CWIP Federal PROM PAYMENT Fed</t>
  </si>
  <si>
    <t>CWIP Federal NEG OTHER DEFERRED Fed</t>
  </si>
  <si>
    <t>CWIP Federal CIAC Fed</t>
  </si>
  <si>
    <t>CWIP Federal CAPITALIZED DEPR Fed</t>
  </si>
  <si>
    <t>CWIP Federal SECTION 263A Fed</t>
  </si>
  <si>
    <t>Federal Indirect Cost Fed</t>
  </si>
  <si>
    <t>Federal Afudc Debt Gross Fed</t>
  </si>
  <si>
    <t>Federal Other Deferred Fed</t>
  </si>
  <si>
    <t>Federal Repair Allow Fed</t>
  </si>
  <si>
    <t>Federal Reconcile Diff Fed</t>
  </si>
  <si>
    <t>Federal Tax Repairs Expense Fed</t>
  </si>
  <si>
    <t>Federal Tax Expensing-CPI Reversal</t>
  </si>
  <si>
    <t>Federal Tax Diffs Fed</t>
  </si>
  <si>
    <t>Federal SECTION 263A Fed</t>
  </si>
  <si>
    <t>Federal CAPITALIZED DEPR Fed</t>
  </si>
  <si>
    <t>Federal CIAC Fed</t>
  </si>
  <si>
    <t>Federal NEG OTHER DEFERRED Fed</t>
  </si>
  <si>
    <t>Federal PROM PAYMENT Fed</t>
  </si>
  <si>
    <t>Federal Tax Repairs Exp. Fed SO</t>
  </si>
  <si>
    <t>Federal Tax Rep 481a Fed</t>
  </si>
  <si>
    <t>Federal Tax Rep 481a B Fed</t>
  </si>
  <si>
    <t>Federal Life FT Fed</t>
  </si>
  <si>
    <t>Federal Itc Basis Red Fed</t>
  </si>
  <si>
    <t>Federal Afudc Equity Fed</t>
  </si>
  <si>
    <t>Federal Afudc Debt Gross Ft Fed</t>
  </si>
  <si>
    <t>Federal Afudc Debt Not Fed</t>
  </si>
  <si>
    <t>Federal Indirect Cost Ft Fed</t>
  </si>
  <si>
    <t>FPC - All But PC</t>
  </si>
  <si>
    <t>FPC - Pollution Control Only</t>
  </si>
  <si>
    <t>Jurisdiction Totals:</t>
  </si>
  <si>
    <t>Fed Ga Offset Method Life State</t>
  </si>
  <si>
    <t>Fed Ga Offset Indirect Cost State</t>
  </si>
  <si>
    <t>Fed Ga Offset Afudc Debt Gross Stat</t>
  </si>
  <si>
    <t>Fed Ga Offset Other Deferred State</t>
  </si>
  <si>
    <t>Fed Ga Offset SECTION 263A State</t>
  </si>
  <si>
    <t>Fed Ga Offset CAPITALIZED DEPR Stat</t>
  </si>
  <si>
    <t>Fed Ga Offset NEG OTHER DEFERRED St</t>
  </si>
  <si>
    <t>Fed Ga Offset Tax Repairs Exp. SO</t>
  </si>
  <si>
    <t>Fed Ga Offset Afudc Equity State</t>
  </si>
  <si>
    <t>Fed Fla Offset Cor</t>
  </si>
  <si>
    <t>Fed Fla Offset Method State</t>
  </si>
  <si>
    <t>Fed Fla Offset Life State</t>
  </si>
  <si>
    <t>Fed Fla Offset Method Life State</t>
  </si>
  <si>
    <t>CWIP Fed Fla Offset PROM PAYMENT St</t>
  </si>
  <si>
    <t>CWIP Fed Fla Offset CIAC State</t>
  </si>
  <si>
    <t>CWIP Fed Fla Offset CAPITALIZED DEP</t>
  </si>
  <si>
    <t>CWIP Fed Fla Offset SECTION 263A St</t>
  </si>
  <si>
    <t>Fed Fla Offset Indirect Cost State</t>
  </si>
  <si>
    <t>Fed Fla Offset Afudc Debt Gross Sta</t>
  </si>
  <si>
    <t>Fed Fla Offset Other Deferred State</t>
  </si>
  <si>
    <t>Fed Fla Offset Repair Allow State</t>
  </si>
  <si>
    <t>Fed Fla Offset Tax Repairs Expense</t>
  </si>
  <si>
    <t>Fed Fla Offset Tax Diffs State</t>
  </si>
  <si>
    <t>Fed Fla Offset SECTION 263A State</t>
  </si>
  <si>
    <t>Fed Fla Offset CAPITALIZED DEPR Sta</t>
  </si>
  <si>
    <t>Fed Fla Offset CIAC State</t>
  </si>
  <si>
    <t>Fed Fla Offset NEG OTHER DEFERRED S</t>
  </si>
  <si>
    <t>Fed Fla Offset PROM PAYMENT State</t>
  </si>
  <si>
    <t>Fed Fla Offset 2008 Bonus Depr Stat</t>
  </si>
  <si>
    <t>Fed Fla Offset Tax Repairs Exp. SO</t>
  </si>
  <si>
    <t>Fed Fla Offset Tax Rep 481a State</t>
  </si>
  <si>
    <t>Fed Fla Offset Tax Rep 481a B State</t>
  </si>
  <si>
    <t>Fed Fla Offset Tax Exp CPI Re State</t>
  </si>
  <si>
    <t>Fed Fla Offset Life FT State</t>
  </si>
  <si>
    <t>Fed Fla Offset Method FT State</t>
  </si>
  <si>
    <t>Fed Fla Offset Method Life FT State</t>
  </si>
  <si>
    <t>Fed Florida Offset ITC BASIS REDUCT</t>
  </si>
  <si>
    <t>Fed Fla Offset Afudc Equity State</t>
  </si>
  <si>
    <t xml:space="preserve">Fed Fla Offset Afudc Debt Gross Ft </t>
  </si>
  <si>
    <t>Fed Florida Offset AFUDC DEBT NOT S</t>
  </si>
  <si>
    <t>Fed Fla Offset Indirect Cost Ft Sta</t>
  </si>
  <si>
    <t>Fla Cor</t>
  </si>
  <si>
    <t>Fla Method State</t>
  </si>
  <si>
    <t>Fla Life State</t>
  </si>
  <si>
    <t>Fla Method Life State</t>
  </si>
  <si>
    <t>CWIP Fla PROM PAYMENT State</t>
  </si>
  <si>
    <t>CWIP Fla NEG OTHER DEFERRED State</t>
  </si>
  <si>
    <t>CWIP Fla CIAC State</t>
  </si>
  <si>
    <t>CWIP Fla CAPITALIZED DEPR State</t>
  </si>
  <si>
    <t>CWIP Fla SECTION 263A State</t>
  </si>
  <si>
    <t>Fla Indirect Cost State</t>
  </si>
  <si>
    <t>Fla Afudc Debt Gross State</t>
  </si>
  <si>
    <t>Fla Other Deferred State</t>
  </si>
  <si>
    <t>Fla Repair Allow State</t>
  </si>
  <si>
    <t>Fla Tax Repairs Expense</t>
  </si>
  <si>
    <t>Fla Tax Diffs State</t>
  </si>
  <si>
    <t>Fla SECTION 263A State</t>
  </si>
  <si>
    <t>Fla CAPITALIZED DEPR State</t>
  </si>
  <si>
    <t>Fla CIAC State</t>
  </si>
  <si>
    <t>Fla NEG OTHER DEFERRED State</t>
  </si>
  <si>
    <t>Fla PROM PAYMENT State</t>
  </si>
  <si>
    <t>Fla 2008 Bonus Depr State</t>
  </si>
  <si>
    <t>Fla Tax Repairs Exp. SO</t>
  </si>
  <si>
    <t>Fla Tax Rep 481a State</t>
  </si>
  <si>
    <t>Fla Tax Rep 481a B State</t>
  </si>
  <si>
    <t>Fla Tax Exp CPI Rev State</t>
  </si>
  <si>
    <t>Fla Life FT State</t>
  </si>
  <si>
    <t>Fla Method FT State</t>
  </si>
  <si>
    <t>Florida ITC BASIS REDUCTION STATE</t>
  </si>
  <si>
    <t>Fla Afudc Equity State</t>
  </si>
  <si>
    <t>Fla Afudc Debt Gross Ft State</t>
  </si>
  <si>
    <t>Florida AFUDC DEBT NOT STATE</t>
  </si>
  <si>
    <t>Fla Indirect Cost Ft State</t>
  </si>
  <si>
    <t>Ga Method Life State</t>
  </si>
  <si>
    <t>Ga Indirect Cost State</t>
  </si>
  <si>
    <t>Ga Afudc Debt Gross State</t>
  </si>
  <si>
    <t>Ga Other Deferred State</t>
  </si>
  <si>
    <t>Ga Tax Diffs State</t>
  </si>
  <si>
    <t>Ga SECTION 263A State</t>
  </si>
  <si>
    <t>Ga CAPITALIZED DEPR State</t>
  </si>
  <si>
    <t>Ga NEG OTHER DEFERRED State</t>
  </si>
  <si>
    <t>Ga Tax Repairs Exp. SO</t>
  </si>
  <si>
    <t>Ga Afudc Equity State</t>
  </si>
  <si>
    <t>M Description</t>
  </si>
  <si>
    <t>All Accounts</t>
  </si>
  <si>
    <t>Balances By GL Account</t>
  </si>
  <si>
    <t>From Company</t>
  </si>
  <si>
    <t>1822 Unrecovered Plant &amp; Reg Study</t>
  </si>
  <si>
    <t>FAS109 FLOWTHRU 282 BD - FED</t>
  </si>
  <si>
    <t>NO KEY</t>
  </si>
  <si>
    <t>FAS109 FLOWTHRU 282 BD - STATE</t>
  </si>
  <si>
    <t>FAS109 FLOWTHRU 282 LIB - FED</t>
  </si>
  <si>
    <t>FAS109 FLOWTHRU 282 LIB - STATE</t>
  </si>
  <si>
    <t>FAS109 FLOWTHRU EQUITY BD - FED</t>
  </si>
  <si>
    <t>FAS109 FLOWTHRU EQUITY BD - STATE</t>
  </si>
  <si>
    <t>Total For 1822 Unrecovered Plant &amp; Reg Study:</t>
  </si>
  <si>
    <t>ACCEL DEPR - FEEDBACK</t>
  </si>
  <si>
    <t>ACCEL DEPR - FEEDBACK - FED PC</t>
  </si>
  <si>
    <t>ACCEL DEPR - FEEDBACK - ST</t>
  </si>
  <si>
    <t>ACCEL DEPR - FEEDBACK - ST PC</t>
  </si>
  <si>
    <t>ACCEL DEPR - PROV</t>
  </si>
  <si>
    <t>ACCEL DEPR - PROV - FED PC</t>
  </si>
  <si>
    <t>ACCEL DEPR - PROV - ST</t>
  </si>
  <si>
    <t>ACCEL DEPR - PROV - ST PC</t>
  </si>
  <si>
    <t>DEPR - BASIS DIFF - FED PROV</t>
  </si>
  <si>
    <t>DEPR - BASIS DIFF - FED REV</t>
  </si>
  <si>
    <t>DEPR - BASIS DIFF - ST PROV</t>
  </si>
  <si>
    <t>DEPR - BASIS DIFF - ST REV</t>
  </si>
  <si>
    <t>DEPR - LIFE DIFF - FED PROV</t>
  </si>
  <si>
    <t>DEPR - LIFE DIFF - FED REV</t>
  </si>
  <si>
    <t>DEPR - LIFE DIFF - ST PROV</t>
  </si>
  <si>
    <t>DEPR - LIFE DIFF - ST REV</t>
  </si>
  <si>
    <t>FAS109 ITC BASIS 190 - FED</t>
  </si>
  <si>
    <t>FAS109 ITC BASIS 190 - STATE</t>
  </si>
  <si>
    <t>FAS109 ITC BD-POWERTAX - FED</t>
  </si>
  <si>
    <t>FAS109 ITC BD-POWERTAX - ST</t>
  </si>
  <si>
    <t>REMOVAL PROTECTED - FED (GULF)</t>
  </si>
  <si>
    <t>REMOVAL PROTECTED - STATE (GULF)</t>
  </si>
  <si>
    <t>REPAIRS ADJ - SECTION 481a - STATE</t>
  </si>
  <si>
    <t>REPAIRS ADJ - SECTION 481a B - STATE</t>
  </si>
  <si>
    <t>REPAIRS EXPENSES</t>
  </si>
  <si>
    <t>2540 Other Regulatory Liabilities</t>
  </si>
  <si>
    <t>REPAIRS ADJ - SECTION 481a</t>
  </si>
  <si>
    <t>Total For 2540 Other Regulatory Liabilities:</t>
  </si>
  <si>
    <t>Rpt # Tax Accrual - 51040</t>
  </si>
  <si>
    <t>AFUDC_EQUITY - GULF</t>
  </si>
  <si>
    <t>Independent Cal - D13</t>
  </si>
  <si>
    <t>Internal Account Reconciliation</t>
  </si>
  <si>
    <t>Account Number/Name:</t>
  </si>
  <si>
    <t>182-30200 - Oth Reg Asset FAS 109</t>
  </si>
  <si>
    <t>254-00200 - Oth Reg Liab FAS 109</t>
  </si>
  <si>
    <t>254-00201 - Oth Reg Liab ITC</t>
  </si>
  <si>
    <t>Account Description:</t>
  </si>
  <si>
    <t>Reconciled By:</t>
  </si>
  <si>
    <t>Date:</t>
  </si>
  <si>
    <t>Other/Source</t>
  </si>
  <si>
    <t xml:space="preserve">     Document Reference:</t>
  </si>
  <si>
    <t>Action Required/Taken:</t>
  </si>
  <si>
    <t>General Ledger Balance:</t>
  </si>
  <si>
    <t>Total GL Balance:</t>
  </si>
  <si>
    <t>Independent Calculation Detail:</t>
  </si>
  <si>
    <t>Independent Calculation Balance:</t>
  </si>
  <si>
    <t>Reconciling items:</t>
  </si>
  <si>
    <t>Variance</t>
  </si>
  <si>
    <t>This reconciliation recalculates the Regulatory Asset and Liability balance, which is impacted by Tax Rate Differential and Non-Taxable/Non-Deductible Flow Through Items (NDBD AFUDC Debt Feedback, AFUDC Equity Provision, NDBD AFUDC Equity, NDBD Flowthrough, ITC Basis Adj, ITC Amortization, Benchmarks related to T,D &amp; A).</t>
  </si>
  <si>
    <t>Powertax, provision &amp; other supporting documents</t>
  </si>
  <si>
    <t>Total Reconcilable Difference</t>
  </si>
  <si>
    <t>NDBD NBV AMORTIZATION</t>
  </si>
  <si>
    <t>Independent Cal - D32</t>
  </si>
  <si>
    <t>Federal Fed Other Tax Credits</t>
  </si>
  <si>
    <t>Fed Fla Offset Fed Other Tax Credit</t>
  </si>
  <si>
    <t>Fed Fla Offset Fed Oth Tax Cred St</t>
  </si>
  <si>
    <t>Fed Fla Offset JCA State Adjust Sta</t>
  </si>
  <si>
    <t>Fed Fla Offset 6/7 Job Create Stat</t>
  </si>
  <si>
    <t>Fla Fed Other Tax Credits</t>
  </si>
  <si>
    <t>Fla Fed Other Tax Cred State Add</t>
  </si>
  <si>
    <t>Fla JCA State Adjust State</t>
  </si>
  <si>
    <t>Fla 6/7 Job Create State</t>
  </si>
  <si>
    <t>2017 - Actuals - GULF</t>
  </si>
  <si>
    <t>Beg Bal</t>
  </si>
  <si>
    <t>Gulf Power</t>
  </si>
  <si>
    <t>Amortization of Investment Tax Credits</t>
  </si>
  <si>
    <t>Original</t>
  </si>
  <si>
    <t>Vintage</t>
  </si>
  <si>
    <t>4% Account 255-102; 255-202;   SCS 255-301 &amp; 255-351</t>
  </si>
  <si>
    <t>Total 4%</t>
  </si>
  <si>
    <t>8&amp;10%  Acct 255-105; 255-205; SCS 255-302 &amp; 255-352</t>
  </si>
  <si>
    <t>Total 8 &amp; 10 %</t>
  </si>
  <si>
    <t>QPE   Account 255-104 &amp; 255-205</t>
  </si>
  <si>
    <t>Total QPE</t>
  </si>
  <si>
    <t>Total TO</t>
  </si>
  <si>
    <t>GULF POWER COMPANY ITC</t>
  </si>
  <si>
    <t>Total Amort</t>
  </si>
  <si>
    <t>Amort</t>
  </si>
  <si>
    <t>Balance Incl SCS</t>
  </si>
  <si>
    <t xml:space="preserve">Total Amort </t>
  </si>
  <si>
    <t>Total 8, 10 &amp; QPE</t>
  </si>
  <si>
    <t>Total Amort thru 2004</t>
  </si>
  <si>
    <t>remaining</t>
  </si>
  <si>
    <t xml:space="preserve">Total </t>
  </si>
  <si>
    <t>Amort 4%</t>
  </si>
  <si>
    <t>Amort 8%10</t>
  </si>
  <si>
    <t>Amort QPE</t>
  </si>
  <si>
    <t>Tot amt thru 2002</t>
  </si>
  <si>
    <t>2002 End Bal</t>
  </si>
  <si>
    <t>FERCSUB</t>
  </si>
  <si>
    <t>Actual ...Jan 13-Dec 13...</t>
  </si>
  <si>
    <t>25500105</t>
  </si>
  <si>
    <t>25500104</t>
  </si>
  <si>
    <t>REPAIRS ADJ - SECTION 481a B</t>
  </si>
  <si>
    <t>Total For Gulf Power Company:</t>
  </si>
  <si>
    <t>Total column should tie to M items in Provision Rpt 51060</t>
  </si>
  <si>
    <t>CWIP Fed Fla Offset NEG OTHER DEF A</t>
  </si>
  <si>
    <t>Company Totals:</t>
  </si>
  <si>
    <t>Jurisdiction :</t>
  </si>
  <si>
    <t>"Beginning_x000D_
Difference"</t>
  </si>
  <si>
    <t>"Ending_x000D_
Difference"</t>
  </si>
  <si>
    <t>"Beginning_x000D_
DFIT Balance"</t>
  </si>
  <si>
    <t>"Current DFIT_x000D_
Provision"</t>
  </si>
  <si>
    <t>"Current DFIT_x000D_
Reversal"</t>
  </si>
  <si>
    <t>"Deferred_x000D_
Trans/Adj"</t>
  </si>
  <si>
    <t>"Ending_x000D_
 DFIT Balance"</t>
  </si>
  <si>
    <t>Tax Year :</t>
  </si>
  <si>
    <t>Gulf Fall Budget 2017- 2018</t>
  </si>
  <si>
    <t>Grouped By: Tax Accrual - FPC PC</t>
  </si>
  <si>
    <t>Federal Impairment Fed</t>
  </si>
  <si>
    <t>Fed Georgia Offset</t>
  </si>
  <si>
    <t>Fed Florida Offset</t>
  </si>
  <si>
    <t>Fed Fla Offset Impairment Sta</t>
  </si>
  <si>
    <t>Florida</t>
  </si>
  <si>
    <t>Fla Impairment State</t>
  </si>
  <si>
    <t>Georgia</t>
  </si>
  <si>
    <t>Classic - 120</t>
  </si>
  <si>
    <t>12/19/2017 at 8:41 am</t>
  </si>
  <si>
    <t>JoAnne Ivy</t>
  </si>
  <si>
    <t>DECEMBER 2017</t>
  </si>
  <si>
    <t>18230200 Oth Reg AssetFAS 109</t>
  </si>
  <si>
    <t>Total For 18230200 Oth Reg AssetFAS 109:</t>
  </si>
  <si>
    <t>25400200 OTH REG LIAB-FAS 109</t>
  </si>
  <si>
    <t>Total For 25400200 OTH REG LIAB-FAS 109:</t>
  </si>
  <si>
    <t>25400201 OTH REG LIAB-ITC</t>
  </si>
  <si>
    <t>Total For 25400201 OTH REG LIAB-ITC:</t>
  </si>
  <si>
    <t xml:space="preserve">     FEDERAL OFF-SET (Bonus)</t>
  </si>
  <si>
    <t xml:space="preserve">     STATE (Bonus)</t>
  </si>
  <si>
    <t>Subtotals BD1:</t>
  </si>
  <si>
    <t>Subtotals BD2:</t>
  </si>
  <si>
    <t>unprotected</t>
  </si>
  <si>
    <t>End Balance For_x000D_
Dec Adj YTD True Up</t>
  </si>
  <si>
    <t>YTD Ending_x000D_
Dec Adj YTD True Up</t>
  </si>
  <si>
    <t>PowerTax/ Actual Diff</t>
  </si>
  <si>
    <t>For the Months of: December - Dec Adj YTD True Up</t>
  </si>
  <si>
    <t>Activity For_x000D_
December - Dec Adj YTD True Up</t>
  </si>
  <si>
    <t>Beg Balance For_x000D_
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</si>
</sst>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d\-mmm\-yyyy"/>
    <numFmt numFmtId="167" formatCode="mm/dd/yy;@"/>
    <numFmt numFmtId="168" formatCode="[$-409]mmmm\ d\,\ yyyy;@"/>
    <numFmt numFmtId="169" formatCode="[$-409]mmm\-yy;@"/>
    <numFmt numFmtId="170" formatCode="0_)"/>
    <numFmt numFmtId="171" formatCode="0.0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rgb="FFC00000"/>
      <name val="Arial"/>
      <family val="2"/>
    </font>
    <font>
      <b/>
      <sz val="10"/>
      <color rgb="FFC00000"/>
      <name val="Arial"/>
      <family val="2"/>
    </font>
    <font>
      <b/>
      <sz val="11"/>
      <color rgb="FFC00000"/>
      <name val="Calibri"/>
      <family val="2"/>
      <scheme val="minor"/>
    </font>
    <font>
      <sz val="10"/>
      <color rgb="FFC00000"/>
      <name val="Arial"/>
      <family val="2"/>
    </font>
    <font>
      <sz val="12"/>
      <name val="Arial MT"/>
    </font>
    <font>
      <b/>
      <sz val="12"/>
      <name val="Arial MT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indexed="12"/>
      <name val="Arial"/>
      <family val="2"/>
    </font>
    <font>
      <b/>
      <sz val="12"/>
      <color indexed="12"/>
      <name val="Arial MT"/>
    </font>
    <font>
      <sz val="12"/>
      <color indexed="12"/>
      <name val="Arial"/>
      <family val="2"/>
    </font>
    <font>
      <b/>
      <sz val="12"/>
      <color indexed="10"/>
      <name val="Arial MT"/>
    </font>
    <font>
      <sz val="12"/>
      <color indexed="8"/>
      <name val="Arial MT"/>
    </font>
    <font>
      <sz val="11"/>
      <color theme="1"/>
      <name val="Calibri"/>
      <family val="2"/>
    </font>
    <font>
      <sz val="14"/>
      <name val="Arial MT"/>
    </font>
    <font>
      <b/>
      <sz val="14"/>
      <name val="Arial MT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9" fillId="2" borderId="0"/>
    <xf numFmtId="43" fontId="2" fillId="0" borderId="0" applyFont="0" applyFill="0" applyBorder="0" applyAlignment="0" applyProtection="0"/>
    <xf numFmtId="37" fontId="15" fillId="2" borderId="0"/>
    <xf numFmtId="0" fontId="2" fillId="0" borderId="0"/>
    <xf numFmtId="9" fontId="15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37" fontId="15" fillId="2" borderId="0"/>
    <xf numFmtId="9" fontId="15" fillId="0" borderId="0" applyFont="0" applyFill="0" applyBorder="0" applyAlignment="0" applyProtection="0"/>
    <xf numFmtId="0" fontId="2" fillId="0" borderId="0"/>
    <xf numFmtId="37" fontId="15" fillId="0" borderId="0"/>
    <xf numFmtId="0" fontId="2" fillId="0" borderId="0"/>
    <xf numFmtId="43" fontId="2" fillId="0" borderId="0" applyFont="0" applyFill="0" applyBorder="0" applyAlignment="0" applyProtection="0"/>
  </cellStyleXfs>
  <cellXfs count="209">
    <xf numFmtId="0" fontId="0" fillId="0" borderId="0" xfId="0"/>
    <xf numFmtId="43" fontId="0" fillId="0" borderId="0" xfId="1" applyFont="1"/>
    <xf numFmtId="0" fontId="0" fillId="0" borderId="0" xfId="0" applyFill="1" applyBorder="1"/>
    <xf numFmtId="164" fontId="2" fillId="0" borderId="0" xfId="1" applyNumberFormat="1" applyFont="1" applyFill="1" applyBorder="1"/>
    <xf numFmtId="164" fontId="5" fillId="0" borderId="0" xfId="1" applyNumberFormat="1" applyFont="1" applyFill="1" applyBorder="1" applyAlignment="1">
      <alignment horizontal="center"/>
    </xf>
    <xf numFmtId="164" fontId="2" fillId="0" borderId="1" xfId="1" applyNumberFormat="1" applyFont="1" applyFill="1" applyBorder="1"/>
    <xf numFmtId="164" fontId="5" fillId="0" borderId="1" xfId="1" applyNumberFormat="1" applyFont="1" applyFill="1" applyBorder="1" applyAlignment="1">
      <alignment horizontal="center"/>
    </xf>
    <xf numFmtId="164" fontId="0" fillId="0" borderId="0" xfId="1" applyNumberFormat="1" applyFont="1" applyFill="1" applyBorder="1"/>
    <xf numFmtId="0" fontId="6" fillId="0" borderId="0" xfId="0" applyFont="1" applyFill="1" applyBorder="1"/>
    <xf numFmtId="43" fontId="0" fillId="0" borderId="0" xfId="1" applyFont="1" applyFill="1" applyBorder="1"/>
    <xf numFmtId="43" fontId="6" fillId="0" borderId="0" xfId="0" applyNumberFormat="1" applyFont="1" applyFill="1" applyBorder="1" applyAlignment="1">
      <alignment horizontal="center"/>
    </xf>
    <xf numFmtId="43" fontId="0" fillId="0" borderId="0" xfId="0" applyNumberFormat="1" applyFill="1" applyBorder="1"/>
    <xf numFmtId="43" fontId="6" fillId="0" borderId="0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0" borderId="4" xfId="0" applyFont="1" applyFill="1" applyBorder="1"/>
    <xf numFmtId="0" fontId="16" fillId="0" borderId="7" xfId="13" applyFont="1" applyBorder="1" applyAlignment="1" applyProtection="1">
      <alignment horizontal="centerContinuous"/>
    </xf>
    <xf numFmtId="0" fontId="16" fillId="0" borderId="8" xfId="13" applyFont="1" applyBorder="1" applyAlignment="1" applyProtection="1">
      <alignment horizontal="centerContinuous"/>
    </xf>
    <xf numFmtId="0" fontId="16" fillId="0" borderId="9" xfId="13" applyFont="1" applyBorder="1" applyAlignment="1" applyProtection="1">
      <alignment horizontal="centerContinuous"/>
    </xf>
    <xf numFmtId="0" fontId="4" fillId="0" borderId="0" xfId="0" applyFont="1" applyFill="1" applyBorder="1" applyAlignment="1"/>
    <xf numFmtId="43" fontId="4" fillId="0" borderId="0" xfId="1" applyFont="1" applyFill="1" applyBorder="1" applyAlignment="1"/>
    <xf numFmtId="0" fontId="16" fillId="0" borderId="10" xfId="13" applyFont="1" applyBorder="1" applyAlignment="1" applyProtection="1"/>
    <xf numFmtId="0" fontId="16" fillId="0" borderId="0" xfId="13" applyFont="1" applyBorder="1" applyAlignment="1" applyProtection="1"/>
    <xf numFmtId="0" fontId="16" fillId="0" borderId="11" xfId="13" applyFont="1" applyBorder="1" applyAlignment="1" applyProtection="1"/>
    <xf numFmtId="166" fontId="17" fillId="0" borderId="10" xfId="13" quotePrefix="1" applyNumberFormat="1" applyFont="1" applyBorder="1" applyAlignment="1" applyProtection="1">
      <alignment horizontal="left"/>
    </xf>
    <xf numFmtId="0" fontId="0" fillId="0" borderId="0" xfId="0" applyFill="1" applyBorder="1" applyAlignment="1">
      <alignment horizontal="left"/>
    </xf>
    <xf numFmtId="43" fontId="0" fillId="0" borderId="0" xfId="1" applyFont="1" applyFill="1" applyBorder="1" applyAlignment="1">
      <alignment horizontal="left"/>
    </xf>
    <xf numFmtId="0" fontId="9" fillId="0" borderId="10" xfId="13" applyFont="1" applyBorder="1" applyProtection="1"/>
    <xf numFmtId="0" fontId="9" fillId="0" borderId="0" xfId="13" applyFont="1" applyBorder="1" applyProtection="1"/>
    <xf numFmtId="0" fontId="9" fillId="0" borderId="11" xfId="13" applyFont="1" applyBorder="1" applyProtection="1"/>
    <xf numFmtId="0" fontId="9" fillId="0" borderId="0" xfId="13" applyFont="1" applyFill="1" applyBorder="1" applyProtection="1"/>
    <xf numFmtId="0" fontId="9" fillId="0" borderId="10" xfId="13" applyFont="1" applyBorder="1" applyAlignment="1" applyProtection="1">
      <alignment vertical="center"/>
    </xf>
    <xf numFmtId="167" fontId="9" fillId="0" borderId="0" xfId="13" applyNumberFormat="1" applyFont="1" applyFill="1" applyBorder="1" applyAlignment="1" applyProtection="1">
      <alignment horizontal="left"/>
    </xf>
    <xf numFmtId="0" fontId="2" fillId="0" borderId="10" xfId="13" applyBorder="1"/>
    <xf numFmtId="0" fontId="2" fillId="0" borderId="0" xfId="13" applyBorder="1"/>
    <xf numFmtId="168" fontId="19" fillId="0" borderId="0" xfId="1" applyNumberFormat="1" applyFont="1" applyAlignment="1" applyProtection="1">
      <protection locked="0"/>
    </xf>
    <xf numFmtId="43" fontId="19" fillId="0" borderId="0" xfId="1" applyFont="1" applyAlignment="1" applyProtection="1">
      <protection locked="0"/>
    </xf>
    <xf numFmtId="7" fontId="20" fillId="0" borderId="11" xfId="13" applyNumberFormat="1" applyFont="1" applyBorder="1" applyProtection="1"/>
    <xf numFmtId="0" fontId="0" fillId="4" borderId="0" xfId="0" applyFill="1"/>
    <xf numFmtId="7" fontId="20" fillId="0" borderId="0" xfId="13" applyNumberFormat="1" applyFont="1" applyBorder="1" applyProtection="1"/>
    <xf numFmtId="43" fontId="21" fillId="0" borderId="0" xfId="4" applyFont="1" applyBorder="1" applyProtection="1"/>
    <xf numFmtId="43" fontId="22" fillId="0" borderId="11" xfId="13" applyNumberFormat="1" applyFont="1" applyBorder="1" applyProtection="1"/>
    <xf numFmtId="0" fontId="0" fillId="0" borderId="0" xfId="0" applyFill="1"/>
    <xf numFmtId="43" fontId="9" fillId="0" borderId="0" xfId="4" applyFont="1" applyBorder="1" applyProtection="1"/>
    <xf numFmtId="43" fontId="9" fillId="0" borderId="11" xfId="4" applyFont="1" applyBorder="1" applyProtection="1"/>
    <xf numFmtId="169" fontId="9" fillId="0" borderId="10" xfId="13" applyNumberFormat="1" applyFont="1" applyBorder="1" applyProtection="1"/>
    <xf numFmtId="43" fontId="15" fillId="0" borderId="0" xfId="4" applyFont="1" applyBorder="1" applyProtection="1"/>
    <xf numFmtId="39" fontId="9" fillId="0" borderId="11" xfId="13" applyNumberFormat="1" applyFont="1" applyBorder="1" applyProtection="1"/>
    <xf numFmtId="0" fontId="2" fillId="0" borderId="11" xfId="13" applyBorder="1"/>
    <xf numFmtId="0" fontId="9" fillId="0" borderId="10" xfId="13" applyFont="1" applyBorder="1" applyAlignment="1" applyProtection="1">
      <alignment horizontal="left"/>
    </xf>
    <xf numFmtId="43" fontId="15" fillId="0" borderId="0" xfId="4" applyFont="1" applyFill="1" applyBorder="1"/>
    <xf numFmtId="39" fontId="16" fillId="0" borderId="11" xfId="13" applyNumberFormat="1" applyFont="1" applyBorder="1" applyProtection="1"/>
    <xf numFmtId="0" fontId="9" fillId="0" borderId="0" xfId="13" applyFont="1" applyBorder="1"/>
    <xf numFmtId="0" fontId="9" fillId="0" borderId="0" xfId="13" applyFont="1" applyBorder="1" applyAlignment="1">
      <alignment horizontal="left"/>
    </xf>
    <xf numFmtId="0" fontId="22" fillId="0" borderId="0" xfId="13" applyFont="1" applyFill="1" applyBorder="1" applyProtection="1"/>
    <xf numFmtId="39" fontId="22" fillId="0" borderId="12" xfId="13" applyNumberFormat="1" applyFont="1" applyBorder="1" applyProtection="1"/>
    <xf numFmtId="39" fontId="9" fillId="0" borderId="0" xfId="13" applyNumberFormat="1" applyFont="1" applyBorder="1" applyProtection="1"/>
    <xf numFmtId="49" fontId="9" fillId="0" borderId="10" xfId="13" applyNumberFormat="1" applyFont="1" applyBorder="1" applyAlignment="1">
      <alignment horizontal="center"/>
    </xf>
    <xf numFmtId="0" fontId="23" fillId="0" borderId="0" xfId="13" applyFont="1" applyBorder="1"/>
    <xf numFmtId="39" fontId="23" fillId="0" borderId="11" xfId="13" applyNumberFormat="1" applyFont="1" applyBorder="1" applyProtection="1"/>
    <xf numFmtId="43" fontId="15" fillId="0" borderId="0" xfId="4" applyFont="1" applyBorder="1"/>
    <xf numFmtId="0" fontId="16" fillId="5" borderId="0" xfId="13" applyFont="1" applyFill="1" applyBorder="1" applyAlignment="1">
      <alignment horizontal="left"/>
    </xf>
    <xf numFmtId="0" fontId="9" fillId="5" borderId="0" xfId="13" applyFont="1" applyFill="1" applyBorder="1" applyAlignment="1">
      <alignment horizontal="left"/>
    </xf>
    <xf numFmtId="43" fontId="15" fillId="5" borderId="0" xfId="4" applyFont="1" applyFill="1" applyBorder="1"/>
    <xf numFmtId="0" fontId="9" fillId="5" borderId="0" xfId="13" applyFont="1" applyFill="1" applyBorder="1"/>
    <xf numFmtId="39" fontId="16" fillId="5" borderId="11" xfId="13" applyNumberFormat="1" applyFont="1" applyFill="1" applyBorder="1" applyProtection="1"/>
    <xf numFmtId="49" fontId="9" fillId="0" borderId="10" xfId="13" quotePrefix="1" applyNumberFormat="1" applyFont="1" applyBorder="1" applyAlignment="1">
      <alignment horizontal="center"/>
    </xf>
    <xf numFmtId="0" fontId="9" fillId="0" borderId="13" xfId="13" quotePrefix="1" applyFont="1" applyBorder="1" applyAlignment="1" applyProtection="1">
      <alignment horizontal="left"/>
    </xf>
    <xf numFmtId="0" fontId="9" fillId="0" borderId="14" xfId="13" applyFont="1" applyBorder="1" applyProtection="1"/>
    <xf numFmtId="39" fontId="9" fillId="0" borderId="15" xfId="13" applyNumberFormat="1" applyFont="1" applyBorder="1" applyProtection="1"/>
    <xf numFmtId="8" fontId="0" fillId="0" borderId="0" xfId="0" applyNumberFormat="1" applyFill="1"/>
    <xf numFmtId="43" fontId="2" fillId="0" borderId="0" xfId="1" applyNumberFormat="1" applyFont="1" applyFill="1" applyBorder="1"/>
    <xf numFmtId="43" fontId="0" fillId="0" borderId="0" xfId="0" applyNumberFormat="1" applyFill="1"/>
    <xf numFmtId="43" fontId="0" fillId="3" borderId="16" xfId="0" applyNumberFormat="1" applyFill="1" applyBorder="1"/>
    <xf numFmtId="164" fontId="13" fillId="0" borderId="0" xfId="1" applyNumberFormat="1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43" fontId="0" fillId="0" borderId="0" xfId="1" applyFont="1" applyFill="1"/>
    <xf numFmtId="0" fontId="0" fillId="0" borderId="2" xfId="0" applyFill="1" applyBorder="1"/>
    <xf numFmtId="43" fontId="2" fillId="0" borderId="0" xfId="1" applyFont="1" applyFill="1" applyBorder="1"/>
    <xf numFmtId="0" fontId="6" fillId="0" borderId="0" xfId="0" applyFont="1" applyFill="1" applyAlignment="1">
      <alignment horizontal="center"/>
    </xf>
    <xf numFmtId="164" fontId="6" fillId="0" borderId="0" xfId="0" applyNumberFormat="1" applyFont="1" applyFill="1" applyBorder="1"/>
    <xf numFmtId="43" fontId="6" fillId="0" borderId="0" xfId="1" applyFont="1" applyFill="1" applyBorder="1"/>
    <xf numFmtId="0" fontId="24" fillId="0" borderId="0" xfId="0" applyFont="1" applyFill="1" applyBorder="1"/>
    <xf numFmtId="164" fontId="0" fillId="0" borderId="0" xfId="1" applyNumberFormat="1" applyFont="1" applyFill="1"/>
    <xf numFmtId="43" fontId="0" fillId="0" borderId="0" xfId="1" applyNumberFormat="1" applyFont="1" applyFill="1"/>
    <xf numFmtId="164" fontId="2" fillId="0" borderId="18" xfId="1" applyNumberFormat="1" applyFont="1" applyFill="1" applyBorder="1"/>
    <xf numFmtId="164" fontId="0" fillId="0" borderId="18" xfId="0" applyNumberFormat="1" applyFill="1" applyBorder="1"/>
    <xf numFmtId="0" fontId="0" fillId="0" borderId="0" xfId="0" applyFill="1" applyAlignment="1">
      <alignment horizontal="left"/>
    </xf>
    <xf numFmtId="0" fontId="0" fillId="0" borderId="0" xfId="0" applyFill="1" applyAlignment="1">
      <alignment wrapText="1"/>
    </xf>
    <xf numFmtId="37" fontId="25" fillId="0" borderId="0" xfId="14" applyFont="1"/>
    <xf numFmtId="37" fontId="15" fillId="0" borderId="0" xfId="14"/>
    <xf numFmtId="37" fontId="25" fillId="0" borderId="0" xfId="14" applyFont="1" applyFill="1"/>
    <xf numFmtId="37" fontId="25" fillId="0" borderId="0" xfId="14" applyFont="1" applyAlignment="1">
      <alignment horizontal="center"/>
    </xf>
    <xf numFmtId="37" fontId="25" fillId="0" borderId="0" xfId="14" applyFont="1" applyFill="1" applyAlignment="1">
      <alignment horizontal="center"/>
    </xf>
    <xf numFmtId="37" fontId="25" fillId="0" borderId="0" xfId="14" applyNumberFormat="1" applyFont="1" applyAlignment="1">
      <alignment horizontal="center"/>
    </xf>
    <xf numFmtId="0" fontId="25" fillId="0" borderId="19" xfId="14" applyNumberFormat="1" applyFont="1" applyBorder="1" applyAlignment="1" applyProtection="1">
      <alignment horizontal="center"/>
    </xf>
    <xf numFmtId="0" fontId="25" fillId="0" borderId="0" xfId="14" applyNumberFormat="1" applyFont="1"/>
    <xf numFmtId="0" fontId="25" fillId="0" borderId="0" xfId="14" applyNumberFormat="1" applyFont="1" applyAlignment="1">
      <alignment horizontal="center"/>
    </xf>
    <xf numFmtId="0" fontId="25" fillId="0" borderId="0" xfId="4" applyNumberFormat="1" applyFont="1"/>
    <xf numFmtId="0" fontId="25" fillId="6" borderId="0" xfId="4" applyNumberFormat="1" applyFont="1" applyFill="1"/>
    <xf numFmtId="0" fontId="25" fillId="0" borderId="0" xfId="4" applyNumberFormat="1" applyFont="1" applyFill="1"/>
    <xf numFmtId="37" fontId="25" fillId="0" borderId="0" xfId="14" applyNumberFormat="1" applyFont="1"/>
    <xf numFmtId="170" fontId="25" fillId="0" borderId="0" xfId="14" applyNumberFormat="1" applyFont="1" applyAlignment="1" applyProtection="1">
      <alignment horizontal="left"/>
    </xf>
    <xf numFmtId="37" fontId="25" fillId="0" borderId="0" xfId="14" applyNumberFormat="1" applyFont="1" applyProtection="1"/>
    <xf numFmtId="164" fontId="25" fillId="0" borderId="0" xfId="4" applyNumberFormat="1" applyFont="1"/>
    <xf numFmtId="170" fontId="25" fillId="0" borderId="0" xfId="14" applyNumberFormat="1" applyFont="1" applyProtection="1"/>
    <xf numFmtId="37" fontId="25" fillId="6" borderId="0" xfId="14" applyFont="1" applyFill="1"/>
    <xf numFmtId="37" fontId="25" fillId="7" borderId="0" xfId="14" applyFont="1" applyFill="1"/>
    <xf numFmtId="37" fontId="25" fillId="0" borderId="19" xfId="14" applyNumberFormat="1" applyFont="1" applyBorder="1" applyProtection="1"/>
    <xf numFmtId="171" fontId="25" fillId="0" borderId="0" xfId="14" applyNumberFormat="1" applyFont="1" applyProtection="1"/>
    <xf numFmtId="37" fontId="25" fillId="0" borderId="0" xfId="14" applyFont="1" applyProtection="1"/>
    <xf numFmtId="37" fontId="25" fillId="0" borderId="0" xfId="14" quotePrefix="1" applyFont="1" applyAlignment="1">
      <alignment horizontal="left"/>
    </xf>
    <xf numFmtId="0" fontId="25" fillId="0" borderId="1" xfId="14" applyNumberFormat="1" applyFont="1" applyBorder="1"/>
    <xf numFmtId="0" fontId="25" fillId="0" borderId="1" xfId="14" applyNumberFormat="1" applyFont="1" applyBorder="1" applyAlignment="1">
      <alignment horizontal="center"/>
    </xf>
    <xf numFmtId="0" fontId="25" fillId="0" borderId="1" xfId="4" applyNumberFormat="1" applyFont="1" applyBorder="1"/>
    <xf numFmtId="37" fontId="25" fillId="0" borderId="1" xfId="14" applyFont="1" applyBorder="1"/>
    <xf numFmtId="37" fontId="25" fillId="0" borderId="1" xfId="14" applyFont="1" applyFill="1" applyBorder="1"/>
    <xf numFmtId="37" fontId="25" fillId="0" borderId="1" xfId="14" applyNumberFormat="1" applyFont="1" applyBorder="1"/>
    <xf numFmtId="37" fontId="25" fillId="0" borderId="0" xfId="14" applyNumberFormat="1" applyFont="1" applyFill="1" applyProtection="1"/>
    <xf numFmtId="37" fontId="25" fillId="0" borderId="0" xfId="14" quotePrefix="1" applyNumberFormat="1" applyFont="1" applyAlignment="1" applyProtection="1">
      <alignment horizontal="left"/>
    </xf>
    <xf numFmtId="37" fontId="25" fillId="0" borderId="0" xfId="4" applyNumberFormat="1" applyFont="1"/>
    <xf numFmtId="164" fontId="25" fillId="0" borderId="1" xfId="4" applyNumberFormat="1" applyFont="1" applyBorder="1"/>
    <xf numFmtId="37" fontId="25" fillId="0" borderId="1" xfId="4" applyNumberFormat="1" applyFont="1" applyBorder="1"/>
    <xf numFmtId="164" fontId="25" fillId="0" borderId="0" xfId="4" applyNumberFormat="1" applyFont="1" applyProtection="1"/>
    <xf numFmtId="37" fontId="25" fillId="0" borderId="1" xfId="14" applyNumberFormat="1" applyFont="1" applyBorder="1" applyProtection="1"/>
    <xf numFmtId="37" fontId="25" fillId="0" borderId="1" xfId="14" applyNumberFormat="1" applyFont="1" applyFill="1" applyBorder="1" applyProtection="1"/>
    <xf numFmtId="37" fontId="25" fillId="0" borderId="0" xfId="14" quotePrefix="1" applyFont="1" applyAlignment="1" applyProtection="1">
      <alignment horizontal="left"/>
    </xf>
    <xf numFmtId="37" fontId="25" fillId="0" borderId="2" xfId="14" applyFont="1" applyBorder="1"/>
    <xf numFmtId="37" fontId="25" fillId="0" borderId="2" xfId="14" applyFont="1" applyFill="1" applyBorder="1"/>
    <xf numFmtId="37" fontId="25" fillId="0" borderId="2" xfId="14" applyNumberFormat="1" applyFont="1" applyBorder="1"/>
    <xf numFmtId="37" fontId="26" fillId="0" borderId="0" xfId="14" applyFont="1"/>
    <xf numFmtId="37" fontId="26" fillId="0" borderId="0" xfId="14" applyNumberFormat="1" applyFont="1"/>
    <xf numFmtId="164" fontId="26" fillId="0" borderId="0" xfId="4" applyNumberFormat="1" applyFont="1"/>
    <xf numFmtId="37" fontId="26" fillId="0" borderId="0" xfId="14" applyFont="1" applyFill="1"/>
    <xf numFmtId="37" fontId="25" fillId="0" borderId="14" xfId="14" applyFont="1" applyBorder="1"/>
    <xf numFmtId="37" fontId="25" fillId="0" borderId="14" xfId="14" applyFont="1" applyFill="1" applyBorder="1"/>
    <xf numFmtId="37" fontId="25" fillId="0" borderId="14" xfId="14" applyNumberFormat="1" applyFont="1" applyBorder="1"/>
    <xf numFmtId="39" fontId="25" fillId="0" borderId="0" xfId="14" applyNumberFormat="1" applyFont="1"/>
    <xf numFmtId="39" fontId="25" fillId="0" borderId="0" xfId="14" applyNumberFormat="1" applyFont="1" applyFill="1"/>
    <xf numFmtId="43" fontId="25" fillId="0" borderId="0" xfId="4" applyFont="1" applyFill="1"/>
    <xf numFmtId="43" fontId="26" fillId="0" borderId="0" xfId="4" applyFont="1" applyFill="1"/>
    <xf numFmtId="37" fontId="25" fillId="0" borderId="0" xfId="14" applyFont="1" applyAlignment="1">
      <alignment wrapText="1"/>
    </xf>
    <xf numFmtId="43" fontId="6" fillId="0" borderId="2" xfId="0" applyNumberFormat="1" applyFont="1" applyFill="1" applyBorder="1"/>
    <xf numFmtId="43" fontId="11" fillId="0" borderId="0" xfId="0" applyNumberFormat="1" applyFont="1" applyFill="1" applyBorder="1"/>
    <xf numFmtId="43" fontId="6" fillId="0" borderId="0" xfId="0" applyNumberFormat="1" applyFont="1" applyFill="1" applyBorder="1" applyAlignment="1"/>
    <xf numFmtId="43" fontId="0" fillId="0" borderId="0" xfId="1" applyNumberFormat="1" applyFont="1" applyFill="1" applyBorder="1"/>
    <xf numFmtId="43" fontId="12" fillId="0" borderId="0" xfId="1" applyNumberFormat="1" applyFont="1" applyFill="1" applyBorder="1" applyAlignment="1"/>
    <xf numFmtId="43" fontId="2" fillId="0" borderId="1" xfId="1" applyNumberFormat="1" applyFont="1" applyFill="1" applyBorder="1"/>
    <xf numFmtId="43" fontId="13" fillId="0" borderId="0" xfId="0" applyNumberFormat="1" applyFont="1" applyFill="1" applyBorder="1" applyAlignment="1"/>
    <xf numFmtId="43" fontId="6" fillId="0" borderId="0" xfId="0" applyNumberFormat="1" applyFont="1" applyFill="1" applyBorder="1"/>
    <xf numFmtId="43" fontId="6" fillId="0" borderId="0" xfId="0" applyNumberFormat="1" applyFont="1" applyFill="1" applyAlignment="1"/>
    <xf numFmtId="43" fontId="0" fillId="0" borderId="0" xfId="2" applyNumberFormat="1" applyFont="1" applyFill="1"/>
    <xf numFmtId="0" fontId="0" fillId="0" borderId="0" xfId="0" applyFill="1" applyBorder="1" applyAlignment="1">
      <alignment horizontal="center"/>
    </xf>
    <xf numFmtId="8" fontId="0" fillId="0" borderId="0" xfId="0" applyNumberFormat="1"/>
    <xf numFmtId="39" fontId="26" fillId="8" borderId="0" xfId="14" applyNumberFormat="1" applyFont="1" applyFill="1"/>
    <xf numFmtId="0" fontId="6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6" fillId="0" borderId="5" xfId="0" applyFont="1" applyFill="1" applyBorder="1"/>
    <xf numFmtId="43" fontId="6" fillId="0" borderId="5" xfId="0" applyNumberFormat="1" applyFont="1" applyFill="1" applyBorder="1"/>
    <xf numFmtId="43" fontId="6" fillId="0" borderId="5" xfId="0" applyNumberFormat="1" applyFont="1" applyFill="1" applyBorder="1" applyAlignment="1"/>
    <xf numFmtId="43" fontId="0" fillId="0" borderId="5" xfId="0" applyNumberFormat="1" applyFill="1" applyBorder="1"/>
    <xf numFmtId="164" fontId="7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0" fillId="0" borderId="0" xfId="0" applyNumberForma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3" fontId="7" fillId="0" borderId="0" xfId="0" applyNumberFormat="1" applyFont="1" applyFill="1" applyBorder="1" applyAlignment="1">
      <alignment horizontal="center"/>
    </xf>
    <xf numFmtId="43" fontId="10" fillId="0" borderId="0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164" fontId="0" fillId="0" borderId="0" xfId="0" applyNumberForma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center"/>
    </xf>
    <xf numFmtId="164" fontId="12" fillId="0" borderId="0" xfId="1" applyNumberFormat="1" applyFont="1" applyFill="1" applyBorder="1" applyAlignment="1">
      <alignment horizontal="center"/>
    </xf>
    <xf numFmtId="164" fontId="0" fillId="0" borderId="0" xfId="0" applyNumberFormat="1" applyFill="1"/>
    <xf numFmtId="43" fontId="13" fillId="0" borderId="0" xfId="0" applyNumberFormat="1" applyFont="1" applyFill="1" applyAlignment="1"/>
    <xf numFmtId="165" fontId="2" fillId="0" borderId="0" xfId="1" applyNumberFormat="1" applyFont="1" applyFill="1" applyBorder="1"/>
    <xf numFmtId="0" fontId="6" fillId="0" borderId="6" xfId="0" applyFont="1" applyFill="1" applyBorder="1"/>
    <xf numFmtId="0" fontId="13" fillId="0" borderId="1" xfId="0" applyFont="1" applyFill="1" applyBorder="1" applyAlignment="1">
      <alignment horizontal="center"/>
    </xf>
    <xf numFmtId="43" fontId="14" fillId="0" borderId="1" xfId="1" applyNumberFormat="1" applyFont="1" applyFill="1" applyBorder="1"/>
    <xf numFmtId="0" fontId="7" fillId="0" borderId="0" xfId="0" applyFont="1" applyFill="1" applyBorder="1" applyAlignment="1">
      <alignment vertical="center"/>
    </xf>
    <xf numFmtId="164" fontId="7" fillId="0" borderId="17" xfId="0" applyNumberFormat="1" applyFont="1" applyFill="1" applyBorder="1" applyAlignment="1">
      <alignment horizontal="center"/>
    </xf>
    <xf numFmtId="164" fontId="7" fillId="0" borderId="18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3" fontId="0" fillId="0" borderId="1" xfId="1" applyFont="1" applyBorder="1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8" fontId="0" fillId="0" borderId="0" xfId="0" applyNumberFormat="1" applyBorder="1"/>
    <xf numFmtId="0" fontId="0" fillId="11" borderId="0" xfId="0" applyFill="1" applyBorder="1"/>
    <xf numFmtId="8" fontId="0" fillId="11" borderId="0" xfId="0" applyNumberFormat="1" applyFill="1" applyBorder="1"/>
    <xf numFmtId="0" fontId="0" fillId="10" borderId="0" xfId="0" applyFill="1" applyBorder="1"/>
    <xf numFmtId="8" fontId="0" fillId="10" borderId="0" xfId="0" applyNumberFormat="1" applyFill="1" applyBorder="1"/>
    <xf numFmtId="0" fontId="0" fillId="9" borderId="0" xfId="0" applyFill="1"/>
    <xf numFmtId="14" fontId="0" fillId="0" borderId="0" xfId="0" applyNumberFormat="1"/>
    <xf numFmtId="21" fontId="0" fillId="0" borderId="0" xfId="0" applyNumberFormat="1"/>
    <xf numFmtId="0" fontId="27" fillId="12" borderId="0" xfId="0" applyFont="1" applyFill="1" applyBorder="1"/>
    <xf numFmtId="43" fontId="0" fillId="0" borderId="2" xfId="0" applyNumberFormat="1" applyBorder="1"/>
    <xf numFmtId="8" fontId="0" fillId="4" borderId="0" xfId="0" applyNumberFormat="1" applyFill="1" applyBorder="1"/>
    <xf numFmtId="0" fontId="18" fillId="0" borderId="0" xfId="13" applyFont="1" applyBorder="1" applyAlignment="1">
      <alignment horizontal="left" vertical="center" wrapText="1"/>
    </xf>
    <xf numFmtId="0" fontId="18" fillId="0" borderId="11" xfId="13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15" fontId="6" fillId="9" borderId="1" xfId="0" quotePrefix="1" applyNumberFormat="1" applyFont="1" applyFill="1" applyBorder="1" applyAlignment="1">
      <alignment horizontal="center"/>
    </xf>
  </cellXfs>
  <cellStyles count="17">
    <cellStyle name="Comma" xfId="1" builtinId="3"/>
    <cellStyle name="Comma 10" xfId="16"/>
    <cellStyle name="Comma 2" xfId="4"/>
    <cellStyle name="Comma 3" xfId="10"/>
    <cellStyle name="Normal" xfId="0" builtinId="0"/>
    <cellStyle name="Normal 10" xfId="15"/>
    <cellStyle name="Normal 2" xfId="3"/>
    <cellStyle name="Normal 2 2" xfId="8"/>
    <cellStyle name="Normal 2 3" xfId="6"/>
    <cellStyle name="Normal 3" xfId="11"/>
    <cellStyle name="Normal 4" xfId="9"/>
    <cellStyle name="Normal 5" xfId="5"/>
    <cellStyle name="Normal 6" xfId="14"/>
    <cellStyle name="Normal 7" xfId="13"/>
    <cellStyle name="Percent" xfId="2" builtinId="5"/>
    <cellStyle name="Percent 2" xfId="12"/>
    <cellStyle name="Percent 3" xfId="7"/>
  </cellStyles>
  <dxfs count="0"/>
  <tableStyles count="0" defaultTableStyle="TableStyleMedium9" defaultPivotStyle="PivotStyleLight16"/>
  <colors>
    <mruColors>
      <color rgb="FFFFCCFF"/>
      <color rgb="FFFF99FF"/>
      <color rgb="FF1009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57150</xdr:rowOff>
    </xdr:from>
    <xdr:to>
      <xdr:col>13</xdr:col>
      <xdr:colOff>563134</xdr:colOff>
      <xdr:row>31</xdr:row>
      <xdr:rowOff>162711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13681A-2F2F-443D-BDFC-A59EB1257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438150"/>
          <a:ext cx="8306959" cy="56300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12</xdr:col>
      <xdr:colOff>522819</xdr:colOff>
      <xdr:row>29</xdr:row>
      <xdr:rowOff>180333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8447619" cy="5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1"/>
  <sheetViews>
    <sheetView zoomScale="85" zoomScaleNormal="85" workbookViewId="0">
      <selection activeCell="B34" sqref="B34"/>
    </sheetView>
  </sheetViews>
  <sheetFormatPr defaultRowHeight="14.4"/>
  <cols>
    <col min="1" max="1" width="36.109375" bestFit="1" customWidth="1"/>
    <col min="2" max="2" width="52.88671875" bestFit="1" customWidth="1"/>
    <col min="3" max="3" width="20.5546875" customWidth="1"/>
    <col min="4" max="4" width="21" bestFit="1" customWidth="1"/>
    <col min="5" max="5" width="5.88671875" bestFit="1" customWidth="1"/>
    <col min="6" max="6" width="24.44140625" customWidth="1"/>
    <col min="8" max="8" width="30.6640625" style="1" customWidth="1"/>
    <col min="9" max="9" width="12" bestFit="1" customWidth="1"/>
  </cols>
  <sheetData>
    <row r="1" spans="1:27" ht="15.6">
      <c r="A1" s="18"/>
      <c r="B1" s="19"/>
      <c r="C1" s="19"/>
      <c r="D1" s="19"/>
      <c r="E1" s="19"/>
      <c r="F1" s="20"/>
      <c r="G1" s="21"/>
      <c r="H1" s="22"/>
      <c r="AA1">
        <v>3</v>
      </c>
    </row>
    <row r="2" spans="1:27" ht="15.6">
      <c r="A2" s="23" t="s">
        <v>44</v>
      </c>
      <c r="B2" s="24"/>
      <c r="C2" s="24"/>
      <c r="D2" s="24"/>
      <c r="E2" s="24"/>
      <c r="F2" s="25"/>
      <c r="G2" s="21"/>
      <c r="H2" s="22"/>
    </row>
    <row r="3" spans="1:27" ht="15.6">
      <c r="A3" s="23" t="s">
        <v>210</v>
      </c>
      <c r="B3" s="24"/>
      <c r="C3" s="24"/>
      <c r="D3" s="24"/>
      <c r="E3" s="24"/>
      <c r="F3" s="25"/>
      <c r="G3" s="21"/>
      <c r="H3" s="22"/>
    </row>
    <row r="4" spans="1:27" ht="15.6">
      <c r="A4" s="26" t="str">
        <f>+'Independant Calc'!A3:T3</f>
        <v>DECEMBER 2017</v>
      </c>
      <c r="B4" s="24"/>
      <c r="C4" s="24"/>
      <c r="D4" s="24"/>
      <c r="E4" s="24"/>
      <c r="F4" s="25"/>
      <c r="G4" s="27"/>
      <c r="H4" s="28"/>
    </row>
    <row r="5" spans="1:27" ht="15.6">
      <c r="A5" s="29"/>
      <c r="B5" s="30"/>
      <c r="C5" s="30"/>
      <c r="D5" s="30"/>
      <c r="E5" s="30"/>
      <c r="F5" s="31"/>
    </row>
    <row r="6" spans="1:27" ht="15.6">
      <c r="A6" s="29" t="s">
        <v>211</v>
      </c>
      <c r="B6" s="30" t="s">
        <v>212</v>
      </c>
      <c r="C6" s="30"/>
      <c r="D6" s="30"/>
      <c r="E6" s="30"/>
      <c r="F6" s="31"/>
    </row>
    <row r="7" spans="1:27" ht="15.6">
      <c r="A7" s="29"/>
      <c r="B7" s="30" t="s">
        <v>213</v>
      </c>
      <c r="C7" s="30"/>
      <c r="D7" s="30"/>
      <c r="E7" s="30"/>
      <c r="F7" s="31"/>
    </row>
    <row r="8" spans="1:27" ht="15.6">
      <c r="A8" s="29"/>
      <c r="B8" s="30" t="s">
        <v>214</v>
      </c>
      <c r="C8" s="30"/>
      <c r="D8" s="30"/>
      <c r="E8" s="30"/>
      <c r="F8" s="31"/>
    </row>
    <row r="9" spans="1:27" ht="15.6">
      <c r="A9" s="29"/>
      <c r="B9" s="32"/>
      <c r="C9" s="30"/>
      <c r="D9" s="30"/>
      <c r="E9" s="30"/>
      <c r="F9" s="31"/>
    </row>
    <row r="10" spans="1:27" ht="47.25" customHeight="1">
      <c r="A10" s="33" t="s">
        <v>215</v>
      </c>
      <c r="B10" s="203" t="s">
        <v>227</v>
      </c>
      <c r="C10" s="203"/>
      <c r="D10" s="203"/>
      <c r="E10" s="203"/>
      <c r="F10" s="204"/>
    </row>
    <row r="11" spans="1:27" ht="15.6">
      <c r="A11" s="29"/>
      <c r="B11" s="30"/>
      <c r="C11" s="30"/>
      <c r="D11" s="30"/>
      <c r="E11" s="30"/>
      <c r="F11" s="31"/>
    </row>
    <row r="12" spans="1:27" ht="15.6">
      <c r="A12" s="29" t="s">
        <v>216</v>
      </c>
      <c r="B12" s="32" t="s">
        <v>297</v>
      </c>
      <c r="C12" s="30"/>
      <c r="D12" s="30"/>
      <c r="E12" s="30"/>
      <c r="F12" s="31"/>
    </row>
    <row r="13" spans="1:27" ht="15.6">
      <c r="A13" s="29"/>
      <c r="B13" s="32"/>
      <c r="C13" s="30"/>
      <c r="D13" s="30"/>
      <c r="E13" s="30"/>
      <c r="F13" s="31"/>
    </row>
    <row r="14" spans="1:27" ht="15.6">
      <c r="A14" s="29" t="s">
        <v>217</v>
      </c>
      <c r="B14" s="34">
        <f ca="1">TODAY()</f>
        <v>43215</v>
      </c>
      <c r="C14" s="30"/>
      <c r="D14" s="30"/>
      <c r="E14" s="30"/>
      <c r="F14" s="31"/>
    </row>
    <row r="15" spans="1:27" ht="15.6">
      <c r="A15" s="35"/>
      <c r="B15" s="36"/>
      <c r="C15" s="30"/>
      <c r="D15" s="36"/>
      <c r="E15" s="36"/>
      <c r="F15" s="31"/>
    </row>
    <row r="16" spans="1:27" ht="15.6">
      <c r="A16" s="29" t="s">
        <v>218</v>
      </c>
      <c r="B16" s="30"/>
      <c r="C16" s="30"/>
      <c r="D16" s="30"/>
      <c r="E16" s="30"/>
      <c r="F16" s="31"/>
      <c r="G16" s="37"/>
      <c r="H16" s="38"/>
    </row>
    <row r="17" spans="1:24" ht="15.6">
      <c r="A17" s="29" t="s">
        <v>219</v>
      </c>
      <c r="B17" s="32" t="s">
        <v>228</v>
      </c>
      <c r="C17" s="30"/>
      <c r="D17" s="30"/>
      <c r="E17" s="30"/>
      <c r="F17" s="31"/>
    </row>
    <row r="18" spans="1:24" ht="15.6">
      <c r="A18" s="29"/>
      <c r="B18" s="30"/>
      <c r="C18" s="30"/>
      <c r="D18" s="30"/>
      <c r="E18" s="30"/>
      <c r="F18" s="31"/>
    </row>
    <row r="19" spans="1:24" ht="15.6">
      <c r="A19" s="29" t="s">
        <v>220</v>
      </c>
      <c r="B19" s="36"/>
      <c r="C19" s="30"/>
      <c r="D19" s="30"/>
      <c r="E19" s="30"/>
      <c r="F19" s="31"/>
    </row>
    <row r="20" spans="1:24" ht="15.6">
      <c r="A20" s="35"/>
      <c r="B20" s="36"/>
      <c r="C20" s="30"/>
      <c r="D20" s="30"/>
      <c r="E20" s="30"/>
      <c r="F20" s="31"/>
    </row>
    <row r="21" spans="1:24" ht="15.6">
      <c r="A21" s="29" t="s">
        <v>221</v>
      </c>
      <c r="B21" s="30" t="s">
        <v>212</v>
      </c>
      <c r="C21" s="30"/>
      <c r="D21" s="30"/>
      <c r="E21" s="30"/>
      <c r="F21" s="39">
        <f>52453170.46-23310037.21</f>
        <v>29143133.25</v>
      </c>
    </row>
    <row r="22" spans="1:24" ht="15.6">
      <c r="A22" s="29"/>
      <c r="B22" s="30" t="s">
        <v>213</v>
      </c>
      <c r="C22" s="30"/>
      <c r="D22" s="30"/>
      <c r="E22" s="30"/>
      <c r="F22" s="39">
        <f>-1535249.45-384563370.32</f>
        <v>-386098619.76999998</v>
      </c>
    </row>
    <row r="23" spans="1:24" ht="15.6">
      <c r="A23" s="35"/>
      <c r="B23" s="30" t="s">
        <v>214</v>
      </c>
      <c r="C23" s="30"/>
      <c r="D23" s="30"/>
      <c r="E23" s="30"/>
      <c r="F23" s="39">
        <f>-481576.27+234690.33</f>
        <v>-246885.94000000003</v>
      </c>
      <c r="X23" s="40"/>
    </row>
    <row r="24" spans="1:24" ht="15.6">
      <c r="A24" s="29"/>
      <c r="B24" s="30"/>
      <c r="C24" s="30"/>
      <c r="D24" s="30"/>
      <c r="E24" s="30"/>
      <c r="F24" s="31"/>
    </row>
    <row r="25" spans="1:24" ht="15.6">
      <c r="A25" s="35"/>
      <c r="B25" s="36"/>
      <c r="C25" s="30"/>
      <c r="D25" s="41" t="s">
        <v>222</v>
      </c>
      <c r="E25" s="30"/>
      <c r="F25" s="39">
        <f>SUM(F21:F23)</f>
        <v>-357202372.45999998</v>
      </c>
    </row>
    <row r="26" spans="1:24" ht="15.6">
      <c r="A26" s="29"/>
      <c r="B26" s="30"/>
      <c r="C26" s="30"/>
      <c r="D26" s="42"/>
      <c r="E26" s="30"/>
      <c r="F26" s="43"/>
    </row>
    <row r="27" spans="1:24" ht="15.6">
      <c r="A27" s="29" t="s">
        <v>223</v>
      </c>
      <c r="B27" s="30"/>
      <c r="C27" s="30"/>
      <c r="D27" s="30"/>
      <c r="E27" s="30"/>
      <c r="F27" s="31"/>
      <c r="V27" s="44"/>
    </row>
    <row r="28" spans="1:24" ht="15.6">
      <c r="A28" s="35"/>
      <c r="B28" s="30"/>
      <c r="C28" s="30"/>
      <c r="D28" s="30"/>
      <c r="E28" s="30"/>
      <c r="F28" s="31"/>
    </row>
    <row r="29" spans="1:24" ht="15.6">
      <c r="A29" s="29"/>
      <c r="B29" s="30"/>
      <c r="C29" s="30"/>
      <c r="D29" s="45"/>
      <c r="E29" s="30"/>
      <c r="F29" s="46"/>
    </row>
    <row r="30" spans="1:24" ht="15.6">
      <c r="A30" s="47"/>
      <c r="B30" s="30"/>
      <c r="C30" s="30"/>
      <c r="D30" s="45"/>
      <c r="E30" s="30"/>
      <c r="F30" s="31"/>
    </row>
    <row r="31" spans="1:24" ht="15.6">
      <c r="A31" s="47"/>
      <c r="B31" s="30"/>
      <c r="C31" s="30"/>
      <c r="D31" s="45"/>
      <c r="E31" s="30"/>
      <c r="F31" s="31"/>
    </row>
    <row r="32" spans="1:24" ht="15.6">
      <c r="A32" s="29"/>
      <c r="B32" s="30"/>
      <c r="C32" s="30"/>
      <c r="D32" s="48"/>
      <c r="E32" s="30"/>
      <c r="F32" s="49"/>
    </row>
    <row r="33" spans="1:6">
      <c r="A33" s="35"/>
      <c r="B33" s="36"/>
      <c r="C33" s="36"/>
      <c r="D33" s="36"/>
      <c r="E33" s="36"/>
      <c r="F33" s="50"/>
    </row>
    <row r="34" spans="1:6" ht="15.6">
      <c r="A34" s="51"/>
      <c r="B34" s="30"/>
      <c r="C34" s="30"/>
      <c r="D34" s="30"/>
      <c r="E34" s="30"/>
      <c r="F34" s="49"/>
    </row>
    <row r="35" spans="1:6" ht="15.6">
      <c r="A35" s="51"/>
      <c r="B35" s="30"/>
      <c r="C35" s="30"/>
      <c r="D35" s="30"/>
      <c r="E35" s="30"/>
      <c r="F35" s="49"/>
    </row>
    <row r="36" spans="1:6" ht="15.6">
      <c r="A36" s="51"/>
      <c r="B36" s="36"/>
      <c r="C36" s="36"/>
      <c r="D36" s="36"/>
      <c r="E36" s="36"/>
      <c r="F36" s="50"/>
    </row>
    <row r="37" spans="1:6" ht="15.6">
      <c r="A37" s="51" t="s">
        <v>224</v>
      </c>
      <c r="B37" s="32"/>
      <c r="C37" s="30"/>
      <c r="D37" s="52"/>
      <c r="E37" s="30"/>
      <c r="F37" s="53">
        <f>+'Independant Calc'!T75</f>
        <v>-357202372.03224361</v>
      </c>
    </row>
    <row r="38" spans="1:6" ht="15.6">
      <c r="A38" s="35"/>
      <c r="B38" s="54"/>
      <c r="C38" s="55"/>
      <c r="D38" s="54"/>
      <c r="E38" s="54"/>
      <c r="F38" s="49"/>
    </row>
    <row r="39" spans="1:6" ht="16.2" thickBot="1">
      <c r="A39" s="29"/>
      <c r="B39" s="56" t="s">
        <v>19</v>
      </c>
      <c r="C39" s="30"/>
      <c r="D39" s="30"/>
      <c r="E39" s="30"/>
      <c r="F39" s="57">
        <f>F25-F37</f>
        <v>-0.42775636911392212</v>
      </c>
    </row>
    <row r="40" spans="1:6" ht="16.2" thickTop="1">
      <c r="A40" s="29"/>
      <c r="B40" s="54"/>
      <c r="C40" s="55"/>
      <c r="D40" s="54"/>
      <c r="E40" s="54"/>
      <c r="F40" s="49"/>
    </row>
    <row r="41" spans="1:6" ht="15.6">
      <c r="A41" s="29" t="s">
        <v>225</v>
      </c>
      <c r="C41" s="55"/>
      <c r="D41" s="36"/>
      <c r="E41" s="54"/>
      <c r="F41" s="50"/>
    </row>
    <row r="42" spans="1:6" ht="15.6">
      <c r="A42" s="29"/>
      <c r="B42" s="54"/>
      <c r="C42" s="55"/>
      <c r="D42" s="58"/>
      <c r="E42" s="54"/>
      <c r="F42" s="49"/>
    </row>
    <row r="43" spans="1:6" ht="15.6">
      <c r="A43" s="29"/>
      <c r="B43" s="54"/>
      <c r="C43" s="55"/>
      <c r="D43" s="54"/>
      <c r="E43" s="54"/>
      <c r="F43" s="49"/>
    </row>
    <row r="44" spans="1:6" ht="15.6">
      <c r="A44" s="29"/>
      <c r="B44" s="54"/>
      <c r="C44" s="55"/>
      <c r="D44" s="54"/>
      <c r="E44" s="54"/>
      <c r="F44" s="49"/>
    </row>
    <row r="45" spans="1:6" ht="15.6">
      <c r="A45" s="29"/>
      <c r="B45" s="54"/>
      <c r="C45" s="55"/>
      <c r="D45" s="54"/>
      <c r="E45" s="54"/>
      <c r="F45" s="49"/>
    </row>
    <row r="46" spans="1:6" ht="15.6">
      <c r="A46" s="29"/>
      <c r="B46" s="54"/>
      <c r="C46" s="55"/>
      <c r="D46" s="54"/>
      <c r="E46" s="54"/>
      <c r="F46" s="49"/>
    </row>
    <row r="47" spans="1:6" ht="15.6">
      <c r="A47" s="59"/>
      <c r="B47" s="30" t="s">
        <v>229</v>
      </c>
      <c r="C47" s="30"/>
      <c r="D47" s="45"/>
      <c r="E47" s="60"/>
      <c r="F47" s="61">
        <f>SUM(F42:F45)</f>
        <v>0</v>
      </c>
    </row>
    <row r="48" spans="1:6" ht="15.6">
      <c r="A48" s="59"/>
      <c r="B48" s="55"/>
      <c r="C48" s="55"/>
      <c r="D48" s="62"/>
      <c r="E48" s="54"/>
      <c r="F48" s="49"/>
    </row>
    <row r="49" spans="1:6" ht="15.6">
      <c r="A49" s="59"/>
      <c r="B49" s="63" t="s">
        <v>226</v>
      </c>
      <c r="C49" s="64"/>
      <c r="D49" s="65"/>
      <c r="E49" s="66"/>
      <c r="F49" s="67">
        <f>+F39-F47</f>
        <v>-0.42775636911392212</v>
      </c>
    </row>
    <row r="50" spans="1:6" ht="15.6">
      <c r="A50" s="68"/>
      <c r="B50" s="54"/>
      <c r="C50" s="55"/>
      <c r="D50" s="52"/>
      <c r="E50" s="54"/>
      <c r="F50" s="49"/>
    </row>
    <row r="51" spans="1:6" ht="16.2" thickBot="1">
      <c r="A51" s="69"/>
      <c r="B51" s="70"/>
      <c r="C51" s="70"/>
      <c r="D51" s="70"/>
      <c r="E51" s="70"/>
      <c r="F51" s="71"/>
    </row>
  </sheetData>
  <mergeCells count="1">
    <mergeCell ref="B10:F10"/>
  </mergeCells>
  <pageMargins left="0.7" right="0.7" top="0.75" bottom="0.75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1"/>
  <sheetViews>
    <sheetView topLeftCell="A16" zoomScale="55" zoomScaleNormal="55" zoomScaleSheetLayoutView="70" workbookViewId="0">
      <selection activeCell="T74" sqref="T74"/>
    </sheetView>
  </sheetViews>
  <sheetFormatPr defaultColWidth="9.109375" defaultRowHeight="14.4"/>
  <cols>
    <col min="1" max="1" width="28.44140625" style="44" customWidth="1"/>
    <col min="2" max="2" width="18.109375" style="177" customWidth="1"/>
    <col min="3" max="3" width="9.5546875" style="81" customWidth="1"/>
    <col min="4" max="4" width="17.44140625" style="44" customWidth="1"/>
    <col min="5" max="5" width="10" style="81" customWidth="1"/>
    <col min="6" max="6" width="19.88671875" style="44" bestFit="1" customWidth="1"/>
    <col min="7" max="7" width="4.33203125" style="44" customWidth="1"/>
    <col min="8" max="8" width="16" style="44" customWidth="1"/>
    <col min="9" max="9" width="4.109375" style="44" customWidth="1"/>
    <col min="10" max="10" width="18.88671875" style="44" bestFit="1" customWidth="1"/>
    <col min="11" max="11" width="4.33203125" style="81" customWidth="1"/>
    <col min="12" max="12" width="15.88671875" style="44" customWidth="1"/>
    <col min="13" max="13" width="9" style="81" customWidth="1"/>
    <col min="14" max="14" width="17.6640625" style="44" hidden="1" customWidth="1"/>
    <col min="15" max="15" width="3.6640625" style="81" customWidth="1"/>
    <col min="16" max="16" width="17.6640625" style="44" customWidth="1"/>
    <col min="17" max="17" width="2.6640625" style="44" customWidth="1"/>
    <col min="18" max="18" width="18.6640625" style="44" bestFit="1" customWidth="1"/>
    <col min="19" max="19" width="2.6640625" style="44" customWidth="1"/>
    <col min="20" max="20" width="17.44140625" style="74" bestFit="1" customWidth="1"/>
    <col min="21" max="21" width="2.6640625" style="74" customWidth="1"/>
    <col min="22" max="22" width="18.109375" style="74" customWidth="1"/>
    <col min="23" max="23" width="4.88671875" style="152" bestFit="1" customWidth="1"/>
    <col min="24" max="24" width="18.109375" style="74" customWidth="1"/>
    <col min="25" max="25" width="5.44140625" style="44" customWidth="1"/>
    <col min="26" max="26" width="11.5546875" style="44" customWidth="1"/>
    <col min="27" max="27" width="12.33203125" style="44" bestFit="1" customWidth="1"/>
    <col min="28" max="28" width="17.88671875" style="44" bestFit="1" customWidth="1"/>
    <col min="29" max="16384" width="9.109375" style="44"/>
  </cols>
  <sheetData>
    <row r="1" spans="1:28">
      <c r="A1" s="207" t="s">
        <v>35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Z1" s="197">
        <v>0</v>
      </c>
    </row>
    <row r="2" spans="1:28">
      <c r="A2" s="207" t="s">
        <v>32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</row>
    <row r="3" spans="1:28">
      <c r="A3" s="208" t="s">
        <v>298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</row>
    <row r="4" spans="1:28">
      <c r="A4" s="205" t="s">
        <v>24</v>
      </c>
      <c r="B4" s="160" t="s">
        <v>16</v>
      </c>
      <c r="C4" s="157"/>
      <c r="D4" s="161" t="s">
        <v>0</v>
      </c>
      <c r="E4" s="157"/>
      <c r="F4" s="162"/>
      <c r="G4" s="157"/>
      <c r="H4" s="157"/>
      <c r="I4" s="157"/>
      <c r="J4" s="157"/>
      <c r="K4" s="157"/>
      <c r="L4" s="157"/>
      <c r="M4" s="157"/>
      <c r="N4" s="162"/>
      <c r="O4" s="157"/>
      <c r="P4" s="162"/>
      <c r="Q4" s="162"/>
      <c r="R4" s="162"/>
      <c r="S4" s="162"/>
      <c r="T4" s="163"/>
      <c r="U4" s="163"/>
      <c r="V4" s="163"/>
      <c r="W4" s="164"/>
      <c r="X4" s="165"/>
    </row>
    <row r="5" spans="1:28">
      <c r="A5" s="206"/>
      <c r="B5" s="166" t="s">
        <v>22</v>
      </c>
      <c r="C5" s="13"/>
      <c r="D5" s="158" t="s">
        <v>1</v>
      </c>
      <c r="E5" s="13"/>
      <c r="F5" s="167" t="s">
        <v>23</v>
      </c>
      <c r="G5" s="13"/>
      <c r="H5" s="13"/>
      <c r="I5" s="13"/>
      <c r="J5" s="13"/>
      <c r="K5" s="13"/>
      <c r="L5" s="13"/>
      <c r="M5" s="13"/>
      <c r="N5" s="167"/>
      <c r="O5" s="167"/>
      <c r="P5" s="13"/>
      <c r="Q5" s="13"/>
      <c r="R5" s="13"/>
      <c r="S5" s="13"/>
      <c r="T5" s="10" t="s">
        <v>2</v>
      </c>
      <c r="U5" s="10"/>
      <c r="V5" s="10" t="s">
        <v>29</v>
      </c>
      <c r="W5" s="146"/>
      <c r="X5" s="168"/>
      <c r="Z5" s="44">
        <v>0.21</v>
      </c>
    </row>
    <row r="6" spans="1:28">
      <c r="A6" s="206"/>
      <c r="B6" s="166" t="s">
        <v>3</v>
      </c>
      <c r="C6" s="13"/>
      <c r="D6" s="158" t="s">
        <v>3</v>
      </c>
      <c r="E6" s="167" t="s">
        <v>20</v>
      </c>
      <c r="F6" s="158"/>
      <c r="G6" s="169" t="s">
        <v>21</v>
      </c>
      <c r="H6" s="158" t="s">
        <v>17</v>
      </c>
      <c r="I6" s="169"/>
      <c r="J6" s="158"/>
      <c r="K6" s="167"/>
      <c r="L6" s="158"/>
      <c r="M6" s="158"/>
      <c r="N6" s="158"/>
      <c r="O6" s="158"/>
      <c r="P6" s="158" t="s">
        <v>4</v>
      </c>
      <c r="Q6" s="13"/>
      <c r="R6" s="158" t="s">
        <v>5</v>
      </c>
      <c r="S6" s="13"/>
      <c r="T6" s="170" t="s">
        <v>6</v>
      </c>
      <c r="U6" s="170"/>
      <c r="V6" s="170" t="s">
        <v>15</v>
      </c>
      <c r="W6" s="146"/>
      <c r="X6" s="171" t="s">
        <v>30</v>
      </c>
      <c r="Z6" s="44">
        <v>5.5E-2</v>
      </c>
    </row>
    <row r="7" spans="1:28">
      <c r="A7" s="172"/>
      <c r="B7" s="173"/>
      <c r="C7" s="13"/>
      <c r="D7" s="159"/>
      <c r="E7" s="174"/>
      <c r="F7" s="159"/>
      <c r="G7" s="159"/>
      <c r="H7" s="159"/>
      <c r="I7" s="159"/>
      <c r="J7" s="159"/>
      <c r="K7" s="174"/>
      <c r="L7" s="159"/>
      <c r="M7" s="174"/>
      <c r="N7" s="159"/>
      <c r="O7" s="174"/>
      <c r="P7" s="159"/>
      <c r="Q7" s="154"/>
      <c r="R7" s="154"/>
      <c r="S7" s="154"/>
      <c r="T7" s="175"/>
      <c r="U7" s="175"/>
      <c r="V7" s="168"/>
      <c r="W7" s="146"/>
      <c r="X7" s="170"/>
      <c r="Z7" s="44">
        <f>+Z6*-Z5</f>
        <v>-1.155E-2</v>
      </c>
    </row>
    <row r="8" spans="1:28" ht="15" thickBot="1">
      <c r="A8" s="17" t="s">
        <v>7</v>
      </c>
      <c r="B8" s="3"/>
      <c r="C8" s="14"/>
      <c r="D8" s="3"/>
      <c r="E8" s="14"/>
      <c r="F8" s="3"/>
      <c r="G8" s="3"/>
      <c r="H8" s="3"/>
      <c r="I8" s="3"/>
      <c r="J8" s="3"/>
      <c r="K8" s="176"/>
      <c r="L8" s="73"/>
      <c r="M8" s="4"/>
      <c r="N8" s="3"/>
      <c r="O8" s="4"/>
      <c r="P8" s="3"/>
      <c r="Q8" s="3"/>
      <c r="R8" s="3"/>
      <c r="S8" s="3"/>
      <c r="T8" s="73"/>
      <c r="U8" s="73"/>
      <c r="V8" s="73"/>
      <c r="W8" s="148"/>
      <c r="X8" s="73"/>
      <c r="Z8" s="79">
        <f>SUM(Z5:Z7)</f>
        <v>0.25345000000000001</v>
      </c>
    </row>
    <row r="9" spans="1:28" ht="15" thickTop="1">
      <c r="A9" s="17" t="s">
        <v>8</v>
      </c>
      <c r="B9" s="3">
        <f>VLOOKUP("Federal Afudc Equity Fed",PYALLBUTPCFED,8,FALSE)+VLOOKUP("Federal Afudc Equity Fed",PYPCFED,8,FALSE)</f>
        <v>84998372.030000001</v>
      </c>
      <c r="C9" s="14"/>
      <c r="D9" s="3">
        <f>(VLOOKUP("Federal Afudc Equity Fed",CYALLBUTPCFED,7,FALSE)+VLOOKUP("Federal Afudc Equity Fed",CYPCFED,7,FALSE))/12*Z1</f>
        <v>0</v>
      </c>
      <c r="E9" s="14"/>
      <c r="F9" s="3"/>
      <c r="G9" s="3"/>
      <c r="H9" s="3">
        <f>B9+D9+F9+D13+F13+B13+B14</f>
        <v>84998000.189999998</v>
      </c>
      <c r="I9" s="3"/>
      <c r="J9" s="3"/>
      <c r="K9" s="76"/>
      <c r="L9" s="3"/>
      <c r="M9" s="4"/>
      <c r="N9" s="3"/>
      <c r="O9" s="4"/>
      <c r="P9" s="3">
        <f>(H9)*$Z$5</f>
        <v>17849580.039899997</v>
      </c>
      <c r="Q9" s="3"/>
      <c r="R9" s="73">
        <f>+T9-P9</f>
        <v>6059843.3609438799</v>
      </c>
      <c r="S9" s="3"/>
      <c r="T9" s="73">
        <f>+P9/$Z$9</f>
        <v>23909423.400843877</v>
      </c>
      <c r="U9" s="73"/>
      <c r="V9" s="147">
        <f>VLOOKUP("FAS109 FLOWTHRU EQUITY BD - FED",Provision,6,FALSE)+VLOOKUP("AFUDC_EQUITY - GULF",Provision,6,FALSE)</f>
        <v>23860212.77</v>
      </c>
      <c r="W9" s="148"/>
      <c r="X9" s="73">
        <f>+T9-V9</f>
        <v>49210.630843877792</v>
      </c>
      <c r="Z9" s="44">
        <f>1-Z8</f>
        <v>0.74655000000000005</v>
      </c>
      <c r="AB9" s="78"/>
    </row>
    <row r="10" spans="1:28">
      <c r="A10" s="17" t="s">
        <v>9</v>
      </c>
      <c r="B10" s="3"/>
      <c r="C10" s="14"/>
      <c r="D10" s="3"/>
      <c r="E10" s="14"/>
      <c r="F10" s="3"/>
      <c r="G10" s="3"/>
      <c r="H10" s="3">
        <f>B10+D10+F10</f>
        <v>0</v>
      </c>
      <c r="I10" s="3"/>
      <c r="J10" s="3"/>
      <c r="K10" s="176"/>
      <c r="L10" s="3"/>
      <c r="M10" s="4"/>
      <c r="N10" s="3"/>
      <c r="O10" s="4"/>
      <c r="P10" s="3">
        <f>(P11*-$Z$5)</f>
        <v>-958539.40285950003</v>
      </c>
      <c r="Q10" s="3"/>
      <c r="R10" s="73">
        <f t="shared" ref="R10:R11" si="0">+T10-P10</f>
        <v>-325419.34452446608</v>
      </c>
      <c r="S10" s="3"/>
      <c r="T10" s="73">
        <f t="shared" ref="T10" si="1">+P10/$Z$9</f>
        <v>-1283958.7473839661</v>
      </c>
      <c r="U10" s="73"/>
      <c r="V10" s="73"/>
      <c r="W10" s="150"/>
      <c r="X10" s="73"/>
      <c r="AB10" s="78"/>
    </row>
    <row r="11" spans="1:28">
      <c r="A11" s="17" t="s">
        <v>10</v>
      </c>
      <c r="B11" s="3">
        <f>VLOOKUP("Fla Afudc Equity State",PYALLBUTPCST,8,FALSE)+VLOOKUP("Fla Afudc Equity State",PYPCST,8,FALSE)</f>
        <v>82990796.329999998</v>
      </c>
      <c r="C11" s="14"/>
      <c r="D11" s="3">
        <f>(VLOOKUP("Fla Afudc Equity State",CYALLBUTPCST,7,FALSE)+VLOOKUP("Fla Afudc Equity State",CYPCST,7,FALSE))/12*Z1</f>
        <v>0</v>
      </c>
      <c r="E11" s="14"/>
      <c r="F11" s="3"/>
      <c r="G11" s="3"/>
      <c r="H11" s="3">
        <f>B11+D11+F11+D14+F14+D13+F13+B13+B14</f>
        <v>82990424.489999995</v>
      </c>
      <c r="I11" s="3"/>
      <c r="J11" s="3"/>
      <c r="K11" s="76"/>
      <c r="L11" s="3"/>
      <c r="M11" s="4"/>
      <c r="N11" s="3"/>
      <c r="O11" s="4"/>
      <c r="P11" s="3">
        <f>(H11)*$Z$6</f>
        <v>4564473.3469500002</v>
      </c>
      <c r="Q11" s="3"/>
      <c r="R11" s="73">
        <f t="shared" si="0"/>
        <v>1549615.9263069816</v>
      </c>
      <c r="S11" s="3"/>
      <c r="T11" s="73">
        <f>+P11/$Z$9</f>
        <v>6114089.2732569817</v>
      </c>
      <c r="U11" s="73"/>
      <c r="V11" s="147">
        <f>VLOOKUP("FAS109 FLOWTHRU EQUITY BD - STATE",Provision,6,FALSE)</f>
        <v>4879341.1500000004</v>
      </c>
      <c r="W11" s="148"/>
      <c r="X11" s="73">
        <f>+T11+T10-V11</f>
        <v>-49210.624126984738</v>
      </c>
      <c r="Z11" s="177"/>
      <c r="AB11" s="78"/>
    </row>
    <row r="12" spans="1:28">
      <c r="A12" s="17" t="s">
        <v>18</v>
      </c>
      <c r="B12" s="3"/>
      <c r="C12" s="14"/>
      <c r="D12" s="2"/>
      <c r="E12" s="14"/>
      <c r="F12" s="3"/>
      <c r="G12" s="3"/>
      <c r="H12" s="3"/>
      <c r="I12" s="3"/>
      <c r="J12" s="3"/>
      <c r="K12" s="176"/>
      <c r="L12" s="3"/>
      <c r="M12" s="4"/>
      <c r="N12" s="3"/>
      <c r="O12" s="4"/>
      <c r="P12" s="3"/>
      <c r="Q12" s="3"/>
      <c r="R12" s="3"/>
      <c r="S12" s="3"/>
      <c r="T12" s="73"/>
      <c r="U12" s="73"/>
      <c r="W12" s="178"/>
      <c r="X12" s="73"/>
      <c r="AB12" s="78"/>
    </row>
    <row r="13" spans="1:28">
      <c r="A13" s="17" t="s">
        <v>31</v>
      </c>
      <c r="B13" s="3"/>
      <c r="C13" s="14"/>
      <c r="D13" s="3"/>
      <c r="E13" s="14"/>
      <c r="F13" s="9">
        <f>-78000+70325.19+7302.97</f>
        <v>-371.83999999999742</v>
      </c>
      <c r="G13" s="2"/>
      <c r="H13" s="3"/>
      <c r="I13" s="3"/>
      <c r="J13" s="3"/>
      <c r="K13" s="176"/>
      <c r="L13" s="3"/>
      <c r="M13" s="13"/>
      <c r="N13" s="2"/>
      <c r="O13" s="13"/>
      <c r="P13" s="9"/>
      <c r="Q13" s="9"/>
      <c r="R13" s="9"/>
      <c r="S13" s="9"/>
      <c r="T13" s="147"/>
      <c r="U13" s="11"/>
      <c r="V13" s="147"/>
      <c r="W13" s="148"/>
      <c r="X13" s="73"/>
      <c r="Z13" s="74"/>
      <c r="AB13" s="78"/>
    </row>
    <row r="14" spans="1:28">
      <c r="A14" s="17"/>
      <c r="B14" s="3"/>
      <c r="C14" s="14"/>
      <c r="D14" s="3"/>
      <c r="E14" s="14"/>
      <c r="F14" s="3"/>
      <c r="G14" s="3"/>
      <c r="H14" s="3"/>
      <c r="I14" s="3"/>
      <c r="J14" s="3"/>
      <c r="K14" s="176"/>
      <c r="L14" s="3"/>
      <c r="M14" s="4"/>
      <c r="N14" s="3"/>
      <c r="O14" s="4"/>
      <c r="P14" s="3"/>
      <c r="Q14" s="3"/>
      <c r="R14" s="9"/>
      <c r="S14" s="3"/>
      <c r="T14" s="147"/>
      <c r="U14" s="73"/>
      <c r="V14" s="73"/>
      <c r="W14" s="148"/>
      <c r="X14" s="73"/>
      <c r="AB14" s="78"/>
    </row>
    <row r="15" spans="1:28">
      <c r="A15" s="17" t="s">
        <v>37</v>
      </c>
      <c r="B15" s="3"/>
      <c r="C15" s="14"/>
      <c r="D15" s="3"/>
      <c r="E15" s="14"/>
      <c r="F15" s="3"/>
      <c r="G15" s="3"/>
      <c r="H15" s="3"/>
      <c r="I15" s="3"/>
      <c r="J15" s="3"/>
      <c r="K15" s="176"/>
      <c r="L15" s="3"/>
      <c r="M15" s="4"/>
      <c r="N15" s="3"/>
      <c r="O15" s="4"/>
      <c r="P15" s="3"/>
      <c r="Q15" s="3"/>
      <c r="R15" s="179"/>
      <c r="S15" s="3"/>
      <c r="T15" s="73"/>
      <c r="U15" s="73"/>
      <c r="V15" s="73"/>
      <c r="W15" s="148"/>
      <c r="X15" s="73"/>
      <c r="AB15" s="78"/>
    </row>
    <row r="16" spans="1:28">
      <c r="A16" s="17" t="s">
        <v>8</v>
      </c>
      <c r="B16" s="3">
        <f>VLOOKUP("Federal Afudc Debt Gross Ft Fed",PYALLBUTPCFED,8,FALSE)+VLOOKUP("Federal Afudc Debt Gross Ft Fed",PYPCFED,8,FALSE)+VLOOKUP("Federal Afudc Debt Not Fed",PYALLBUTPCFED,8,FALSE)+VLOOKUP("Federal Indirect Cost Ft Fed",PYALLBUTPCFED,8,FALSE)+VLOOKUP("Federal Indirect Cost Ft Fed",PYPCFED,8,FALSE)+VLOOKUP("Federal Fed Other Tax Credits",PYALLBUTPCFED,8,FALSE)</f>
        <v>198659.71</v>
      </c>
      <c r="C16" s="14"/>
      <c r="D16" s="3">
        <f>(VLOOKUP("Federal Afudc Debt Gross Ft Fed",CYALLBUTPCFED,7,FALSE)+VLOOKUP("Federal Afudc Debt Gross Ft Fed",CYPCFED,7,FALSE)+VLOOKUP("Federal Afudc Debt Not Fed",CYALLBUTPCFED,7,FALSE)+VLOOKUP("Federal Indirect Cost Ft Fed",CYALLBUTPCFED,7,FALSE)+VLOOKUP("Federal Indirect Cost Ft Fed",CYPCFED,7,FALSE)+VLOOKUP("Federal Fed Other Tax Credits",CYALLBUTPCFED,7,FALSE)+VLOOKUP("Federal Afudc Debt Gross Ft Fed",CYALLBUTPCFED,6,FALSE)+VLOOKUP("Federal Afudc Debt Gross Ft Fed",CYPCFED,6,FALSE)+VLOOKUP("Federal Afudc Debt Not Fed",CYALLBUTPCFED,6,FALSE)+VLOOKUP("Federal Indirect Cost Ft Fed",CYALLBUTPCFED,6,FALSE)+VLOOKUP("Federal Indirect Cost Ft Fed",CYPCFED,6,FALSE)+VLOOKUP("Federal Fed Other Tax Credits",CYALLBUTPCFED,6,FALSE))/12*Z1</f>
        <v>0</v>
      </c>
      <c r="E16" s="14"/>
      <c r="F16" s="3"/>
      <c r="G16" s="3"/>
      <c r="H16" s="3">
        <f t="shared" ref="H16:H17" si="2">B16+D16+F16</f>
        <v>198659.71</v>
      </c>
      <c r="I16" s="3"/>
      <c r="J16" s="3"/>
      <c r="K16" s="76"/>
      <c r="L16" s="3"/>
      <c r="M16" s="4"/>
      <c r="N16" s="7"/>
      <c r="O16" s="77"/>
      <c r="P16" s="3">
        <f>(H16)*$Z$5</f>
        <v>41718.539099999995</v>
      </c>
      <c r="Q16" s="3"/>
      <c r="R16" s="73">
        <f>+T16-P16</f>
        <v>14163.235864838251</v>
      </c>
      <c r="S16" s="3"/>
      <c r="T16" s="73">
        <f>+P16/$Z$9</f>
        <v>55881.774964838245</v>
      </c>
      <c r="U16" s="73"/>
      <c r="V16" s="147">
        <f>VLOOKUP("FAS109 FLOWTHRU 282 BD - FED",Provision,6,FALSE)</f>
        <v>55881.78</v>
      </c>
      <c r="W16" s="148"/>
      <c r="X16" s="73">
        <f>+T16-V16</f>
        <v>-5.03516175376717E-3</v>
      </c>
      <c r="Z16" s="78"/>
      <c r="AA16" s="78"/>
      <c r="AB16" s="78"/>
    </row>
    <row r="17" spans="1:28">
      <c r="A17" s="17" t="s">
        <v>9</v>
      </c>
      <c r="B17" s="3"/>
      <c r="C17" s="14"/>
      <c r="D17" s="3"/>
      <c r="E17" s="14"/>
      <c r="F17" s="3"/>
      <c r="G17" s="3"/>
      <c r="H17" s="3">
        <f t="shared" si="2"/>
        <v>0</v>
      </c>
      <c r="I17" s="3"/>
      <c r="J17" s="3"/>
      <c r="K17" s="176"/>
      <c r="L17" s="3"/>
      <c r="M17" s="4"/>
      <c r="N17" s="3"/>
      <c r="O17" s="4"/>
      <c r="P17" s="3">
        <f>(P18*-$Z$5)</f>
        <v>-1406.0238885000001</v>
      </c>
      <c r="Q17" s="3"/>
      <c r="R17" s="73">
        <f t="shared" ref="R17:R18" si="3">+T17-P17</f>
        <v>-477.33809462236286</v>
      </c>
      <c r="S17" s="3"/>
      <c r="T17" s="73">
        <f t="shared" ref="T17" si="4">+P17/$Z$9</f>
        <v>-1883.361983122363</v>
      </c>
      <c r="U17" s="73"/>
      <c r="V17" s="73"/>
      <c r="W17" s="150"/>
      <c r="X17" s="73"/>
      <c r="Z17" s="78"/>
      <c r="AA17" s="78"/>
      <c r="AB17" s="78"/>
    </row>
    <row r="18" spans="1:28">
      <c r="A18" s="17" t="s">
        <v>10</v>
      </c>
      <c r="B18" s="3">
        <f>VLOOKUP("Fla Afudc Debt Gross Ft State",PYALLBUTPCST,8,FALSE)+VLOOKUP("Fla Afudc Debt Gross Ft State",PYPCST,8,FALSE)+VLOOKUP("Florida AFUDC DEBT NOT STATE",PYALLBUTPCST,8,FALSE)+VLOOKUP("Fla Indirect Cost Ft State",PYALLBUTPCST,8,FALSE)+VLOOKUP("Fla Indirect Cost Ft State",PYPCST,8,FALSE)</f>
        <v>121733.67000000001</v>
      </c>
      <c r="C18" s="14"/>
      <c r="D18" s="3">
        <f>(VLOOKUP("Fla Afudc Debt Gross Ft State",CYALLBUTPCST,6,FALSE)+VLOOKUP("Fla Afudc Debt Gross Ft State",CYPCST,6,FALSE)+VLOOKUP("Florida AFUDC DEBT NOT STATE",CYALLBUTPCST,6,FALSE)+VLOOKUP("Fla Indirect Cost Ft State",CYALLBUTPCST,6,FALSE)+VLOOKUP("Fla Indirect Cost Ft State",CYPCST,6,FALSE)+VLOOKUP("Fla Afudc Debt Gross Ft State",CYALLBUTPCST,7,FALSE)+VLOOKUP("Fla Afudc Debt Gross Ft State",CYPCST,7,FALSE)+VLOOKUP("Florida AFUDC DEBT NOT STATE",CYALLBUTPCST,7,FALSE)+VLOOKUP("Fla Indirect Cost Ft State",CYALLBUTPCST,7,FALSE)+VLOOKUP("Fla Indirect Cost Ft State",CYPCST,7,FALSE))/12*Z1</f>
        <v>0</v>
      </c>
      <c r="E18" s="14"/>
      <c r="F18" s="3"/>
      <c r="G18" s="3"/>
      <c r="H18" s="3">
        <f>B18+D18+F18</f>
        <v>121733.67000000001</v>
      </c>
      <c r="I18" s="3"/>
      <c r="J18" s="3"/>
      <c r="K18" s="76"/>
      <c r="L18" s="3"/>
      <c r="M18" s="4"/>
      <c r="N18" s="3"/>
      <c r="O18" s="4"/>
      <c r="P18" s="3">
        <f>(H18)*$Z$6</f>
        <v>6695.3518500000009</v>
      </c>
      <c r="Q18" s="3"/>
      <c r="R18" s="73">
        <f t="shared" si="3"/>
        <v>2273.0385458207747</v>
      </c>
      <c r="S18" s="3"/>
      <c r="T18" s="73">
        <f>+P18/$Z$9</f>
        <v>8968.3903958207757</v>
      </c>
      <c r="U18" s="73"/>
      <c r="V18" s="147">
        <f>VLOOKUP("FAS109 FLOWTHRU 282 BD - STATE",Provision,6,FALSE)</f>
        <v>7085.04</v>
      </c>
      <c r="W18" s="148"/>
      <c r="X18" s="73">
        <f>+T18+T17-V18</f>
        <v>-1.1587301587496768E-2</v>
      </c>
      <c r="Z18" s="74"/>
      <c r="AB18" s="78"/>
    </row>
    <row r="19" spans="1:28">
      <c r="A19" s="17"/>
      <c r="B19" s="3"/>
      <c r="C19" s="14"/>
      <c r="D19" s="2"/>
      <c r="E19" s="14"/>
      <c r="F19" s="11"/>
      <c r="G19" s="2"/>
      <c r="H19" s="2"/>
      <c r="I19" s="2"/>
      <c r="J19" s="2"/>
      <c r="K19" s="14"/>
      <c r="L19" s="2"/>
      <c r="M19" s="13"/>
      <c r="N19" s="2"/>
      <c r="O19" s="13"/>
      <c r="P19" s="2"/>
      <c r="Q19" s="2"/>
      <c r="R19" s="2"/>
      <c r="S19" s="2"/>
      <c r="T19" s="11"/>
      <c r="U19" s="11"/>
      <c r="V19" s="73"/>
      <c r="W19" s="148"/>
      <c r="X19" s="73"/>
      <c r="Z19" s="78"/>
      <c r="AB19" s="78"/>
    </row>
    <row r="20" spans="1:28">
      <c r="A20" s="17" t="s">
        <v>36</v>
      </c>
      <c r="B20" s="3"/>
      <c r="C20" s="14"/>
      <c r="D20" s="3"/>
      <c r="E20" s="14"/>
      <c r="F20" s="3"/>
      <c r="G20" s="3"/>
      <c r="H20" s="3"/>
      <c r="I20" s="3"/>
      <c r="J20" s="3"/>
      <c r="K20" s="176"/>
      <c r="L20" s="3"/>
      <c r="M20" s="4"/>
      <c r="N20" s="3"/>
      <c r="O20" s="4"/>
      <c r="P20" s="3"/>
      <c r="Q20" s="3"/>
      <c r="R20" s="179"/>
      <c r="S20" s="3"/>
      <c r="T20" s="73"/>
      <c r="U20" s="73"/>
      <c r="V20" s="73"/>
      <c r="W20" s="148"/>
      <c r="X20" s="73"/>
      <c r="Z20" s="78"/>
      <c r="AB20" s="78"/>
    </row>
    <row r="21" spans="1:28">
      <c r="A21" s="17" t="s">
        <v>8</v>
      </c>
      <c r="B21" s="3">
        <f>VLOOKUP("Federal Life FT Fed",PYALLBUTPCFED,8,FALSE)</f>
        <v>10100.219999999999</v>
      </c>
      <c r="C21" s="14"/>
      <c r="D21" s="3">
        <f>(VLOOKUP("Federal Life FT Fed",CYALLBUTPCFED,7,FALSE)+VLOOKUP("Federal Life FT Fed",CYALLBUTPCFED,6,FALSE))/12*$Z$1</f>
        <v>0</v>
      </c>
      <c r="E21" s="14"/>
      <c r="F21" s="3"/>
      <c r="G21" s="3"/>
      <c r="H21" s="3">
        <f>B21+D21+F21</f>
        <v>10100.219999999999</v>
      </c>
      <c r="I21" s="3"/>
      <c r="J21" s="3"/>
      <c r="K21" s="76"/>
      <c r="L21" s="3"/>
      <c r="M21" s="4"/>
      <c r="N21" s="7"/>
      <c r="O21" s="77"/>
      <c r="P21" s="3">
        <f>(H21)*$Z$5</f>
        <v>2121.0461999999998</v>
      </c>
      <c r="Q21" s="3"/>
      <c r="R21" s="73">
        <f>+T21-P21</f>
        <v>720.08460168776355</v>
      </c>
      <c r="S21" s="3"/>
      <c r="T21" s="73">
        <f>+P21/$Z$9</f>
        <v>2841.1308016877633</v>
      </c>
      <c r="U21" s="73"/>
      <c r="V21" s="147">
        <f>VLOOKUP("FAS109 FLOWTHRU 282 LIB - FED",Provision,6,FALSE)</f>
        <v>2841.13</v>
      </c>
      <c r="W21" s="148"/>
      <c r="X21" s="73">
        <f>+T21-V21</f>
        <v>8.0168776321443147E-4</v>
      </c>
      <c r="Z21" s="78"/>
      <c r="AA21" s="78"/>
      <c r="AB21" s="78"/>
    </row>
    <row r="22" spans="1:28">
      <c r="A22" s="17" t="s">
        <v>9</v>
      </c>
      <c r="B22" s="3"/>
      <c r="C22" s="14"/>
      <c r="D22" s="3"/>
      <c r="E22" s="14"/>
      <c r="F22" s="3"/>
      <c r="G22" s="3"/>
      <c r="H22" s="3">
        <f>B22+D22+F22</f>
        <v>0</v>
      </c>
      <c r="I22" s="3"/>
      <c r="J22" s="3"/>
      <c r="K22" s="176"/>
      <c r="L22" s="3"/>
      <c r="M22" s="4"/>
      <c r="N22" s="3"/>
      <c r="O22" s="4"/>
      <c r="P22" s="3">
        <f>(P23*-$Z$5)</f>
        <v>-950.42847900000004</v>
      </c>
      <c r="Q22" s="3"/>
      <c r="R22" s="73">
        <f t="shared" ref="R22:R23" si="5">+T22-P22</f>
        <v>-322.6657263445851</v>
      </c>
      <c r="S22" s="3"/>
      <c r="T22" s="73">
        <f t="shared" ref="T22" si="6">+P22/$Z$9</f>
        <v>-1273.0942053445851</v>
      </c>
      <c r="U22" s="73"/>
      <c r="V22" s="73"/>
      <c r="W22" s="150"/>
      <c r="X22" s="73"/>
      <c r="Z22" s="78"/>
      <c r="AA22" s="78"/>
      <c r="AB22" s="78"/>
    </row>
    <row r="23" spans="1:28">
      <c r="A23" s="17" t="s">
        <v>10</v>
      </c>
      <c r="B23" s="3">
        <f>VLOOKUP("Fla Life FT State",PYALLBUTPCST,8,FALSE)+VLOOKUP("Fla Method FT State",PYALLBUTPCST,8,FALSE)</f>
        <v>82288.180000000008</v>
      </c>
      <c r="C23" s="14"/>
      <c r="D23" s="3">
        <f>(VLOOKUP("Fla Life FT State",CYALLBUTPCST,6,FALSE)+VLOOKUP("Fla Method FT State",CYALLBUTPCST,6,FALSE)+VLOOKUP("Fla Life FT State",CYALLBUTPCST,7,FALSE)+VLOOKUP("Fla Method FT State",CYALLBUTPCST,7,FALSE))/12*$Z$1</f>
        <v>0</v>
      </c>
      <c r="E23" s="14"/>
      <c r="F23" s="3"/>
      <c r="G23" s="3"/>
      <c r="H23" s="3">
        <f>B23+D23+F23</f>
        <v>82288.180000000008</v>
      </c>
      <c r="I23" s="3"/>
      <c r="J23" s="3"/>
      <c r="K23" s="76"/>
      <c r="L23" s="3"/>
      <c r="M23" s="4"/>
      <c r="N23" s="3"/>
      <c r="O23" s="4"/>
      <c r="P23" s="3">
        <f>(H23)*$Z$6</f>
        <v>4525.8499000000002</v>
      </c>
      <c r="Q23" s="3"/>
      <c r="R23" s="73">
        <f t="shared" si="5"/>
        <v>1536.5034587837381</v>
      </c>
      <c r="S23" s="3"/>
      <c r="T23" s="73">
        <f>+P23/$Z$9</f>
        <v>6062.3533587837383</v>
      </c>
      <c r="U23" s="73"/>
      <c r="V23" s="147">
        <f>VLOOKUP("FAS109 FLOWTHRU 282 LIB - STATE",Provision,6,FALSE)</f>
        <v>4789.25</v>
      </c>
      <c r="W23" s="148"/>
      <c r="X23" s="73">
        <f>+T23+T22-V23</f>
        <v>9.1534391531240544E-3</v>
      </c>
      <c r="Z23" s="78"/>
      <c r="AB23" s="78"/>
    </row>
    <row r="24" spans="1:28">
      <c r="A24" s="17"/>
      <c r="B24" s="3"/>
      <c r="C24" s="14"/>
      <c r="D24" s="2"/>
      <c r="E24" s="14"/>
      <c r="F24" s="2"/>
      <c r="G24" s="2"/>
      <c r="H24" s="2"/>
      <c r="I24" s="2"/>
      <c r="J24" s="2"/>
      <c r="K24" s="14"/>
      <c r="L24" s="2"/>
      <c r="M24" s="13"/>
      <c r="N24" s="2"/>
      <c r="O24" s="13"/>
      <c r="P24" s="2"/>
      <c r="Q24" s="2"/>
      <c r="R24" s="2"/>
      <c r="S24" s="2"/>
      <c r="T24" s="11"/>
      <c r="U24" s="11"/>
      <c r="V24" s="73"/>
      <c r="W24" s="148"/>
      <c r="X24" s="73"/>
      <c r="Z24" s="78"/>
      <c r="AB24" s="78"/>
    </row>
    <row r="25" spans="1:28">
      <c r="A25" s="17" t="s">
        <v>12</v>
      </c>
      <c r="B25" s="3"/>
      <c r="C25" s="14"/>
      <c r="D25" s="3"/>
      <c r="E25" s="14"/>
      <c r="F25" s="3"/>
      <c r="G25" s="3"/>
      <c r="H25" s="3"/>
      <c r="I25" s="3"/>
      <c r="J25" s="3"/>
      <c r="K25" s="176"/>
      <c r="L25" s="3"/>
      <c r="M25" s="4"/>
      <c r="N25" s="3"/>
      <c r="O25" s="4"/>
      <c r="P25" s="3"/>
      <c r="Q25" s="3"/>
      <c r="R25" s="3"/>
      <c r="S25" s="3"/>
      <c r="T25" s="73"/>
      <c r="U25" s="73"/>
      <c r="V25" s="73"/>
      <c r="W25" s="148"/>
      <c r="X25" s="73"/>
      <c r="Z25" s="78"/>
      <c r="AA25" s="74"/>
      <c r="AB25" s="78"/>
    </row>
    <row r="26" spans="1:28">
      <c r="A26" s="17" t="s">
        <v>8</v>
      </c>
      <c r="B26" s="3">
        <f>VLOOKUP("Federal Itc Basis Red Fed",PYALLBUTPCFED,8,FALSE)</f>
        <v>448885.97</v>
      </c>
      <c r="C26" s="14"/>
      <c r="D26" s="3">
        <f>(VLOOKUP("Federal Life FT Fed",CYALLBUTPCFED,7,FALSE)+VLOOKUP("Federal Life FT Fed",CYALLBUTPCFED,6,FALSE))/12*$Z$1</f>
        <v>0</v>
      </c>
      <c r="E26" s="14"/>
      <c r="F26" s="3"/>
      <c r="G26" s="3"/>
      <c r="H26" s="3">
        <f>B26+D26+F26</f>
        <v>448885.97</v>
      </c>
      <c r="I26" s="3"/>
      <c r="J26" s="3"/>
      <c r="K26" s="76"/>
      <c r="L26" s="3"/>
      <c r="M26" s="4"/>
      <c r="N26" s="3"/>
      <c r="O26" s="4"/>
      <c r="P26" s="3">
        <f>(H26)*$Z$5</f>
        <v>94266.053699999989</v>
      </c>
      <c r="Q26" s="3"/>
      <c r="R26" s="73">
        <f>+T26-P26</f>
        <v>32002.854879465536</v>
      </c>
      <c r="S26" s="3"/>
      <c r="T26" s="73">
        <f>+P26/$Z$9</f>
        <v>126268.90857946553</v>
      </c>
      <c r="U26" s="73"/>
      <c r="V26" s="147">
        <f>VLOOKUP("FAS109 ITC BD-POWERTAX - FED",Provision,6,FALSE)</f>
        <v>126268.9</v>
      </c>
      <c r="W26" s="148"/>
      <c r="X26" s="73">
        <f>+T26-V26</f>
        <v>8.5794655315112323E-3</v>
      </c>
      <c r="Z26" s="78"/>
      <c r="AB26" s="78"/>
    </row>
    <row r="27" spans="1:28">
      <c r="A27" s="17" t="s">
        <v>9</v>
      </c>
      <c r="B27" s="3"/>
      <c r="C27" s="14"/>
      <c r="D27" s="3"/>
      <c r="E27" s="14"/>
      <c r="F27" s="3"/>
      <c r="G27" s="3"/>
      <c r="H27" s="3">
        <f>B27+D27+F27</f>
        <v>0</v>
      </c>
      <c r="I27" s="3"/>
      <c r="J27" s="3"/>
      <c r="K27" s="176"/>
      <c r="L27" s="3"/>
      <c r="M27" s="4"/>
      <c r="N27" s="3"/>
      <c r="O27" s="4"/>
      <c r="P27" s="3">
        <f>(P28*-$Z$5)</f>
        <v>-5184.3713459999999</v>
      </c>
      <c r="Q27" s="3"/>
      <c r="R27" s="73">
        <f t="shared" ref="R27:R28" si="7">+T27-P27</f>
        <v>-1760.0682039296762</v>
      </c>
      <c r="S27" s="3"/>
      <c r="T27" s="73">
        <f t="shared" ref="T27" si="8">+P27/$Z$9</f>
        <v>-6944.4395499296761</v>
      </c>
      <c r="U27" s="73"/>
      <c r="V27" s="73"/>
      <c r="W27" s="150"/>
      <c r="X27" s="73"/>
      <c r="AB27" s="78"/>
    </row>
    <row r="28" spans="1:28">
      <c r="A28" s="17" t="s">
        <v>10</v>
      </c>
      <c r="B28" s="3">
        <f>VLOOKUP("Florida ITC BASIS REDUCTION STATE",PYALLBUTPCST,8,FALSE)</f>
        <v>448863.32</v>
      </c>
      <c r="C28" s="14"/>
      <c r="D28" s="3">
        <f>(VLOOKUP("Florida ITC BASIS REDUCTION STATE",CYALLBUTPCST,6,FALSE)+VLOOKUP("Florida ITC BASIS REDUCTION STATE",CYALLBUTPCST,7,FALSE))/12*$Z$1</f>
        <v>0</v>
      </c>
      <c r="E28" s="14"/>
      <c r="F28" s="3"/>
      <c r="G28" s="3"/>
      <c r="H28" s="3">
        <f>B28+D28+F28</f>
        <v>448863.32</v>
      </c>
      <c r="I28" s="3"/>
      <c r="J28" s="3"/>
      <c r="K28" s="76"/>
      <c r="L28" s="3"/>
      <c r="M28" s="4"/>
      <c r="N28" s="3"/>
      <c r="O28" s="4"/>
      <c r="P28" s="3">
        <f>(H28)*$Z$6</f>
        <v>24687.482599999999</v>
      </c>
      <c r="Q28" s="3"/>
      <c r="R28" s="73">
        <f t="shared" si="7"/>
        <v>8381.2771615698839</v>
      </c>
      <c r="S28" s="3"/>
      <c r="T28" s="73">
        <f>+P28/$Z$9</f>
        <v>33068.759761569883</v>
      </c>
      <c r="U28" s="73"/>
      <c r="V28" s="147">
        <f>VLOOKUP("FAS109 ITC BD-POWERTAX - ST",Provision,6,FALSE)</f>
        <v>26124.32</v>
      </c>
      <c r="W28" s="148"/>
      <c r="X28" s="73">
        <f>+T28+T27-V28</f>
        <v>2.1164020654396154E-4</v>
      </c>
      <c r="AB28" s="78"/>
    </row>
    <row r="29" spans="1:28">
      <c r="A29" s="17"/>
      <c r="B29" s="3"/>
      <c r="C29" s="14"/>
      <c r="D29" s="3"/>
      <c r="E29" s="4"/>
      <c r="F29" s="3"/>
      <c r="G29" s="3"/>
      <c r="H29" s="3"/>
      <c r="I29" s="3"/>
      <c r="J29" s="3"/>
      <c r="K29" s="176"/>
      <c r="L29" s="3"/>
      <c r="M29" s="4"/>
      <c r="N29" s="3"/>
      <c r="O29" s="4"/>
      <c r="P29" s="3"/>
      <c r="Q29" s="3"/>
      <c r="R29" s="3"/>
      <c r="S29" s="3"/>
      <c r="T29" s="73"/>
      <c r="U29" s="73"/>
      <c r="V29" s="73"/>
      <c r="W29" s="148"/>
      <c r="X29" s="73"/>
      <c r="AB29" s="78"/>
    </row>
    <row r="30" spans="1:28">
      <c r="A30" s="17" t="s">
        <v>13</v>
      </c>
      <c r="B30" s="3">
        <f>-'ITC Amortization'!AW101</f>
        <v>-1176097</v>
      </c>
      <c r="C30" s="14"/>
      <c r="D30" s="3">
        <f>('ITC Amortization'!AX97)/12*$Z$1</f>
        <v>0</v>
      </c>
      <c r="E30" s="77"/>
      <c r="F30" s="3"/>
      <c r="G30" s="3"/>
      <c r="H30" s="3">
        <f>B30+D30+F30</f>
        <v>-1176097</v>
      </c>
      <c r="I30" s="3"/>
      <c r="J30" s="3"/>
      <c r="K30" s="76"/>
      <c r="L30" s="3"/>
      <c r="M30" s="4"/>
      <c r="N30" s="3"/>
      <c r="O30" s="4"/>
      <c r="P30" s="3">
        <f>(H30)*$Z$8</f>
        <v>-298081.78464999999</v>
      </c>
      <c r="Q30" s="3"/>
      <c r="R30" s="73">
        <f>+T30-P30</f>
        <v>-101197.27857416443</v>
      </c>
      <c r="S30" s="3"/>
      <c r="T30" s="73">
        <f>+P30/$Z$9</f>
        <v>-399279.06322416442</v>
      </c>
      <c r="U30" s="73"/>
      <c r="V30" s="147">
        <f>VLOOKUP("FAS109 ITC BASIS 190 - FED",Provision,6,FALSE)+VLOOKUP("FAS109 ITC BASIS 190 - STATE",Provision,6,FALSE)</f>
        <v>-399279.05</v>
      </c>
      <c r="W30" s="148"/>
      <c r="X30" s="73">
        <f>+T30-V30</f>
        <v>-1.3224164431449026E-2</v>
      </c>
      <c r="AB30" s="78"/>
    </row>
    <row r="31" spans="1:28">
      <c r="A31" s="17"/>
      <c r="B31" s="3"/>
      <c r="C31" s="14"/>
      <c r="D31" s="3"/>
      <c r="E31" s="77"/>
      <c r="F31" s="3"/>
      <c r="G31" s="3"/>
      <c r="H31" s="3"/>
      <c r="I31" s="3"/>
      <c r="J31" s="3"/>
      <c r="K31" s="76"/>
      <c r="L31" s="3"/>
      <c r="M31" s="4"/>
      <c r="N31" s="3"/>
      <c r="O31" s="4"/>
      <c r="P31" s="3"/>
      <c r="Q31" s="3"/>
      <c r="R31" s="3"/>
      <c r="S31" s="3"/>
      <c r="T31" s="73"/>
      <c r="U31" s="73"/>
      <c r="V31" s="147"/>
      <c r="W31" s="148"/>
      <c r="X31" s="73"/>
      <c r="AB31" s="78"/>
    </row>
    <row r="32" spans="1:28">
      <c r="A32" s="17" t="s">
        <v>230</v>
      </c>
      <c r="B32" s="73"/>
      <c r="C32" s="14"/>
      <c r="E32" s="77"/>
      <c r="F32" s="3">
        <f>+'NDBD NBV AMORT'!B45</f>
        <v>980816.47</v>
      </c>
      <c r="G32" s="3"/>
      <c r="H32" s="3">
        <f>B32+F32+D32</f>
        <v>980816.47</v>
      </c>
      <c r="I32" s="3"/>
      <c r="J32" s="3"/>
      <c r="K32" s="76"/>
      <c r="L32" s="3"/>
      <c r="M32" s="4"/>
      <c r="N32" s="3"/>
      <c r="O32" s="4"/>
      <c r="P32" s="3">
        <f>(H32)*$Z$8</f>
        <v>248587.93432150001</v>
      </c>
      <c r="Q32" s="3"/>
      <c r="R32" s="73">
        <f>+T32-P32</f>
        <v>84394.363343090459</v>
      </c>
      <c r="S32" s="3"/>
      <c r="T32" s="73">
        <f>+P32/$Z$9</f>
        <v>332982.29766459047</v>
      </c>
      <c r="U32" s="73"/>
      <c r="V32" s="147">
        <f>VLOOKUP("NDBD NBV AMORTIZATION",Provision,6,FALSE)</f>
        <v>332982.3</v>
      </c>
      <c r="W32" s="148"/>
      <c r="X32" s="73">
        <f>+T32-V32</f>
        <v>-2.3354095173999667E-3</v>
      </c>
      <c r="AB32" s="78"/>
    </row>
    <row r="33" spans="1:28">
      <c r="A33" s="180"/>
      <c r="B33" s="5"/>
      <c r="C33" s="181"/>
      <c r="D33" s="5"/>
      <c r="E33" s="6"/>
      <c r="F33" s="5"/>
      <c r="G33" s="5"/>
      <c r="H33" s="5"/>
      <c r="I33" s="5"/>
      <c r="J33" s="5"/>
      <c r="K33" s="6"/>
      <c r="L33" s="5"/>
      <c r="M33" s="6"/>
      <c r="N33" s="5"/>
      <c r="O33" s="6"/>
      <c r="P33" s="5"/>
      <c r="Q33" s="5"/>
      <c r="R33" s="5"/>
      <c r="S33" s="5"/>
      <c r="T33" s="149"/>
      <c r="U33" s="149"/>
      <c r="V33" s="149"/>
      <c r="W33" s="182"/>
      <c r="X33" s="149"/>
      <c r="AB33" s="78"/>
    </row>
    <row r="34" spans="1:28">
      <c r="A34" s="183"/>
      <c r="B34" s="184" t="s">
        <v>16</v>
      </c>
      <c r="C34" s="14"/>
      <c r="D34" s="158" t="s">
        <v>0</v>
      </c>
      <c r="E34" s="13"/>
      <c r="F34" s="8"/>
      <c r="G34" s="13"/>
      <c r="H34" s="13"/>
      <c r="I34" s="13"/>
      <c r="J34" s="2"/>
      <c r="K34" s="167"/>
      <c r="L34" s="167" t="s">
        <v>16</v>
      </c>
      <c r="M34" s="13"/>
      <c r="N34" s="167"/>
      <c r="O34" s="167"/>
      <c r="P34" s="13"/>
      <c r="Q34" s="13"/>
      <c r="R34" s="2"/>
      <c r="S34" s="2"/>
      <c r="T34" s="11"/>
      <c r="U34" s="10"/>
      <c r="V34" s="168"/>
      <c r="W34" s="150"/>
      <c r="X34" s="168"/>
      <c r="AB34" s="78"/>
    </row>
    <row r="35" spans="1:28">
      <c r="A35" s="183"/>
      <c r="B35" s="185" t="s">
        <v>22</v>
      </c>
      <c r="C35" s="14"/>
      <c r="D35" s="158" t="s">
        <v>1</v>
      </c>
      <c r="E35" s="13"/>
      <c r="F35" s="167"/>
      <c r="G35" s="13"/>
      <c r="H35" s="13"/>
      <c r="I35" s="169"/>
      <c r="J35" s="167" t="s">
        <v>25</v>
      </c>
      <c r="K35" s="167"/>
      <c r="L35" s="167" t="s">
        <v>25</v>
      </c>
      <c r="M35" s="158"/>
      <c r="N35" s="167"/>
      <c r="O35" s="158"/>
      <c r="P35" s="167" t="s">
        <v>28</v>
      </c>
      <c r="Q35" s="13"/>
      <c r="R35" s="13"/>
      <c r="S35" s="13"/>
      <c r="T35" s="10" t="s">
        <v>2</v>
      </c>
      <c r="U35" s="170"/>
      <c r="V35" s="168"/>
      <c r="W35" s="150"/>
      <c r="X35" s="168"/>
      <c r="AB35" s="78"/>
    </row>
    <row r="36" spans="1:28">
      <c r="A36" s="2"/>
      <c r="B36" s="185" t="s">
        <v>3</v>
      </c>
      <c r="C36" s="14" t="s">
        <v>20</v>
      </c>
      <c r="D36" s="158" t="s">
        <v>3</v>
      </c>
      <c r="E36" s="167"/>
      <c r="F36" s="158"/>
      <c r="G36" s="169" t="s">
        <v>21</v>
      </c>
      <c r="H36" s="158" t="s">
        <v>17</v>
      </c>
      <c r="I36" s="3"/>
      <c r="J36" s="186" t="s">
        <v>26</v>
      </c>
      <c r="K36" s="167"/>
      <c r="L36" s="158" t="s">
        <v>34</v>
      </c>
      <c r="M36" s="4"/>
      <c r="N36" s="158"/>
      <c r="O36" s="4"/>
      <c r="P36" s="158" t="s">
        <v>27</v>
      </c>
      <c r="Q36" s="3"/>
      <c r="R36" s="158" t="s">
        <v>5</v>
      </c>
      <c r="S36" s="13"/>
      <c r="T36" s="170" t="s">
        <v>6</v>
      </c>
      <c r="U36" s="73"/>
      <c r="V36" s="73"/>
      <c r="W36" s="148"/>
      <c r="X36" s="73"/>
      <c r="AB36" s="78"/>
    </row>
    <row r="37" spans="1:28">
      <c r="A37" s="2"/>
      <c r="B37" s="87"/>
      <c r="C37" s="14"/>
      <c r="D37" s="3"/>
      <c r="E37" s="4"/>
      <c r="F37" s="3"/>
      <c r="G37" s="3"/>
      <c r="H37" s="3"/>
      <c r="I37" s="3"/>
      <c r="J37" s="3"/>
      <c r="K37" s="4"/>
      <c r="L37" s="3"/>
      <c r="M37" s="4"/>
      <c r="N37" s="3"/>
      <c r="O37" s="4"/>
      <c r="P37" s="3"/>
      <c r="Q37" s="3"/>
      <c r="R37" s="3"/>
      <c r="S37" s="3"/>
      <c r="T37" s="73"/>
      <c r="U37" s="73"/>
      <c r="V37" s="73"/>
      <c r="W37" s="148"/>
      <c r="X37" s="73"/>
      <c r="AB37" s="78"/>
    </row>
    <row r="38" spans="1:28">
      <c r="A38" s="8" t="s">
        <v>11</v>
      </c>
      <c r="B38" s="87"/>
      <c r="C38" s="14"/>
      <c r="D38" s="2"/>
      <c r="E38" s="13"/>
      <c r="F38" s="2"/>
      <c r="G38" s="2"/>
      <c r="H38" s="2"/>
      <c r="I38" s="2"/>
      <c r="J38" s="2"/>
      <c r="K38" s="13"/>
      <c r="L38" s="2"/>
      <c r="M38" s="13"/>
      <c r="N38" s="2"/>
      <c r="O38" s="13"/>
      <c r="P38" s="2"/>
      <c r="Q38" s="2"/>
      <c r="R38" s="2"/>
      <c r="S38" s="2"/>
      <c r="T38" s="11"/>
      <c r="U38" s="11"/>
      <c r="V38" s="11"/>
      <c r="W38" s="150"/>
      <c r="X38" s="11"/>
      <c r="AB38" s="78"/>
    </row>
    <row r="39" spans="1:28">
      <c r="A39" s="8" t="s">
        <v>43</v>
      </c>
      <c r="B39" s="87"/>
      <c r="C39" s="14"/>
      <c r="D39" s="2"/>
      <c r="E39" s="13"/>
      <c r="F39" s="2"/>
      <c r="G39" s="2"/>
      <c r="H39" s="2"/>
      <c r="I39" s="2"/>
      <c r="J39" s="2"/>
      <c r="K39" s="13"/>
      <c r="L39" s="7"/>
      <c r="M39" s="13"/>
      <c r="N39" s="2"/>
      <c r="O39" s="13"/>
      <c r="P39" s="2"/>
      <c r="Q39" s="2"/>
      <c r="R39" s="2"/>
      <c r="S39" s="2"/>
      <c r="T39" s="11"/>
      <c r="U39" s="11"/>
      <c r="V39" s="11"/>
      <c r="W39" s="150"/>
      <c r="X39" s="11"/>
      <c r="AB39" s="78"/>
    </row>
    <row r="40" spans="1:28">
      <c r="A40" s="8" t="s">
        <v>8</v>
      </c>
      <c r="B40" s="3">
        <f>VLOOKUP("Federal Method Fed",PYALLBUTPCFED,8,FALSE)+VLOOKUP("Federal Method Life Fed",PYALLBUTPCFED,8,FALSE)</f>
        <v>2011414325.97</v>
      </c>
      <c r="C40" s="14"/>
      <c r="D40" s="3">
        <f>(VLOOKUP("Federal Method Fed",CYALLBUTPCFED,7,FALSE)+VLOOKUP("Federal Method Fed",CYALLBUTPCFED,7,FALSE)+VLOOKUP("Federal Method Fed",CYALLBUTPCFED,6,FALSE)+VLOOKUP("Federal Method Fed",CYALLBUTPCFED,6,FALSE))/12*$Z$1</f>
        <v>0</v>
      </c>
      <c r="E40" s="14"/>
      <c r="F40" s="3"/>
      <c r="G40" s="3"/>
      <c r="H40" s="3">
        <f>B40+D40+F40</f>
        <v>2011414325.97</v>
      </c>
      <c r="I40" s="3"/>
      <c r="J40" s="3">
        <f>+H40*$Z$5</f>
        <v>422397008.45370001</v>
      </c>
      <c r="K40" s="4"/>
      <c r="L40" s="3">
        <f>VLOOKUP("Federal Method Fed",PYALLBUTPCFED,13,FALSE)+VLOOKUP("Federal Method Life Fed",PYALLBUTPCFED,13,FALSE)+(VLOOKUP("Federal Method Fed",CYALLBUTPCFED,10,FALSE)+VLOOKUP("Federal Method Life Fed",CYALLBUTPCFED,10,FALSE)+VLOOKUP("Federal Method Fed",CYALLBUTPCFED,11,FALSE)+VLOOKUP("Federal Method Life Fed",CYALLBUTPCFED,11,FALSE))/12*$Z$1</f>
        <v>704437008.86000001</v>
      </c>
      <c r="M40" s="14"/>
      <c r="N40" s="3"/>
      <c r="O40" s="4"/>
      <c r="P40" s="3">
        <f>-L40-N40+J40</f>
        <v>-282040000.40630001</v>
      </c>
      <c r="Q40" s="7"/>
      <c r="R40" s="3">
        <f>T40-P40-N40</f>
        <v>-95751172.865818381</v>
      </c>
      <c r="S40" s="3"/>
      <c r="T40" s="73">
        <f>P40/$Z$9</f>
        <v>-377791173.27211839</v>
      </c>
      <c r="U40" s="73"/>
      <c r="V40" s="147">
        <f>VLOOKUP("ACCEL DEPR - FEEDBACK",Provision,6,FALSE)+VLOOKUP("ACCEL DEPR - PROV",Provision,6,FALSE)</f>
        <v>-377791173.26999998</v>
      </c>
      <c r="W40" s="148"/>
      <c r="X40" s="73">
        <f>+T40-V40</f>
        <v>-2.1184086799621582E-3</v>
      </c>
      <c r="AB40" s="78"/>
    </row>
    <row r="41" spans="1:28">
      <c r="A41" s="8" t="s">
        <v>9</v>
      </c>
      <c r="B41" s="87"/>
      <c r="C41" s="14"/>
      <c r="D41" s="3"/>
      <c r="E41" s="14"/>
      <c r="F41" s="3"/>
      <c r="G41" s="3"/>
      <c r="H41" s="3"/>
      <c r="I41" s="3"/>
      <c r="J41" s="3">
        <f>+J42*-$Z$5</f>
        <v>-19093093.241838001</v>
      </c>
      <c r="K41" s="4"/>
      <c r="L41" s="73">
        <f>VLOOKUP("Fed Fla Offset Method State",PYALLBUTPCOFFSET,13,FALSE)+VLOOKUP("Fed Fla Offset Method Life State",PYALLBUTPCOFFSET,13,FALSE)+(VLOOKUP("Fed Fla Offset Method State",CYALLBUTPCOFFSET,10,FALSE)+VLOOKUP("Fed Fla Offset Method Life State",CYALLBUTPCOFFSET,10,FALSE)+VLOOKUP("Fed Fla Offset Method Life State",CYALLBUTPCOFFSET,11,FALSE)+VLOOKUP("Fed Fla Offset Method Life State",CYALLBUTPCOFFSET,11,FALSE))/12*$Z$1+L44</f>
        <v>-31844782.910000004</v>
      </c>
      <c r="M41" s="14"/>
      <c r="N41" s="3"/>
      <c r="O41" s="4"/>
      <c r="P41" s="3">
        <f>-L41-N41+J41</f>
        <v>12751689.668162003</v>
      </c>
      <c r="Q41" s="7"/>
      <c r="R41" s="3">
        <f>T41-P41-N41</f>
        <v>4329135.0162690505</v>
      </c>
      <c r="S41" s="3"/>
      <c r="T41" s="73">
        <f t="shared" ref="T41" si="9">P41/$Z$9</f>
        <v>17080824.684431054</v>
      </c>
      <c r="U41" s="73"/>
      <c r="V41" s="147"/>
      <c r="W41" s="148"/>
      <c r="X41" s="73"/>
      <c r="AB41" s="78"/>
    </row>
    <row r="42" spans="1:28">
      <c r="A42" s="8" t="s">
        <v>10</v>
      </c>
      <c r="B42" s="3">
        <f>VLOOKUP("Fla Method State",PYALLBUTPCST,8,FALSE)+VLOOKUP("Fla Method Life State",PYALLBUTPCST,8,FALSE)</f>
        <v>1735021998.23</v>
      </c>
      <c r="C42" s="14"/>
      <c r="D42" s="3">
        <f>(VLOOKUP("Fla Method Life State",CYALLBUTPCST,7,FALSE)+VLOOKUP("Fla Method State",CYALLBUTPCST,7,FALSE)+VLOOKUP("Fla Method Life State",CYALLBUTPCST,6,FALSE)+VLOOKUP("Fla Method State",CYALLBUTPCST,6,FALSE))/12*$Z$1</f>
        <v>0</v>
      </c>
      <c r="E42" s="14"/>
      <c r="F42" s="3"/>
      <c r="G42" s="3"/>
      <c r="H42" s="3">
        <f>B42+D42+F42+B45+D45+F45</f>
        <v>1653081665.96</v>
      </c>
      <c r="I42" s="3"/>
      <c r="J42" s="3">
        <f>+H42*$Z$6</f>
        <v>90919491.627800003</v>
      </c>
      <c r="K42" s="4"/>
      <c r="L42" s="3">
        <f>VLOOKUP("Fla Method State",PYALLBUTPCST,13,FALSE)+VLOOKUP("Fla Method Life State",PYALLBUTPCST,13,FALSE)+(VLOOKUP("Fla Method State",CYALLBUTPCST,10,FALSE)+VLOOKUP("Fla Method Life State",CYALLBUTPCST,10,FALSE)+VLOOKUP("Fla Method State",CYALLBUTPCST,11,FALSE)+VLOOKUP("Fla Method Life State",CYALLBUTPCST,11,FALSE))/12*$Z$1+L45</f>
        <v>90923382.269999996</v>
      </c>
      <c r="M42" s="14"/>
      <c r="N42" s="3"/>
      <c r="O42" s="4"/>
      <c r="P42" s="3">
        <f t="shared" ref="P42" si="10">-L42-N42+J42</f>
        <v>-3890.6421999931335</v>
      </c>
      <c r="Q42" s="7"/>
      <c r="R42" s="3">
        <f t="shared" ref="R42" si="11">T42-P42-N42</f>
        <v>-1320.8536140757615</v>
      </c>
      <c r="S42" s="3"/>
      <c r="T42" s="73">
        <f>P42/$Z$9</f>
        <v>-5211.495814068895</v>
      </c>
      <c r="U42" s="73"/>
      <c r="V42" s="147">
        <f>VLOOKUP("ACCEL DEPR - FEEDBACK - ST",Provision,6,FALSE)+VLOOKUP("ACCEL DEPR - PROV - ST",Provision,6,FALSE)</f>
        <v>17075613.200000003</v>
      </c>
      <c r="W42" s="148"/>
      <c r="X42" s="73">
        <f>+T42+T41-V42</f>
        <v>-1.1383019387722015E-2</v>
      </c>
      <c r="AB42" s="78"/>
    </row>
    <row r="43" spans="1:28">
      <c r="A43" s="8"/>
      <c r="B43" s="3"/>
      <c r="C43" s="14"/>
      <c r="D43" s="3"/>
      <c r="E43" s="14"/>
      <c r="F43" s="3"/>
      <c r="G43" s="3"/>
      <c r="H43" s="3"/>
      <c r="I43" s="3"/>
      <c r="J43" s="3"/>
      <c r="K43" s="4"/>
      <c r="L43" s="3"/>
      <c r="M43" s="14"/>
      <c r="N43" s="3"/>
      <c r="O43" s="4"/>
      <c r="P43" s="3"/>
      <c r="Q43" s="7"/>
      <c r="R43" s="3"/>
      <c r="S43" s="3"/>
      <c r="T43" s="73"/>
      <c r="U43" s="73"/>
      <c r="V43" s="147"/>
      <c r="W43" s="148"/>
      <c r="X43" s="73"/>
      <c r="AB43" s="78"/>
    </row>
    <row r="44" spans="1:28">
      <c r="A44" s="8" t="s">
        <v>305</v>
      </c>
      <c r="B44" s="3"/>
      <c r="C44" s="14"/>
      <c r="D44" s="3"/>
      <c r="E44" s="14"/>
      <c r="F44" s="3"/>
      <c r="G44" s="3"/>
      <c r="H44" s="3"/>
      <c r="I44" s="3"/>
      <c r="J44" s="3"/>
      <c r="K44" s="4"/>
      <c r="L44" s="3">
        <f>VLOOKUP("Fed Fla Offset 2008 Bonus Depr Stat",PYALLBUTPCOFFSET,13,FALSE)+VLOOKUP("Fed Fla Offset JCA State Adjust Sta",PYALLBUTPCOFFSET,13,FALSE)+VLOOKUP("Fed Fla Offset 6/7 Job Create Stat",PYALLBUTPCOFFSET,13,FALSE)+(VLOOKUP("Fed Fla Offset 2008 Bonus Depr Stat",CYALLBUTPCOFFSET,10,FALSE)+VLOOKUP("Fed Fla Offset JCA State Adjust Sta",CYALLBUTPCOFFSET,10,FALSE)+VLOOKUP("Fed Fla Offset 6/7 Job Create Stat",CYALLBUTPCOFFSET,10,FALSE)+VLOOKUP("Fed Fla Offset 2008 Bonus Depr Stat",CYALLBUTPCOFFSET,11,FALSE)+VLOOKUP("Fed Fla Offset JCA State Adjust Sta",CYALLBUTPCOFFSET,11,FALSE)+VLOOKUP("Fed Fla Offset 6/7 Job Create Stat",CYALLBUTPCOFFSET,11,FALSE))/12*$Z$1</f>
        <v>1577351.4399999995</v>
      </c>
      <c r="M44" s="14"/>
      <c r="N44" s="3"/>
      <c r="O44" s="4"/>
      <c r="P44" s="3"/>
      <c r="Q44" s="7"/>
      <c r="R44" s="3"/>
      <c r="S44" s="3"/>
      <c r="T44" s="73"/>
      <c r="U44" s="73"/>
      <c r="V44" s="147"/>
      <c r="W44" s="148"/>
      <c r="X44" s="73"/>
      <c r="AB44" s="78"/>
    </row>
    <row r="45" spans="1:28">
      <c r="A45" s="8" t="s">
        <v>306</v>
      </c>
      <c r="B45" s="3">
        <f>VLOOKUP("Fla 2008 Bonus Depr State",PYALLBUTPCST,8,FALSE)+VLOOKUP("Fla JCA State Adjust State",PYALLBUTPCST,8,FALSE)+VLOOKUP("Fla 6/7 Job Create State",PYALLBUTPCST,8,FALSE)</f>
        <v>-81940332.270000041</v>
      </c>
      <c r="C45" s="14"/>
      <c r="D45" s="3">
        <f>(VLOOKUP("Fla 2008 Bonus Depr State",CYALLBUTPCST,7,FALSE)+VLOOKUP("Fla JCA State Adjust State",CYALLBUTPCST,7,FALSE)+VLOOKUP("Fla 6/7 Job Create State",CYALLBUTPCST,7,FALSE)+VLOOKUP("Fla 2008 Bonus Depr State",CYALLBUTPCST,6,FALSE)+VLOOKUP("Fla JCA State Adjust State",CYALLBUTPCST,6,FALSE)+VLOOKUP("Fla 6/7 Job Create State",CYALLBUTPCST,6,FALSE))/12*$Z$1</f>
        <v>0</v>
      </c>
      <c r="E45" s="14"/>
      <c r="F45" s="3"/>
      <c r="G45" s="3"/>
      <c r="H45" s="3"/>
      <c r="I45" s="3"/>
      <c r="J45" s="3"/>
      <c r="K45" s="4"/>
      <c r="L45" s="3">
        <f>VLOOKUP("Fla 2008 Bonus Depr State",PYALLBUTPCST,13,FALSE)+VLOOKUP("Fla JCA State Adjust State",PYALLBUTPCST,13,FALSE)+VLOOKUP("Fla 6/7 Job Create State",PYALLBUTPCST,13,FALSE)+(VLOOKUP("Fla 2008 Bonus Depr State",CYALLBUTPCST,10,FALSE)+VLOOKUP("Fla JCA State Adjust State",CYALLBUTPCST,10,FALSE)+VLOOKUP("Fla 6/7 Job Create State",CYALLBUTPCST,10,FALSE)+VLOOKUP("Fla 2008 Bonus Depr State",CYALLBUTPCST,11,FALSE)+VLOOKUP("Fla JCA State Adjust State",CYALLBUTPCST,11,FALSE)+VLOOKUP("Fla 6/7 Job Create State",CYALLBUTPCST,11,FALSE))/12*$Z$1</f>
        <v>-4506718.1999999993</v>
      </c>
      <c r="M45" s="14"/>
      <c r="N45" s="3"/>
      <c r="O45" s="4"/>
      <c r="P45" s="3"/>
      <c r="Q45" s="7"/>
      <c r="R45" s="3"/>
      <c r="S45" s="3"/>
      <c r="T45" s="73"/>
      <c r="U45" s="73"/>
      <c r="V45" s="147"/>
      <c r="W45" s="148"/>
      <c r="X45" s="73"/>
      <c r="AB45" s="78"/>
    </row>
    <row r="46" spans="1:28">
      <c r="A46" s="8"/>
      <c r="B46" s="87"/>
      <c r="C46" s="14"/>
      <c r="D46" s="3"/>
      <c r="E46" s="14"/>
      <c r="F46" s="3"/>
      <c r="G46" s="3"/>
      <c r="H46" s="3"/>
      <c r="I46" s="3"/>
      <c r="J46" s="3"/>
      <c r="K46" s="4"/>
      <c r="L46" s="3"/>
      <c r="M46" s="14"/>
      <c r="N46" s="3"/>
      <c r="O46" s="4"/>
      <c r="P46" s="3"/>
      <c r="Q46" s="7"/>
      <c r="R46" s="3"/>
      <c r="S46" s="3"/>
      <c r="T46" s="73"/>
      <c r="U46" s="73"/>
      <c r="V46" s="147"/>
      <c r="W46" s="148"/>
      <c r="X46" s="73"/>
    </row>
    <row r="47" spans="1:28">
      <c r="A47" s="8" t="s">
        <v>38</v>
      </c>
      <c r="B47" s="87"/>
      <c r="C47" s="14"/>
      <c r="D47" s="2"/>
      <c r="E47" s="187"/>
      <c r="F47" s="2"/>
      <c r="G47" s="2"/>
      <c r="H47" s="2"/>
      <c r="I47" s="2"/>
      <c r="J47" s="2"/>
      <c r="K47" s="187"/>
      <c r="L47" s="2"/>
      <c r="M47" s="187"/>
      <c r="N47" s="2"/>
      <c r="O47" s="187"/>
      <c r="P47" s="2"/>
      <c r="Q47" s="2"/>
      <c r="R47" s="2"/>
      <c r="S47" s="2"/>
      <c r="T47" s="11"/>
      <c r="U47" s="11"/>
      <c r="V47" s="11"/>
      <c r="W47" s="150"/>
      <c r="X47" s="11"/>
    </row>
    <row r="48" spans="1:28">
      <c r="A48" s="8" t="s">
        <v>8</v>
      </c>
      <c r="B48" s="3">
        <f>VLOOKUP("Federal Method Fed",PYPCFED,8,FALSE)+VLOOKUP("Federal Method Life Fed",PYPCFED,8,FALSE)+VLOOKUP("Federal Life Fed",PYPCFED,8,FALSE)+VLOOKUP("Federal Cor",PYPCFED,8,FALSE)</f>
        <v>392258056.45000005</v>
      </c>
      <c r="C48" s="14"/>
      <c r="D48" s="3">
        <f>(VLOOKUP("Federal Method Fed",CYPCFED,6,FALSE)+VLOOKUP("Federal Method Life Fed",CYPCFED,6,FALSE)+VLOOKUP("Federal Life Fed",CYPCFED,6,FALSE)+VLOOKUP("Federal Cor",CYPCFED,6,FALSE)+VLOOKUP("Federal Method Fed",CYPCFED,7,FALSE)+VLOOKUP("Federal Method Life Fed",CYPCFED,7,FALSE)+VLOOKUP("Federal Life Fed",CYPCFED,7,FALSE)+VLOOKUP("Federal Cor",CYPCFED,7,FALSE))/12*$Z$1</f>
        <v>0</v>
      </c>
      <c r="E48" s="14"/>
      <c r="F48" s="3"/>
      <c r="G48" s="3"/>
      <c r="H48" s="3">
        <f>B48+D48+F48</f>
        <v>392258056.45000005</v>
      </c>
      <c r="I48" s="3"/>
      <c r="J48" s="3">
        <f>+H48*$Z$5</f>
        <v>82374191.854500011</v>
      </c>
      <c r="K48" s="4"/>
      <c r="L48" s="3">
        <f>VLOOKUP("Federal Method Fed",PYPCFED,13,FALSE)+VLOOKUP("Federal Method Life Fed",PYPCFED,13,FALSE)+VLOOKUP("Federal Cor",PYPCFED,13,FALSE)+VLOOKUP("Federal Life Fed",PYPCFED,13,FALSE)+(VLOOKUP("Federal Method Fed",CYPCFED,10,FALSE)+VLOOKUP("Federal Method Life Fed",CYPCFED,10,FALSE)+VLOOKUP("Federal Cor",CYPCFED,10,FALSE)+VLOOKUP("Federal Life Fed",CYPCFED,10,FALSE)+VLOOKUP("Federal Method Fed",CYPCFED,11,FALSE)+VLOOKUP("Federal Method Life Fed",CYPCFED,11,FALSE)+VLOOKUP("Federal Cor",CYPCFED,11,FALSE)+VLOOKUP("Federal Life Fed",CYPCFED,11,FALSE))/12*$Z$1</f>
        <v>137396195.77000001</v>
      </c>
      <c r="M48" s="14"/>
      <c r="N48" s="3"/>
      <c r="O48" s="4"/>
      <c r="P48" s="3">
        <f>-L48-N48+J48</f>
        <v>-55022003.9155</v>
      </c>
      <c r="Q48" s="7"/>
      <c r="R48" s="3">
        <f>T48-P48-N48</f>
        <v>-18679695.790480837</v>
      </c>
      <c r="S48" s="3"/>
      <c r="T48" s="73">
        <f t="shared" ref="T48:T50" si="12">P48/$Z$9</f>
        <v>-73701699.705980837</v>
      </c>
      <c r="U48" s="73"/>
      <c r="V48" s="147">
        <f>VLOOKUP("ACCEL DEPR - FEEDBACK - FED PC",Provision,6,FALSE)+VLOOKUP("ACCEL DEPR - PROV - FED PC",Provision,6,FALSE)</f>
        <v>-73701699.719999999</v>
      </c>
      <c r="W48" s="148"/>
      <c r="X48" s="73">
        <f>+T48-V48</f>
        <v>1.4019161462783813E-2</v>
      </c>
    </row>
    <row r="49" spans="1:26">
      <c r="A49" s="8" t="s">
        <v>9</v>
      </c>
      <c r="B49" s="87"/>
      <c r="C49" s="14"/>
      <c r="D49" s="3"/>
      <c r="E49" s="14"/>
      <c r="F49" s="3"/>
      <c r="G49" s="3"/>
      <c r="H49" s="3"/>
      <c r="I49" s="3"/>
      <c r="J49" s="3">
        <f>+J50*-$Z$5</f>
        <v>-4530571.0667909998</v>
      </c>
      <c r="K49" s="4"/>
      <c r="L49" s="73">
        <f>VLOOKUP("Fed Fla Offset Method State",PYPCOFFSET,13,FALSE)+VLOOKUP("Fed Fla Offset Method Life State",PYPCOFFSET,13,FALSE)+VLOOKUP("Fed Fla Offset Cor",PYPCOFFSET,13,FALSE)+VLOOKUP("Fed Fla Offset Life State",PYPCOFFSET,13,FALSE)+(VLOOKUP("Fed Fla Offset Method State",CYPCOFFSET,10,FALSE)+VLOOKUP("Fed Fla Offset Method Life State",CYPCOFFSET,10,FALSE)+VLOOKUP("Fed Fla Offset Cor",CYPCOFFSET,10,FALSE)+VLOOKUP("Fed Fla Offset Life State",CYPCOFFSET,10,FALSE)+VLOOKUP("Fed Fla Offset Method Life State",CYPCOFFSET,11,FALSE)+VLOOKUP("Fed Fla Offset Method Life State",CYPCOFFSET,11,FALSE)+VLOOKUP("Fed Fla Offset Cor",CYPCOFFSET,11,FALSE)+VLOOKUP("Fed Fla Offset Life State",CYPCOFFSET,11,FALSE))/12*$Z$1+L52</f>
        <v>-7536181.3100000005</v>
      </c>
      <c r="M49" s="14"/>
      <c r="N49" s="3"/>
      <c r="O49" s="4"/>
      <c r="P49" s="3">
        <f t="shared" ref="P49:P50" si="13">-L49-N49+J49</f>
        <v>3005610.2432090007</v>
      </c>
      <c r="Q49" s="7"/>
      <c r="R49" s="3">
        <f t="shared" ref="R49:R50" si="14">T49-P49-N49</f>
        <v>1020389.6807197388</v>
      </c>
      <c r="S49" s="3"/>
      <c r="T49" s="73">
        <f t="shared" si="12"/>
        <v>4025999.9239287395</v>
      </c>
      <c r="U49" s="73"/>
      <c r="V49" s="147"/>
      <c r="W49" s="148"/>
      <c r="X49" s="73"/>
    </row>
    <row r="50" spans="1:26">
      <c r="A50" s="8" t="s">
        <v>10</v>
      </c>
      <c r="B50" s="3">
        <f>VLOOKUP("Fla Cor",PYPCST,8,FALSE)+VLOOKUP("Fla Method State",PYPCST,8,FALSE)+VLOOKUP("Fla Life State",PYPCST,8,FALSE)+VLOOKUP("Fla Method Life State",PYPCST,8,FALSE)</f>
        <v>390662400.22000003</v>
      </c>
      <c r="C50" s="14"/>
      <c r="D50" s="3">
        <f>(VLOOKUP("Fla Cor",CYPCST,6,FALSE)+VLOOKUP("Fla Method State",CYPCST,6,FALSE)+VLOOKUP("Fla Life State",CYPCST,6,FALSE)+VLOOKUP("Fla Method Life State",CYPCST,6,FALSE)+VLOOKUP("Fla Cor",CYPCST,7,FALSE)+VLOOKUP("Fla Method State",CYPCST,7,FALSE)+VLOOKUP("Fla Life State",CYPCST,7,FALSE)+VLOOKUP("Fla Method Life State",CYPCST,7,FALSE))/12*$Z$1</f>
        <v>0</v>
      </c>
      <c r="E50" s="14"/>
      <c r="F50" s="3"/>
      <c r="G50" s="3"/>
      <c r="H50" s="3">
        <f>B50+D50+F50+B53+D53+F53</f>
        <v>392257235.22000003</v>
      </c>
      <c r="I50" s="3"/>
      <c r="J50" s="3">
        <f>+H50*$Z$6</f>
        <v>21574147.937100001</v>
      </c>
      <c r="K50" s="4"/>
      <c r="L50" s="73">
        <f>VLOOKUP("Fla Cor",PYPCST,13,FALSE)+VLOOKUP("Fla Method State",PYPCST,13,FALSE)+VLOOKUP("Fla Life State",PYPCST,13,FALSE)+VLOOKUP("Fla Method Life State",PYPCST,13,FALSE)+(VLOOKUP("Fla Cor",CYPCST,10,FALSE)+VLOOKUP("Fla Method State",CYPCST,10,FALSE)+VLOOKUP("Fla Life State",CYPCST,10,FALSE)+VLOOKUP("Fla Method Life State",CYPCST,10,FALSE)+VLOOKUP("Fla Cor",CYPCST,11,FALSE)+VLOOKUP("Fla Method State",CYPCST,11,FALSE)+VLOOKUP("Fla Life State",CYPCST,11,FALSE)+VLOOKUP("Fla Method Life State",CYPCST,11,FALSE))/12*$Z$1+L53</f>
        <v>21592849.379999999</v>
      </c>
      <c r="M50" s="14"/>
      <c r="N50" s="3"/>
      <c r="O50" s="4"/>
      <c r="P50" s="3">
        <f t="shared" si="13"/>
        <v>-18701.442899998277</v>
      </c>
      <c r="Q50" s="7"/>
      <c r="R50" s="3">
        <f t="shared" si="14"/>
        <v>-6349.0465514762072</v>
      </c>
      <c r="S50" s="3"/>
      <c r="T50" s="73">
        <f t="shared" si="12"/>
        <v>-25050.489451474485</v>
      </c>
      <c r="U50" s="73"/>
      <c r="V50" s="147">
        <f>VLOOKUP("ACCEL DEPR - FEEDBACK - ST PC",Provision,6,FALSE)+VLOOKUP("ACCEL DEPR - PROV - ST PC",Provision,6,FALSE)</f>
        <v>4000949.4200000004</v>
      </c>
      <c r="W50" s="148"/>
      <c r="X50" s="73">
        <f>+T50+T49-V50</f>
        <v>1.4477264601737261E-2</v>
      </c>
    </row>
    <row r="51" spans="1:26">
      <c r="A51" s="8"/>
      <c r="B51" s="3"/>
      <c r="C51" s="14"/>
      <c r="D51" s="3"/>
      <c r="E51" s="14"/>
      <c r="F51" s="3"/>
      <c r="G51" s="3"/>
      <c r="H51" s="3"/>
      <c r="I51" s="3"/>
      <c r="J51" s="3"/>
      <c r="K51" s="4"/>
      <c r="L51" s="3"/>
      <c r="M51" s="14"/>
      <c r="N51" s="3"/>
      <c r="O51" s="4"/>
      <c r="P51" s="3"/>
      <c r="Q51" s="7"/>
      <c r="R51" s="3"/>
      <c r="S51" s="3"/>
      <c r="T51" s="73"/>
      <c r="U51" s="73"/>
      <c r="V51" s="147"/>
      <c r="W51" s="148"/>
      <c r="X51" s="73"/>
    </row>
    <row r="52" spans="1:26">
      <c r="A52" s="8" t="s">
        <v>305</v>
      </c>
      <c r="B52" s="3"/>
      <c r="C52" s="14"/>
      <c r="D52" s="3"/>
      <c r="E52" s="14"/>
      <c r="F52" s="3"/>
      <c r="G52" s="3"/>
      <c r="H52" s="3"/>
      <c r="I52" s="3"/>
      <c r="J52" s="3"/>
      <c r="K52" s="4"/>
      <c r="L52" s="3">
        <f>VLOOKUP("Fed Fla Offset 6/7 Job Create Stat",PYPCOFFSET,13,FALSE)+(VLOOKUP("Fed Fla Offset 6/7 Job Create Stat",CYPCOFFSET,10,FALSE)+VLOOKUP("Fed Fla Offset 6/7 Job Create Stat",CYPCOFFSET,11,FALSE))/12*$Z$1</f>
        <v>-30700.57</v>
      </c>
      <c r="M52" s="14"/>
      <c r="N52" s="3"/>
      <c r="O52" s="4"/>
      <c r="P52" s="3"/>
      <c r="Q52" s="7"/>
      <c r="R52" s="3"/>
      <c r="S52" s="3"/>
      <c r="T52" s="73"/>
      <c r="U52" s="73"/>
      <c r="V52" s="147"/>
      <c r="W52" s="148"/>
      <c r="X52" s="73"/>
    </row>
    <row r="53" spans="1:26">
      <c r="A53" s="8" t="s">
        <v>306</v>
      </c>
      <c r="B53" s="3">
        <f>VLOOKUP("Fla 6/7 Job Create State",PYPCST,8,FALSE)</f>
        <v>1594835</v>
      </c>
      <c r="C53" s="14"/>
      <c r="D53" s="3">
        <f>(+VLOOKUP("Fla 6/7 Job Create State",CYPCST,7,FALSE)+VLOOKUP("Fla 6/7 Job Create State",CYPCST,6,FALSE))/12*$Z$1</f>
        <v>0</v>
      </c>
      <c r="E53" s="14"/>
      <c r="F53" s="3"/>
      <c r="G53" s="3"/>
      <c r="H53" s="3"/>
      <c r="I53" s="3"/>
      <c r="J53" s="3"/>
      <c r="K53" s="4"/>
      <c r="L53" s="3">
        <f>+VLOOKUP("Fla 6/7 Job Create State",PYPCST,13,FALSE)+(VLOOKUP("Fla 6/7 Job Create State",CYPCST,10,FALSE)+VLOOKUP("Fla 6/7 Job Create State",CYPCST,11,FALSE))/12*$Z$1</f>
        <v>87715.93</v>
      </c>
      <c r="M53" s="14"/>
      <c r="N53" s="3"/>
      <c r="O53" s="4"/>
      <c r="P53" s="3"/>
      <c r="Q53" s="7"/>
      <c r="R53" s="3"/>
      <c r="S53" s="3"/>
      <c r="T53" s="73"/>
      <c r="U53" s="73"/>
      <c r="V53" s="147"/>
      <c r="W53" s="148"/>
      <c r="X53" s="73"/>
    </row>
    <row r="54" spans="1:26">
      <c r="A54" s="8"/>
      <c r="B54" s="87"/>
      <c r="C54" s="14"/>
      <c r="D54" s="3"/>
      <c r="E54" s="14"/>
      <c r="F54" s="3"/>
      <c r="G54" s="3"/>
      <c r="H54" s="3"/>
      <c r="I54" s="3"/>
      <c r="J54" s="3"/>
      <c r="K54" s="4"/>
      <c r="L54" s="3"/>
      <c r="M54" s="14"/>
      <c r="N54" s="3"/>
      <c r="O54" s="4"/>
      <c r="P54" s="3"/>
      <c r="Q54" s="7"/>
      <c r="R54" s="3"/>
      <c r="S54" s="3"/>
      <c r="T54" s="73"/>
      <c r="U54" s="73"/>
      <c r="V54" s="147"/>
      <c r="W54" s="148"/>
      <c r="X54" s="73"/>
    </row>
    <row r="55" spans="1:26">
      <c r="A55" s="8" t="s">
        <v>39</v>
      </c>
      <c r="B55" s="87"/>
      <c r="C55" s="14"/>
      <c r="D55" s="3"/>
      <c r="E55" s="14"/>
      <c r="F55" s="3"/>
      <c r="G55" s="3"/>
      <c r="H55" s="3"/>
      <c r="I55" s="3"/>
      <c r="J55" s="3"/>
      <c r="K55" s="4"/>
      <c r="L55" s="3"/>
      <c r="M55" s="14"/>
      <c r="N55" s="3"/>
      <c r="O55" s="4"/>
      <c r="P55" s="3"/>
      <c r="Q55" s="7"/>
      <c r="R55" s="3"/>
      <c r="S55" s="3"/>
      <c r="T55" s="73"/>
      <c r="U55" s="73"/>
      <c r="V55" s="147"/>
      <c r="W55" s="148"/>
      <c r="X55" s="73"/>
    </row>
    <row r="56" spans="1:26">
      <c r="A56" s="8" t="s">
        <v>8</v>
      </c>
      <c r="B56" s="3">
        <f>VLOOKUP("Subtotals BD1:",PYALLBUTPCFED,8,FALSE)+VLOOKUP("Subtotals BD1:",PYPCFED,8,FALSE)+VLOOKUP("Subtotals BD2:",PYALLBUTPCFED,8,FALSE)+VLOOKUP("Subtotals BD2:",PYPCFED,8,FALSE)-B71</f>
        <v>-94689938.929999948</v>
      </c>
      <c r="C56" s="14"/>
      <c r="D56" s="3">
        <f>(VLOOKUP("Subtotals BD1:",PYALLBUTPCFED,6,FALSE)+VLOOKUP("Subtotals BD1:",PYPCFED,6,FALSE)+VLOOKUP("Subtotals BD2:",PYALLBUTPCFED,6,FALSE)+VLOOKUP("Subtotals BD2:",PYPCFED,6,FALSE)+VLOOKUP("Subtotals BD1:",PYALLBUTPCFED,7,FALSE)+VLOOKUP("Subtotals BD1:",PYPCFED,7,FALSE)+VLOOKUP("Subtotals BD2:",PYALLBUTPCFED,7,FALSE)+VLOOKUP("Subtotals BD2:",PYPCFED,7,FALSE))/12*$Z$1-D71</f>
        <v>0</v>
      </c>
      <c r="E56" s="14"/>
      <c r="F56" s="3"/>
      <c r="G56" s="3"/>
      <c r="H56" s="3">
        <f>B56+D56+F56</f>
        <v>-94689938.929999948</v>
      </c>
      <c r="I56" s="3"/>
      <c r="J56" s="3">
        <f>+H56*$Z$5</f>
        <v>-19884887.175299987</v>
      </c>
      <c r="K56" s="4"/>
      <c r="L56" s="73">
        <f>VLOOKUP("Subtotals BD1:",PYALLBUTPCFED,13,FALSE)+VLOOKUP("Subtotals BD1:",PYPCFED,13,FALSE)+VLOOKUP("Subtotals BD2:",PYALLBUTPCFED,13,FALSE)+VLOOKUP("Subtotals BD2:",PYPCFED,13,FALSE)+(VLOOKUP("Subtotals BD1:",PYALLBUTPCFED,10,FALSE)+VLOOKUP("Subtotals BD1:",PYPCFED,10,FALSE)+VLOOKUP("Subtotals BD2:",PYALLBUTPCFED,10,FALSE)+VLOOKUP("Subtotals BD2:",PYPCFED,10,FALSE)+VLOOKUP("Subtotals BD1:",PYALLBUTPCFED,11,FALSE)+VLOOKUP("Subtotals BD1:",PYPCFED,11,FALSE)+VLOOKUP("Subtotals BD2:",PYALLBUTPCFED,11,FALSE)+VLOOKUP("Subtotals BD2:",PYPCFED,11,FALSE))/12*$Z$1-L71</f>
        <v>-19884887.17530001</v>
      </c>
      <c r="M56" s="14"/>
      <c r="N56" s="3"/>
      <c r="O56" s="4"/>
      <c r="P56" s="3">
        <f>-L56-N56+J56</f>
        <v>0</v>
      </c>
      <c r="Q56" s="7"/>
      <c r="R56" s="3">
        <f>T56-P56-N56</f>
        <v>0</v>
      </c>
      <c r="S56" s="3"/>
      <c r="T56" s="73">
        <f>P56/$Z$9</f>
        <v>0</v>
      </c>
      <c r="U56" s="73"/>
      <c r="V56" s="147">
        <f>VLOOKUP("DEPR - BASIS DIFF - FED PROV",Provision,6,FALSE)+VLOOKUP("DEPR - BASIS DIFF - FED REV",Provision,6,FALSE)</f>
        <v>0</v>
      </c>
      <c r="W56" s="148"/>
      <c r="X56" s="73">
        <f>+T56-V56</f>
        <v>0</v>
      </c>
      <c r="Z56" s="44" t="s">
        <v>309</v>
      </c>
    </row>
    <row r="57" spans="1:26">
      <c r="A57" s="8" t="s">
        <v>9</v>
      </c>
      <c r="B57" s="3"/>
      <c r="C57" s="14"/>
      <c r="D57" s="3"/>
      <c r="E57" s="14"/>
      <c r="F57" s="3"/>
      <c r="G57" s="3"/>
      <c r="H57" s="3"/>
      <c r="I57" s="3"/>
      <c r="J57" s="3">
        <f>+J58*-$Z$5</f>
        <v>1108363.6085444996</v>
      </c>
      <c r="K57" s="4"/>
      <c r="L57" s="73">
        <f>VLOOKUP("Subtotals BD1:",PYALLBUTPCOFFSET,13,FALSE)+VLOOKUP("Subtotals BD1:",PYPCOFFSET,13,FALSE)+VLOOKUP("Subtotals BD2:",PYALLBUTPCOFFSET,13,FALSE)+VLOOKUP("Subtotals BD2:",PYPCOFFSET,13,FALSE)+(VLOOKUP("Subtotals BD1:",PYALLBUTPCOFFSET,10,FALSE)+VLOOKUP("Subtotals BD1:",PYPCOFFSET,10,FALSE)+VLOOKUP("Subtotals BD2:",PYALLBUTPCOFFSET,10,FALSE)+VLOOKUP("Subtotals BD2:",PYPCOFFSET,10,FALSE)+VLOOKUP("Subtotals BD1:",PYALLBUTPCOFFSET,11,FALSE)+VLOOKUP("Subtotals BD1:",PYPCOFFSET,11,FALSE)+VLOOKUP("Subtotals BD2:",PYALLBUTPCOFFSET,11,FALSE)+VLOOKUP("Subtotals BD2:",PYPCOFFSET,11,FALSE))/12*$Z$1-L52-L44-L72</f>
        <v>1108363.6085444987</v>
      </c>
      <c r="M57" s="14"/>
      <c r="N57" s="3"/>
      <c r="O57" s="4"/>
      <c r="P57" s="3">
        <f>-L57-N57+J57</f>
        <v>0</v>
      </c>
      <c r="Q57" s="7"/>
      <c r="R57" s="3">
        <f>T57-P57-N57</f>
        <v>0</v>
      </c>
      <c r="S57" s="3"/>
      <c r="T57" s="73">
        <f>P57/$Z$9</f>
        <v>0</v>
      </c>
      <c r="U57" s="73"/>
      <c r="V57" s="147"/>
      <c r="W57" s="148"/>
      <c r="X57" s="73"/>
    </row>
    <row r="58" spans="1:26">
      <c r="A58" s="8" t="s">
        <v>10</v>
      </c>
      <c r="B58" s="3">
        <f>VLOOKUP("Subtotals BD1:",PYALLBUTPCST,8,FALSE)+VLOOKUP("Subtotals BD1:",PYPCST,8,FALSE)+VLOOKUP("Subtotals BD2:",PYALLBUTPCST,8,FALSE)+VLOOKUP("Subtotals BD2:",PYPCST,8,FALSE)-B73-B53-B45</f>
        <v>-95962217.189999968</v>
      </c>
      <c r="C58" s="14"/>
      <c r="D58" s="3">
        <f>(VLOOKUP("Subtotals BD1:",PYALLBUTPCST,6,FALSE)+VLOOKUP("Subtotals BD1:",PYPCST,6,FALSE)+VLOOKUP("Subtotals BD2:",PYALLBUTPCST,6,FALSE)+VLOOKUP("Subtotals BD2:",PYPCST,6,FALSE)+VLOOKUP("Subtotals BD1:",PYALLBUTPCST,7,FALSE)+VLOOKUP("Subtotals BD1:",PYPCST,7,FALSE)+VLOOKUP("Subtotals BD2:",PYALLBUTPCST,7,FALSE)+VLOOKUP("Subtotals BD2:",PYPCST,7,FALSE))/12*$Z$1-D45-D53-D73</f>
        <v>0</v>
      </c>
      <c r="E58" s="14"/>
      <c r="F58" s="3"/>
      <c r="G58" s="3"/>
      <c r="H58" s="3">
        <f>B58+D58+F58</f>
        <v>-95962217.189999968</v>
      </c>
      <c r="I58" s="3"/>
      <c r="J58" s="3">
        <f>+H58*$Z$6</f>
        <v>-5277921.9454499986</v>
      </c>
      <c r="K58" s="4"/>
      <c r="L58" s="73">
        <f>VLOOKUP("Subtotals BD1:",PYALLBUTPCST,13,FALSE)+VLOOKUP("Subtotals BD1:",PYPCST,13,FALSE)+VLOOKUP("Subtotals BD2:",PYALLBUTPCST,13,FALSE)+VLOOKUP("Subtotals BD2:",PYPCST,13,FALSE)+(VLOOKUP("Subtotals BD1:",PYALLBUTPCST,10,FALSE)+VLOOKUP("Subtotals BD1:",PYPCST,10,FALSE)+VLOOKUP("Subtotals BD2:",PYALLBUTPCST,10,FALSE)+VLOOKUP("Subtotals BD2:",PYPCST,10,FALSE)+VLOOKUP("Subtotals BD1:",PYALLBUTPCST,11,FALSE)+VLOOKUP("Subtotals BD1:",PYPCST,11,FALSE)+VLOOKUP("Subtotals BD2:",PYALLBUTPCST,11,FALSE)+VLOOKUP("Subtotals BD2:",PYPCST,11,FALSE))/12*$Z$1-L53-L45-L73</f>
        <v>-5277921.9454499986</v>
      </c>
      <c r="M58" s="14"/>
      <c r="N58" s="3"/>
      <c r="O58" s="4"/>
      <c r="P58" s="3">
        <f>-L58-N58+J58</f>
        <v>0</v>
      </c>
      <c r="Q58" s="7"/>
      <c r="R58" s="3">
        <f>T58-P58-N58</f>
        <v>0</v>
      </c>
      <c r="S58" s="3"/>
      <c r="T58" s="73">
        <f>P58/$Z$9</f>
        <v>0</v>
      </c>
      <c r="U58" s="73"/>
      <c r="V58" s="147">
        <f>VLOOKUP("DEPR - BASIS DIFF - ST PROV",Provision,6,FALSE)+VLOOKUP("DEPR - BASIS DIFF - ST REV",Provision,6,FALSE)</f>
        <v>0</v>
      </c>
      <c r="W58" s="148"/>
      <c r="X58" s="73">
        <f>+T58+T57-V58</f>
        <v>0</v>
      </c>
      <c r="Z58" s="44" t="s">
        <v>309</v>
      </c>
    </row>
    <row r="59" spans="1:26">
      <c r="A59" s="8"/>
      <c r="B59" s="88"/>
      <c r="C59" s="187"/>
      <c r="D59" s="3"/>
      <c r="E59" s="187"/>
      <c r="F59" s="2"/>
      <c r="G59" s="2"/>
      <c r="H59" s="2"/>
      <c r="I59" s="2"/>
      <c r="J59" s="2"/>
      <c r="K59" s="187"/>
      <c r="L59" s="2"/>
      <c r="M59" s="187"/>
      <c r="N59" s="2"/>
      <c r="O59" s="187"/>
      <c r="P59" s="2"/>
      <c r="Q59" s="2"/>
      <c r="R59" s="2"/>
      <c r="S59" s="2"/>
      <c r="T59" s="11"/>
      <c r="U59" s="11"/>
      <c r="V59" s="11"/>
      <c r="W59" s="146"/>
      <c r="X59" s="11"/>
    </row>
    <row r="60" spans="1:26">
      <c r="A60" s="8" t="s">
        <v>40</v>
      </c>
      <c r="B60" s="87"/>
      <c r="C60" s="14"/>
      <c r="D60" s="3"/>
      <c r="E60" s="14"/>
      <c r="F60" s="3"/>
      <c r="G60" s="3"/>
      <c r="H60" s="3"/>
      <c r="I60" s="3"/>
      <c r="J60" s="3"/>
      <c r="K60" s="4"/>
      <c r="L60" s="3"/>
      <c r="M60" s="14"/>
      <c r="N60" s="3"/>
      <c r="O60" s="4"/>
      <c r="P60" s="3"/>
      <c r="Q60" s="7"/>
      <c r="R60" s="3"/>
      <c r="S60" s="3"/>
      <c r="T60" s="73"/>
      <c r="U60" s="73"/>
      <c r="V60" s="147"/>
      <c r="W60" s="148"/>
      <c r="X60" s="73"/>
    </row>
    <row r="61" spans="1:26">
      <c r="A61" s="8" t="s">
        <v>8</v>
      </c>
      <c r="B61" s="3">
        <f>VLOOKUP("Federal Life Fed",PYALLBUTPCFED,8,FALSE)</f>
        <v>5679727.4100000001</v>
      </c>
      <c r="C61" s="14"/>
      <c r="D61" s="3">
        <f>(VLOOKUP("Federal Life Fed",CYALLBUTPCFED,7,FALSE)++VLOOKUP("Federal Life Fed",CYALLBUTPCFED,6,FALSE))/12*$Z$1</f>
        <v>0</v>
      </c>
      <c r="E61" s="14"/>
      <c r="F61" s="3"/>
      <c r="G61" s="3"/>
      <c r="H61" s="3">
        <f>B61+D61+F61</f>
        <v>5679727.4100000001</v>
      </c>
      <c r="I61" s="3"/>
      <c r="J61" s="3">
        <f>+H61*$Z$5</f>
        <v>1192742.7560999999</v>
      </c>
      <c r="K61" s="4"/>
      <c r="L61" s="3">
        <f>VLOOKUP("Federal Life Fed",PYALLBUTPCFED,13,FALSE)+(VLOOKUP("Federal Life Fed",CYALLBUTPCFED,10,FALSE)+VLOOKUP("Federal Life Fed",CYALLBUTPCFED,11,FALSE))/12*$Z$1</f>
        <v>1932947.35</v>
      </c>
      <c r="M61" s="14"/>
      <c r="N61" s="3"/>
      <c r="O61" s="4"/>
      <c r="P61" s="3">
        <f>-L61-N61+J61</f>
        <v>-740204.59390000021</v>
      </c>
      <c r="Q61" s="7"/>
      <c r="R61" s="3">
        <f>T61-P61-N61</f>
        <v>-251295.76629020832</v>
      </c>
      <c r="S61" s="3"/>
      <c r="T61" s="73">
        <f>P61/$Z$9</f>
        <v>-991500.36019020854</v>
      </c>
      <c r="U61" s="73"/>
      <c r="V61" s="147">
        <f>VLOOKUP("DEPR - LIFE DIFF - FED PROV",Provision,6,FALSE)+VLOOKUP("DEPR - LIFE DIFF - FED REV",Provision,6,FALSE)</f>
        <v>-991500.36000000034</v>
      </c>
      <c r="W61" s="148"/>
      <c r="X61" s="73">
        <f>+T61-V61</f>
        <v>-1.9020820036530495E-4</v>
      </c>
    </row>
    <row r="62" spans="1:26">
      <c r="A62" s="8" t="s">
        <v>9</v>
      </c>
      <c r="B62" s="87"/>
      <c r="C62" s="14"/>
      <c r="D62" s="3"/>
      <c r="E62" s="14"/>
      <c r="F62" s="3"/>
      <c r="G62" s="3"/>
      <c r="H62" s="3"/>
      <c r="I62" s="3"/>
      <c r="J62" s="3">
        <f>+J63*-$Z$5</f>
        <v>-135160.16444700002</v>
      </c>
      <c r="K62" s="4"/>
      <c r="L62" s="3">
        <f>VLOOKUP("Fed Fla Offset Life State",PYALLBUTPCOFFSET,13,FALSE)+(VLOOKUP("Fed Fla Offset Life State",CYALLBUTPCOFFSET,10,FALSE)+VLOOKUP("Fed Fla Offset Life State",CYALLBUTPCOFFSET,11,FALSE))/12*$Z$1</f>
        <v>-222494.61</v>
      </c>
      <c r="M62" s="14"/>
      <c r="N62" s="3"/>
      <c r="O62" s="4"/>
      <c r="P62" s="3">
        <f t="shared" ref="P62:P63" si="15">-L62-N62+J62</f>
        <v>87334.445552999969</v>
      </c>
      <c r="Q62" s="7"/>
      <c r="R62" s="3">
        <f t="shared" ref="R62:R63" si="16">T62-P62-N62</f>
        <v>29649.608499642141</v>
      </c>
      <c r="S62" s="3"/>
      <c r="T62" s="73">
        <f t="shared" ref="T62:T63" si="17">P62/$Z$9</f>
        <v>116984.05405264211</v>
      </c>
      <c r="U62" s="73"/>
      <c r="V62" s="147"/>
      <c r="W62" s="148"/>
      <c r="X62" s="73"/>
    </row>
    <row r="63" spans="1:26">
      <c r="A63" s="8" t="s">
        <v>10</v>
      </c>
      <c r="B63" s="3">
        <f>VLOOKUP("Fla Life State",PYALLBUTPCST,8,FALSE)</f>
        <v>11702178.74</v>
      </c>
      <c r="C63" s="14"/>
      <c r="D63" s="3">
        <f>(VLOOKUP("Fla Life State",CYALLBUTPCST,7,FALSE)+VLOOKUP("Fla Life State",CYALLBUTPCST,6,FALSE))/12*$Z$1</f>
        <v>0</v>
      </c>
      <c r="E63" s="14"/>
      <c r="F63" s="3"/>
      <c r="G63" s="3"/>
      <c r="H63" s="3">
        <f>B63+D63+F63</f>
        <v>11702178.74</v>
      </c>
      <c r="I63" s="3"/>
      <c r="J63" s="3">
        <f>+H63*$Z$6</f>
        <v>643619.83070000005</v>
      </c>
      <c r="K63" s="4"/>
      <c r="L63" s="3">
        <f>VLOOKUP("Fla Life State",PYALLBUTPCST,13,FALSE)+(VLOOKUP("Fla Life State",CYALLBUTPCST,10,FALSE)+VLOOKUP("Fla Life State",CYALLBUTPCST,11,FALSE))/12*$Z$1</f>
        <v>617279.92000000004</v>
      </c>
      <c r="M63" s="14"/>
      <c r="N63" s="3"/>
      <c r="O63" s="4"/>
      <c r="P63" s="3">
        <f t="shared" si="15"/>
        <v>26339.910700000008</v>
      </c>
      <c r="Q63" s="7"/>
      <c r="R63" s="3">
        <f t="shared" si="16"/>
        <v>8942.2682565333889</v>
      </c>
      <c r="S63" s="3"/>
      <c r="T63" s="73">
        <f t="shared" si="17"/>
        <v>35282.178956533397</v>
      </c>
      <c r="U63" s="73"/>
      <c r="V63" s="147">
        <f>VLOOKUP("DEPR - LIFE DIFF - ST PROV",Provision,6,FALSE)+VLOOKUP("DEPR - LIFE DIFF - ST REV",Provision,6,FALSE)</f>
        <v>152266.23999999999</v>
      </c>
      <c r="W63" s="148"/>
      <c r="X63" s="73">
        <f>+T63+T62-V63</f>
        <v>-6.9908244768157601E-3</v>
      </c>
      <c r="Z63" s="84"/>
    </row>
    <row r="64" spans="1:26">
      <c r="A64" s="8"/>
      <c r="B64" s="87"/>
      <c r="C64" s="14"/>
      <c r="D64" s="3"/>
      <c r="E64" s="14"/>
      <c r="F64" s="3"/>
      <c r="G64" s="3"/>
      <c r="H64" s="3"/>
      <c r="I64" s="3"/>
      <c r="J64" s="3"/>
      <c r="K64" s="4"/>
      <c r="L64" s="3"/>
      <c r="M64" s="14"/>
      <c r="N64" s="3"/>
      <c r="O64" s="4"/>
      <c r="P64" s="3"/>
      <c r="Q64" s="7"/>
      <c r="R64" s="3"/>
      <c r="S64" s="3"/>
      <c r="T64" s="73"/>
      <c r="U64" s="73"/>
      <c r="V64" s="147"/>
      <c r="W64" s="148"/>
      <c r="X64" s="73"/>
    </row>
    <row r="65" spans="1:26">
      <c r="A65" s="8" t="s">
        <v>41</v>
      </c>
      <c r="B65" s="87"/>
      <c r="C65" s="14"/>
      <c r="D65" s="3"/>
      <c r="E65" s="14"/>
      <c r="F65" s="3"/>
      <c r="G65" s="3"/>
      <c r="H65" s="3"/>
      <c r="I65" s="3"/>
      <c r="J65" s="3"/>
      <c r="K65" s="4"/>
      <c r="L65" s="3"/>
      <c r="M65" s="14"/>
      <c r="N65" s="3"/>
      <c r="O65" s="4"/>
      <c r="P65" s="3"/>
      <c r="Q65" s="7"/>
      <c r="R65" s="3"/>
      <c r="S65" s="3"/>
      <c r="T65" s="73"/>
      <c r="U65" s="73"/>
      <c r="V65" s="147"/>
      <c r="W65" s="148"/>
      <c r="X65" s="73"/>
    </row>
    <row r="66" spans="1:26">
      <c r="A66" s="8" t="s">
        <v>8</v>
      </c>
      <c r="B66" s="3">
        <f>VLOOKUP("Federal Cor",PYALLBUTPCFED,8,FALSE)</f>
        <v>-251870820.52000001</v>
      </c>
      <c r="C66" s="14"/>
      <c r="D66" s="3">
        <f>(VLOOKUP("Federal Cor",CYALLBUTPCFED,7,FALSE)++VLOOKUP("Federal Cor",CYALLBUTPCFED,6,FALSE))/12*$Z$1</f>
        <v>0</v>
      </c>
      <c r="E66" s="14"/>
      <c r="F66" s="3"/>
      <c r="G66" s="3"/>
      <c r="H66" s="3">
        <f>B66+D66+F66</f>
        <v>-251870820.52000001</v>
      </c>
      <c r="I66" s="3"/>
      <c r="J66" s="3">
        <f>+H66*$Z$5</f>
        <v>-52892872.309200004</v>
      </c>
      <c r="K66" s="4"/>
      <c r="L66" s="3">
        <f>VLOOKUP("Federal Cor",PYALLBUTPCFED,13,FALSE)+(VLOOKUP("Federal Cor",CYALLBUTPCFED,10,FALSE)+VLOOKUP("Federal Cor",CYALLBUTPCFED,11,FALSE))/12*$Z$1</f>
        <v>-88616989.340000004</v>
      </c>
      <c r="M66" s="14"/>
      <c r="N66" s="3"/>
      <c r="O66" s="4"/>
      <c r="P66" s="3">
        <f>-L66-N66+J66</f>
        <v>35724117.0308</v>
      </c>
      <c r="Q66" s="7"/>
      <c r="R66" s="3">
        <f>T66-P66-N66</f>
        <v>12128159.482226588</v>
      </c>
      <c r="S66" s="3"/>
      <c r="T66" s="73">
        <f t="shared" ref="T66:T68" si="18">P66/$Z$9</f>
        <v>47852276.513026588</v>
      </c>
      <c r="U66" s="73"/>
      <c r="V66" s="147">
        <f>VLOOKUP("REMOVAL PROTECTED - FED (GULF)",Provision,6,FALSE)</f>
        <v>47852276.509999998</v>
      </c>
      <c r="W66" s="148"/>
      <c r="X66" s="73">
        <f>+T66-V66</f>
        <v>3.0265897512435913E-3</v>
      </c>
      <c r="Z66" s="84"/>
    </row>
    <row r="67" spans="1:26">
      <c r="A67" s="8" t="s">
        <v>9</v>
      </c>
      <c r="B67" s="87"/>
      <c r="C67" s="14"/>
      <c r="D67" s="3"/>
      <c r="E67" s="14"/>
      <c r="F67" s="3"/>
      <c r="G67" s="3"/>
      <c r="H67" s="3"/>
      <c r="I67" s="3"/>
      <c r="J67" s="3">
        <f>+J68*-$Z$5</f>
        <v>2909107.977006</v>
      </c>
      <c r="K67" s="4"/>
      <c r="L67" s="3">
        <f>VLOOKUP("Fed Fla Offset Cor",PYALLBUTPCOFFSET,13,FALSE)+(VLOOKUP("Fed Fla Offset Cor",CYALLBUTPCOFFSET,10,FALSE)+VLOOKUP("Fed Fla Offset Cor",CYALLBUTPCOFFSET,11,FALSE))/12*$Z$1</f>
        <v>4859372.21</v>
      </c>
      <c r="M67" s="14"/>
      <c r="N67" s="3"/>
      <c r="O67" s="4"/>
      <c r="P67" s="3">
        <f t="shared" ref="P67:P68" si="19">-L67-N67+J67</f>
        <v>-1950264.232994</v>
      </c>
      <c r="Q67" s="7"/>
      <c r="R67" s="3">
        <f t="shared" ref="R67:R68" si="20">T67-P67-N67</f>
        <v>-662104.97602615925</v>
      </c>
      <c r="S67" s="3"/>
      <c r="T67" s="73">
        <f t="shared" si="18"/>
        <v>-2612369.2090201592</v>
      </c>
      <c r="U67" s="73"/>
      <c r="V67" s="147"/>
      <c r="W67" s="148"/>
      <c r="X67" s="73"/>
      <c r="Y67" s="78"/>
    </row>
    <row r="68" spans="1:26">
      <c r="A68" s="8" t="s">
        <v>10</v>
      </c>
      <c r="B68" s="3">
        <f>VLOOKUP("Fla Cor",PYALLBUTPCST,8,FALSE)</f>
        <v>-251870820.52000001</v>
      </c>
      <c r="C68" s="14"/>
      <c r="D68" s="3">
        <f>(VLOOKUP("Fla Cor",CYALLBUTPCST,7,FALSE)+VLOOKUP("Fla Cor",CYALLBUTPCST,6,FALSE))/12*$Z$1</f>
        <v>0</v>
      </c>
      <c r="E68" s="14"/>
      <c r="F68" s="3"/>
      <c r="G68" s="3"/>
      <c r="H68" s="3">
        <f>B68+D68+F68</f>
        <v>-251870820.52000001</v>
      </c>
      <c r="I68" s="3"/>
      <c r="J68" s="3">
        <f>+H68*$Z$6</f>
        <v>-13852895.128600001</v>
      </c>
      <c r="K68" s="4"/>
      <c r="L68" s="3">
        <f>VLOOKUP("Fla Cor",PYALLBUTPCST,13,FALSE)+(VLOOKUP("Fla Cor",CYALLBUTPCST,10,FALSE)+VLOOKUP("Fla Cor",CYALLBUTPCST,11,FALSE))/12*$Z$1</f>
        <v>-13790944.59</v>
      </c>
      <c r="M68" s="14"/>
      <c r="N68" s="3"/>
      <c r="O68" s="4"/>
      <c r="P68" s="3">
        <f t="shared" si="19"/>
        <v>-61950.538600001484</v>
      </c>
      <c r="Q68" s="7"/>
      <c r="R68" s="3">
        <f t="shared" si="20"/>
        <v>-21031.898745121391</v>
      </c>
      <c r="S68" s="3"/>
      <c r="T68" s="73">
        <f t="shared" si="18"/>
        <v>-82982.437345122875</v>
      </c>
      <c r="U68" s="73"/>
      <c r="V68" s="147">
        <f>VLOOKUP("REMOVAL PROTECTED - STATE (GULF)",Provision,6,FALSE)</f>
        <v>-2695351.65</v>
      </c>
      <c r="W68" s="148"/>
      <c r="X68" s="73">
        <f>+T68+T67-V68</f>
        <v>3.6347177810966969E-3</v>
      </c>
      <c r="Y68" s="78"/>
    </row>
    <row r="69" spans="1:26">
      <c r="A69" s="8"/>
      <c r="B69" s="87"/>
      <c r="C69" s="14"/>
      <c r="D69" s="3"/>
      <c r="E69" s="14"/>
      <c r="F69" s="3"/>
      <c r="G69" s="3"/>
      <c r="H69" s="3"/>
      <c r="I69" s="3"/>
      <c r="J69" s="3"/>
      <c r="K69" s="4"/>
      <c r="L69" s="3"/>
      <c r="M69" s="15"/>
      <c r="N69" s="3"/>
      <c r="O69" s="4"/>
      <c r="P69" s="3"/>
      <c r="Q69" s="7"/>
      <c r="R69" s="3"/>
      <c r="S69" s="3"/>
      <c r="T69" s="73"/>
      <c r="U69" s="73"/>
      <c r="V69" s="147"/>
      <c r="W69" s="148"/>
      <c r="X69" s="73"/>
      <c r="Y69" s="78"/>
    </row>
    <row r="70" spans="1:26">
      <c r="A70" s="8" t="s">
        <v>42</v>
      </c>
      <c r="B70" s="87"/>
      <c r="C70" s="14"/>
      <c r="D70" s="3"/>
      <c r="E70" s="14"/>
      <c r="F70" s="3"/>
      <c r="G70" s="3"/>
      <c r="H70" s="3"/>
      <c r="I70" s="3"/>
      <c r="J70" s="3"/>
      <c r="K70" s="4"/>
      <c r="L70" s="3"/>
      <c r="M70" s="14"/>
      <c r="N70" s="3"/>
      <c r="O70" s="4"/>
      <c r="P70" s="3"/>
      <c r="Q70" s="7"/>
      <c r="R70" s="3"/>
      <c r="S70" s="3"/>
      <c r="T70" s="73"/>
      <c r="U70" s="73"/>
      <c r="V70" s="147"/>
      <c r="W70" s="148"/>
      <c r="X70" s="73"/>
      <c r="Y70" s="74"/>
    </row>
    <row r="71" spans="1:26">
      <c r="A71" s="8" t="s">
        <v>8</v>
      </c>
      <c r="B71" s="3">
        <f>VLOOKUP("Federal Tax Repairs Expense Fed",PYALLBUTPCFED,8,FALSE)+VLOOKUP("Federal Tax Repairs Expense Fed",PYPCFED,8,FALSE)+VLOOKUP("Federal Tax Repairs Exp. Fed SO",PYALLBUTPCFED,8,FALSE)+VLOOKUP("Federal Tax Repairs Exp. Fed SO",PYPCFED,8,FALSE)+VLOOKUP("Federal Tax Rep 481a Fed",PYALLBUTPCFED,8,FALSE)+VLOOKUP("Federal Tax Rep 481a B Fed",PYALLBUTPCFED,8,FALSE)</f>
        <v>367262877.67999995</v>
      </c>
      <c r="C71" s="14"/>
      <c r="D71" s="3">
        <f>(VLOOKUP("Federal Tax Repairs Expense Fed",CYALLBUTPCFED,6,FALSE)+VLOOKUP("Federal Tax Repairs Expense Fed",CYPCFED,6,FALSE)+VLOOKUP("Federal Tax Repairs Exp. Fed SO",CYALLBUTPCFED,6,FALSE)+VLOOKUP("Federal Tax Repairs Exp. Fed SO",CYPCFED,6,FALSE)+VLOOKUP("Federal Tax Rep 481a Fed",CYALLBUTPCFED,6,FALSE)+VLOOKUP("Federal Tax Rep 481a B Fed",CYALLBUTPCFED,6,FALSE)+VLOOKUP("Federal Tax Repairs Expense Fed",CYALLBUTPCFED,7,FALSE)+VLOOKUP("Federal Tax Repairs Expense Fed",CYPCFED,7,FALSE)+VLOOKUP("Federal Tax Repairs Exp. Fed SO",CYALLBUTPCFED,7,FALSE)+VLOOKUP("Federal Tax Repairs Exp. Fed SO",CYPCFED,7,FALSE)+VLOOKUP("Federal Tax Rep 481a Fed",CYALLBUTPCFED,7,FALSE)+VLOOKUP("Federal Tax Rep 481a B Fed",CYALLBUTPCFED,7,FALSE))/12*$Z$1</f>
        <v>0</v>
      </c>
      <c r="E71" s="14"/>
      <c r="F71" s="3"/>
      <c r="G71" s="3"/>
      <c r="H71" s="3">
        <f>B71+D71+F71</f>
        <v>367262877.67999995</v>
      </c>
      <c r="I71" s="3"/>
      <c r="J71" s="3">
        <f>+H71*$Z$5</f>
        <v>77125204.31279999</v>
      </c>
      <c r="K71" s="4"/>
      <c r="L71" s="3">
        <f>VLOOKUP("Federal Tax Repairs Expense Fed",PYALLBUTPCFED,13,FALSE)+VLOOKUP("Federal Tax Repairs Expense Fed",PYPCFED,13,FALSE)+VLOOKUP("Federal Tax Repairs Exp. Fed SO",PYALLBUTPCFED,13,FALSE)+VLOOKUP("Federal Tax Repairs Exp. Fed SO",PYPCFED,13,FALSE)+VLOOKUP("Federal Tax Rep 481a Fed",PYALLBUTPCFED,13,FALSE)+VLOOKUP("Federal Tax Rep 481a B Fed",PYALLBUTPCFED,13,FALSE)+(VLOOKUP("Federal Tax Repairs Expense Fed",CYALLBUTPCFED,10,FALSE)+VLOOKUP("Federal Tax Repairs Expense Fed",CYPCFED,10,FALSE)+VLOOKUP("Federal Tax Repairs Exp. Fed SO",CYALLBUTPCFED,10,FALSE)+VLOOKUP("Federal Tax Repairs Exp. Fed SO",CYPCFED,10,FALSE)+VLOOKUP("Federal Tax Rep 481a Fed",CYALLBUTPCFED,10,FALSE)+VLOOKUP("Federal Tax Rep 481a B Fed",CYALLBUTPCFED,10,FALSE)+VLOOKUP("Federal Tax Repairs Expense Fed",CYALLBUTPCFED,11,FALSE)+VLOOKUP("Federal Tax Repairs Expense Fed",CYPCFED,11,FALSE)+VLOOKUP("Federal Tax Repairs Exp. Fed SO",CYALLBUTPCFED,11,FALSE)+VLOOKUP("Federal Tax Repairs Exp. Fed SO",CYPCFED,11,FALSE)+VLOOKUP("Federal Tax Rep 481a Fed",CYALLBUTPCFED,11,FALSE)+VLOOKUP("Federal Tax Rep 481a B Fed",CYALLBUTPCFED,11,FALSE))/12*$Z$1</f>
        <v>77125204.312800005</v>
      </c>
      <c r="M71" s="14"/>
      <c r="N71" s="3"/>
      <c r="O71" s="4"/>
      <c r="P71" s="3">
        <f>-L71-N71+J71</f>
        <v>0</v>
      </c>
      <c r="Q71" s="7"/>
      <c r="R71" s="3">
        <f>T71-P71-N71</f>
        <v>0</v>
      </c>
      <c r="S71" s="3"/>
      <c r="T71" s="73">
        <f>P71/$Z$9</f>
        <v>0</v>
      </c>
      <c r="U71" s="73"/>
      <c r="V71" s="147">
        <f>VLOOKUP("REPAIRS ADJ - SECTION 481a",Provision,6,FALSE)+VLOOKUP("REPAIRS ADJ - SECTION 481a - STATE",Provision,6,FALSE)+VLOOKUP("REPAIRS ADJ - SECTION 481a B",Provision,6,FALSE)+VLOOKUP("REPAIRS ADJ - SECTION 481a B - STATE",Provision,6,FALSE)+VLOOKUP("REPAIRS EXPENSES",Provision,6,FALSE)</f>
        <v>0</v>
      </c>
      <c r="W71" s="148"/>
      <c r="X71" s="73">
        <f>+T71-V71+T72+T73</f>
        <v>0</v>
      </c>
      <c r="Z71" s="44" t="s">
        <v>309</v>
      </c>
    </row>
    <row r="72" spans="1:26">
      <c r="A72" s="8" t="s">
        <v>9</v>
      </c>
      <c r="B72" s="3"/>
      <c r="C72" s="14"/>
      <c r="D72" s="3"/>
      <c r="E72" s="14"/>
      <c r="F72" s="80"/>
      <c r="G72" s="3"/>
      <c r="H72" s="3"/>
      <c r="I72" s="3"/>
      <c r="J72" s="3">
        <f>+J73*-$Z$5</f>
        <v>-4277075.7767429994</v>
      </c>
      <c r="K72" s="4"/>
      <c r="L72" s="3">
        <f>VLOOKUP("Fed Fla Offset Tax Repairs Expense",PYALLBUTPCOFFSET,13,FALSE)+VLOOKUP("Fed Fla Offset Tax Repairs Expense",PYPCOFFSET,13,FALSE)+VLOOKUP("Fed Fla Offset Tax Repairs Exp. SO",PYALLBUTPCOFFSET,13,FALSE)+VLOOKUP("Fed Fla Offset Tax Repairs Exp. SO",PYPCOFFSET,13,FALSE)+VLOOKUP("Fed Fla Offset Tax Rep 481a State",PYALLBUTPCOFFSET,13,FALSE)+VLOOKUP("Fed Fla Offset Tax Rep 481a B State",PYALLBUTPCOFFSET,13,FALSE)+(VLOOKUP("Fed Fla Offset Tax Repairs Expense",CYALLBUTPCOFFSET,10,FALSE)+VLOOKUP("Fed Fla Offset Tax Repairs Expense",CYPCOFFSET,10,FALSE)+VLOOKUP("Fed Fla Offset Tax Repairs Exp. SO",CYALLBUTPCOFFSET,10,FALSE)+VLOOKUP("Fed Fla Offset Tax Repairs Exp. SO",CYPCOFFSET,10,FALSE)+VLOOKUP("Fed Fla Offset Tax Rep 481a State",CYALLBUTPCOFFSET,10,FALSE)+VLOOKUP("Fed Fla Offset Tax Rep 481a B State",CYALLBUTPCOFFSET,10,FALSE)+VLOOKUP("Fed Fla Offset Tax Repairs Expense",CYALLBUTPCOFFSET,11,FALSE)+VLOOKUP("Fed Fla Offset Tax Repairs Expense",CYPCOFFSET,11,FALSE)+VLOOKUP("Fed Fla Offset Tax Repairs Exp. SO",CYALLBUTPCOFFSET,11,FALSE)+VLOOKUP("Fed Fla Offset Tax Repairs Exp. SO",CYPCOFFSET,11,FALSE)+VLOOKUP("Fed Fla Offset Tax Rep 481a State",CYALLBUTPCOFFSET,11,FALSE)+VLOOKUP("Fed Fla Offset Tax Rep 481a B State",CYALLBUTPCOFFSET,11,FALSE))/12*$Z$1</f>
        <v>-4277075.7767429994</v>
      </c>
      <c r="M72" s="14"/>
      <c r="N72" s="3"/>
      <c r="O72" s="4"/>
      <c r="P72" s="3">
        <f t="shared" ref="P72:P73" si="21">-L72-N72+J72</f>
        <v>0</v>
      </c>
      <c r="Q72" s="7"/>
      <c r="R72" s="3">
        <f t="shared" ref="R72:R73" si="22">T72-P72-N72</f>
        <v>0</v>
      </c>
      <c r="S72" s="3"/>
      <c r="T72" s="73">
        <f t="shared" ref="T72:T73" si="23">P72/$Z$9</f>
        <v>0</v>
      </c>
      <c r="U72" s="73"/>
      <c r="V72" s="147"/>
      <c r="W72" s="148"/>
      <c r="X72" s="73"/>
    </row>
    <row r="73" spans="1:26">
      <c r="A73" s="8" t="s">
        <v>10</v>
      </c>
      <c r="B73" s="3">
        <f>VLOOKUP("Fla Tax Repairs Expense",PYALLBUTPCST,8,FALSE)+VLOOKUP("Fla Tax Repairs Expense",PYPCST,8,FALSE)+VLOOKUP("Fla Tax Repairs Exp. SO",PYALLBUTPCST,8,FALSE)+VLOOKUP("Fla Tax Repairs Exp. SO",PYPCST,8,FALSE)+VLOOKUP("Fla Tax Rep 481a State",PYALLBUTPCST,8,FALSE)+VLOOKUP("Fla Tax Rep 481a B State",PYALLBUTPCST,8,FALSE)</f>
        <v>370309591.06</v>
      </c>
      <c r="C73" s="14"/>
      <c r="D73" s="3">
        <f>(VLOOKUP("Fla Tax Repairs Expense",CYALLBUTPCST,6,FALSE)+VLOOKUP("Fla Tax Repairs Expense",CYPCST,6,FALSE)+VLOOKUP("Fla Tax Repairs Exp. SO",CYALLBUTPCST,6,FALSE)+VLOOKUP("Fla Tax Repairs Exp. SO",CYPCST,6,FALSE)+VLOOKUP("Fla Tax Rep 481a State",CYALLBUTPCST,6,FALSE)+VLOOKUP("Fla Tax Rep 481a B State",CYALLBUTPCST,6,FALSE)+VLOOKUP("Fla Tax Repairs Expense",CYALLBUTPCST,7,FALSE)+VLOOKUP("Fla Tax Repairs Expense",CYPCST,7,FALSE)+VLOOKUP("Fla Tax Repairs Exp. SO",CYALLBUTPCST,7,FALSE)+VLOOKUP("Fla Tax Repairs Exp. SO",CYPCST,7,FALSE)+VLOOKUP("Fla Tax Rep 481a State",CYALLBUTPCST,7,FALSE)+VLOOKUP("Fla Tax Rep 481a B State",CYALLBUTPCST,7,FALSE))/12*$Z$1</f>
        <v>0</v>
      </c>
      <c r="E73" s="14"/>
      <c r="F73" s="80"/>
      <c r="G73" s="3"/>
      <c r="H73" s="3">
        <f>B73+D73+F73</f>
        <v>370309591.06</v>
      </c>
      <c r="I73" s="3"/>
      <c r="J73" s="3">
        <f>+H73*$Z$6</f>
        <v>20367027.508299999</v>
      </c>
      <c r="K73" s="4"/>
      <c r="L73" s="3">
        <f>VLOOKUP("Fla Tax Repairs Expense",PYALLBUTPCST,13,FALSE)+VLOOKUP("Fla Tax Repairs Expense",PYPCST,13,FALSE)+VLOOKUP("Fla Tax Repairs Exp. SO",PYALLBUTPCST,13,FALSE)+VLOOKUP("Fla Tax Repairs Exp. SO",PYPCST,13,FALSE)+VLOOKUP("Fla Tax Rep 481a State",PYALLBUTPCST,13,FALSE)+VLOOKUP("Fla Tax Rep 481a B State",PYALLBUTPCST,13,FALSE)+(VLOOKUP("Fla Tax Repairs Expense",CYALLBUTPCST,10,FALSE)+VLOOKUP("Fla Tax Repairs Expense",CYPCST,10,FALSE)+VLOOKUP("Fla Tax Repairs Exp. SO",CYALLBUTPCST,10,FALSE)+VLOOKUP("Fla Tax Repairs Exp. SO",CYPCST,10,FALSE)+VLOOKUP("Fla Tax Rep 481a State",CYALLBUTPCST,10,FALSE)+VLOOKUP("Fla Tax Rep 481a B State",CYALLBUTPCST,10,FALSE)+VLOOKUP("Fla Tax Repairs Expense",CYALLBUTPCST,11,FALSE)+VLOOKUP("Fla Tax Repairs Expense",CYPCST,11,FALSE)+VLOOKUP("Fla Tax Repairs Exp. SO",CYALLBUTPCST,11,FALSE)+VLOOKUP("Fla Tax Repairs Exp. SO",CYPCST,11,FALSE)+VLOOKUP("Fla Tax Rep 481a State",CYALLBUTPCST,11,FALSE)+VLOOKUP("Fla Tax Rep 481a B State",CYALLBUTPCST,11,FALSE))/12*$Z$1</f>
        <v>20367027.508300003</v>
      </c>
      <c r="M73" s="14"/>
      <c r="N73" s="3"/>
      <c r="O73" s="4"/>
      <c r="P73" s="3">
        <f t="shared" si="21"/>
        <v>0</v>
      </c>
      <c r="Q73" s="7"/>
      <c r="R73" s="3">
        <f t="shared" si="22"/>
        <v>0</v>
      </c>
      <c r="S73" s="3"/>
      <c r="T73" s="73">
        <f t="shared" si="23"/>
        <v>0</v>
      </c>
      <c r="U73" s="73"/>
      <c r="V73" s="147"/>
      <c r="W73" s="148"/>
      <c r="X73" s="73"/>
    </row>
    <row r="74" spans="1:26">
      <c r="A74" s="8"/>
      <c r="B74" s="3"/>
      <c r="C74" s="14"/>
      <c r="D74" s="3"/>
      <c r="E74" s="14"/>
      <c r="F74" s="80"/>
      <c r="G74" s="3"/>
      <c r="H74" s="3"/>
      <c r="I74" s="3"/>
      <c r="J74" s="3"/>
      <c r="K74" s="4"/>
      <c r="L74" s="3"/>
      <c r="M74" s="14"/>
      <c r="N74" s="3"/>
      <c r="O74" s="4"/>
      <c r="P74" s="3"/>
      <c r="Q74" s="7"/>
      <c r="R74" s="3"/>
      <c r="S74" s="3"/>
      <c r="T74" s="73"/>
      <c r="U74" s="73"/>
      <c r="V74" s="147"/>
      <c r="W74" s="148"/>
      <c r="X74" s="73"/>
    </row>
    <row r="75" spans="1:26" ht="15" thickBot="1">
      <c r="A75" s="2"/>
      <c r="B75" s="16"/>
      <c r="C75" s="13"/>
      <c r="D75" s="16"/>
      <c r="E75" s="13"/>
      <c r="F75" s="9"/>
      <c r="G75" s="2"/>
      <c r="H75" s="16"/>
      <c r="I75" s="9"/>
      <c r="J75" s="9"/>
      <c r="K75" s="13"/>
      <c r="L75" s="9"/>
      <c r="M75" s="13"/>
      <c r="N75" s="2"/>
      <c r="O75" s="13"/>
      <c r="P75" s="8" t="s">
        <v>14</v>
      </c>
      <c r="Q75" s="8"/>
      <c r="R75" s="8"/>
      <c r="S75" s="8"/>
      <c r="T75" s="144">
        <f>SUM(T8:T74)</f>
        <v>-357202372.03224361</v>
      </c>
      <c r="U75" s="145" t="s">
        <v>33</v>
      </c>
      <c r="V75" s="144">
        <f>SUM(V8:V74)</f>
        <v>-357202372.04000002</v>
      </c>
      <c r="W75" s="146"/>
      <c r="X75" s="144">
        <f>SUM(X8:X74)</f>
        <v>7.7563612708217988E-3</v>
      </c>
    </row>
    <row r="76" spans="1:26" ht="15" thickTop="1">
      <c r="A76" s="9"/>
      <c r="B76" s="7">
        <f>+B9+B16+B21+B26+B40+B48+B56+B61+B66+B71</f>
        <v>2515710245.9900002</v>
      </c>
      <c r="C76" s="10"/>
      <c r="D76" s="7">
        <f>+D9+D16+D21+D26+D40+D48+D56+D61+D66+D71</f>
        <v>0</v>
      </c>
      <c r="E76" s="13"/>
      <c r="F76" s="9">
        <f>+B76+D76</f>
        <v>2515710245.9900002</v>
      </c>
      <c r="G76" s="2"/>
      <c r="H76" s="9"/>
      <c r="I76" s="78"/>
      <c r="J76" s="78"/>
      <c r="L76" s="7">
        <f>+L9+L16+L21+L26+L40+L48+L56+L61+L66+L71</f>
        <v>812389479.77750003</v>
      </c>
      <c r="P76" s="82"/>
      <c r="Q76" s="8"/>
      <c r="R76" s="83"/>
      <c r="S76" s="8"/>
      <c r="T76" s="151"/>
      <c r="U76" s="11"/>
      <c r="X76" s="153"/>
    </row>
    <row r="77" spans="1:26">
      <c r="A77" s="2"/>
      <c r="B77" s="7"/>
      <c r="C77" s="10"/>
      <c r="D77" s="7"/>
      <c r="E77" s="13"/>
      <c r="F77" s="9"/>
      <c r="G77" s="2"/>
      <c r="H77" s="9"/>
      <c r="I77" s="78"/>
      <c r="J77" s="78"/>
      <c r="L77" s="7">
        <f>+L10+L17+L22+L27+L41+L49+L57+L62+L67+L72</f>
        <v>-37912798.788198508</v>
      </c>
      <c r="M77" s="13"/>
      <c r="N77" s="2"/>
      <c r="O77" s="13"/>
      <c r="P77" s="11"/>
      <c r="Q77" s="2"/>
      <c r="R77" s="83"/>
      <c r="S77" s="2"/>
      <c r="T77" s="11">
        <f>+T75-T73-T72-T71-T58-T57-T56</f>
        <v>-357202372.03224361</v>
      </c>
      <c r="V77" s="11">
        <f>+V75-V73-V72-V71-V58-V57-V56</f>
        <v>-357202372.04000002</v>
      </c>
      <c r="X77" s="11">
        <f>+X75-X73-X72-X71-X58-X57-X56</f>
        <v>7.7563612708217988E-3</v>
      </c>
    </row>
    <row r="78" spans="1:26">
      <c r="A78" s="9"/>
      <c r="B78" s="7">
        <f>+B11+B18+B23+B28+B42+B50+B58+B63+B68+B73+B45+B53</f>
        <v>2163161314.77</v>
      </c>
      <c r="C78" s="10"/>
      <c r="D78" s="7">
        <f>+D11+D18+D23+D28+D42+D50+D58+D63+D68+D73</f>
        <v>0</v>
      </c>
      <c r="E78" s="13"/>
      <c r="F78" s="9">
        <f>+B78+D78</f>
        <v>2163161314.77</v>
      </c>
      <c r="G78" s="2"/>
      <c r="H78" s="9"/>
      <c r="I78" s="78"/>
      <c r="J78" s="78"/>
      <c r="L78" s="7">
        <f>+L11+L18+L23+L28+L42+L50+L58+L63+L68+L73</f>
        <v>114431672.54285</v>
      </c>
      <c r="M78" s="13"/>
      <c r="N78" s="2"/>
      <c r="O78" s="13"/>
      <c r="P78" s="83"/>
      <c r="Q78" s="2"/>
      <c r="R78" s="83"/>
      <c r="S78" s="2"/>
      <c r="T78" s="11"/>
    </row>
    <row r="79" spans="1:26">
      <c r="A79" s="2"/>
      <c r="B79" s="16"/>
      <c r="C79" s="12"/>
      <c r="D79" s="11"/>
      <c r="E79" s="13"/>
      <c r="F79" s="9"/>
      <c r="G79" s="2"/>
      <c r="H79" s="9"/>
      <c r="I79" s="78"/>
      <c r="J79" s="78"/>
      <c r="L79" s="9"/>
      <c r="M79" s="13"/>
      <c r="N79" s="2"/>
      <c r="O79" s="13"/>
      <c r="P79" s="9"/>
      <c r="Q79" s="2"/>
      <c r="R79" s="9"/>
      <c r="S79" s="2"/>
      <c r="T79" s="11"/>
    </row>
    <row r="80" spans="1:26">
      <c r="A80" s="2"/>
      <c r="B80" s="7"/>
      <c r="C80" s="12"/>
      <c r="D80" s="7">
        <f>+D75*0.38575</f>
        <v>0</v>
      </c>
      <c r="E80" s="13"/>
      <c r="F80" s="9"/>
      <c r="G80" s="2"/>
      <c r="H80" s="9" t="s">
        <v>274</v>
      </c>
      <c r="I80" s="78"/>
      <c r="J80" s="85"/>
      <c r="L80" s="9"/>
      <c r="M80" s="13"/>
      <c r="N80" s="2"/>
      <c r="O80" s="13"/>
      <c r="P80" s="9"/>
      <c r="Q80" s="2"/>
      <c r="R80" s="9"/>
      <c r="S80" s="2"/>
      <c r="T80" s="11"/>
    </row>
    <row r="81" spans="1:24">
      <c r="A81" s="2"/>
      <c r="B81" s="7"/>
      <c r="C81" s="12"/>
      <c r="D81" s="9"/>
      <c r="E81" s="13"/>
      <c r="F81" s="9"/>
      <c r="G81" s="2"/>
      <c r="H81" s="9"/>
      <c r="I81" s="78"/>
      <c r="L81" s="9"/>
      <c r="M81" s="13"/>
      <c r="N81" s="2"/>
      <c r="O81" s="13"/>
      <c r="P81" s="9"/>
      <c r="Q81" s="2"/>
      <c r="R81" s="9"/>
      <c r="S81" s="2"/>
      <c r="T81" s="11"/>
      <c r="V81" s="74">
        <f>+V75-'Rpt 51040'!G53</f>
        <v>0</v>
      </c>
      <c r="X81" s="86"/>
    </row>
  </sheetData>
  <mergeCells count="4">
    <mergeCell ref="A4:A6"/>
    <mergeCell ref="A1:X1"/>
    <mergeCell ref="A2:X2"/>
    <mergeCell ref="A3:X3"/>
  </mergeCells>
  <pageMargins left="0.7" right="0.7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6"/>
  <sheetViews>
    <sheetView tabSelected="1" topLeftCell="A220" zoomScale="85" zoomScaleNormal="85" zoomScaleSheetLayoutView="100" workbookViewId="0">
      <selection activeCell="K227" sqref="K227"/>
    </sheetView>
  </sheetViews>
  <sheetFormatPr defaultColWidth="9.109375" defaultRowHeight="14.4"/>
  <cols>
    <col min="1" max="1" width="37.5546875" style="2" bestFit="1" customWidth="1"/>
    <col min="2" max="2" width="37.109375" style="2" bestFit="1" customWidth="1"/>
    <col min="3" max="3" width="9.88671875" style="2" bestFit="1" customWidth="1"/>
    <col min="4" max="4" width="17.88671875" style="2" bestFit="1" customWidth="1"/>
    <col min="5" max="5" width="18.109375" style="2" customWidth="1"/>
    <col min="6" max="6" width="17.33203125" style="2" bestFit="1" customWidth="1"/>
    <col min="7" max="8" width="15.5546875" style="2" bestFit="1" customWidth="1"/>
    <col min="9" max="9" width="17.33203125" style="2" bestFit="1" customWidth="1"/>
    <col min="10" max="10" width="15.5546875" style="2" bestFit="1" customWidth="1"/>
    <col min="11" max="11" width="15.33203125" style="2" customWidth="1"/>
    <col min="12" max="12" width="14.33203125" style="2" bestFit="1" customWidth="1"/>
    <col min="13" max="13" width="9" style="2" bestFit="1" customWidth="1"/>
    <col min="14" max="14" width="15.5546875" style="2" bestFit="1" customWidth="1"/>
    <col min="15" max="16384" width="9.109375" style="2"/>
  </cols>
  <sheetData>
    <row r="1" spans="1:14">
      <c r="A1" s="190" t="s">
        <v>277</v>
      </c>
      <c r="B1" s="190"/>
      <c r="C1" s="190"/>
      <c r="D1" s="190" t="s">
        <v>46</v>
      </c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ht="43.2">
      <c r="A2" s="190"/>
      <c r="B2" s="190"/>
      <c r="C2" s="190"/>
      <c r="D2" s="190"/>
      <c r="E2" s="190"/>
      <c r="F2" s="191" t="s">
        <v>278</v>
      </c>
      <c r="G2" s="190" t="s">
        <v>29</v>
      </c>
      <c r="H2" s="190" t="s">
        <v>47</v>
      </c>
      <c r="I2" s="191" t="s">
        <v>279</v>
      </c>
      <c r="J2" s="191" t="s">
        <v>280</v>
      </c>
      <c r="K2" s="191" t="s">
        <v>281</v>
      </c>
      <c r="L2" s="191" t="s">
        <v>282</v>
      </c>
      <c r="M2" s="191" t="s">
        <v>283</v>
      </c>
      <c r="N2" s="191" t="s">
        <v>284</v>
      </c>
    </row>
    <row r="3" spans="1:14">
      <c r="A3" s="190" t="s">
        <v>285</v>
      </c>
      <c r="B3" s="190"/>
      <c r="C3" s="190"/>
      <c r="D3" s="190">
        <v>2017</v>
      </c>
      <c r="E3" s="190"/>
      <c r="F3" s="190"/>
      <c r="G3" s="190"/>
      <c r="H3" s="190"/>
      <c r="I3" s="190"/>
      <c r="J3" s="190"/>
      <c r="K3" s="190"/>
      <c r="L3" s="190"/>
      <c r="M3" s="190"/>
      <c r="N3" s="190"/>
    </row>
    <row r="4" spans="1:14">
      <c r="A4" s="190" t="s">
        <v>286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</row>
    <row r="5" spans="1:14">
      <c r="A5" s="190" t="s">
        <v>44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</row>
    <row r="6" spans="1:14">
      <c r="A6" s="190" t="s">
        <v>45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</row>
    <row r="7" spans="1:14">
      <c r="A7" s="190" t="s">
        <v>287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</row>
    <row r="8" spans="1:14">
      <c r="A8" s="193"/>
      <c r="B8" s="193" t="s">
        <v>48</v>
      </c>
      <c r="C8" s="193"/>
      <c r="D8" s="193"/>
      <c r="E8" s="193"/>
      <c r="F8" s="194">
        <v>1491168.29</v>
      </c>
      <c r="G8" s="194">
        <v>142292.66</v>
      </c>
      <c r="H8" s="194">
        <v>-39324.639999999999</v>
      </c>
      <c r="I8" s="194">
        <v>1594136.31</v>
      </c>
      <c r="J8" s="194">
        <v>631759.11</v>
      </c>
      <c r="K8" s="194">
        <v>49802.43</v>
      </c>
      <c r="L8" s="194">
        <v>-20414.75</v>
      </c>
      <c r="M8" s="194">
        <v>0</v>
      </c>
      <c r="N8" s="194">
        <v>661146.79</v>
      </c>
    </row>
    <row r="9" spans="1:14">
      <c r="A9" s="193"/>
      <c r="B9" s="193" t="s">
        <v>49</v>
      </c>
      <c r="C9" s="193"/>
      <c r="D9" s="193"/>
      <c r="E9" s="193"/>
      <c r="F9" s="194">
        <v>7318877.1699999999</v>
      </c>
      <c r="G9" s="194">
        <v>25212.03</v>
      </c>
      <c r="H9" s="194">
        <v>-1664361.79</v>
      </c>
      <c r="I9" s="194">
        <v>5679727.4100000001</v>
      </c>
      <c r="J9" s="194">
        <v>2519351.37</v>
      </c>
      <c r="K9" s="194">
        <v>8824.2099999999991</v>
      </c>
      <c r="L9" s="194">
        <v>-595228.23</v>
      </c>
      <c r="M9" s="194">
        <v>0</v>
      </c>
      <c r="N9" s="194">
        <v>1932947.35</v>
      </c>
    </row>
    <row r="10" spans="1:14">
      <c r="A10" s="193"/>
      <c r="B10" s="193" t="s">
        <v>50</v>
      </c>
      <c r="C10" s="193"/>
      <c r="D10" s="193"/>
      <c r="E10" s="193"/>
      <c r="F10" s="194">
        <v>1916292207.76</v>
      </c>
      <c r="G10" s="194">
        <v>121345214.29000001</v>
      </c>
      <c r="H10" s="194">
        <v>-27817232.390000001</v>
      </c>
      <c r="I10" s="194">
        <v>2009820189.6600001</v>
      </c>
      <c r="J10" s="194">
        <v>671091292.77999997</v>
      </c>
      <c r="K10" s="194">
        <v>42470825</v>
      </c>
      <c r="L10" s="194">
        <v>-9786255.7100000009</v>
      </c>
      <c r="M10" s="194">
        <v>0</v>
      </c>
      <c r="N10" s="194">
        <v>703775862.07000005</v>
      </c>
    </row>
    <row r="11" spans="1:14">
      <c r="A11" s="193"/>
      <c r="B11" s="193" t="s">
        <v>51</v>
      </c>
      <c r="C11" s="193"/>
      <c r="D11" s="193"/>
      <c r="E11" s="193"/>
      <c r="F11" s="194">
        <v>-254118620.34999999</v>
      </c>
      <c r="G11" s="194">
        <v>-7283320.6600000001</v>
      </c>
      <c r="H11" s="194">
        <v>9531120.4900000002</v>
      </c>
      <c r="I11" s="194">
        <v>-251870820.52000001</v>
      </c>
      <c r="J11" s="194">
        <v>-89429434.060000002</v>
      </c>
      <c r="K11" s="194">
        <v>-2549162.23</v>
      </c>
      <c r="L11" s="194">
        <v>3361606.94</v>
      </c>
      <c r="M11" s="194">
        <v>0</v>
      </c>
      <c r="N11" s="194">
        <v>-88616989.340000004</v>
      </c>
    </row>
    <row r="12" spans="1:14">
      <c r="A12" s="193"/>
      <c r="B12" s="193"/>
      <c r="C12" s="193" t="s">
        <v>52</v>
      </c>
      <c r="D12" s="193"/>
      <c r="E12" s="193"/>
      <c r="F12" s="194">
        <v>1670983632.8699999</v>
      </c>
      <c r="G12" s="194">
        <v>114229398.31</v>
      </c>
      <c r="H12" s="194">
        <v>-19989798.32</v>
      </c>
      <c r="I12" s="194">
        <v>1765223232.8599999</v>
      </c>
      <c r="J12" s="194">
        <v>584812969.20000005</v>
      </c>
      <c r="K12" s="194">
        <v>39980289.409999996</v>
      </c>
      <c r="L12" s="194">
        <v>-7040291.75</v>
      </c>
      <c r="M12" s="194">
        <v>0</v>
      </c>
      <c r="N12" s="194">
        <v>617752966.87</v>
      </c>
    </row>
    <row r="13" spans="1:14">
      <c r="A13" s="193"/>
      <c r="B13" s="193" t="s">
        <v>53</v>
      </c>
      <c r="C13" s="193"/>
      <c r="D13" s="193"/>
      <c r="E13" s="193"/>
      <c r="F13" s="194">
        <v>0</v>
      </c>
      <c r="G13" s="194">
        <v>0</v>
      </c>
      <c r="H13" s="194">
        <v>0</v>
      </c>
      <c r="I13" s="194">
        <v>0</v>
      </c>
      <c r="J13" s="202">
        <f>+F13*0.21</f>
        <v>0</v>
      </c>
      <c r="K13" s="202">
        <f t="shared" ref="K13:L13" si="0">+G13*0.21</f>
        <v>0</v>
      </c>
      <c r="L13" s="202">
        <f t="shared" si="0"/>
        <v>0</v>
      </c>
      <c r="M13" s="194"/>
      <c r="N13" s="202">
        <f>+I13*0.21</f>
        <v>0</v>
      </c>
    </row>
    <row r="14" spans="1:14">
      <c r="A14" s="193"/>
      <c r="B14" s="193" t="s">
        <v>54</v>
      </c>
      <c r="C14" s="193"/>
      <c r="D14" s="193"/>
      <c r="E14" s="193"/>
      <c r="F14" s="194">
        <v>824992.22</v>
      </c>
      <c r="G14" s="194">
        <v>0</v>
      </c>
      <c r="H14" s="194">
        <v>0</v>
      </c>
      <c r="I14" s="194">
        <v>824992.22</v>
      </c>
      <c r="J14" s="202">
        <f t="shared" ref="J14:J25" si="1">+F14*0.21</f>
        <v>173248.36619999999</v>
      </c>
      <c r="K14" s="202">
        <f t="shared" ref="K14:K25" si="2">+G14*0.21</f>
        <v>0</v>
      </c>
      <c r="L14" s="202">
        <f t="shared" ref="L14:L25" si="3">+H14*0.21</f>
        <v>0</v>
      </c>
      <c r="M14" s="194"/>
      <c r="N14" s="202">
        <f t="shared" ref="N14:N35" si="4">+I14*0.21</f>
        <v>173248.36619999999</v>
      </c>
    </row>
    <row r="15" spans="1:14">
      <c r="A15" s="193"/>
      <c r="B15" s="193" t="s">
        <v>55</v>
      </c>
      <c r="C15" s="193"/>
      <c r="D15" s="193"/>
      <c r="E15" s="193"/>
      <c r="F15" s="194">
        <v>0</v>
      </c>
      <c r="G15" s="194">
        <v>0</v>
      </c>
      <c r="H15" s="194">
        <v>0</v>
      </c>
      <c r="I15" s="194">
        <v>0</v>
      </c>
      <c r="J15" s="202">
        <f t="shared" si="1"/>
        <v>0</v>
      </c>
      <c r="K15" s="202">
        <f t="shared" si="2"/>
        <v>0</v>
      </c>
      <c r="L15" s="202">
        <f t="shared" si="3"/>
        <v>0</v>
      </c>
      <c r="M15" s="194"/>
      <c r="N15" s="202">
        <f t="shared" si="4"/>
        <v>0</v>
      </c>
    </row>
    <row r="16" spans="1:14">
      <c r="A16" s="193"/>
      <c r="B16" s="193" t="s">
        <v>56</v>
      </c>
      <c r="C16" s="193"/>
      <c r="D16" s="193"/>
      <c r="E16" s="193"/>
      <c r="F16" s="194">
        <v>0</v>
      </c>
      <c r="G16" s="194">
        <v>0</v>
      </c>
      <c r="H16" s="194">
        <v>0</v>
      </c>
      <c r="I16" s="194">
        <v>0</v>
      </c>
      <c r="J16" s="202">
        <f t="shared" si="1"/>
        <v>0</v>
      </c>
      <c r="K16" s="202">
        <f t="shared" si="2"/>
        <v>0</v>
      </c>
      <c r="L16" s="202">
        <f t="shared" si="3"/>
        <v>0</v>
      </c>
      <c r="M16" s="194"/>
      <c r="N16" s="202">
        <f t="shared" si="4"/>
        <v>0</v>
      </c>
    </row>
    <row r="17" spans="1:14">
      <c r="A17" s="193"/>
      <c r="B17" s="193" t="s">
        <v>57</v>
      </c>
      <c r="C17" s="193"/>
      <c r="D17" s="193"/>
      <c r="E17" s="193"/>
      <c r="F17" s="194">
        <v>-1304353.06</v>
      </c>
      <c r="G17" s="194">
        <v>0</v>
      </c>
      <c r="H17" s="194">
        <v>0</v>
      </c>
      <c r="I17" s="194">
        <v>-1304353.06</v>
      </c>
      <c r="J17" s="202">
        <f t="shared" si="1"/>
        <v>-273914.14260000002</v>
      </c>
      <c r="K17" s="202">
        <f t="shared" si="2"/>
        <v>0</v>
      </c>
      <c r="L17" s="202">
        <f t="shared" si="3"/>
        <v>0</v>
      </c>
      <c r="M17" s="194"/>
      <c r="N17" s="202">
        <f t="shared" si="4"/>
        <v>-273914.14260000002</v>
      </c>
    </row>
    <row r="18" spans="1:14">
      <c r="A18" s="193"/>
      <c r="B18" s="193" t="s">
        <v>58</v>
      </c>
      <c r="C18" s="193"/>
      <c r="D18" s="193"/>
      <c r="E18" s="193"/>
      <c r="F18" s="194">
        <v>-10343304.029999999</v>
      </c>
      <c r="G18" s="194">
        <v>0</v>
      </c>
      <c r="H18" s="194">
        <v>62655.61</v>
      </c>
      <c r="I18" s="194">
        <v>-10280648.42</v>
      </c>
      <c r="J18" s="202">
        <f t="shared" si="1"/>
        <v>-2172093.8462999999</v>
      </c>
      <c r="K18" s="202">
        <f t="shared" si="2"/>
        <v>0</v>
      </c>
      <c r="L18" s="202">
        <f t="shared" si="3"/>
        <v>13157.678099999999</v>
      </c>
      <c r="M18" s="194"/>
      <c r="N18" s="202">
        <f t="shared" si="4"/>
        <v>-2158936.1681999997</v>
      </c>
    </row>
    <row r="19" spans="1:14">
      <c r="A19" s="193"/>
      <c r="B19" s="193" t="s">
        <v>59</v>
      </c>
      <c r="C19" s="193"/>
      <c r="D19" s="193"/>
      <c r="E19" s="193"/>
      <c r="F19" s="194">
        <v>31757506.77</v>
      </c>
      <c r="G19" s="194">
        <v>34061.79</v>
      </c>
      <c r="H19" s="194">
        <v>-641415.19999999995</v>
      </c>
      <c r="I19" s="194">
        <v>31150153.359999999</v>
      </c>
      <c r="J19" s="202">
        <f t="shared" si="1"/>
        <v>6669076.4216999998</v>
      </c>
      <c r="K19" s="202">
        <f t="shared" si="2"/>
        <v>7152.9759000000004</v>
      </c>
      <c r="L19" s="202">
        <f t="shared" si="3"/>
        <v>-134697.19199999998</v>
      </c>
      <c r="M19" s="194"/>
      <c r="N19" s="202">
        <f t="shared" si="4"/>
        <v>6541532.2056</v>
      </c>
    </row>
    <row r="20" spans="1:14">
      <c r="A20" s="193"/>
      <c r="B20" s="193" t="s">
        <v>60</v>
      </c>
      <c r="C20" s="193"/>
      <c r="D20" s="193"/>
      <c r="E20" s="193"/>
      <c r="F20" s="194">
        <v>9083136.2899999991</v>
      </c>
      <c r="G20" s="194">
        <v>0</v>
      </c>
      <c r="H20" s="194">
        <v>-929743.46</v>
      </c>
      <c r="I20" s="194">
        <v>8153392.8300000001</v>
      </c>
      <c r="J20" s="202">
        <f t="shared" si="1"/>
        <v>1907458.6208999997</v>
      </c>
      <c r="K20" s="202">
        <f t="shared" si="2"/>
        <v>0</v>
      </c>
      <c r="L20" s="202">
        <f t="shared" si="3"/>
        <v>-195246.12659999999</v>
      </c>
      <c r="M20" s="194"/>
      <c r="N20" s="202">
        <f t="shared" si="4"/>
        <v>1712212.4942999999</v>
      </c>
    </row>
    <row r="21" spans="1:14">
      <c r="A21" s="193"/>
      <c r="B21" s="193" t="s">
        <v>61</v>
      </c>
      <c r="C21" s="193"/>
      <c r="D21" s="193"/>
      <c r="E21" s="193"/>
      <c r="F21" s="194">
        <v>9273932.8300000001</v>
      </c>
      <c r="G21" s="194">
        <v>0</v>
      </c>
      <c r="H21" s="194">
        <v>-513892.56</v>
      </c>
      <c r="I21" s="194">
        <v>8760040.2699999996</v>
      </c>
      <c r="J21" s="202">
        <f t="shared" si="1"/>
        <v>1947525.8943</v>
      </c>
      <c r="K21" s="202">
        <f t="shared" si="2"/>
        <v>0</v>
      </c>
      <c r="L21" s="202">
        <f t="shared" si="3"/>
        <v>-107917.43759999999</v>
      </c>
      <c r="M21" s="194"/>
      <c r="N21" s="202">
        <f t="shared" si="4"/>
        <v>1839608.4566999997</v>
      </c>
    </row>
    <row r="22" spans="1:14">
      <c r="A22" s="193"/>
      <c r="B22" s="193" t="s">
        <v>62</v>
      </c>
      <c r="C22" s="193"/>
      <c r="D22" s="193"/>
      <c r="E22" s="193"/>
      <c r="F22" s="194">
        <v>219.41</v>
      </c>
      <c r="G22" s="194">
        <v>0</v>
      </c>
      <c r="H22" s="194">
        <v>7.05</v>
      </c>
      <c r="I22" s="194">
        <v>226.46</v>
      </c>
      <c r="J22" s="202">
        <f t="shared" si="1"/>
        <v>46.076099999999997</v>
      </c>
      <c r="K22" s="202">
        <f t="shared" si="2"/>
        <v>0</v>
      </c>
      <c r="L22" s="202">
        <f t="shared" si="3"/>
        <v>1.4804999999999999</v>
      </c>
      <c r="M22" s="194"/>
      <c r="N22" s="202">
        <f t="shared" si="4"/>
        <v>47.556600000000003</v>
      </c>
    </row>
    <row r="23" spans="1:14">
      <c r="A23" s="193"/>
      <c r="B23" s="193" t="s">
        <v>63</v>
      </c>
      <c r="C23" s="193"/>
      <c r="D23" s="193"/>
      <c r="E23" s="193"/>
      <c r="F23" s="194">
        <v>260560283.37</v>
      </c>
      <c r="G23" s="194">
        <v>60000000</v>
      </c>
      <c r="H23" s="194">
        <v>-5770743.6900000004</v>
      </c>
      <c r="I23" s="194">
        <v>314789539.68000001</v>
      </c>
      <c r="J23" s="202">
        <f t="shared" si="1"/>
        <v>54717659.507699996</v>
      </c>
      <c r="K23" s="202">
        <f t="shared" si="2"/>
        <v>12600000</v>
      </c>
      <c r="L23" s="202">
        <f t="shared" si="3"/>
        <v>-1211856.1749</v>
      </c>
      <c r="M23" s="194"/>
      <c r="N23" s="202">
        <f t="shared" si="4"/>
        <v>66105803.332800001</v>
      </c>
    </row>
    <row r="24" spans="1:14">
      <c r="A24" s="193"/>
      <c r="B24" s="193" t="s">
        <v>64</v>
      </c>
      <c r="C24" s="193"/>
      <c r="D24" s="193"/>
      <c r="E24" s="193"/>
      <c r="F24" s="194">
        <v>1339175.6200000001</v>
      </c>
      <c r="G24" s="194">
        <v>0</v>
      </c>
      <c r="H24" s="194">
        <v>-14133.76</v>
      </c>
      <c r="I24" s="194">
        <v>1325041.8600000001</v>
      </c>
      <c r="J24" s="202">
        <f t="shared" si="1"/>
        <v>281226.88020000001</v>
      </c>
      <c r="K24" s="202">
        <f t="shared" si="2"/>
        <v>0</v>
      </c>
      <c r="L24" s="202">
        <f t="shared" si="3"/>
        <v>-2968.0895999999998</v>
      </c>
      <c r="M24" s="194"/>
      <c r="N24" s="202">
        <f t="shared" si="4"/>
        <v>278258.79060000001</v>
      </c>
    </row>
    <row r="25" spans="1:14">
      <c r="A25" s="193"/>
      <c r="B25" s="193" t="s">
        <v>288</v>
      </c>
      <c r="C25" s="193"/>
      <c r="D25" s="193"/>
      <c r="E25" s="193"/>
      <c r="F25" s="194">
        <v>0</v>
      </c>
      <c r="G25" s="194">
        <v>-32534000</v>
      </c>
      <c r="H25" s="194">
        <v>121913.11</v>
      </c>
      <c r="I25" s="194">
        <v>-32412086.890000001</v>
      </c>
      <c r="J25" s="202">
        <f t="shared" si="1"/>
        <v>0</v>
      </c>
      <c r="K25" s="202">
        <f t="shared" si="2"/>
        <v>-6832140</v>
      </c>
      <c r="L25" s="202">
        <f t="shared" si="3"/>
        <v>25601.753099999998</v>
      </c>
      <c r="M25" s="194"/>
      <c r="N25" s="202">
        <f t="shared" si="4"/>
        <v>-6806538.2468999997</v>
      </c>
    </row>
    <row r="26" spans="1:14">
      <c r="A26" s="193"/>
      <c r="B26" s="200" t="s">
        <v>307</v>
      </c>
      <c r="C26" s="193" t="s">
        <v>52</v>
      </c>
      <c r="D26" s="193"/>
      <c r="E26" s="193"/>
      <c r="F26" s="194">
        <v>301191589.42000002</v>
      </c>
      <c r="G26" s="194">
        <v>27500061.789999999</v>
      </c>
      <c r="H26" s="194">
        <v>-7685352.9000000004</v>
      </c>
      <c r="I26" s="194">
        <v>321006298.31</v>
      </c>
      <c r="J26" s="202">
        <f>SUM(J13:J25)</f>
        <v>63250233.778199993</v>
      </c>
      <c r="K26" s="202">
        <f t="shared" ref="K26:N26" si="5">SUM(K13:K25)</f>
        <v>5775012.9759</v>
      </c>
      <c r="L26" s="202">
        <f t="shared" si="5"/>
        <v>-1613924.1089999999</v>
      </c>
      <c r="M26" s="202">
        <f t="shared" si="5"/>
        <v>0</v>
      </c>
      <c r="N26" s="202">
        <f t="shared" si="5"/>
        <v>67411322.645099998</v>
      </c>
    </row>
    <row r="27" spans="1:14">
      <c r="A27" s="193"/>
      <c r="B27" s="193" t="s">
        <v>65</v>
      </c>
      <c r="C27" s="193"/>
      <c r="D27" s="193"/>
      <c r="E27" s="193"/>
      <c r="F27" s="194">
        <v>-1511336.23</v>
      </c>
      <c r="G27" s="194">
        <v>0</v>
      </c>
      <c r="H27" s="194">
        <v>854937.14</v>
      </c>
      <c r="I27" s="194">
        <v>-656399.09</v>
      </c>
      <c r="J27" s="202">
        <f t="shared" ref="J27:J35" si="6">+F27*0.21</f>
        <v>-317380.60829999996</v>
      </c>
      <c r="K27" s="202">
        <f t="shared" ref="K27:K35" si="7">+G27*0.21</f>
        <v>0</v>
      </c>
      <c r="L27" s="202">
        <f t="shared" ref="L27:L35" si="8">+H27*0.21</f>
        <v>179536.79939999999</v>
      </c>
      <c r="M27" s="194"/>
      <c r="N27" s="202">
        <f t="shared" si="4"/>
        <v>-137843.80889999997</v>
      </c>
    </row>
    <row r="28" spans="1:14">
      <c r="A28" s="193"/>
      <c r="B28" s="193" t="s">
        <v>66</v>
      </c>
      <c r="C28" s="193"/>
      <c r="D28" s="193"/>
      <c r="E28" s="193"/>
      <c r="F28" s="194">
        <v>-58550489.369999997</v>
      </c>
      <c r="G28" s="194">
        <v>-1946388.28</v>
      </c>
      <c r="H28" s="194">
        <v>6838892.3600000003</v>
      </c>
      <c r="I28" s="194">
        <v>-53657985.289999999</v>
      </c>
      <c r="J28" s="202">
        <f t="shared" si="6"/>
        <v>-12295602.7677</v>
      </c>
      <c r="K28" s="202">
        <f t="shared" si="7"/>
        <v>-408741.53879999998</v>
      </c>
      <c r="L28" s="202">
        <f t="shared" si="8"/>
        <v>1436167.3955999999</v>
      </c>
      <c r="M28" s="194"/>
      <c r="N28" s="202">
        <f t="shared" si="4"/>
        <v>-11268176.910899999</v>
      </c>
    </row>
    <row r="29" spans="1:14">
      <c r="A29" s="193"/>
      <c r="B29" s="193" t="s">
        <v>67</v>
      </c>
      <c r="C29" s="193"/>
      <c r="D29" s="193"/>
      <c r="E29" s="193"/>
      <c r="F29" s="194">
        <v>-362084.1</v>
      </c>
      <c r="G29" s="194">
        <v>0</v>
      </c>
      <c r="H29" s="194">
        <v>52156.33</v>
      </c>
      <c r="I29" s="194">
        <v>-309927.77</v>
      </c>
      <c r="J29" s="202">
        <f t="shared" si="6"/>
        <v>-76037.660999999993</v>
      </c>
      <c r="K29" s="202">
        <f t="shared" si="7"/>
        <v>0</v>
      </c>
      <c r="L29" s="202">
        <f t="shared" si="8"/>
        <v>10952.829299999999</v>
      </c>
      <c r="M29" s="194"/>
      <c r="N29" s="202">
        <f t="shared" si="4"/>
        <v>-65084.831700000002</v>
      </c>
    </row>
    <row r="30" spans="1:14">
      <c r="A30" s="193"/>
      <c r="B30" s="193" t="s">
        <v>68</v>
      </c>
      <c r="C30" s="193"/>
      <c r="D30" s="193"/>
      <c r="E30" s="193"/>
      <c r="F30" s="194">
        <v>-37752471.759999998</v>
      </c>
      <c r="G30" s="194">
        <v>-4000000</v>
      </c>
      <c r="H30" s="194">
        <v>4424324.92</v>
      </c>
      <c r="I30" s="194">
        <v>-37328146.840000004</v>
      </c>
      <c r="J30" s="202">
        <f t="shared" si="6"/>
        <v>-7928019.0695999991</v>
      </c>
      <c r="K30" s="202">
        <f t="shared" si="7"/>
        <v>-840000</v>
      </c>
      <c r="L30" s="202">
        <f t="shared" si="8"/>
        <v>929108.2331999999</v>
      </c>
      <c r="M30" s="194"/>
      <c r="N30" s="202">
        <f t="shared" si="4"/>
        <v>-7838910.8364000004</v>
      </c>
    </row>
    <row r="31" spans="1:14">
      <c r="A31" s="193"/>
      <c r="B31" s="193" t="s">
        <v>69</v>
      </c>
      <c r="C31" s="193"/>
      <c r="D31" s="193"/>
      <c r="E31" s="193"/>
      <c r="F31" s="194">
        <v>-9124679.4100000001</v>
      </c>
      <c r="G31" s="194">
        <v>0</v>
      </c>
      <c r="H31" s="194">
        <v>392514.43</v>
      </c>
      <c r="I31" s="194">
        <v>-8732164.9800000004</v>
      </c>
      <c r="J31" s="202">
        <f t="shared" si="6"/>
        <v>-1916182.6761</v>
      </c>
      <c r="K31" s="202">
        <f t="shared" si="7"/>
        <v>0</v>
      </c>
      <c r="L31" s="202">
        <f t="shared" si="8"/>
        <v>82428.030299999999</v>
      </c>
      <c r="M31" s="194"/>
      <c r="N31" s="202">
        <f t="shared" si="4"/>
        <v>-1833754.6458000001</v>
      </c>
    </row>
    <row r="32" spans="1:14">
      <c r="A32" s="193"/>
      <c r="B32" s="193" t="s">
        <v>70</v>
      </c>
      <c r="C32" s="193"/>
      <c r="D32" s="193"/>
      <c r="E32" s="193"/>
      <c r="F32" s="194">
        <v>-11939301.859999999</v>
      </c>
      <c r="G32" s="194">
        <v>0</v>
      </c>
      <c r="H32" s="194">
        <v>5520855.5599999996</v>
      </c>
      <c r="I32" s="194">
        <v>-6418446.2999999998</v>
      </c>
      <c r="J32" s="202">
        <f t="shared" si="6"/>
        <v>-2507253.3905999996</v>
      </c>
      <c r="K32" s="202">
        <f t="shared" si="7"/>
        <v>0</v>
      </c>
      <c r="L32" s="202">
        <f t="shared" si="8"/>
        <v>1159379.6675999998</v>
      </c>
      <c r="M32" s="194"/>
      <c r="N32" s="202">
        <f t="shared" si="4"/>
        <v>-1347873.723</v>
      </c>
    </row>
    <row r="33" spans="1:14">
      <c r="A33" s="193"/>
      <c r="B33" s="193" t="s">
        <v>71</v>
      </c>
      <c r="C33" s="193"/>
      <c r="D33" s="193"/>
      <c r="E33" s="193"/>
      <c r="F33" s="194">
        <v>0</v>
      </c>
      <c r="G33" s="194">
        <v>0</v>
      </c>
      <c r="H33" s="194">
        <v>0</v>
      </c>
      <c r="I33" s="194">
        <v>0</v>
      </c>
      <c r="J33" s="202">
        <f t="shared" si="6"/>
        <v>0</v>
      </c>
      <c r="K33" s="202">
        <f t="shared" si="7"/>
        <v>0</v>
      </c>
      <c r="L33" s="202">
        <f t="shared" si="8"/>
        <v>0</v>
      </c>
      <c r="M33" s="194"/>
      <c r="N33" s="202">
        <f t="shared" si="4"/>
        <v>0</v>
      </c>
    </row>
    <row r="34" spans="1:14">
      <c r="A34" s="193"/>
      <c r="B34" s="193" t="s">
        <v>72</v>
      </c>
      <c r="C34" s="193"/>
      <c r="D34" s="193"/>
      <c r="E34" s="193"/>
      <c r="F34" s="194">
        <v>66783231.590000004</v>
      </c>
      <c r="G34" s="194">
        <v>0</v>
      </c>
      <c r="H34" s="194">
        <v>-6883940.4400000004</v>
      </c>
      <c r="I34" s="194">
        <v>59899291.149999999</v>
      </c>
      <c r="J34" s="202">
        <f t="shared" si="6"/>
        <v>14024478.6339</v>
      </c>
      <c r="K34" s="202">
        <f t="shared" si="7"/>
        <v>0</v>
      </c>
      <c r="L34" s="202">
        <f t="shared" si="8"/>
        <v>-1445627.4924000001</v>
      </c>
      <c r="M34" s="194"/>
      <c r="N34" s="202">
        <f t="shared" si="4"/>
        <v>12578851.1415</v>
      </c>
    </row>
    <row r="35" spans="1:14">
      <c r="A35" s="193"/>
      <c r="B35" s="193" t="s">
        <v>73</v>
      </c>
      <c r="C35" s="193"/>
      <c r="D35" s="193"/>
      <c r="E35" s="193"/>
      <c r="F35" s="194">
        <v>-8343067.8700000001</v>
      </c>
      <c r="G35" s="194">
        <v>0</v>
      </c>
      <c r="H35" s="194">
        <v>918201.57</v>
      </c>
      <c r="I35" s="194">
        <v>-7424866.2999999998</v>
      </c>
      <c r="J35" s="202">
        <f t="shared" si="6"/>
        <v>-1752044.2527000001</v>
      </c>
      <c r="K35" s="202">
        <f t="shared" si="7"/>
        <v>0</v>
      </c>
      <c r="L35" s="202">
        <f t="shared" si="8"/>
        <v>192822.32969999997</v>
      </c>
      <c r="M35" s="194"/>
      <c r="N35" s="202">
        <f t="shared" si="4"/>
        <v>-1559221.923</v>
      </c>
    </row>
    <row r="36" spans="1:14">
      <c r="A36" s="193"/>
      <c r="B36" s="200" t="s">
        <v>308</v>
      </c>
      <c r="C36" s="193" t="s">
        <v>52</v>
      </c>
      <c r="D36" s="193"/>
      <c r="E36" s="193"/>
      <c r="F36" s="194">
        <v>-60800199.009999998</v>
      </c>
      <c r="G36" s="194">
        <v>-5946388.2800000003</v>
      </c>
      <c r="H36" s="194">
        <v>12117941.869999999</v>
      </c>
      <c r="I36" s="194">
        <v>-54628645.420000002</v>
      </c>
      <c r="J36" s="202">
        <f>SUM(J27:J35)</f>
        <v>-12768041.792100001</v>
      </c>
      <c r="K36" s="202">
        <f t="shared" ref="K36:N36" si="9">SUM(K27:K35)</f>
        <v>-1248741.5388</v>
      </c>
      <c r="L36" s="202">
        <f t="shared" si="9"/>
        <v>2544767.7926999996</v>
      </c>
      <c r="M36" s="202"/>
      <c r="N36" s="202">
        <f t="shared" si="9"/>
        <v>-11472015.538200006</v>
      </c>
    </row>
    <row r="37" spans="1:14">
      <c r="A37" s="193"/>
      <c r="B37" s="193" t="s">
        <v>74</v>
      </c>
      <c r="C37" s="193"/>
      <c r="D37" s="193"/>
      <c r="E37" s="193"/>
      <c r="F37" s="194">
        <v>11077.31</v>
      </c>
      <c r="G37" s="194">
        <v>0</v>
      </c>
      <c r="H37" s="194">
        <v>-977.09</v>
      </c>
      <c r="I37" s="194">
        <v>10100.219999999999</v>
      </c>
      <c r="J37" s="194">
        <v>0</v>
      </c>
      <c r="K37" s="194">
        <v>0</v>
      </c>
      <c r="L37" s="194">
        <v>0</v>
      </c>
      <c r="M37" s="194"/>
      <c r="N37" s="194">
        <v>0</v>
      </c>
    </row>
    <row r="38" spans="1:14">
      <c r="A38" s="193"/>
      <c r="B38" s="193"/>
      <c r="C38" s="193" t="s">
        <v>52</v>
      </c>
      <c r="D38" s="193"/>
      <c r="E38" s="193"/>
      <c r="F38" s="194">
        <v>11077.31</v>
      </c>
      <c r="G38" s="194">
        <v>0</v>
      </c>
      <c r="H38" s="194">
        <v>-977.09</v>
      </c>
      <c r="I38" s="194">
        <v>10100.219999999999</v>
      </c>
      <c r="J38" s="194">
        <v>0</v>
      </c>
      <c r="K38" s="194">
        <v>0</v>
      </c>
      <c r="L38" s="194">
        <v>0</v>
      </c>
      <c r="M38" s="194">
        <v>0</v>
      </c>
      <c r="N38" s="194">
        <v>0</v>
      </c>
    </row>
    <row r="39" spans="1:14">
      <c r="A39" s="193"/>
      <c r="B39" s="193" t="s">
        <v>75</v>
      </c>
      <c r="C39" s="193"/>
      <c r="D39" s="193"/>
      <c r="E39" s="193"/>
      <c r="F39" s="194">
        <v>481659.79</v>
      </c>
      <c r="G39" s="194">
        <v>0</v>
      </c>
      <c r="H39" s="194">
        <v>-32773.82</v>
      </c>
      <c r="I39" s="194">
        <v>448885.97</v>
      </c>
      <c r="J39" s="194">
        <v>0</v>
      </c>
      <c r="K39" s="194">
        <v>0</v>
      </c>
      <c r="L39" s="194">
        <v>0</v>
      </c>
      <c r="M39" s="194">
        <v>0</v>
      </c>
      <c r="N39" s="194">
        <v>0</v>
      </c>
    </row>
    <row r="40" spans="1:14">
      <c r="A40" s="193"/>
      <c r="B40" s="193" t="s">
        <v>76</v>
      </c>
      <c r="C40" s="193"/>
      <c r="D40" s="193"/>
      <c r="E40" s="193"/>
      <c r="F40" s="194">
        <v>69243093.730000004</v>
      </c>
      <c r="G40" s="194">
        <v>76392.7</v>
      </c>
      <c r="H40" s="194">
        <v>-1262529.1000000001</v>
      </c>
      <c r="I40" s="194">
        <v>68056957.329999998</v>
      </c>
      <c r="J40" s="194">
        <v>0</v>
      </c>
      <c r="K40" s="194">
        <v>0</v>
      </c>
      <c r="L40" s="194">
        <v>0</v>
      </c>
      <c r="M40" s="194">
        <v>0</v>
      </c>
      <c r="N40" s="194">
        <v>0</v>
      </c>
    </row>
    <row r="41" spans="1:14">
      <c r="A41" s="193"/>
      <c r="B41" s="193" t="s">
        <v>77</v>
      </c>
      <c r="C41" s="193"/>
      <c r="D41" s="193"/>
      <c r="E41" s="193"/>
      <c r="F41" s="194">
        <v>12673.67</v>
      </c>
      <c r="G41" s="194">
        <v>0</v>
      </c>
      <c r="H41" s="194">
        <v>-2499.5100000000002</v>
      </c>
      <c r="I41" s="194">
        <v>10174.16</v>
      </c>
      <c r="J41" s="194">
        <v>0</v>
      </c>
      <c r="K41" s="194">
        <v>0</v>
      </c>
      <c r="L41" s="194">
        <v>0</v>
      </c>
      <c r="M41" s="194">
        <v>0</v>
      </c>
      <c r="N41" s="194">
        <v>0</v>
      </c>
    </row>
    <row r="42" spans="1:14">
      <c r="A42" s="193"/>
      <c r="B42" s="193" t="s">
        <v>78</v>
      </c>
      <c r="C42" s="193"/>
      <c r="D42" s="193"/>
      <c r="E42" s="193"/>
      <c r="F42" s="194">
        <v>46036.84</v>
      </c>
      <c r="G42" s="194">
        <v>0</v>
      </c>
      <c r="H42" s="194">
        <v>-2962.32</v>
      </c>
      <c r="I42" s="194">
        <v>43074.52</v>
      </c>
      <c r="J42" s="194">
        <v>0</v>
      </c>
      <c r="K42" s="194">
        <v>0</v>
      </c>
      <c r="L42" s="194">
        <v>0</v>
      </c>
      <c r="M42" s="194">
        <v>0</v>
      </c>
      <c r="N42" s="194">
        <v>0</v>
      </c>
    </row>
    <row r="43" spans="1:14">
      <c r="A43" s="193"/>
      <c r="B43" s="193" t="s">
        <v>79</v>
      </c>
      <c r="C43" s="193"/>
      <c r="D43" s="193"/>
      <c r="E43" s="193"/>
      <c r="F43" s="194">
        <v>79717.5</v>
      </c>
      <c r="G43" s="194">
        <v>0</v>
      </c>
      <c r="H43" s="194">
        <v>-11435.64</v>
      </c>
      <c r="I43" s="194">
        <v>68281.86</v>
      </c>
      <c r="J43" s="194">
        <v>0</v>
      </c>
      <c r="K43" s="194">
        <v>0</v>
      </c>
      <c r="L43" s="194">
        <v>0</v>
      </c>
      <c r="M43" s="194">
        <v>0</v>
      </c>
      <c r="N43" s="194">
        <v>0</v>
      </c>
    </row>
    <row r="44" spans="1:14">
      <c r="A44" s="193"/>
      <c r="B44" s="193" t="s">
        <v>232</v>
      </c>
      <c r="C44" s="193"/>
      <c r="D44" s="193"/>
      <c r="E44" s="193"/>
      <c r="F44" s="194">
        <v>90749.1</v>
      </c>
      <c r="G44" s="194">
        <v>0</v>
      </c>
      <c r="H44" s="194">
        <v>-13619.93</v>
      </c>
      <c r="I44" s="194">
        <v>77129.17</v>
      </c>
      <c r="J44" s="194">
        <v>0</v>
      </c>
      <c r="K44" s="194">
        <v>0</v>
      </c>
      <c r="L44" s="194">
        <v>0</v>
      </c>
      <c r="M44" s="194">
        <v>0</v>
      </c>
      <c r="N44" s="194">
        <v>0</v>
      </c>
    </row>
    <row r="45" spans="1:14">
      <c r="A45" s="193"/>
      <c r="B45" s="193"/>
      <c r="C45" s="193" t="s">
        <v>52</v>
      </c>
      <c r="D45" s="193"/>
      <c r="E45" s="193"/>
      <c r="F45" s="194">
        <v>69953930.629999995</v>
      </c>
      <c r="G45" s="194">
        <v>76392.7</v>
      </c>
      <c r="H45" s="194">
        <v>-1325820.32</v>
      </c>
      <c r="I45" s="194">
        <v>68704503.010000005</v>
      </c>
      <c r="J45" s="194">
        <v>0</v>
      </c>
      <c r="K45" s="194">
        <v>0</v>
      </c>
      <c r="L45" s="194">
        <v>0</v>
      </c>
      <c r="M45" s="194">
        <v>0</v>
      </c>
      <c r="N45" s="194">
        <v>0</v>
      </c>
    </row>
    <row r="46" spans="1:14">
      <c r="A46" s="193" t="s">
        <v>80</v>
      </c>
      <c r="B46" s="193"/>
      <c r="C46" s="193"/>
      <c r="D46" s="193"/>
      <c r="E46" s="193"/>
      <c r="F46" s="194">
        <v>1981340031.22</v>
      </c>
      <c r="G46" s="194">
        <v>135859464.52000001</v>
      </c>
      <c r="H46" s="194">
        <v>-16884006.760000002</v>
      </c>
      <c r="I46" s="194">
        <v>2100315488.98</v>
      </c>
      <c r="J46" s="202">
        <f>+J36+J26+J12</f>
        <v>635295161.18610001</v>
      </c>
      <c r="K46" s="202">
        <f t="shared" ref="K46:N46" si="10">+K36+K26+K12</f>
        <v>44506560.847099997</v>
      </c>
      <c r="L46" s="202">
        <f t="shared" si="10"/>
        <v>-6109448.0663000001</v>
      </c>
      <c r="M46" s="202">
        <f t="shared" si="10"/>
        <v>0</v>
      </c>
      <c r="N46" s="202">
        <f t="shared" si="10"/>
        <v>673692273.97689998</v>
      </c>
    </row>
    <row r="47" spans="1:14">
      <c r="A47" s="195"/>
      <c r="B47" s="195" t="s">
        <v>48</v>
      </c>
      <c r="C47" s="195"/>
      <c r="D47" s="195"/>
      <c r="E47" s="195"/>
      <c r="F47" s="196">
        <v>-10004.200000000001</v>
      </c>
      <c r="G47" s="196">
        <v>0</v>
      </c>
      <c r="H47" s="196">
        <v>-51.64</v>
      </c>
      <c r="I47" s="196">
        <v>-10055.84</v>
      </c>
      <c r="J47" s="196">
        <v>-3501.11</v>
      </c>
      <c r="K47" s="196">
        <v>0</v>
      </c>
      <c r="L47" s="196">
        <v>-18.079999999999998</v>
      </c>
      <c r="M47" s="196">
        <v>0</v>
      </c>
      <c r="N47" s="196">
        <v>-3519.19</v>
      </c>
    </row>
    <row r="48" spans="1:14">
      <c r="A48" s="195"/>
      <c r="B48" s="195" t="s">
        <v>49</v>
      </c>
      <c r="C48" s="195"/>
      <c r="D48" s="195"/>
      <c r="E48" s="195"/>
      <c r="F48" s="196">
        <v>2271925.4700000002</v>
      </c>
      <c r="G48" s="196">
        <v>40.83</v>
      </c>
      <c r="H48" s="196">
        <v>-176776.3</v>
      </c>
      <c r="I48" s="196">
        <v>2095190</v>
      </c>
      <c r="J48" s="196">
        <v>802230.81</v>
      </c>
      <c r="K48" s="196">
        <v>14.29</v>
      </c>
      <c r="L48" s="196">
        <v>-62355.95</v>
      </c>
      <c r="M48" s="196">
        <v>0</v>
      </c>
      <c r="N48" s="196">
        <v>739889.15</v>
      </c>
    </row>
    <row r="49" spans="1:14">
      <c r="A49" s="195"/>
      <c r="B49" s="195" t="s">
        <v>50</v>
      </c>
      <c r="C49" s="195"/>
      <c r="D49" s="195"/>
      <c r="E49" s="195"/>
      <c r="F49" s="196">
        <v>415063410.56</v>
      </c>
      <c r="G49" s="196">
        <v>2914634.74</v>
      </c>
      <c r="H49" s="196">
        <v>-3651096.93</v>
      </c>
      <c r="I49" s="196">
        <v>414326948.37</v>
      </c>
      <c r="J49" s="196">
        <v>145389160.52000001</v>
      </c>
      <c r="K49" s="196">
        <v>1020122.16</v>
      </c>
      <c r="L49" s="196">
        <v>-1277883.93</v>
      </c>
      <c r="M49" s="196">
        <v>0</v>
      </c>
      <c r="N49" s="196">
        <v>145131398.75</v>
      </c>
    </row>
    <row r="50" spans="1:14">
      <c r="A50" s="195"/>
      <c r="B50" s="195" t="s">
        <v>51</v>
      </c>
      <c r="C50" s="195"/>
      <c r="D50" s="195"/>
      <c r="E50" s="195"/>
      <c r="F50" s="196">
        <v>-24484423.25</v>
      </c>
      <c r="G50" s="196">
        <v>0</v>
      </c>
      <c r="H50" s="196">
        <v>330397.17</v>
      </c>
      <c r="I50" s="196">
        <v>-24154026.079999998</v>
      </c>
      <c r="J50" s="196">
        <v>-8587453.5700000003</v>
      </c>
      <c r="K50" s="196">
        <v>0</v>
      </c>
      <c r="L50" s="196">
        <v>115880.63</v>
      </c>
      <c r="M50" s="196">
        <v>0</v>
      </c>
      <c r="N50" s="196">
        <v>-8471572.9399999995</v>
      </c>
    </row>
    <row r="51" spans="1:14">
      <c r="A51" s="195"/>
      <c r="B51" s="195"/>
      <c r="C51" s="195" t="s">
        <v>52</v>
      </c>
      <c r="D51" s="195"/>
      <c r="E51" s="195"/>
      <c r="F51" s="196">
        <v>392840908.57999998</v>
      </c>
      <c r="G51" s="196">
        <v>2914675.57</v>
      </c>
      <c r="H51" s="196">
        <v>-3497527.7</v>
      </c>
      <c r="I51" s="196">
        <v>392258056.44999999</v>
      </c>
      <c r="J51" s="196">
        <v>137600436.65000001</v>
      </c>
      <c r="K51" s="196">
        <v>1020136.45</v>
      </c>
      <c r="L51" s="196">
        <v>-1224377.33</v>
      </c>
      <c r="M51" s="196">
        <v>0</v>
      </c>
      <c r="N51" s="196">
        <v>137396195.77000001</v>
      </c>
    </row>
    <row r="52" spans="1:14">
      <c r="A52" s="195"/>
      <c r="B52" s="195" t="s">
        <v>58</v>
      </c>
      <c r="C52" s="195"/>
      <c r="D52" s="195"/>
      <c r="E52" s="195"/>
      <c r="F52" s="196">
        <v>-561893.52</v>
      </c>
      <c r="G52" s="196">
        <v>0</v>
      </c>
      <c r="H52" s="196">
        <v>-2845.2</v>
      </c>
      <c r="I52" s="196">
        <v>-564738.72</v>
      </c>
      <c r="J52" s="202">
        <f t="shared" ref="J52:J61" si="11">+F52*0.21</f>
        <v>-117997.63920000001</v>
      </c>
      <c r="K52" s="202">
        <f t="shared" ref="K52:K61" si="12">+G52*0.21</f>
        <v>0</v>
      </c>
      <c r="L52" s="202">
        <f t="shared" ref="L52:L61" si="13">+H52*0.21</f>
        <v>-597.49199999999996</v>
      </c>
      <c r="M52" s="194"/>
      <c r="N52" s="202">
        <f t="shared" ref="N52:N56" si="14">+I52*0.21</f>
        <v>-118595.13119999999</v>
      </c>
    </row>
    <row r="53" spans="1:14">
      <c r="A53" s="195"/>
      <c r="B53" s="195" t="s">
        <v>59</v>
      </c>
      <c r="C53" s="195"/>
      <c r="D53" s="195"/>
      <c r="E53" s="195"/>
      <c r="F53" s="196">
        <v>6946726.0800000001</v>
      </c>
      <c r="G53" s="196">
        <v>938.21</v>
      </c>
      <c r="H53" s="196">
        <v>-89280.92</v>
      </c>
      <c r="I53" s="196">
        <v>6858383.3700000001</v>
      </c>
      <c r="J53" s="202">
        <f t="shared" si="11"/>
        <v>1458812.4768000001</v>
      </c>
      <c r="K53" s="202">
        <f t="shared" si="12"/>
        <v>197.0241</v>
      </c>
      <c r="L53" s="202">
        <f t="shared" si="13"/>
        <v>-18748.993199999997</v>
      </c>
      <c r="M53" s="194"/>
      <c r="N53" s="202">
        <f t="shared" si="14"/>
        <v>1440260.5077</v>
      </c>
    </row>
    <row r="54" spans="1:14">
      <c r="A54" s="195"/>
      <c r="B54" s="195" t="s">
        <v>60</v>
      </c>
      <c r="C54" s="195"/>
      <c r="D54" s="195"/>
      <c r="E54" s="195"/>
      <c r="F54" s="196">
        <v>36286.94</v>
      </c>
      <c r="G54" s="196">
        <v>0</v>
      </c>
      <c r="H54" s="196">
        <v>-2623.05</v>
      </c>
      <c r="I54" s="196">
        <v>33663.89</v>
      </c>
      <c r="J54" s="202">
        <f t="shared" si="11"/>
        <v>7620.2574000000004</v>
      </c>
      <c r="K54" s="202">
        <f t="shared" si="12"/>
        <v>0</v>
      </c>
      <c r="L54" s="202">
        <f t="shared" si="13"/>
        <v>-550.84050000000002</v>
      </c>
      <c r="M54" s="194"/>
      <c r="N54" s="202">
        <f t="shared" si="14"/>
        <v>7069.4168999999993</v>
      </c>
    </row>
    <row r="55" spans="1:14">
      <c r="A55" s="195"/>
      <c r="B55" s="195" t="s">
        <v>63</v>
      </c>
      <c r="C55" s="195"/>
      <c r="D55" s="195"/>
      <c r="E55" s="195"/>
      <c r="F55" s="196">
        <v>-1097.69</v>
      </c>
      <c r="G55" s="196">
        <v>0</v>
      </c>
      <c r="H55" s="196">
        <v>10.84</v>
      </c>
      <c r="I55" s="196">
        <v>-1086.8499999999999</v>
      </c>
      <c r="J55" s="202">
        <f t="shared" si="11"/>
        <v>-230.51490000000001</v>
      </c>
      <c r="K55" s="202">
        <f t="shared" si="12"/>
        <v>0</v>
      </c>
      <c r="L55" s="202">
        <f t="shared" si="13"/>
        <v>2.2763999999999998</v>
      </c>
      <c r="M55" s="194"/>
      <c r="N55" s="202">
        <f t="shared" si="14"/>
        <v>-228.23849999999996</v>
      </c>
    </row>
    <row r="56" spans="1:14">
      <c r="A56" s="195"/>
      <c r="B56" s="195" t="s">
        <v>64</v>
      </c>
      <c r="C56" s="195"/>
      <c r="D56" s="195"/>
      <c r="E56" s="195"/>
      <c r="F56" s="196">
        <v>0</v>
      </c>
      <c r="G56" s="196">
        <v>0</v>
      </c>
      <c r="H56" s="196">
        <v>0</v>
      </c>
      <c r="I56" s="196">
        <v>0</v>
      </c>
      <c r="J56" s="202">
        <f t="shared" si="11"/>
        <v>0</v>
      </c>
      <c r="K56" s="202">
        <f t="shared" si="12"/>
        <v>0</v>
      </c>
      <c r="L56" s="202">
        <f t="shared" si="13"/>
        <v>0</v>
      </c>
      <c r="M56" s="194"/>
      <c r="N56" s="202">
        <f t="shared" si="14"/>
        <v>0</v>
      </c>
    </row>
    <row r="57" spans="1:14">
      <c r="A57" s="195"/>
      <c r="B57" s="200" t="s">
        <v>307</v>
      </c>
      <c r="C57" s="195" t="s">
        <v>52</v>
      </c>
      <c r="D57" s="195"/>
      <c r="E57" s="195"/>
      <c r="F57" s="196">
        <v>6420021.8099999996</v>
      </c>
      <c r="G57" s="196">
        <v>938.21</v>
      </c>
      <c r="H57" s="196">
        <v>-94738.33</v>
      </c>
      <c r="I57" s="196">
        <v>6326221.6900000004</v>
      </c>
      <c r="J57" s="202">
        <f>SUM(J52:J56)</f>
        <v>1348204.5800999999</v>
      </c>
      <c r="K57" s="202">
        <f t="shared" ref="K57:N57" si="15">SUM(K52:K56)</f>
        <v>197.0241</v>
      </c>
      <c r="L57" s="202">
        <f t="shared" si="15"/>
        <v>-19895.049299999995</v>
      </c>
      <c r="M57" s="202">
        <f t="shared" si="15"/>
        <v>0</v>
      </c>
      <c r="N57" s="202">
        <f t="shared" si="15"/>
        <v>1328506.5549000001</v>
      </c>
    </row>
    <row r="58" spans="1:14">
      <c r="A58" s="195"/>
      <c r="B58" s="195" t="s">
        <v>65</v>
      </c>
      <c r="C58" s="195"/>
      <c r="D58" s="195"/>
      <c r="E58" s="195"/>
      <c r="F58" s="196">
        <v>-42280.66</v>
      </c>
      <c r="G58" s="196">
        <v>0</v>
      </c>
      <c r="H58" s="196">
        <v>7509.37</v>
      </c>
      <c r="I58" s="196">
        <v>-34771.29</v>
      </c>
      <c r="J58" s="202">
        <f t="shared" si="11"/>
        <v>-8878.9385999999995</v>
      </c>
      <c r="K58" s="202">
        <f t="shared" si="12"/>
        <v>0</v>
      </c>
      <c r="L58" s="202">
        <f t="shared" si="13"/>
        <v>1576.9676999999999</v>
      </c>
      <c r="M58" s="194"/>
      <c r="N58" s="202">
        <f t="shared" ref="N58:N61" si="16">+I58*0.21</f>
        <v>-7301.9709000000003</v>
      </c>
    </row>
    <row r="59" spans="1:14">
      <c r="A59" s="195"/>
      <c r="B59" s="195" t="s">
        <v>66</v>
      </c>
      <c r="C59" s="195"/>
      <c r="D59" s="195"/>
      <c r="E59" s="195"/>
      <c r="F59" s="196">
        <v>-79445.95</v>
      </c>
      <c r="G59" s="196">
        <v>-53611.72</v>
      </c>
      <c r="H59" s="196">
        <v>36960.730000000003</v>
      </c>
      <c r="I59" s="196">
        <v>-96096.94</v>
      </c>
      <c r="J59" s="202">
        <f t="shared" si="11"/>
        <v>-16683.6495</v>
      </c>
      <c r="K59" s="202">
        <f t="shared" si="12"/>
        <v>-11258.4612</v>
      </c>
      <c r="L59" s="202">
        <f t="shared" si="13"/>
        <v>7761.7533000000003</v>
      </c>
      <c r="M59" s="194"/>
      <c r="N59" s="202">
        <f t="shared" si="16"/>
        <v>-20180.357400000001</v>
      </c>
    </row>
    <row r="60" spans="1:14">
      <c r="A60" s="195"/>
      <c r="B60" s="195" t="s">
        <v>67</v>
      </c>
      <c r="C60" s="195"/>
      <c r="D60" s="195"/>
      <c r="E60" s="195"/>
      <c r="F60" s="196">
        <v>-212</v>
      </c>
      <c r="G60" s="196">
        <v>0</v>
      </c>
      <c r="H60" s="196">
        <v>144.4</v>
      </c>
      <c r="I60" s="196">
        <v>-67.599999999999994</v>
      </c>
      <c r="J60" s="202">
        <f t="shared" si="11"/>
        <v>-44.519999999999996</v>
      </c>
      <c r="K60" s="202">
        <f t="shared" si="12"/>
        <v>0</v>
      </c>
      <c r="L60" s="202">
        <f t="shared" si="13"/>
        <v>30.324000000000002</v>
      </c>
      <c r="M60" s="194"/>
      <c r="N60" s="202">
        <f t="shared" si="16"/>
        <v>-14.195999999999998</v>
      </c>
    </row>
    <row r="61" spans="1:14">
      <c r="A61" s="195"/>
      <c r="B61" s="195" t="s">
        <v>71</v>
      </c>
      <c r="C61" s="195"/>
      <c r="D61" s="195"/>
      <c r="E61" s="195"/>
      <c r="F61" s="196">
        <v>0</v>
      </c>
      <c r="G61" s="196">
        <v>0</v>
      </c>
      <c r="H61" s="196">
        <v>0</v>
      </c>
      <c r="I61" s="196">
        <v>0</v>
      </c>
      <c r="J61" s="202">
        <f t="shared" si="11"/>
        <v>0</v>
      </c>
      <c r="K61" s="202">
        <f t="shared" si="12"/>
        <v>0</v>
      </c>
      <c r="L61" s="202">
        <f t="shared" si="13"/>
        <v>0</v>
      </c>
      <c r="M61" s="194"/>
      <c r="N61" s="202">
        <f t="shared" si="16"/>
        <v>0</v>
      </c>
    </row>
    <row r="62" spans="1:14">
      <c r="A62" s="195"/>
      <c r="B62" s="200" t="s">
        <v>308</v>
      </c>
      <c r="C62" s="195" t="s">
        <v>52</v>
      </c>
      <c r="D62" s="195"/>
      <c r="E62" s="195"/>
      <c r="F62" s="196">
        <v>-121938.61</v>
      </c>
      <c r="G62" s="196">
        <v>-53611.72</v>
      </c>
      <c r="H62" s="196">
        <v>44614.5</v>
      </c>
      <c r="I62" s="196">
        <v>-130935.83</v>
      </c>
      <c r="J62" s="202">
        <f>SUM(J58:J61)</f>
        <v>-25607.108100000001</v>
      </c>
      <c r="K62" s="202">
        <f t="shared" ref="K62:N62" si="17">SUM(K58:K61)</f>
        <v>-11258.4612</v>
      </c>
      <c r="L62" s="202">
        <f t="shared" si="17"/>
        <v>9369.0450000000001</v>
      </c>
      <c r="M62" s="202">
        <f t="shared" si="17"/>
        <v>0</v>
      </c>
      <c r="N62" s="202">
        <f t="shared" si="17"/>
        <v>-27496.524300000001</v>
      </c>
    </row>
    <row r="63" spans="1:14">
      <c r="A63" s="195"/>
      <c r="B63" s="195" t="s">
        <v>76</v>
      </c>
      <c r="C63" s="195"/>
      <c r="D63" s="195"/>
      <c r="E63" s="195"/>
      <c r="F63" s="196">
        <v>17156086.829999998</v>
      </c>
      <c r="G63" s="196">
        <v>1607.3</v>
      </c>
      <c r="H63" s="196">
        <v>-216279.43</v>
      </c>
      <c r="I63" s="196">
        <v>16941414.699999999</v>
      </c>
      <c r="J63" s="196">
        <v>0</v>
      </c>
      <c r="K63" s="196">
        <v>0</v>
      </c>
      <c r="L63" s="196">
        <v>0</v>
      </c>
      <c r="M63" s="196">
        <v>0</v>
      </c>
      <c r="N63" s="196">
        <v>0</v>
      </c>
    </row>
    <row r="64" spans="1:14">
      <c r="A64" s="195"/>
      <c r="B64" s="195" t="s">
        <v>77</v>
      </c>
      <c r="C64" s="195"/>
      <c r="D64" s="195"/>
      <c r="E64" s="195"/>
      <c r="F64" s="196">
        <v>0</v>
      </c>
      <c r="G64" s="196">
        <v>0</v>
      </c>
      <c r="H64" s="196">
        <v>0</v>
      </c>
      <c r="I64" s="196">
        <v>0</v>
      </c>
      <c r="J64" s="196">
        <v>0</v>
      </c>
      <c r="K64" s="196">
        <v>0</v>
      </c>
      <c r="L64" s="196">
        <v>0</v>
      </c>
      <c r="M64" s="196">
        <v>0</v>
      </c>
      <c r="N64" s="196">
        <v>0</v>
      </c>
    </row>
    <row r="65" spans="1:14">
      <c r="A65" s="195"/>
      <c r="B65" s="195" t="s">
        <v>79</v>
      </c>
      <c r="C65" s="195"/>
      <c r="D65" s="195"/>
      <c r="E65" s="195"/>
      <c r="F65" s="196">
        <v>0</v>
      </c>
      <c r="G65" s="196">
        <v>0</v>
      </c>
      <c r="H65" s="196">
        <v>0</v>
      </c>
      <c r="I65" s="196">
        <v>0</v>
      </c>
      <c r="J65" s="196">
        <v>0</v>
      </c>
      <c r="K65" s="196">
        <v>0</v>
      </c>
      <c r="L65" s="196">
        <v>0</v>
      </c>
      <c r="M65" s="196">
        <v>0</v>
      </c>
      <c r="N65" s="196">
        <v>0</v>
      </c>
    </row>
    <row r="66" spans="1:14">
      <c r="A66" s="195"/>
      <c r="B66" s="195"/>
      <c r="C66" s="195" t="s">
        <v>52</v>
      </c>
      <c r="D66" s="195"/>
      <c r="E66" s="195"/>
      <c r="F66" s="196">
        <v>17156086.829999998</v>
      </c>
      <c r="G66" s="196">
        <v>1607.3</v>
      </c>
      <c r="H66" s="196">
        <v>-216279.43</v>
      </c>
      <c r="I66" s="196">
        <v>16941414.699999999</v>
      </c>
      <c r="J66" s="196">
        <v>0</v>
      </c>
      <c r="K66" s="196">
        <v>0</v>
      </c>
      <c r="L66" s="196">
        <v>0</v>
      </c>
      <c r="M66" s="196">
        <v>0</v>
      </c>
      <c r="N66" s="196">
        <v>0</v>
      </c>
    </row>
    <row r="67" spans="1:14">
      <c r="A67" s="195" t="s">
        <v>81</v>
      </c>
      <c r="B67" s="195"/>
      <c r="C67" s="195"/>
      <c r="D67" s="195"/>
      <c r="E67" s="195"/>
      <c r="F67" s="196">
        <v>416295078.61000001</v>
      </c>
      <c r="G67" s="196">
        <v>2863609.36</v>
      </c>
      <c r="H67" s="196">
        <v>-3763930.96</v>
      </c>
      <c r="I67" s="196">
        <v>415394757.00999999</v>
      </c>
      <c r="J67" s="202">
        <f>+J51+J57+J62</f>
        <v>138923034.12200001</v>
      </c>
      <c r="K67" s="202">
        <f t="shared" ref="K67:N67" si="18">+K51+K57+K62</f>
        <v>1009075.0129</v>
      </c>
      <c r="L67" s="202">
        <f t="shared" si="18"/>
        <v>-1234903.3343000002</v>
      </c>
      <c r="M67" s="202">
        <f t="shared" si="18"/>
        <v>0</v>
      </c>
      <c r="N67" s="202">
        <f t="shared" si="18"/>
        <v>138697205.80059999</v>
      </c>
    </row>
    <row r="68" spans="1:14">
      <c r="A68" s="190" t="s">
        <v>82</v>
      </c>
      <c r="B68" s="190"/>
      <c r="C68" s="190"/>
      <c r="D68" s="190"/>
      <c r="E68" s="190"/>
      <c r="F68" s="192">
        <v>2397635109.8299999</v>
      </c>
      <c r="G68" s="192">
        <v>138723073.88999999</v>
      </c>
      <c r="H68" s="192">
        <v>-20647937.73</v>
      </c>
      <c r="I68" s="192">
        <v>2515710245.9899998</v>
      </c>
      <c r="J68" s="202">
        <f>+J67+J46</f>
        <v>774218195.30809999</v>
      </c>
      <c r="K68" s="202">
        <f t="shared" ref="K68:N68" si="19">+K67+K46</f>
        <v>45515635.859999999</v>
      </c>
      <c r="L68" s="202">
        <f t="shared" si="19"/>
        <v>-7344351.4006000003</v>
      </c>
      <c r="M68" s="202">
        <f t="shared" si="19"/>
        <v>0</v>
      </c>
      <c r="N68" s="202">
        <f t="shared" si="19"/>
        <v>812389479.77749991</v>
      </c>
    </row>
    <row r="69" spans="1:14">
      <c r="A69" s="190" t="s">
        <v>277</v>
      </c>
      <c r="B69" s="190"/>
      <c r="C69" s="190"/>
      <c r="D69" s="190" t="s">
        <v>289</v>
      </c>
      <c r="E69" s="190"/>
      <c r="F69" s="190"/>
      <c r="G69" s="190"/>
      <c r="H69" s="190"/>
      <c r="I69" s="190"/>
      <c r="J69" s="190"/>
      <c r="K69" s="190"/>
      <c r="L69" s="190"/>
      <c r="M69" s="190"/>
      <c r="N69" s="190"/>
    </row>
    <row r="70" spans="1:14" ht="43.2">
      <c r="A70" s="190"/>
      <c r="B70" s="190"/>
      <c r="C70" s="190"/>
      <c r="D70" s="190"/>
      <c r="E70" s="190"/>
      <c r="F70" s="191" t="s">
        <v>278</v>
      </c>
      <c r="G70" s="190" t="s">
        <v>29</v>
      </c>
      <c r="H70" s="190" t="s">
        <v>47</v>
      </c>
      <c r="I70" s="191" t="s">
        <v>279</v>
      </c>
      <c r="J70" s="191" t="s">
        <v>280</v>
      </c>
      <c r="K70" s="191" t="s">
        <v>281</v>
      </c>
      <c r="L70" s="191" t="s">
        <v>282</v>
      </c>
      <c r="M70" s="191" t="s">
        <v>283</v>
      </c>
      <c r="N70" s="191" t="s">
        <v>284</v>
      </c>
    </row>
    <row r="71" spans="1:14">
      <c r="A71" s="190" t="s">
        <v>285</v>
      </c>
      <c r="B71" s="190"/>
      <c r="C71" s="190"/>
      <c r="D71" s="190">
        <v>2017</v>
      </c>
      <c r="E71" s="190"/>
      <c r="F71" s="190"/>
      <c r="G71" s="190"/>
      <c r="H71" s="190"/>
      <c r="I71" s="190"/>
      <c r="J71" s="190"/>
      <c r="K71" s="190"/>
      <c r="L71" s="190"/>
      <c r="M71" s="190"/>
      <c r="N71" s="190"/>
    </row>
    <row r="72" spans="1:14">
      <c r="A72" s="190"/>
      <c r="B72" s="190" t="s">
        <v>83</v>
      </c>
      <c r="C72" s="190"/>
      <c r="D72" s="190"/>
      <c r="E72" s="190"/>
      <c r="F72" s="192">
        <v>0</v>
      </c>
      <c r="G72" s="192">
        <v>0</v>
      </c>
      <c r="H72" s="192">
        <v>0</v>
      </c>
      <c r="I72" s="192">
        <v>0</v>
      </c>
      <c r="J72" s="192">
        <v>0</v>
      </c>
      <c r="K72" s="192">
        <v>0</v>
      </c>
      <c r="L72" s="192">
        <v>0</v>
      </c>
      <c r="M72" s="192">
        <v>0</v>
      </c>
      <c r="N72" s="192">
        <v>0</v>
      </c>
    </row>
    <row r="73" spans="1:14">
      <c r="A73" s="190"/>
      <c r="B73" s="190"/>
      <c r="C73" s="190" t="s">
        <v>52</v>
      </c>
      <c r="D73" s="190"/>
      <c r="E73" s="190"/>
      <c r="F73" s="192">
        <v>0</v>
      </c>
      <c r="G73" s="192">
        <v>0</v>
      </c>
      <c r="H73" s="192">
        <v>0</v>
      </c>
      <c r="I73" s="192">
        <v>0</v>
      </c>
      <c r="J73" s="192">
        <v>0</v>
      </c>
      <c r="K73" s="192">
        <v>0</v>
      </c>
      <c r="L73" s="192">
        <v>0</v>
      </c>
      <c r="M73" s="192">
        <v>0</v>
      </c>
      <c r="N73" s="192">
        <v>0</v>
      </c>
    </row>
    <row r="74" spans="1:14">
      <c r="A74" s="190"/>
      <c r="B74" s="190" t="s">
        <v>84</v>
      </c>
      <c r="C74" s="190"/>
      <c r="D74" s="190"/>
      <c r="E74" s="190"/>
      <c r="F74" s="192">
        <v>0</v>
      </c>
      <c r="G74" s="192">
        <v>0</v>
      </c>
      <c r="H74" s="192">
        <v>0</v>
      </c>
      <c r="I74" s="192">
        <v>0</v>
      </c>
      <c r="J74" s="192">
        <v>0</v>
      </c>
      <c r="K74" s="192">
        <v>0</v>
      </c>
      <c r="L74" s="192">
        <v>0</v>
      </c>
      <c r="M74" s="192">
        <v>0</v>
      </c>
      <c r="N74" s="192">
        <v>0</v>
      </c>
    </row>
    <row r="75" spans="1:14">
      <c r="A75" s="190"/>
      <c r="B75" s="190" t="s">
        <v>85</v>
      </c>
      <c r="C75" s="190"/>
      <c r="D75" s="190"/>
      <c r="E75" s="190"/>
      <c r="F75" s="192">
        <v>0</v>
      </c>
      <c r="G75" s="192">
        <v>0</v>
      </c>
      <c r="H75" s="192">
        <v>0</v>
      </c>
      <c r="I75" s="192">
        <v>0</v>
      </c>
      <c r="J75" s="192">
        <v>0</v>
      </c>
      <c r="K75" s="192">
        <v>0</v>
      </c>
      <c r="L75" s="192">
        <v>0</v>
      </c>
      <c r="M75" s="192">
        <v>0</v>
      </c>
      <c r="N75" s="192">
        <v>0</v>
      </c>
    </row>
    <row r="76" spans="1:14">
      <c r="A76" s="190"/>
      <c r="B76" s="190" t="s">
        <v>86</v>
      </c>
      <c r="C76" s="190"/>
      <c r="D76" s="190"/>
      <c r="E76" s="190"/>
      <c r="F76" s="192">
        <v>0</v>
      </c>
      <c r="G76" s="192">
        <v>0</v>
      </c>
      <c r="H76" s="192">
        <v>0</v>
      </c>
      <c r="I76" s="192">
        <v>0</v>
      </c>
      <c r="J76" s="192">
        <v>0</v>
      </c>
      <c r="K76" s="192">
        <v>0</v>
      </c>
      <c r="L76" s="192">
        <v>0</v>
      </c>
      <c r="M76" s="192">
        <v>0</v>
      </c>
      <c r="N76" s="192">
        <v>0</v>
      </c>
    </row>
    <row r="77" spans="1:14">
      <c r="A77" s="190"/>
      <c r="B77" s="190"/>
      <c r="C77" s="190" t="s">
        <v>52</v>
      </c>
      <c r="D77" s="190"/>
      <c r="E77" s="190"/>
      <c r="F77" s="192">
        <v>0</v>
      </c>
      <c r="G77" s="192">
        <v>0</v>
      </c>
      <c r="H77" s="192">
        <v>0</v>
      </c>
      <c r="I77" s="192">
        <v>0</v>
      </c>
      <c r="J77" s="192">
        <v>0</v>
      </c>
      <c r="K77" s="192">
        <v>0</v>
      </c>
      <c r="L77" s="192">
        <v>0</v>
      </c>
      <c r="M77" s="192">
        <v>0</v>
      </c>
      <c r="N77" s="192">
        <v>0</v>
      </c>
    </row>
    <row r="78" spans="1:14">
      <c r="A78" s="190"/>
      <c r="B78" s="190" t="s">
        <v>87</v>
      </c>
      <c r="C78" s="190"/>
      <c r="D78" s="190"/>
      <c r="E78" s="190"/>
      <c r="F78" s="192">
        <v>0</v>
      </c>
      <c r="G78" s="192">
        <v>0</v>
      </c>
      <c r="H78" s="192">
        <v>0</v>
      </c>
      <c r="I78" s="192">
        <v>0</v>
      </c>
      <c r="J78" s="192">
        <v>0</v>
      </c>
      <c r="K78" s="192">
        <v>0</v>
      </c>
      <c r="L78" s="192">
        <v>0</v>
      </c>
      <c r="M78" s="192">
        <v>0</v>
      </c>
      <c r="N78" s="192">
        <v>0</v>
      </c>
    </row>
    <row r="79" spans="1:14">
      <c r="A79" s="190"/>
      <c r="B79" s="190" t="s">
        <v>88</v>
      </c>
      <c r="C79" s="190"/>
      <c r="D79" s="190"/>
      <c r="E79" s="190"/>
      <c r="F79" s="192">
        <v>0</v>
      </c>
      <c r="G79" s="192">
        <v>0</v>
      </c>
      <c r="H79" s="192">
        <v>0</v>
      </c>
      <c r="I79" s="192">
        <v>0</v>
      </c>
      <c r="J79" s="192">
        <v>0</v>
      </c>
      <c r="K79" s="192">
        <v>0</v>
      </c>
      <c r="L79" s="192">
        <v>0</v>
      </c>
      <c r="M79" s="192">
        <v>0</v>
      </c>
      <c r="N79" s="192">
        <v>0</v>
      </c>
    </row>
    <row r="80" spans="1:14">
      <c r="A80" s="190"/>
      <c r="B80" s="190" t="s">
        <v>89</v>
      </c>
      <c r="C80" s="190"/>
      <c r="D80" s="190"/>
      <c r="E80" s="190"/>
      <c r="F80" s="192">
        <v>0</v>
      </c>
      <c r="G80" s="192">
        <v>0</v>
      </c>
      <c r="H80" s="192">
        <v>0</v>
      </c>
      <c r="I80" s="192">
        <v>0</v>
      </c>
      <c r="J80" s="192">
        <v>0</v>
      </c>
      <c r="K80" s="192">
        <v>0</v>
      </c>
      <c r="L80" s="192">
        <v>0</v>
      </c>
      <c r="M80" s="192">
        <v>0</v>
      </c>
      <c r="N80" s="192">
        <v>0</v>
      </c>
    </row>
    <row r="81" spans="1:14">
      <c r="A81" s="190"/>
      <c r="B81" s="190" t="s">
        <v>90</v>
      </c>
      <c r="C81" s="190"/>
      <c r="D81" s="190"/>
      <c r="E81" s="190"/>
      <c r="F81" s="192">
        <v>0</v>
      </c>
      <c r="G81" s="192">
        <v>0</v>
      </c>
      <c r="H81" s="192">
        <v>0</v>
      </c>
      <c r="I81" s="192">
        <v>0</v>
      </c>
      <c r="J81" s="192">
        <v>0</v>
      </c>
      <c r="K81" s="192">
        <v>0</v>
      </c>
      <c r="L81" s="192">
        <v>0</v>
      </c>
      <c r="M81" s="192">
        <v>0</v>
      </c>
      <c r="N81" s="192">
        <v>0</v>
      </c>
    </row>
    <row r="82" spans="1:14">
      <c r="A82" s="190"/>
      <c r="B82" s="190"/>
      <c r="C82" s="190" t="s">
        <v>52</v>
      </c>
      <c r="D82" s="190"/>
      <c r="E82" s="190"/>
      <c r="F82" s="192">
        <v>0</v>
      </c>
      <c r="G82" s="192">
        <v>0</v>
      </c>
      <c r="H82" s="192">
        <v>0</v>
      </c>
      <c r="I82" s="192">
        <v>0</v>
      </c>
      <c r="J82" s="192">
        <v>0</v>
      </c>
      <c r="K82" s="192">
        <v>0</v>
      </c>
      <c r="L82" s="192">
        <v>0</v>
      </c>
      <c r="M82" s="192">
        <v>0</v>
      </c>
      <c r="N82" s="192">
        <v>0</v>
      </c>
    </row>
    <row r="83" spans="1:14">
      <c r="A83" s="190"/>
      <c r="B83" s="190" t="s">
        <v>91</v>
      </c>
      <c r="C83" s="190"/>
      <c r="D83" s="190"/>
      <c r="E83" s="190"/>
      <c r="F83" s="192">
        <v>0</v>
      </c>
      <c r="G83" s="192">
        <v>0</v>
      </c>
      <c r="H83" s="192">
        <v>0</v>
      </c>
      <c r="I83" s="192">
        <v>0</v>
      </c>
      <c r="J83" s="192">
        <v>0</v>
      </c>
      <c r="K83" s="192">
        <v>0</v>
      </c>
      <c r="L83" s="192">
        <v>0</v>
      </c>
      <c r="M83" s="192">
        <v>0</v>
      </c>
      <c r="N83" s="192">
        <v>0</v>
      </c>
    </row>
    <row r="84" spans="1:14">
      <c r="A84" s="190"/>
      <c r="B84" s="190"/>
      <c r="C84" s="190" t="s">
        <v>52</v>
      </c>
      <c r="D84" s="190"/>
      <c r="E84" s="190"/>
      <c r="F84" s="192">
        <v>0</v>
      </c>
      <c r="G84" s="192">
        <v>0</v>
      </c>
      <c r="H84" s="192">
        <v>0</v>
      </c>
      <c r="I84" s="192">
        <v>0</v>
      </c>
      <c r="J84" s="192">
        <v>0</v>
      </c>
      <c r="K84" s="192">
        <v>0</v>
      </c>
      <c r="L84" s="192">
        <v>0</v>
      </c>
      <c r="M84" s="192">
        <v>0</v>
      </c>
      <c r="N84" s="192">
        <v>0</v>
      </c>
    </row>
    <row r="85" spans="1:14">
      <c r="A85" s="190" t="s">
        <v>80</v>
      </c>
      <c r="B85" s="190"/>
      <c r="C85" s="190"/>
      <c r="D85" s="190"/>
      <c r="E85" s="190"/>
      <c r="F85" s="192">
        <v>0</v>
      </c>
      <c r="G85" s="192">
        <v>0</v>
      </c>
      <c r="H85" s="192">
        <v>0</v>
      </c>
      <c r="I85" s="192">
        <v>0</v>
      </c>
      <c r="J85" s="192">
        <v>0</v>
      </c>
      <c r="K85" s="192">
        <v>0</v>
      </c>
      <c r="L85" s="192">
        <v>0</v>
      </c>
      <c r="M85" s="192">
        <v>0</v>
      </c>
      <c r="N85" s="192">
        <v>0</v>
      </c>
    </row>
    <row r="86" spans="1:14">
      <c r="A86" s="190" t="s">
        <v>82</v>
      </c>
      <c r="B86" s="190"/>
      <c r="C86" s="190"/>
      <c r="D86" s="190"/>
      <c r="E86" s="190"/>
      <c r="F86" s="192">
        <v>0</v>
      </c>
      <c r="G86" s="192">
        <v>0</v>
      </c>
      <c r="H86" s="192">
        <v>0</v>
      </c>
      <c r="I86" s="192">
        <v>0</v>
      </c>
      <c r="J86" s="192">
        <v>0</v>
      </c>
      <c r="K86" s="192">
        <v>0</v>
      </c>
      <c r="L86" s="192">
        <v>0</v>
      </c>
      <c r="M86" s="192">
        <v>0</v>
      </c>
      <c r="N86" s="192">
        <v>0</v>
      </c>
    </row>
    <row r="87" spans="1:14">
      <c r="A87" s="190" t="s">
        <v>277</v>
      </c>
      <c r="B87" s="190"/>
      <c r="C87" s="190"/>
      <c r="D87" s="190" t="s">
        <v>290</v>
      </c>
      <c r="E87" s="190"/>
      <c r="F87" s="190"/>
      <c r="G87" s="190"/>
      <c r="H87" s="190"/>
      <c r="I87" s="190"/>
      <c r="J87" s="190"/>
      <c r="K87" s="190"/>
      <c r="L87" s="190"/>
      <c r="M87" s="190"/>
      <c r="N87" s="190"/>
    </row>
    <row r="88" spans="1:14" ht="43.2">
      <c r="A88" s="190"/>
      <c r="B88" s="190"/>
      <c r="C88" s="190"/>
      <c r="D88" s="190"/>
      <c r="E88" s="190"/>
      <c r="F88" s="191" t="s">
        <v>278</v>
      </c>
      <c r="G88" s="190" t="s">
        <v>29</v>
      </c>
      <c r="H88" s="190" t="s">
        <v>47</v>
      </c>
      <c r="I88" s="191" t="s">
        <v>279</v>
      </c>
      <c r="J88" s="191" t="s">
        <v>280</v>
      </c>
      <c r="K88" s="191" t="s">
        <v>281</v>
      </c>
      <c r="L88" s="191" t="s">
        <v>282</v>
      </c>
      <c r="M88" s="191" t="s">
        <v>283</v>
      </c>
      <c r="N88" s="191" t="s">
        <v>284</v>
      </c>
    </row>
    <row r="89" spans="1:14">
      <c r="A89" s="190" t="s">
        <v>285</v>
      </c>
      <c r="B89" s="190"/>
      <c r="C89" s="190"/>
      <c r="D89" s="190">
        <v>2017</v>
      </c>
      <c r="E89" s="190"/>
      <c r="F89" s="190"/>
      <c r="G89" s="190"/>
      <c r="H89" s="190"/>
      <c r="I89" s="190"/>
      <c r="J89" s="190"/>
      <c r="K89" s="190"/>
      <c r="L89" s="190"/>
      <c r="M89" s="190"/>
      <c r="N89" s="190"/>
    </row>
    <row r="90" spans="1:14">
      <c r="A90" s="193"/>
      <c r="B90" s="193" t="s">
        <v>92</v>
      </c>
      <c r="C90" s="193"/>
      <c r="D90" s="193"/>
      <c r="E90" s="193"/>
      <c r="F90" s="194">
        <v>-254118620.34999999</v>
      </c>
      <c r="G90" s="194">
        <v>-7283321.04</v>
      </c>
      <c r="H90" s="194">
        <v>9531120.8699999992</v>
      </c>
      <c r="I90" s="194">
        <v>-251870820.52000001</v>
      </c>
      <c r="J90" s="194">
        <v>4903576.07</v>
      </c>
      <c r="K90" s="194">
        <v>140203.93</v>
      </c>
      <c r="L90" s="194">
        <v>-184407.79</v>
      </c>
      <c r="M90" s="194">
        <v>0</v>
      </c>
      <c r="N90" s="194">
        <v>4859372.21</v>
      </c>
    </row>
    <row r="91" spans="1:14">
      <c r="A91" s="193"/>
      <c r="B91" s="193" t="s">
        <v>93</v>
      </c>
      <c r="C91" s="193"/>
      <c r="D91" s="193"/>
      <c r="E91" s="193"/>
      <c r="F91" s="194">
        <v>1605967.51</v>
      </c>
      <c r="G91" s="194">
        <v>142145.97</v>
      </c>
      <c r="H91" s="194">
        <v>-69622.98</v>
      </c>
      <c r="I91" s="194">
        <v>1678490.5</v>
      </c>
      <c r="J91" s="194">
        <v>-35129.85</v>
      </c>
      <c r="K91" s="194">
        <v>-2736.31</v>
      </c>
      <c r="L91" s="194">
        <v>1663.27</v>
      </c>
      <c r="M91" s="194">
        <v>0</v>
      </c>
      <c r="N91" s="194">
        <v>-36202.89</v>
      </c>
    </row>
    <row r="92" spans="1:14">
      <c r="A92" s="193"/>
      <c r="B92" s="193" t="s">
        <v>94</v>
      </c>
      <c r="C92" s="193"/>
      <c r="D92" s="193"/>
      <c r="E92" s="193"/>
      <c r="F92" s="194">
        <v>13886296.32</v>
      </c>
      <c r="G92" s="194">
        <v>47355.839999999997</v>
      </c>
      <c r="H92" s="194">
        <v>-2231473.42</v>
      </c>
      <c r="I92" s="194">
        <v>11702178.74</v>
      </c>
      <c r="J92" s="194">
        <v>-265091.51</v>
      </c>
      <c r="K92" s="194">
        <v>-911.6</v>
      </c>
      <c r="L92" s="194">
        <v>43508.5</v>
      </c>
      <c r="M92" s="194">
        <v>0</v>
      </c>
      <c r="N92" s="194">
        <v>-222494.61</v>
      </c>
    </row>
    <row r="93" spans="1:14">
      <c r="A93" s="193"/>
      <c r="B93" s="193" t="s">
        <v>95</v>
      </c>
      <c r="C93" s="193"/>
      <c r="D93" s="193"/>
      <c r="E93" s="193"/>
      <c r="F93" s="194">
        <v>1654607730.8299999</v>
      </c>
      <c r="G93" s="194">
        <v>105917427.01000001</v>
      </c>
      <c r="H93" s="194">
        <v>-27181650.109999999</v>
      </c>
      <c r="I93" s="194">
        <v>1733343507.73</v>
      </c>
      <c r="J93" s="194">
        <v>-31871667.030000001</v>
      </c>
      <c r="K93" s="194">
        <v>-2038910.47</v>
      </c>
      <c r="L93" s="194">
        <v>524646.04</v>
      </c>
      <c r="M93" s="194">
        <v>0</v>
      </c>
      <c r="N93" s="194">
        <v>-33385931.460000001</v>
      </c>
    </row>
    <row r="94" spans="1:14">
      <c r="A94" s="193"/>
      <c r="B94" s="193"/>
      <c r="C94" s="193" t="s">
        <v>52</v>
      </c>
      <c r="D94" s="193"/>
      <c r="E94" s="193"/>
      <c r="F94" s="194">
        <v>1415981374.3099999</v>
      </c>
      <c r="G94" s="194">
        <v>98823607.790000007</v>
      </c>
      <c r="H94" s="194">
        <v>-19951625.649999999</v>
      </c>
      <c r="I94" s="194">
        <v>1494853356.45</v>
      </c>
      <c r="J94" s="194">
        <v>-27268312.32</v>
      </c>
      <c r="K94" s="194">
        <v>-1902354.45</v>
      </c>
      <c r="L94" s="194">
        <v>385410.02</v>
      </c>
      <c r="M94" s="194">
        <v>0</v>
      </c>
      <c r="N94" s="194">
        <v>-28785256.75</v>
      </c>
    </row>
    <row r="95" spans="1:14">
      <c r="A95" s="193"/>
      <c r="B95" s="193" t="s">
        <v>96</v>
      </c>
      <c r="C95" s="193"/>
      <c r="D95" s="193"/>
      <c r="E95" s="193"/>
      <c r="F95" s="194">
        <v>0</v>
      </c>
      <c r="G95" s="194">
        <v>0</v>
      </c>
      <c r="H95" s="194">
        <v>0</v>
      </c>
      <c r="I95" s="194">
        <v>0</v>
      </c>
      <c r="J95" s="202">
        <f>+F95*-0.01155</f>
        <v>0</v>
      </c>
      <c r="K95" s="202">
        <f t="shared" ref="K95:L95" si="20">+G95*-0.01155</f>
        <v>0</v>
      </c>
      <c r="L95" s="202">
        <f t="shared" si="20"/>
        <v>0</v>
      </c>
      <c r="M95" s="194"/>
      <c r="N95" s="202">
        <f>+I95*-0.01155</f>
        <v>0</v>
      </c>
    </row>
    <row r="96" spans="1:14">
      <c r="A96" s="193"/>
      <c r="B96" s="193" t="s">
        <v>275</v>
      </c>
      <c r="C96" s="193"/>
      <c r="D96" s="193"/>
      <c r="E96" s="193"/>
      <c r="F96" s="194">
        <v>824992.22</v>
      </c>
      <c r="G96" s="194">
        <v>0</v>
      </c>
      <c r="H96" s="194">
        <v>0</v>
      </c>
      <c r="I96" s="194">
        <v>824992.22</v>
      </c>
      <c r="J96" s="202">
        <f t="shared" ref="J96:J106" si="21">+F96*-0.01155</f>
        <v>-9528.6601409999985</v>
      </c>
      <c r="K96" s="202">
        <f t="shared" ref="K96:K106" si="22">+G96*-0.01155</f>
        <v>0</v>
      </c>
      <c r="L96" s="202">
        <f t="shared" ref="L96:L106" si="23">+H96*-0.01155</f>
        <v>0</v>
      </c>
      <c r="M96" s="194"/>
      <c r="N96" s="202">
        <f t="shared" ref="N96:N106" si="24">+I96*-0.01155</f>
        <v>-9528.6601409999985</v>
      </c>
    </row>
    <row r="97" spans="1:14">
      <c r="A97" s="193"/>
      <c r="B97" s="193" t="s">
        <v>97</v>
      </c>
      <c r="C97" s="193"/>
      <c r="D97" s="193"/>
      <c r="E97" s="193"/>
      <c r="F97" s="194">
        <v>0</v>
      </c>
      <c r="G97" s="194">
        <v>0</v>
      </c>
      <c r="H97" s="194">
        <v>0</v>
      </c>
      <c r="I97" s="194">
        <v>0</v>
      </c>
      <c r="J97" s="202">
        <f t="shared" si="21"/>
        <v>0</v>
      </c>
      <c r="K97" s="202">
        <f t="shared" si="22"/>
        <v>0</v>
      </c>
      <c r="L97" s="202">
        <f t="shared" si="23"/>
        <v>0</v>
      </c>
      <c r="M97" s="194"/>
      <c r="N97" s="202">
        <f t="shared" si="24"/>
        <v>0</v>
      </c>
    </row>
    <row r="98" spans="1:14">
      <c r="A98" s="193"/>
      <c r="B98" s="193" t="s">
        <v>98</v>
      </c>
      <c r="C98" s="193"/>
      <c r="D98" s="193"/>
      <c r="E98" s="193"/>
      <c r="F98" s="194">
        <v>0</v>
      </c>
      <c r="G98" s="194">
        <v>0</v>
      </c>
      <c r="H98" s="194">
        <v>0</v>
      </c>
      <c r="I98" s="194">
        <v>0</v>
      </c>
      <c r="J98" s="202">
        <f t="shared" si="21"/>
        <v>0</v>
      </c>
      <c r="K98" s="202">
        <f t="shared" si="22"/>
        <v>0</v>
      </c>
      <c r="L98" s="202">
        <f t="shared" si="23"/>
        <v>0</v>
      </c>
      <c r="M98" s="194"/>
      <c r="N98" s="202">
        <f t="shared" si="24"/>
        <v>0</v>
      </c>
    </row>
    <row r="99" spans="1:14">
      <c r="A99" s="193"/>
      <c r="B99" s="193" t="s">
        <v>99</v>
      </c>
      <c r="C99" s="193"/>
      <c r="D99" s="193"/>
      <c r="E99" s="193"/>
      <c r="F99" s="194">
        <v>-1304353.06</v>
      </c>
      <c r="G99" s="194">
        <v>0</v>
      </c>
      <c r="H99" s="194">
        <v>0</v>
      </c>
      <c r="I99" s="194">
        <v>-1304353.06</v>
      </c>
      <c r="J99" s="202">
        <f t="shared" si="21"/>
        <v>15065.277843</v>
      </c>
      <c r="K99" s="202">
        <f t="shared" si="22"/>
        <v>0</v>
      </c>
      <c r="L99" s="202">
        <f t="shared" si="23"/>
        <v>0</v>
      </c>
      <c r="M99" s="194"/>
      <c r="N99" s="202">
        <f t="shared" si="24"/>
        <v>15065.277843</v>
      </c>
    </row>
    <row r="100" spans="1:14">
      <c r="A100" s="193"/>
      <c r="B100" s="193" t="s">
        <v>100</v>
      </c>
      <c r="C100" s="193"/>
      <c r="D100" s="193"/>
      <c r="E100" s="193"/>
      <c r="F100" s="194">
        <v>-11529650.02</v>
      </c>
      <c r="G100" s="194">
        <v>0</v>
      </c>
      <c r="H100" s="194">
        <v>94260.84</v>
      </c>
      <c r="I100" s="194">
        <v>-11435389.18</v>
      </c>
      <c r="J100" s="202">
        <f t="shared" si="21"/>
        <v>133167.457731</v>
      </c>
      <c r="K100" s="202">
        <f t="shared" si="22"/>
        <v>0</v>
      </c>
      <c r="L100" s="202">
        <f t="shared" si="23"/>
        <v>-1088.7127019999998</v>
      </c>
      <c r="M100" s="194"/>
      <c r="N100" s="202">
        <f t="shared" si="24"/>
        <v>132078.74502899998</v>
      </c>
    </row>
    <row r="101" spans="1:14">
      <c r="A101" s="193"/>
      <c r="B101" s="193" t="s">
        <v>101</v>
      </c>
      <c r="C101" s="193"/>
      <c r="D101" s="193"/>
      <c r="E101" s="193"/>
      <c r="F101" s="194">
        <v>30294794.460000001</v>
      </c>
      <c r="G101" s="194">
        <v>34061.79</v>
      </c>
      <c r="H101" s="194">
        <v>-602115.01</v>
      </c>
      <c r="I101" s="194">
        <v>29726741.239999998</v>
      </c>
      <c r="J101" s="202">
        <f t="shared" si="21"/>
        <v>-349904.87601299997</v>
      </c>
      <c r="K101" s="202">
        <f t="shared" si="22"/>
        <v>-393.41367450000001</v>
      </c>
      <c r="L101" s="202">
        <f t="shared" si="23"/>
        <v>6954.4283654999999</v>
      </c>
      <c r="M101" s="194"/>
      <c r="N101" s="202">
        <f t="shared" si="24"/>
        <v>-343343.86132199998</v>
      </c>
    </row>
    <row r="102" spans="1:14">
      <c r="A102" s="193"/>
      <c r="B102" s="193" t="s">
        <v>102</v>
      </c>
      <c r="C102" s="193"/>
      <c r="D102" s="193"/>
      <c r="E102" s="193"/>
      <c r="F102" s="194">
        <v>7576745.3200000003</v>
      </c>
      <c r="G102" s="194">
        <v>0</v>
      </c>
      <c r="H102" s="194">
        <v>-890637.33</v>
      </c>
      <c r="I102" s="194">
        <v>6686107.9900000002</v>
      </c>
      <c r="J102" s="202">
        <f t="shared" si="21"/>
        <v>-87511.408446000001</v>
      </c>
      <c r="K102" s="202">
        <f t="shared" si="22"/>
        <v>0</v>
      </c>
      <c r="L102" s="202">
        <f t="shared" si="23"/>
        <v>10286.861161499999</v>
      </c>
      <c r="M102" s="194"/>
      <c r="N102" s="202">
        <f t="shared" si="24"/>
        <v>-77224.547284500004</v>
      </c>
    </row>
    <row r="103" spans="1:14">
      <c r="A103" s="193"/>
      <c r="B103" s="193" t="s">
        <v>103</v>
      </c>
      <c r="C103" s="193"/>
      <c r="D103" s="193"/>
      <c r="E103" s="193"/>
      <c r="F103" s="194">
        <v>9273330.4199999999</v>
      </c>
      <c r="G103" s="194">
        <v>0</v>
      </c>
      <c r="H103" s="194">
        <v>-513878.33</v>
      </c>
      <c r="I103" s="194">
        <v>8759452.0899999999</v>
      </c>
      <c r="J103" s="202">
        <f t="shared" si="21"/>
        <v>-107106.966351</v>
      </c>
      <c r="K103" s="202">
        <f t="shared" si="22"/>
        <v>0</v>
      </c>
      <c r="L103" s="202">
        <f t="shared" si="23"/>
        <v>5935.2947114999997</v>
      </c>
      <c r="M103" s="194"/>
      <c r="N103" s="202">
        <f t="shared" si="24"/>
        <v>-101171.6716395</v>
      </c>
    </row>
    <row r="104" spans="1:14">
      <c r="A104" s="193"/>
      <c r="B104" s="193" t="s">
        <v>104</v>
      </c>
      <c r="C104" s="193"/>
      <c r="D104" s="193"/>
      <c r="E104" s="193"/>
      <c r="F104" s="194">
        <v>260560283.37</v>
      </c>
      <c r="G104" s="194">
        <v>60000000</v>
      </c>
      <c r="H104" s="194">
        <v>-5770743.6900000004</v>
      </c>
      <c r="I104" s="194">
        <v>314789539.68000001</v>
      </c>
      <c r="J104" s="202">
        <f t="shared" si="21"/>
        <v>-3009471.2729234998</v>
      </c>
      <c r="K104" s="202">
        <f t="shared" si="22"/>
        <v>-693000</v>
      </c>
      <c r="L104" s="202">
        <f t="shared" si="23"/>
        <v>66652.089619499995</v>
      </c>
      <c r="M104" s="194"/>
      <c r="N104" s="202">
        <f t="shared" si="24"/>
        <v>-3635819.1833039997</v>
      </c>
    </row>
    <row r="105" spans="1:14">
      <c r="A105" s="193"/>
      <c r="B105" s="193" t="s">
        <v>233</v>
      </c>
      <c r="C105" s="193"/>
      <c r="D105" s="193"/>
      <c r="E105" s="193"/>
      <c r="F105" s="194">
        <v>90749.1</v>
      </c>
      <c r="G105" s="194">
        <v>0</v>
      </c>
      <c r="H105" s="194">
        <v>-13619.93</v>
      </c>
      <c r="I105" s="194">
        <v>77129.17</v>
      </c>
      <c r="J105" s="202">
        <f t="shared" si="21"/>
        <v>-1048.1521050000001</v>
      </c>
      <c r="K105" s="202">
        <f t="shared" si="22"/>
        <v>0</v>
      </c>
      <c r="L105" s="202">
        <f t="shared" si="23"/>
        <v>157.3101915</v>
      </c>
      <c r="M105" s="194"/>
      <c r="N105" s="202">
        <f t="shared" si="24"/>
        <v>-890.84191349999992</v>
      </c>
    </row>
    <row r="106" spans="1:14">
      <c r="A106" s="193"/>
      <c r="B106" s="193" t="s">
        <v>291</v>
      </c>
      <c r="C106" s="193"/>
      <c r="D106" s="193"/>
      <c r="E106" s="193"/>
      <c r="F106" s="194">
        <v>0</v>
      </c>
      <c r="G106" s="194">
        <v>-32534000</v>
      </c>
      <c r="H106" s="194">
        <v>121913.11</v>
      </c>
      <c r="I106" s="194">
        <v>-32412086.890000001</v>
      </c>
      <c r="J106" s="202">
        <f t="shared" si="21"/>
        <v>0</v>
      </c>
      <c r="K106" s="202">
        <f t="shared" si="22"/>
        <v>375767.7</v>
      </c>
      <c r="L106" s="202">
        <f t="shared" si="23"/>
        <v>-1408.0964205</v>
      </c>
      <c r="M106" s="194"/>
      <c r="N106" s="202">
        <f t="shared" si="24"/>
        <v>374359.60357949999</v>
      </c>
    </row>
    <row r="107" spans="1:14">
      <c r="A107" s="193"/>
      <c r="B107" s="200" t="s">
        <v>307</v>
      </c>
      <c r="C107" s="193" t="s">
        <v>52</v>
      </c>
      <c r="D107" s="193"/>
      <c r="E107" s="193"/>
      <c r="F107" s="194">
        <v>295786891.81</v>
      </c>
      <c r="G107" s="194">
        <v>27500061.789999999</v>
      </c>
      <c r="H107" s="194">
        <v>-7574820.3399999999</v>
      </c>
      <c r="I107" s="194">
        <v>315712133.25999999</v>
      </c>
      <c r="J107" s="202">
        <f>SUM(J95:J106)</f>
        <v>-3416338.6004054998</v>
      </c>
      <c r="K107" s="202">
        <f t="shared" ref="K107:N107" si="25">SUM(K95:K106)</f>
        <v>-317625.71367449994</v>
      </c>
      <c r="L107" s="202">
        <f t="shared" si="25"/>
        <v>87489.174926999985</v>
      </c>
      <c r="M107" s="202">
        <f t="shared" si="25"/>
        <v>0</v>
      </c>
      <c r="N107" s="202">
        <f t="shared" si="25"/>
        <v>-3646475.139153</v>
      </c>
    </row>
    <row r="108" spans="1:14">
      <c r="A108" s="193"/>
      <c r="B108" s="193" t="s">
        <v>105</v>
      </c>
      <c r="C108" s="193"/>
      <c r="D108" s="193"/>
      <c r="E108" s="193"/>
      <c r="F108" s="194">
        <v>-1507995.62</v>
      </c>
      <c r="G108" s="194">
        <v>0</v>
      </c>
      <c r="H108" s="194">
        <v>854258.52</v>
      </c>
      <c r="I108" s="194">
        <v>-653737.1</v>
      </c>
      <c r="J108" s="202">
        <f t="shared" ref="J108:J113" si="26">+F108*-0.01155</f>
        <v>17417.349410999999</v>
      </c>
      <c r="K108" s="202">
        <f t="shared" ref="K108:K113" si="27">+G108*-0.01155</f>
        <v>0</v>
      </c>
      <c r="L108" s="202">
        <f t="shared" ref="L108:L113" si="28">+H108*-0.01155</f>
        <v>-9866.6859060000006</v>
      </c>
      <c r="M108" s="194"/>
      <c r="N108" s="202">
        <f t="shared" ref="N108:N113" si="29">+I108*-0.01155</f>
        <v>7550.6635049999995</v>
      </c>
    </row>
    <row r="109" spans="1:14">
      <c r="A109" s="193"/>
      <c r="B109" s="193" t="s">
        <v>106</v>
      </c>
      <c r="C109" s="193"/>
      <c r="D109" s="193"/>
      <c r="E109" s="193"/>
      <c r="F109" s="194">
        <v>-58292845.75</v>
      </c>
      <c r="G109" s="194">
        <v>-1946388.28</v>
      </c>
      <c r="H109" s="194">
        <v>6904157.3899999997</v>
      </c>
      <c r="I109" s="194">
        <v>-53335076.640000001</v>
      </c>
      <c r="J109" s="202">
        <f t="shared" si="26"/>
        <v>673282.36841250001</v>
      </c>
      <c r="K109" s="202">
        <f t="shared" si="27"/>
        <v>22480.784634</v>
      </c>
      <c r="L109" s="202">
        <f t="shared" si="28"/>
        <v>-79743.017854499994</v>
      </c>
      <c r="M109" s="194"/>
      <c r="N109" s="202">
        <f t="shared" si="29"/>
        <v>616020.13519199996</v>
      </c>
    </row>
    <row r="110" spans="1:14">
      <c r="A110" s="193"/>
      <c r="B110" s="193" t="s">
        <v>107</v>
      </c>
      <c r="C110" s="193"/>
      <c r="D110" s="193"/>
      <c r="E110" s="193"/>
      <c r="F110" s="194">
        <v>-366887.96</v>
      </c>
      <c r="G110" s="194">
        <v>0</v>
      </c>
      <c r="H110" s="194">
        <v>55574.53</v>
      </c>
      <c r="I110" s="194">
        <v>-311313.43</v>
      </c>
      <c r="J110" s="202">
        <f t="shared" si="26"/>
        <v>4237.5559380000004</v>
      </c>
      <c r="K110" s="202">
        <f t="shared" si="27"/>
        <v>0</v>
      </c>
      <c r="L110" s="202">
        <f t="shared" si="28"/>
        <v>-641.88582149999991</v>
      </c>
      <c r="M110" s="194"/>
      <c r="N110" s="202">
        <f t="shared" si="29"/>
        <v>3595.6701164999999</v>
      </c>
    </row>
    <row r="111" spans="1:14">
      <c r="A111" s="193"/>
      <c r="B111" s="193" t="s">
        <v>108</v>
      </c>
      <c r="C111" s="193"/>
      <c r="D111" s="193"/>
      <c r="E111" s="193"/>
      <c r="F111" s="194">
        <v>-37116411.100000001</v>
      </c>
      <c r="G111" s="194">
        <v>-4000000</v>
      </c>
      <c r="H111" s="194">
        <v>4361748.1399999997</v>
      </c>
      <c r="I111" s="194">
        <v>-36754662.960000001</v>
      </c>
      <c r="J111" s="202">
        <f t="shared" si="26"/>
        <v>428694.548205</v>
      </c>
      <c r="K111" s="202">
        <f t="shared" si="27"/>
        <v>46200</v>
      </c>
      <c r="L111" s="202">
        <f t="shared" si="28"/>
        <v>-50378.191016999997</v>
      </c>
      <c r="M111" s="194"/>
      <c r="N111" s="202">
        <f t="shared" si="29"/>
        <v>424516.35718799999</v>
      </c>
    </row>
    <row r="112" spans="1:14">
      <c r="A112" s="193"/>
      <c r="B112" s="193" t="s">
        <v>109</v>
      </c>
      <c r="C112" s="193"/>
      <c r="D112" s="193"/>
      <c r="E112" s="193"/>
      <c r="F112" s="194">
        <v>-6666516.5899999999</v>
      </c>
      <c r="G112" s="194">
        <v>0</v>
      </c>
      <c r="H112" s="194">
        <v>983294.25</v>
      </c>
      <c r="I112" s="194">
        <v>-5683222.3399999999</v>
      </c>
      <c r="J112" s="202">
        <f t="shared" si="26"/>
        <v>76998.266614499997</v>
      </c>
      <c r="K112" s="202">
        <f t="shared" si="27"/>
        <v>0</v>
      </c>
      <c r="L112" s="202">
        <f t="shared" si="28"/>
        <v>-11357.048587499999</v>
      </c>
      <c r="M112" s="194"/>
      <c r="N112" s="202">
        <f t="shared" si="29"/>
        <v>65641.218026999995</v>
      </c>
    </row>
    <row r="113" spans="1:14">
      <c r="A113" s="193"/>
      <c r="B113" s="193" t="s">
        <v>110</v>
      </c>
      <c r="C113" s="193"/>
      <c r="D113" s="193"/>
      <c r="E113" s="193"/>
      <c r="F113" s="194">
        <v>-11939301.859999999</v>
      </c>
      <c r="G113" s="194">
        <v>0</v>
      </c>
      <c r="H113" s="194">
        <v>5520855.5599999996</v>
      </c>
      <c r="I113" s="194">
        <v>-6418446.2999999998</v>
      </c>
      <c r="J113" s="202">
        <f t="shared" si="26"/>
        <v>137898.936483</v>
      </c>
      <c r="K113" s="202">
        <f t="shared" si="27"/>
        <v>0</v>
      </c>
      <c r="L113" s="202">
        <f t="shared" si="28"/>
        <v>-63765.88171799999</v>
      </c>
      <c r="M113" s="194"/>
      <c r="N113" s="202">
        <f t="shared" si="29"/>
        <v>74133.054764999993</v>
      </c>
    </row>
    <row r="114" spans="1:14">
      <c r="A114" s="193"/>
      <c r="B114" s="193" t="s">
        <v>111</v>
      </c>
      <c r="C114" s="193"/>
      <c r="D114" s="193"/>
      <c r="E114" s="193"/>
      <c r="F114" s="194">
        <v>-461633574.42000002</v>
      </c>
      <c r="G114" s="194">
        <v>-52518050</v>
      </c>
      <c r="H114" s="194">
        <v>147144468.44999999</v>
      </c>
      <c r="I114" s="194">
        <v>-367007155.97000003</v>
      </c>
      <c r="J114" s="194">
        <v>8886446.3100000005</v>
      </c>
      <c r="K114" s="194">
        <v>1010972.46</v>
      </c>
      <c r="L114" s="194">
        <v>-2832531.01</v>
      </c>
      <c r="M114" s="194">
        <v>0</v>
      </c>
      <c r="N114" s="194">
        <v>7064887.7699999996</v>
      </c>
    </row>
    <row r="115" spans="1:14">
      <c r="A115" s="193"/>
      <c r="B115" s="193" t="s">
        <v>112</v>
      </c>
      <c r="C115" s="193"/>
      <c r="D115" s="193"/>
      <c r="E115" s="193"/>
      <c r="F115" s="194">
        <v>0</v>
      </c>
      <c r="G115" s="194">
        <v>0</v>
      </c>
      <c r="H115" s="194">
        <v>0</v>
      </c>
      <c r="I115" s="194">
        <v>0</v>
      </c>
      <c r="J115" s="202">
        <f t="shared" ref="J115:J119" si="30">+F115*-0.01155</f>
        <v>0</v>
      </c>
      <c r="K115" s="202">
        <f t="shared" ref="K115:K119" si="31">+G115*-0.01155</f>
        <v>0</v>
      </c>
      <c r="L115" s="202">
        <f t="shared" ref="L115:L119" si="32">+H115*-0.01155</f>
        <v>0</v>
      </c>
      <c r="M115" s="194"/>
      <c r="N115" s="202">
        <f t="shared" ref="N115:N119" si="33">+I115*-0.01155</f>
        <v>0</v>
      </c>
    </row>
    <row r="116" spans="1:14">
      <c r="A116" s="193"/>
      <c r="B116" s="193" t="s">
        <v>113</v>
      </c>
      <c r="C116" s="193"/>
      <c r="D116" s="193"/>
      <c r="E116" s="193"/>
      <c r="F116" s="194">
        <v>69832868.790000007</v>
      </c>
      <c r="G116" s="194">
        <v>0</v>
      </c>
      <c r="H116" s="194">
        <v>-7123023.4900000002</v>
      </c>
      <c r="I116" s="194">
        <v>62709845.299999997</v>
      </c>
      <c r="J116" s="202">
        <f t="shared" si="30"/>
        <v>-806569.6345245</v>
      </c>
      <c r="K116" s="202">
        <f t="shared" si="31"/>
        <v>0</v>
      </c>
      <c r="L116" s="202">
        <f t="shared" si="32"/>
        <v>82270.921309500001</v>
      </c>
      <c r="M116" s="194"/>
      <c r="N116" s="202">
        <f t="shared" si="33"/>
        <v>-724298.71321499988</v>
      </c>
    </row>
    <row r="117" spans="1:14">
      <c r="A117" s="193"/>
      <c r="B117" s="193" t="s">
        <v>114</v>
      </c>
      <c r="C117" s="193"/>
      <c r="D117" s="193"/>
      <c r="E117" s="193"/>
      <c r="F117" s="194">
        <v>-8081038.5700000003</v>
      </c>
      <c r="G117" s="194">
        <v>0</v>
      </c>
      <c r="H117" s="194">
        <v>892331.5</v>
      </c>
      <c r="I117" s="194">
        <v>-7188707.0700000003</v>
      </c>
      <c r="J117" s="202">
        <f t="shared" si="30"/>
        <v>93335.995483499995</v>
      </c>
      <c r="K117" s="202">
        <f t="shared" si="31"/>
        <v>0</v>
      </c>
      <c r="L117" s="202">
        <f t="shared" si="32"/>
        <v>-10306.428824999999</v>
      </c>
      <c r="M117" s="194"/>
      <c r="N117" s="202">
        <f t="shared" si="33"/>
        <v>83029.5666585</v>
      </c>
    </row>
    <row r="118" spans="1:14">
      <c r="A118" s="193"/>
      <c r="B118" s="193" t="s">
        <v>115</v>
      </c>
      <c r="C118" s="193"/>
      <c r="D118" s="193"/>
      <c r="E118" s="193"/>
      <c r="F118" s="194">
        <v>91414.95</v>
      </c>
      <c r="G118" s="194">
        <v>0</v>
      </c>
      <c r="H118" s="194">
        <v>-9353.17</v>
      </c>
      <c r="I118" s="194">
        <v>82061.78</v>
      </c>
      <c r="J118" s="202">
        <f t="shared" si="30"/>
        <v>-1055.8426724999999</v>
      </c>
      <c r="K118" s="202">
        <f t="shared" si="31"/>
        <v>0</v>
      </c>
      <c r="L118" s="202">
        <f t="shared" si="32"/>
        <v>108.02911349999999</v>
      </c>
      <c r="M118" s="194"/>
      <c r="N118" s="202">
        <f t="shared" si="33"/>
        <v>-947.81355899999994</v>
      </c>
    </row>
    <row r="119" spans="1:14">
      <c r="A119" s="193"/>
      <c r="B119" s="193" t="s">
        <v>234</v>
      </c>
      <c r="C119" s="193"/>
      <c r="D119" s="193"/>
      <c r="E119" s="193"/>
      <c r="F119" s="194">
        <v>-9456.99</v>
      </c>
      <c r="G119" s="194">
        <v>0</v>
      </c>
      <c r="H119" s="194">
        <v>2701.96</v>
      </c>
      <c r="I119" s="194">
        <v>-6755.03</v>
      </c>
      <c r="J119" s="202">
        <f t="shared" si="30"/>
        <v>109.2282345</v>
      </c>
      <c r="K119" s="202">
        <f t="shared" si="31"/>
        <v>0</v>
      </c>
      <c r="L119" s="202">
        <f t="shared" si="32"/>
        <v>-31.207637999999999</v>
      </c>
      <c r="M119" s="194"/>
      <c r="N119" s="202">
        <f t="shared" si="33"/>
        <v>78.020596499999996</v>
      </c>
    </row>
    <row r="120" spans="1:14">
      <c r="A120" s="193"/>
      <c r="B120" s="193" t="s">
        <v>235</v>
      </c>
      <c r="C120" s="193"/>
      <c r="D120" s="193"/>
      <c r="E120" s="193"/>
      <c r="F120" s="194">
        <v>261371.51</v>
      </c>
      <c r="G120" s="194">
        <v>0</v>
      </c>
      <c r="H120" s="194">
        <v>-61645.63</v>
      </c>
      <c r="I120" s="194">
        <v>199725.88</v>
      </c>
      <c r="J120" s="194">
        <v>-5031.41</v>
      </c>
      <c r="K120" s="194">
        <v>0</v>
      </c>
      <c r="L120" s="194">
        <v>1186.68</v>
      </c>
      <c r="M120" s="194">
        <v>0</v>
      </c>
      <c r="N120" s="194">
        <v>-3844.73</v>
      </c>
    </row>
    <row r="121" spans="1:14">
      <c r="A121" s="193"/>
      <c r="B121" s="193" t="s">
        <v>236</v>
      </c>
      <c r="C121" s="193"/>
      <c r="D121" s="193"/>
      <c r="E121" s="193"/>
      <c r="F121" s="194">
        <v>268257336.25</v>
      </c>
      <c r="G121" s="194">
        <v>50968735.5</v>
      </c>
      <c r="H121" s="194">
        <v>-34358973.93</v>
      </c>
      <c r="I121" s="194">
        <v>284867097.81999999</v>
      </c>
      <c r="J121" s="194">
        <v>-5163953.75</v>
      </c>
      <c r="K121" s="194">
        <v>-981148.15</v>
      </c>
      <c r="L121" s="194">
        <v>661410.31999999995</v>
      </c>
      <c r="M121" s="194">
        <v>0</v>
      </c>
      <c r="N121" s="194">
        <v>-5483691.5999999996</v>
      </c>
    </row>
    <row r="122" spans="1:14">
      <c r="A122" s="193"/>
      <c r="B122" s="200" t="s">
        <v>308</v>
      </c>
      <c r="C122" s="193" t="s">
        <v>52</v>
      </c>
      <c r="D122" s="193"/>
      <c r="E122" s="193"/>
      <c r="F122" s="194">
        <v>-247171037.36000001</v>
      </c>
      <c r="G122" s="194">
        <v>-7495702.7800000003</v>
      </c>
      <c r="H122" s="194">
        <v>125166394.08</v>
      </c>
      <c r="I122" s="194">
        <v>-129500346.06</v>
      </c>
      <c r="J122" s="202">
        <f>SUM(J108:J121)</f>
        <v>4341809.9215850011</v>
      </c>
      <c r="K122" s="202">
        <f t="shared" ref="K122:N122" si="34">SUM(K108:K121)</f>
        <v>98505.094633999863</v>
      </c>
      <c r="L122" s="202">
        <f t="shared" si="34"/>
        <v>-2313645.4069444998</v>
      </c>
      <c r="M122" s="202">
        <f t="shared" si="34"/>
        <v>0</v>
      </c>
      <c r="N122" s="202">
        <f t="shared" si="34"/>
        <v>2126669.5992744984</v>
      </c>
    </row>
    <row r="123" spans="1:14">
      <c r="A123" s="193"/>
      <c r="B123" s="193" t="s">
        <v>116</v>
      </c>
      <c r="C123" s="193"/>
      <c r="D123" s="193"/>
      <c r="E123" s="193"/>
      <c r="F123" s="194">
        <v>12496.61</v>
      </c>
      <c r="G123" s="194">
        <v>0</v>
      </c>
      <c r="H123" s="194">
        <v>-1065.3399999999999</v>
      </c>
      <c r="I123" s="194">
        <v>11431.27</v>
      </c>
      <c r="J123" s="194">
        <v>0</v>
      </c>
      <c r="K123" s="194">
        <v>0</v>
      </c>
      <c r="L123" s="194">
        <v>0</v>
      </c>
      <c r="M123" s="194">
        <v>0</v>
      </c>
      <c r="N123" s="194">
        <v>0</v>
      </c>
    </row>
    <row r="124" spans="1:14">
      <c r="A124" s="193"/>
      <c r="B124" s="193" t="s">
        <v>117</v>
      </c>
      <c r="C124" s="193"/>
      <c r="D124" s="193"/>
      <c r="E124" s="193"/>
      <c r="F124" s="194">
        <v>71686.77</v>
      </c>
      <c r="G124" s="194">
        <v>0</v>
      </c>
      <c r="H124" s="194">
        <v>-832.7</v>
      </c>
      <c r="I124" s="194">
        <v>70854.070000000007</v>
      </c>
      <c r="J124" s="194">
        <v>0</v>
      </c>
      <c r="K124" s="194">
        <v>0</v>
      </c>
      <c r="L124" s="194">
        <v>0</v>
      </c>
      <c r="M124" s="194">
        <v>0</v>
      </c>
      <c r="N124" s="194">
        <v>0</v>
      </c>
    </row>
    <row r="125" spans="1:14">
      <c r="A125" s="193"/>
      <c r="B125" s="193" t="s">
        <v>118</v>
      </c>
      <c r="C125" s="193"/>
      <c r="D125" s="193"/>
      <c r="E125" s="193"/>
      <c r="F125" s="194">
        <v>3.07</v>
      </c>
      <c r="G125" s="194">
        <v>0</v>
      </c>
      <c r="H125" s="194">
        <v>-0.04</v>
      </c>
      <c r="I125" s="194">
        <v>3.03</v>
      </c>
      <c r="J125" s="194">
        <v>0</v>
      </c>
      <c r="K125" s="194">
        <v>0</v>
      </c>
      <c r="L125" s="194">
        <v>0</v>
      </c>
      <c r="M125" s="194">
        <v>0</v>
      </c>
      <c r="N125" s="194">
        <v>0</v>
      </c>
    </row>
    <row r="126" spans="1:14">
      <c r="A126" s="193"/>
      <c r="B126" s="193"/>
      <c r="C126" s="193" t="s">
        <v>52</v>
      </c>
      <c r="D126" s="193"/>
      <c r="E126" s="193"/>
      <c r="F126" s="194">
        <v>84186.45</v>
      </c>
      <c r="G126" s="194">
        <v>0</v>
      </c>
      <c r="H126" s="194">
        <v>-1898.08</v>
      </c>
      <c r="I126" s="194">
        <v>82288.37</v>
      </c>
      <c r="J126" s="194">
        <v>0</v>
      </c>
      <c r="K126" s="194">
        <v>0</v>
      </c>
      <c r="L126" s="194">
        <v>0</v>
      </c>
      <c r="M126" s="194">
        <v>0</v>
      </c>
      <c r="N126" s="194">
        <v>0</v>
      </c>
    </row>
    <row r="127" spans="1:14">
      <c r="A127" s="193"/>
      <c r="B127" s="193" t="s">
        <v>119</v>
      </c>
      <c r="C127" s="193"/>
      <c r="D127" s="193"/>
      <c r="E127" s="193"/>
      <c r="F127" s="194">
        <v>481627.11</v>
      </c>
      <c r="G127" s="194">
        <v>0</v>
      </c>
      <c r="H127" s="194">
        <v>-32763.79</v>
      </c>
      <c r="I127" s="194">
        <v>448863.32</v>
      </c>
      <c r="J127" s="194">
        <v>0</v>
      </c>
      <c r="K127" s="194">
        <v>0</v>
      </c>
      <c r="L127" s="194">
        <v>0</v>
      </c>
      <c r="M127" s="194">
        <v>0</v>
      </c>
      <c r="N127" s="194">
        <v>0</v>
      </c>
    </row>
    <row r="128" spans="1:14">
      <c r="A128" s="193"/>
      <c r="B128" s="193" t="s">
        <v>120</v>
      </c>
      <c r="C128" s="193"/>
      <c r="D128" s="193"/>
      <c r="E128" s="193"/>
      <c r="F128" s="194">
        <v>67180966.469999999</v>
      </c>
      <c r="G128" s="194">
        <v>76392.7</v>
      </c>
      <c r="H128" s="194">
        <v>-1207962.02</v>
      </c>
      <c r="I128" s="194">
        <v>66049397.149999999</v>
      </c>
      <c r="J128" s="194">
        <v>0</v>
      </c>
      <c r="K128" s="194">
        <v>0</v>
      </c>
      <c r="L128" s="194">
        <v>0</v>
      </c>
      <c r="M128" s="194">
        <v>0</v>
      </c>
      <c r="N128" s="194">
        <v>0</v>
      </c>
    </row>
    <row r="129" spans="1:14">
      <c r="A129" s="193"/>
      <c r="B129" s="193" t="s">
        <v>121</v>
      </c>
      <c r="C129" s="193"/>
      <c r="D129" s="193"/>
      <c r="E129" s="193"/>
      <c r="F129" s="194">
        <v>12898.47</v>
      </c>
      <c r="G129" s="194">
        <v>0</v>
      </c>
      <c r="H129" s="194">
        <v>-2501.69</v>
      </c>
      <c r="I129" s="194">
        <v>10396.780000000001</v>
      </c>
      <c r="J129" s="194">
        <v>0</v>
      </c>
      <c r="K129" s="194">
        <v>0</v>
      </c>
      <c r="L129" s="194">
        <v>0</v>
      </c>
      <c r="M129" s="194">
        <v>0</v>
      </c>
      <c r="N129" s="194">
        <v>0</v>
      </c>
    </row>
    <row r="130" spans="1:14">
      <c r="A130" s="193"/>
      <c r="B130" s="193" t="s">
        <v>122</v>
      </c>
      <c r="C130" s="193"/>
      <c r="D130" s="193"/>
      <c r="E130" s="193"/>
      <c r="F130" s="194">
        <v>46034.91</v>
      </c>
      <c r="G130" s="194">
        <v>0</v>
      </c>
      <c r="H130" s="194">
        <v>-2962.26</v>
      </c>
      <c r="I130" s="194">
        <v>43072.65</v>
      </c>
      <c r="J130" s="194">
        <v>0</v>
      </c>
      <c r="K130" s="194">
        <v>0</v>
      </c>
      <c r="L130" s="194">
        <v>0</v>
      </c>
      <c r="M130" s="194">
        <v>0</v>
      </c>
      <c r="N130" s="194">
        <v>0</v>
      </c>
    </row>
    <row r="131" spans="1:14">
      <c r="A131" s="193"/>
      <c r="B131" s="193" t="s">
        <v>123</v>
      </c>
      <c r="C131" s="193"/>
      <c r="D131" s="193"/>
      <c r="E131" s="193"/>
      <c r="F131" s="194">
        <v>79693.73</v>
      </c>
      <c r="G131" s="194">
        <v>0</v>
      </c>
      <c r="H131" s="194">
        <v>-11429.49</v>
      </c>
      <c r="I131" s="194">
        <v>68264.240000000005</v>
      </c>
      <c r="J131" s="194">
        <v>0</v>
      </c>
      <c r="K131" s="194">
        <v>0</v>
      </c>
      <c r="L131" s="194">
        <v>0</v>
      </c>
      <c r="M131" s="194">
        <v>0</v>
      </c>
      <c r="N131" s="194">
        <v>0</v>
      </c>
    </row>
    <row r="132" spans="1:14">
      <c r="A132" s="193"/>
      <c r="B132" s="193"/>
      <c r="C132" s="193" t="s">
        <v>52</v>
      </c>
      <c r="D132" s="193"/>
      <c r="E132" s="193"/>
      <c r="F132" s="194">
        <v>67801220.689999998</v>
      </c>
      <c r="G132" s="194">
        <v>76392.7</v>
      </c>
      <c r="H132" s="194">
        <v>-1257619.25</v>
      </c>
      <c r="I132" s="194">
        <v>66619994.140000001</v>
      </c>
      <c r="J132" s="194">
        <v>0</v>
      </c>
      <c r="K132" s="194">
        <v>0</v>
      </c>
      <c r="L132" s="194">
        <v>0</v>
      </c>
      <c r="M132" s="194">
        <v>0</v>
      </c>
      <c r="N132" s="194">
        <v>0</v>
      </c>
    </row>
    <row r="133" spans="1:14">
      <c r="A133" s="193" t="s">
        <v>80</v>
      </c>
      <c r="B133" s="193"/>
      <c r="C133" s="193"/>
      <c r="D133" s="193"/>
      <c r="E133" s="193"/>
      <c r="F133" s="194">
        <v>1532482635.9000001</v>
      </c>
      <c r="G133" s="194">
        <v>118904359.5</v>
      </c>
      <c r="H133" s="194">
        <v>96380430.760000005</v>
      </c>
      <c r="I133" s="194">
        <v>1747767426.1600001</v>
      </c>
      <c r="J133" s="194">
        <f>+J122+J107+J94</f>
        <v>-26342840.998820499</v>
      </c>
      <c r="K133" s="194">
        <f t="shared" ref="K133:N133" si="35">+K122+K107+K94</f>
        <v>-2121475.0690405001</v>
      </c>
      <c r="L133" s="194">
        <f t="shared" si="35"/>
        <v>-1840746.2120174998</v>
      </c>
      <c r="M133" s="194">
        <f t="shared" si="35"/>
        <v>0</v>
      </c>
      <c r="N133" s="194">
        <f t="shared" si="35"/>
        <v>-30305062.289878502</v>
      </c>
    </row>
    <row r="134" spans="1:14">
      <c r="A134" s="195"/>
      <c r="B134" s="195" t="s">
        <v>92</v>
      </c>
      <c r="C134" s="195"/>
      <c r="D134" s="195"/>
      <c r="E134" s="195"/>
      <c r="F134" s="196">
        <v>-24484423.25</v>
      </c>
      <c r="G134" s="196">
        <v>0</v>
      </c>
      <c r="H134" s="196">
        <v>330397.17</v>
      </c>
      <c r="I134" s="196">
        <v>-24154026.079999998</v>
      </c>
      <c r="J134" s="196">
        <v>472082.2</v>
      </c>
      <c r="K134" s="196">
        <v>0</v>
      </c>
      <c r="L134" s="196">
        <v>-6370.36</v>
      </c>
      <c r="M134" s="196">
        <v>0</v>
      </c>
      <c r="N134" s="196">
        <v>465711.84</v>
      </c>
    </row>
    <row r="135" spans="1:14">
      <c r="A135" s="195"/>
      <c r="B135" s="195" t="s">
        <v>93</v>
      </c>
      <c r="C135" s="195"/>
      <c r="D135" s="195"/>
      <c r="E135" s="195"/>
      <c r="F135" s="196">
        <v>-10004.200000000001</v>
      </c>
      <c r="G135" s="196">
        <v>0</v>
      </c>
      <c r="H135" s="196">
        <v>-51.64</v>
      </c>
      <c r="I135" s="196">
        <v>-10055.84</v>
      </c>
      <c r="J135" s="196">
        <v>192.55</v>
      </c>
      <c r="K135" s="196">
        <v>0</v>
      </c>
      <c r="L135" s="196">
        <v>1</v>
      </c>
      <c r="M135" s="196">
        <v>0</v>
      </c>
      <c r="N135" s="196">
        <v>193.55</v>
      </c>
    </row>
    <row r="136" spans="1:14">
      <c r="A136" s="195"/>
      <c r="B136" s="195" t="s">
        <v>94</v>
      </c>
      <c r="C136" s="195"/>
      <c r="D136" s="195"/>
      <c r="E136" s="195"/>
      <c r="F136" s="196">
        <v>2271398.0499999998</v>
      </c>
      <c r="G136" s="196">
        <v>41.04</v>
      </c>
      <c r="H136" s="196">
        <v>-176776.51</v>
      </c>
      <c r="I136" s="196">
        <v>2094662.58</v>
      </c>
      <c r="J136" s="196">
        <v>-30005.87</v>
      </c>
      <c r="K136" s="196">
        <v>-0.79</v>
      </c>
      <c r="L136" s="196">
        <v>2330.66</v>
      </c>
      <c r="M136" s="196">
        <v>0</v>
      </c>
      <c r="N136" s="196">
        <v>-27676</v>
      </c>
    </row>
    <row r="137" spans="1:14">
      <c r="A137" s="195"/>
      <c r="B137" s="195" t="s">
        <v>95</v>
      </c>
      <c r="C137" s="195"/>
      <c r="D137" s="195"/>
      <c r="E137" s="195"/>
      <c r="F137" s="196">
        <v>414689842.44</v>
      </c>
      <c r="G137" s="196">
        <v>1693074.29</v>
      </c>
      <c r="H137" s="196">
        <v>-3651097.17</v>
      </c>
      <c r="I137" s="196">
        <v>412731819.56</v>
      </c>
      <c r="J137" s="196">
        <v>-7981402.0800000001</v>
      </c>
      <c r="K137" s="196">
        <v>-32591.68</v>
      </c>
      <c r="L137" s="196">
        <v>70283.63</v>
      </c>
      <c r="M137" s="196">
        <v>0</v>
      </c>
      <c r="N137" s="196">
        <v>-7943710.1299999999</v>
      </c>
    </row>
    <row r="138" spans="1:14">
      <c r="A138" s="195"/>
      <c r="B138" s="195"/>
      <c r="C138" s="195" t="s">
        <v>52</v>
      </c>
      <c r="D138" s="195"/>
      <c r="E138" s="195"/>
      <c r="F138" s="196">
        <v>392466813.04000002</v>
      </c>
      <c r="G138" s="196">
        <v>1693115.32</v>
      </c>
      <c r="H138" s="196">
        <v>-3497528.14</v>
      </c>
      <c r="I138" s="196">
        <v>390662400.22000003</v>
      </c>
      <c r="J138" s="196">
        <v>-7539133.2000000002</v>
      </c>
      <c r="K138" s="196">
        <v>-32592.47</v>
      </c>
      <c r="L138" s="196">
        <v>66244.929999999993</v>
      </c>
      <c r="M138" s="196">
        <v>0</v>
      </c>
      <c r="N138" s="196">
        <v>-7505480.7400000002</v>
      </c>
    </row>
    <row r="139" spans="1:14">
      <c r="A139" s="195"/>
      <c r="B139" s="195" t="s">
        <v>100</v>
      </c>
      <c r="C139" s="195"/>
      <c r="D139" s="195"/>
      <c r="E139" s="195"/>
      <c r="F139" s="196">
        <v>-561912.34</v>
      </c>
      <c r="G139" s="196">
        <v>0</v>
      </c>
      <c r="H139" s="196">
        <v>-2844.76</v>
      </c>
      <c r="I139" s="196">
        <v>-564757.1</v>
      </c>
      <c r="J139" s="202">
        <f t="shared" ref="J139:J148" si="36">+F139*-0.01155</f>
        <v>6490.0875269999997</v>
      </c>
      <c r="K139" s="202">
        <f t="shared" ref="K139:K148" si="37">+G139*-0.01155</f>
        <v>0</v>
      </c>
      <c r="L139" s="202">
        <f t="shared" ref="L139:L148" si="38">+H139*-0.01155</f>
        <v>32.856977999999998</v>
      </c>
      <c r="M139" s="194"/>
      <c r="N139" s="202">
        <f t="shared" ref="N139:N148" si="39">+I139*-0.01155</f>
        <v>6522.9445049999995</v>
      </c>
    </row>
    <row r="140" spans="1:14">
      <c r="A140" s="195"/>
      <c r="B140" s="195" t="s">
        <v>101</v>
      </c>
      <c r="C140" s="195"/>
      <c r="D140" s="195"/>
      <c r="E140" s="195"/>
      <c r="F140" s="196">
        <v>6946718.2199999997</v>
      </c>
      <c r="G140" s="196">
        <v>938.21</v>
      </c>
      <c r="H140" s="196">
        <v>-89280.72</v>
      </c>
      <c r="I140" s="196">
        <v>6858375.71</v>
      </c>
      <c r="J140" s="202">
        <f t="shared" si="36"/>
        <v>-80234.595440999998</v>
      </c>
      <c r="K140" s="202">
        <f t="shared" si="37"/>
        <v>-10.836325499999999</v>
      </c>
      <c r="L140" s="202">
        <f t="shared" si="38"/>
        <v>1031.1923159999999</v>
      </c>
      <c r="M140" s="194"/>
      <c r="N140" s="202">
        <f t="shared" si="39"/>
        <v>-79214.239450499997</v>
      </c>
    </row>
    <row r="141" spans="1:14">
      <c r="A141" s="195"/>
      <c r="B141" s="195" t="s">
        <v>102</v>
      </c>
      <c r="C141" s="195"/>
      <c r="D141" s="195"/>
      <c r="E141" s="195"/>
      <c r="F141" s="196">
        <v>36281.370000000003</v>
      </c>
      <c r="G141" s="196">
        <v>0</v>
      </c>
      <c r="H141" s="196">
        <v>-2622.9</v>
      </c>
      <c r="I141" s="196">
        <v>33658.47</v>
      </c>
      <c r="J141" s="202">
        <f t="shared" si="36"/>
        <v>-419.0498235</v>
      </c>
      <c r="K141" s="202">
        <f t="shared" si="37"/>
        <v>0</v>
      </c>
      <c r="L141" s="202">
        <f t="shared" si="38"/>
        <v>30.294495000000001</v>
      </c>
      <c r="M141" s="194"/>
      <c r="N141" s="202">
        <f t="shared" si="39"/>
        <v>-388.75532850000002</v>
      </c>
    </row>
    <row r="142" spans="1:14">
      <c r="A142" s="195"/>
      <c r="B142" s="195" t="s">
        <v>104</v>
      </c>
      <c r="C142" s="195"/>
      <c r="D142" s="195"/>
      <c r="E142" s="195"/>
      <c r="F142" s="196">
        <v>-1097.69</v>
      </c>
      <c r="G142" s="196">
        <v>0</v>
      </c>
      <c r="H142" s="196">
        <v>10.84</v>
      </c>
      <c r="I142" s="196">
        <v>-1086.8499999999999</v>
      </c>
      <c r="J142" s="202">
        <f t="shared" si="36"/>
        <v>12.678319500000001</v>
      </c>
      <c r="K142" s="202">
        <f t="shared" si="37"/>
        <v>0</v>
      </c>
      <c r="L142" s="202">
        <f t="shared" si="38"/>
        <v>-0.12520199999999998</v>
      </c>
      <c r="M142" s="194"/>
      <c r="N142" s="202">
        <f t="shared" si="39"/>
        <v>12.553117499999999</v>
      </c>
    </row>
    <row r="143" spans="1:14">
      <c r="A143" s="195"/>
      <c r="B143" s="200" t="s">
        <v>307</v>
      </c>
      <c r="C143" s="195" t="s">
        <v>52</v>
      </c>
      <c r="D143" s="195"/>
      <c r="E143" s="195"/>
      <c r="F143" s="196">
        <v>6419989.5599999996</v>
      </c>
      <c r="G143" s="196">
        <v>938.21</v>
      </c>
      <c r="H143" s="196">
        <v>-94737.54</v>
      </c>
      <c r="I143" s="196">
        <v>6326190.2300000004</v>
      </c>
      <c r="J143" s="202">
        <f>SUM(J139:J142)</f>
        <v>-74150.879417999997</v>
      </c>
      <c r="K143" s="202">
        <f t="shared" ref="K143:N143" si="40">SUM(K139:K142)</f>
        <v>-10.836325499999999</v>
      </c>
      <c r="L143" s="202">
        <f t="shared" si="40"/>
        <v>1094.2185870000001</v>
      </c>
      <c r="M143" s="202">
        <f t="shared" si="40"/>
        <v>0</v>
      </c>
      <c r="N143" s="202">
        <f t="shared" si="40"/>
        <v>-73067.497156500001</v>
      </c>
    </row>
    <row r="144" spans="1:14">
      <c r="A144" s="195"/>
      <c r="B144" s="195" t="s">
        <v>105</v>
      </c>
      <c r="C144" s="195"/>
      <c r="D144" s="195"/>
      <c r="E144" s="195"/>
      <c r="F144" s="196">
        <v>-42280.66</v>
      </c>
      <c r="G144" s="196">
        <v>0</v>
      </c>
      <c r="H144" s="196">
        <v>7509.37</v>
      </c>
      <c r="I144" s="196">
        <v>-34771.29</v>
      </c>
      <c r="J144" s="202">
        <f t="shared" si="36"/>
        <v>488.34162300000003</v>
      </c>
      <c r="K144" s="202">
        <f t="shared" si="37"/>
        <v>0</v>
      </c>
      <c r="L144" s="202">
        <f t="shared" si="38"/>
        <v>-86.733223499999994</v>
      </c>
      <c r="M144" s="194"/>
      <c r="N144" s="202">
        <f t="shared" si="39"/>
        <v>401.60839950000002</v>
      </c>
    </row>
    <row r="145" spans="1:14">
      <c r="A145" s="195"/>
      <c r="B145" s="195" t="s">
        <v>106</v>
      </c>
      <c r="C145" s="195"/>
      <c r="D145" s="195"/>
      <c r="E145" s="195"/>
      <c r="F145" s="196">
        <v>-79445.95</v>
      </c>
      <c r="G145" s="196">
        <v>-53611.72</v>
      </c>
      <c r="H145" s="196">
        <v>36960.730000000003</v>
      </c>
      <c r="I145" s="196">
        <v>-96096.94</v>
      </c>
      <c r="J145" s="202">
        <f t="shared" si="36"/>
        <v>917.60072249999996</v>
      </c>
      <c r="K145" s="202">
        <f t="shared" si="37"/>
        <v>619.21536600000002</v>
      </c>
      <c r="L145" s="202">
        <f t="shared" si="38"/>
        <v>-426.89643150000001</v>
      </c>
      <c r="M145" s="194"/>
      <c r="N145" s="202">
        <f t="shared" si="39"/>
        <v>1109.9196569999999</v>
      </c>
    </row>
    <row r="146" spans="1:14">
      <c r="A146" s="195"/>
      <c r="B146" s="195" t="s">
        <v>107</v>
      </c>
      <c r="C146" s="195"/>
      <c r="D146" s="195"/>
      <c r="E146" s="195"/>
      <c r="F146" s="196">
        <v>-212</v>
      </c>
      <c r="G146" s="196">
        <v>0</v>
      </c>
      <c r="H146" s="196">
        <v>144.4</v>
      </c>
      <c r="I146" s="196">
        <v>-67.599999999999994</v>
      </c>
      <c r="J146" s="202">
        <f t="shared" si="36"/>
        <v>2.4485999999999999</v>
      </c>
      <c r="K146" s="202">
        <f t="shared" si="37"/>
        <v>0</v>
      </c>
      <c r="L146" s="202">
        <f t="shared" si="38"/>
        <v>-1.6678200000000001</v>
      </c>
      <c r="M146" s="194"/>
      <c r="N146" s="202">
        <f t="shared" si="39"/>
        <v>0.78077999999999992</v>
      </c>
    </row>
    <row r="147" spans="1:14">
      <c r="A147" s="195"/>
      <c r="B147" s="195" t="s">
        <v>112</v>
      </c>
      <c r="C147" s="195"/>
      <c r="D147" s="195"/>
      <c r="E147" s="195"/>
      <c r="F147" s="196">
        <v>0</v>
      </c>
      <c r="G147" s="196">
        <v>0</v>
      </c>
      <c r="H147" s="196">
        <v>0</v>
      </c>
      <c r="I147" s="196">
        <v>0</v>
      </c>
      <c r="J147" s="202">
        <f t="shared" si="36"/>
        <v>0</v>
      </c>
      <c r="K147" s="202">
        <f t="shared" si="37"/>
        <v>0</v>
      </c>
      <c r="L147" s="202">
        <f t="shared" si="38"/>
        <v>0</v>
      </c>
      <c r="M147" s="194"/>
      <c r="N147" s="202">
        <f t="shared" si="39"/>
        <v>0</v>
      </c>
    </row>
    <row r="148" spans="1:14">
      <c r="A148" s="195"/>
      <c r="B148" s="195" t="s">
        <v>115</v>
      </c>
      <c r="C148" s="195"/>
      <c r="D148" s="195"/>
      <c r="E148" s="195"/>
      <c r="F148" s="196">
        <v>0</v>
      </c>
      <c r="G148" s="196">
        <v>0</v>
      </c>
      <c r="H148" s="196">
        <v>0</v>
      </c>
      <c r="I148" s="196">
        <v>0</v>
      </c>
      <c r="J148" s="202">
        <f t="shared" si="36"/>
        <v>0</v>
      </c>
      <c r="K148" s="202">
        <f t="shared" si="37"/>
        <v>0</v>
      </c>
      <c r="L148" s="202">
        <f t="shared" si="38"/>
        <v>0</v>
      </c>
      <c r="M148" s="194"/>
      <c r="N148" s="202">
        <f t="shared" si="39"/>
        <v>0</v>
      </c>
    </row>
    <row r="149" spans="1:14">
      <c r="A149" s="195"/>
      <c r="B149" s="195" t="s">
        <v>236</v>
      </c>
      <c r="C149" s="195"/>
      <c r="D149" s="195"/>
      <c r="E149" s="195"/>
      <c r="F149" s="196">
        <v>373273.63</v>
      </c>
      <c r="G149" s="196">
        <v>1549314.84</v>
      </c>
      <c r="H149" s="196">
        <v>-327753.46999999997</v>
      </c>
      <c r="I149" s="196">
        <v>1594835</v>
      </c>
      <c r="J149" s="196">
        <v>-7185.52</v>
      </c>
      <c r="K149" s="196">
        <v>-29824.31</v>
      </c>
      <c r="L149" s="196">
        <v>6309.26</v>
      </c>
      <c r="M149" s="196">
        <v>0</v>
      </c>
      <c r="N149" s="196">
        <v>-30700.57</v>
      </c>
    </row>
    <row r="150" spans="1:14">
      <c r="A150" s="195"/>
      <c r="B150" s="200" t="s">
        <v>308</v>
      </c>
      <c r="C150" s="195" t="s">
        <v>52</v>
      </c>
      <c r="D150" s="195"/>
      <c r="E150" s="195"/>
      <c r="F150" s="196">
        <v>251335.02</v>
      </c>
      <c r="G150" s="196">
        <v>1495703.12</v>
      </c>
      <c r="H150" s="196">
        <v>-283138.96999999997</v>
      </c>
      <c r="I150" s="196">
        <v>1463899.17</v>
      </c>
      <c r="J150" s="202">
        <f>SUM(J144:J149)</f>
        <v>-5777.1290545000002</v>
      </c>
      <c r="K150" s="202">
        <f t="shared" ref="K150:N150" si="41">SUM(K144:K149)</f>
        <v>-29205.094634000001</v>
      </c>
      <c r="L150" s="202">
        <f t="shared" si="41"/>
        <v>5793.9625249999999</v>
      </c>
      <c r="M150" s="202">
        <f t="shared" si="41"/>
        <v>0</v>
      </c>
      <c r="N150" s="202">
        <f t="shared" si="41"/>
        <v>-29188.261163499999</v>
      </c>
    </row>
    <row r="151" spans="1:14">
      <c r="A151" s="195"/>
      <c r="B151" s="195" t="s">
        <v>120</v>
      </c>
      <c r="C151" s="195"/>
      <c r="D151" s="195"/>
      <c r="E151" s="195"/>
      <c r="F151" s="196">
        <v>17156070.98</v>
      </c>
      <c r="G151" s="196">
        <v>1607.3</v>
      </c>
      <c r="H151" s="196">
        <v>-216279.1</v>
      </c>
      <c r="I151" s="196">
        <v>16941399.18</v>
      </c>
      <c r="J151" s="196">
        <v>0</v>
      </c>
      <c r="K151" s="196">
        <v>0</v>
      </c>
      <c r="L151" s="196">
        <v>0</v>
      </c>
      <c r="M151" s="196">
        <v>0</v>
      </c>
      <c r="N151" s="196">
        <v>0</v>
      </c>
    </row>
    <row r="152" spans="1:14">
      <c r="A152" s="195"/>
      <c r="B152" s="195" t="s">
        <v>121</v>
      </c>
      <c r="C152" s="195"/>
      <c r="D152" s="195"/>
      <c r="E152" s="195"/>
      <c r="F152" s="196">
        <v>0</v>
      </c>
      <c r="G152" s="196">
        <v>0</v>
      </c>
      <c r="H152" s="196">
        <v>0</v>
      </c>
      <c r="I152" s="196">
        <v>0</v>
      </c>
      <c r="J152" s="196">
        <v>0</v>
      </c>
      <c r="K152" s="196">
        <v>0</v>
      </c>
      <c r="L152" s="196">
        <v>0</v>
      </c>
      <c r="M152" s="196">
        <v>0</v>
      </c>
      <c r="N152" s="196">
        <v>0</v>
      </c>
    </row>
    <row r="153" spans="1:14">
      <c r="A153" s="195"/>
      <c r="B153" s="195" t="s">
        <v>123</v>
      </c>
      <c r="C153" s="195"/>
      <c r="D153" s="195"/>
      <c r="E153" s="195"/>
      <c r="F153" s="196">
        <v>0</v>
      </c>
      <c r="G153" s="196">
        <v>0</v>
      </c>
      <c r="H153" s="196">
        <v>0</v>
      </c>
      <c r="I153" s="196">
        <v>0</v>
      </c>
      <c r="J153" s="196">
        <v>0</v>
      </c>
      <c r="K153" s="196">
        <v>0</v>
      </c>
      <c r="L153" s="196">
        <v>0</v>
      </c>
      <c r="M153" s="196">
        <v>0</v>
      </c>
      <c r="N153" s="196">
        <v>0</v>
      </c>
    </row>
    <row r="154" spans="1:14">
      <c r="A154" s="195"/>
      <c r="B154" s="195"/>
      <c r="C154" s="195" t="s">
        <v>52</v>
      </c>
      <c r="D154" s="195"/>
      <c r="E154" s="195"/>
      <c r="F154" s="196">
        <v>17156070.98</v>
      </c>
      <c r="G154" s="196">
        <v>1607.3</v>
      </c>
      <c r="H154" s="196">
        <v>-216279.1</v>
      </c>
      <c r="I154" s="196">
        <v>16941399.18</v>
      </c>
      <c r="J154" s="196">
        <v>0</v>
      </c>
      <c r="K154" s="196">
        <v>0</v>
      </c>
      <c r="L154" s="196">
        <v>0</v>
      </c>
      <c r="M154" s="196">
        <v>0</v>
      </c>
      <c r="N154" s="196">
        <v>0</v>
      </c>
    </row>
    <row r="155" spans="1:14">
      <c r="A155" s="195" t="s">
        <v>81</v>
      </c>
      <c r="B155" s="195"/>
      <c r="C155" s="195"/>
      <c r="D155" s="195"/>
      <c r="E155" s="195"/>
      <c r="F155" s="196">
        <v>416294208.60000002</v>
      </c>
      <c r="G155" s="196">
        <v>3191363.95</v>
      </c>
      <c r="H155" s="196">
        <v>-4091683.75</v>
      </c>
      <c r="I155" s="196">
        <v>415393888.80000001</v>
      </c>
      <c r="J155" s="202">
        <f>+J138+J143+J150</f>
        <v>-7619061.2084724996</v>
      </c>
      <c r="K155" s="202">
        <f t="shared" ref="K155:N155" si="42">+K138+K143+K150</f>
        <v>-61808.400959500003</v>
      </c>
      <c r="L155" s="202">
        <f t="shared" si="42"/>
        <v>73133.111111999984</v>
      </c>
      <c r="M155" s="202">
        <f t="shared" si="42"/>
        <v>0</v>
      </c>
      <c r="N155" s="202">
        <f t="shared" si="42"/>
        <v>-7607736.4983200002</v>
      </c>
    </row>
    <row r="156" spans="1:14">
      <c r="A156" s="190" t="s">
        <v>82</v>
      </c>
      <c r="B156" s="190"/>
      <c r="C156" s="190"/>
      <c r="D156" s="190"/>
      <c r="E156" s="190"/>
      <c r="F156" s="192">
        <v>1948776844.5</v>
      </c>
      <c r="G156" s="192">
        <v>122095723.45999999</v>
      </c>
      <c r="H156" s="192">
        <v>92288747</v>
      </c>
      <c r="I156" s="192">
        <v>2163161314.96</v>
      </c>
      <c r="J156" s="202">
        <f>+J133+J155</f>
        <v>-33961902.207292996</v>
      </c>
      <c r="K156" s="202">
        <f t="shared" ref="K156:N156" si="43">+K133+K155</f>
        <v>-2183283.4700000002</v>
      </c>
      <c r="L156" s="202">
        <f t="shared" si="43"/>
        <v>-1767613.1009054999</v>
      </c>
      <c r="M156" s="202">
        <f t="shared" si="43"/>
        <v>0</v>
      </c>
      <c r="N156" s="202">
        <f t="shared" si="43"/>
        <v>-37912798.788198501</v>
      </c>
    </row>
    <row r="157" spans="1:14">
      <c r="A157" s="190" t="s">
        <v>277</v>
      </c>
      <c r="B157" s="190"/>
      <c r="C157" s="190"/>
      <c r="D157" s="190" t="s">
        <v>292</v>
      </c>
      <c r="E157" s="190"/>
      <c r="F157" s="190"/>
      <c r="G157" s="190"/>
      <c r="H157" s="190"/>
      <c r="I157" s="190"/>
      <c r="J157" s="190"/>
      <c r="K157" s="190"/>
      <c r="L157" s="190"/>
      <c r="M157" s="190"/>
      <c r="N157" s="190"/>
    </row>
    <row r="158" spans="1:14" ht="43.2">
      <c r="A158" s="190"/>
      <c r="B158" s="190"/>
      <c r="C158" s="190"/>
      <c r="D158" s="190"/>
      <c r="E158" s="190"/>
      <c r="F158" s="191" t="s">
        <v>278</v>
      </c>
      <c r="G158" s="190" t="s">
        <v>29</v>
      </c>
      <c r="H158" s="190" t="s">
        <v>47</v>
      </c>
      <c r="I158" s="191" t="s">
        <v>279</v>
      </c>
      <c r="J158" s="191" t="s">
        <v>280</v>
      </c>
      <c r="K158" s="191" t="s">
        <v>281</v>
      </c>
      <c r="L158" s="191" t="s">
        <v>282</v>
      </c>
      <c r="M158" s="191" t="s">
        <v>283</v>
      </c>
      <c r="N158" s="191" t="s">
        <v>284</v>
      </c>
    </row>
    <row r="159" spans="1:14">
      <c r="A159" s="190" t="s">
        <v>285</v>
      </c>
      <c r="B159" s="190"/>
      <c r="C159" s="190"/>
      <c r="D159" s="190">
        <v>2017</v>
      </c>
      <c r="E159" s="190"/>
      <c r="F159" s="190"/>
      <c r="G159" s="190"/>
      <c r="H159" s="190"/>
      <c r="I159" s="190"/>
      <c r="J159" s="190"/>
      <c r="K159" s="190"/>
      <c r="L159" s="190"/>
      <c r="M159" s="190"/>
      <c r="N159" s="190"/>
    </row>
    <row r="160" spans="1:14">
      <c r="A160" s="193"/>
      <c r="B160" s="193" t="s">
        <v>124</v>
      </c>
      <c r="C160" s="193"/>
      <c r="D160" s="193"/>
      <c r="E160" s="193"/>
      <c r="F160" s="194">
        <v>-254118620.34999999</v>
      </c>
      <c r="G160" s="194">
        <v>-7283320.5499999998</v>
      </c>
      <c r="H160" s="194">
        <v>9531120.3800000008</v>
      </c>
      <c r="I160" s="194">
        <v>-251870820.52000001</v>
      </c>
      <c r="J160" s="194">
        <v>-13913585.35</v>
      </c>
      <c r="K160" s="194">
        <v>-400582.63</v>
      </c>
      <c r="L160" s="194">
        <v>523223.39</v>
      </c>
      <c r="M160" s="194">
        <v>0</v>
      </c>
      <c r="N160" s="194">
        <v>-13790944.59</v>
      </c>
    </row>
    <row r="161" spans="1:14">
      <c r="A161" s="193"/>
      <c r="B161" s="193" t="s">
        <v>125</v>
      </c>
      <c r="C161" s="193"/>
      <c r="D161" s="193"/>
      <c r="E161" s="193"/>
      <c r="F161" s="194">
        <v>1605967.51</v>
      </c>
      <c r="G161" s="194">
        <v>142145.82</v>
      </c>
      <c r="H161" s="194">
        <v>-69622.83</v>
      </c>
      <c r="I161" s="194">
        <v>1678490.5</v>
      </c>
      <c r="J161" s="194">
        <v>84023.43</v>
      </c>
      <c r="K161" s="194">
        <v>7818.02</v>
      </c>
      <c r="L161" s="194">
        <v>-3527.61</v>
      </c>
      <c r="M161" s="194">
        <v>0</v>
      </c>
      <c r="N161" s="194">
        <v>88313.84</v>
      </c>
    </row>
    <row r="162" spans="1:14">
      <c r="A162" s="193"/>
      <c r="B162" s="193" t="s">
        <v>126</v>
      </c>
      <c r="C162" s="193"/>
      <c r="D162" s="193"/>
      <c r="E162" s="193"/>
      <c r="F162" s="194">
        <v>13886296.32</v>
      </c>
      <c r="G162" s="194">
        <v>47355.64</v>
      </c>
      <c r="H162" s="194">
        <v>-2231473.2200000002</v>
      </c>
      <c r="I162" s="194">
        <v>11702178.74</v>
      </c>
      <c r="J162" s="194">
        <v>736683.65</v>
      </c>
      <c r="K162" s="194">
        <v>2604.56</v>
      </c>
      <c r="L162" s="194">
        <v>-122008.29</v>
      </c>
      <c r="M162" s="194">
        <v>0</v>
      </c>
      <c r="N162" s="194">
        <v>617279.92000000004</v>
      </c>
    </row>
    <row r="163" spans="1:14">
      <c r="A163" s="193"/>
      <c r="B163" s="193" t="s">
        <v>127</v>
      </c>
      <c r="C163" s="193"/>
      <c r="D163" s="193"/>
      <c r="E163" s="193"/>
      <c r="F163" s="194">
        <v>1654607730.8299999</v>
      </c>
      <c r="G163" s="194">
        <v>105917424.91</v>
      </c>
      <c r="H163" s="194">
        <v>-27181648.010000002</v>
      </c>
      <c r="I163" s="194">
        <v>1733343507.73</v>
      </c>
      <c r="J163" s="194">
        <v>91008746.730000004</v>
      </c>
      <c r="K163" s="194">
        <v>5825458.3700000001</v>
      </c>
      <c r="L163" s="194">
        <v>-1492418.47</v>
      </c>
      <c r="M163" s="194">
        <v>0</v>
      </c>
      <c r="N163" s="194">
        <v>95341786.629999995</v>
      </c>
    </row>
    <row r="164" spans="1:14">
      <c r="A164" s="193"/>
      <c r="B164" s="193"/>
      <c r="C164" s="193" t="s">
        <v>52</v>
      </c>
      <c r="D164" s="193"/>
      <c r="E164" s="193"/>
      <c r="F164" s="194">
        <v>1415981374.3099999</v>
      </c>
      <c r="G164" s="194">
        <v>98823605.819999993</v>
      </c>
      <c r="H164" s="194">
        <v>-19951623.68</v>
      </c>
      <c r="I164" s="194">
        <v>1494853356.45</v>
      </c>
      <c r="J164" s="194">
        <v>77915868.459999993</v>
      </c>
      <c r="K164" s="194">
        <v>5435298.3200000003</v>
      </c>
      <c r="L164" s="194">
        <v>-1094730.98</v>
      </c>
      <c r="M164" s="194">
        <v>0</v>
      </c>
      <c r="N164" s="194">
        <v>82256435.799999997</v>
      </c>
    </row>
    <row r="165" spans="1:14">
      <c r="A165" s="193"/>
      <c r="B165" s="193" t="s">
        <v>128</v>
      </c>
      <c r="C165" s="193"/>
      <c r="D165" s="193"/>
      <c r="E165" s="193"/>
      <c r="F165" s="194">
        <v>0</v>
      </c>
      <c r="G165" s="194">
        <v>0</v>
      </c>
      <c r="H165" s="194">
        <v>0</v>
      </c>
      <c r="I165" s="194">
        <v>0</v>
      </c>
      <c r="J165" s="202">
        <f>+F165*0.055</f>
        <v>0</v>
      </c>
      <c r="K165" s="202">
        <f t="shared" ref="K165:L165" si="44">+G165*0.055</f>
        <v>0</v>
      </c>
      <c r="L165" s="202">
        <f t="shared" si="44"/>
        <v>0</v>
      </c>
      <c r="M165" s="194"/>
      <c r="N165" s="202">
        <f>+I165*0.055</f>
        <v>0</v>
      </c>
    </row>
    <row r="166" spans="1:14">
      <c r="A166" s="193"/>
      <c r="B166" s="193" t="s">
        <v>129</v>
      </c>
      <c r="C166" s="193"/>
      <c r="D166" s="193"/>
      <c r="E166" s="193"/>
      <c r="F166" s="194">
        <v>824992.22</v>
      </c>
      <c r="G166" s="194">
        <v>0</v>
      </c>
      <c r="H166" s="194">
        <v>0</v>
      </c>
      <c r="I166" s="194">
        <v>824992.22</v>
      </c>
      <c r="J166" s="202">
        <f t="shared" ref="J166:J183" si="45">+F166*0.055</f>
        <v>45374.572099999998</v>
      </c>
      <c r="K166" s="202">
        <f t="shared" ref="K166:K183" si="46">+G166*0.055</f>
        <v>0</v>
      </c>
      <c r="L166" s="202">
        <f t="shared" ref="L166:L183" si="47">+H166*0.055</f>
        <v>0</v>
      </c>
      <c r="M166" s="194"/>
      <c r="N166" s="202">
        <f t="shared" ref="N166:N183" si="48">+I166*0.055</f>
        <v>45374.572099999998</v>
      </c>
    </row>
    <row r="167" spans="1:14">
      <c r="A167" s="193"/>
      <c r="B167" s="193" t="s">
        <v>130</v>
      </c>
      <c r="C167" s="193"/>
      <c r="D167" s="193"/>
      <c r="E167" s="193"/>
      <c r="F167" s="194">
        <v>0</v>
      </c>
      <c r="G167" s="194">
        <v>0</v>
      </c>
      <c r="H167" s="194">
        <v>0</v>
      </c>
      <c r="I167" s="194">
        <v>0</v>
      </c>
      <c r="J167" s="202">
        <f t="shared" si="45"/>
        <v>0</v>
      </c>
      <c r="K167" s="202">
        <f t="shared" si="46"/>
        <v>0</v>
      </c>
      <c r="L167" s="202">
        <f t="shared" si="47"/>
        <v>0</v>
      </c>
      <c r="M167" s="194"/>
      <c r="N167" s="202">
        <f t="shared" si="48"/>
        <v>0</v>
      </c>
    </row>
    <row r="168" spans="1:14">
      <c r="A168" s="193"/>
      <c r="B168" s="193" t="s">
        <v>131</v>
      </c>
      <c r="C168" s="193"/>
      <c r="D168" s="193"/>
      <c r="E168" s="193"/>
      <c r="F168" s="194">
        <v>0</v>
      </c>
      <c r="G168" s="194">
        <v>0</v>
      </c>
      <c r="H168" s="194">
        <v>0</v>
      </c>
      <c r="I168" s="194">
        <v>0</v>
      </c>
      <c r="J168" s="202">
        <f t="shared" si="45"/>
        <v>0</v>
      </c>
      <c r="K168" s="202">
        <f t="shared" si="46"/>
        <v>0</v>
      </c>
      <c r="L168" s="202">
        <f t="shared" si="47"/>
        <v>0</v>
      </c>
      <c r="M168" s="194"/>
      <c r="N168" s="202">
        <f t="shared" si="48"/>
        <v>0</v>
      </c>
    </row>
    <row r="169" spans="1:14">
      <c r="A169" s="193"/>
      <c r="B169" s="193" t="s">
        <v>132</v>
      </c>
      <c r="C169" s="193"/>
      <c r="D169" s="193"/>
      <c r="E169" s="193"/>
      <c r="F169" s="194">
        <v>-1304353.06</v>
      </c>
      <c r="G169" s="194">
        <v>0</v>
      </c>
      <c r="H169" s="194">
        <v>0</v>
      </c>
      <c r="I169" s="194">
        <v>-1304353.06</v>
      </c>
      <c r="J169" s="202">
        <f t="shared" si="45"/>
        <v>-71739.418300000005</v>
      </c>
      <c r="K169" s="202">
        <f t="shared" si="46"/>
        <v>0</v>
      </c>
      <c r="L169" s="202">
        <f t="shared" si="47"/>
        <v>0</v>
      </c>
      <c r="M169" s="194"/>
      <c r="N169" s="202">
        <f t="shared" si="48"/>
        <v>-71739.418300000005</v>
      </c>
    </row>
    <row r="170" spans="1:14">
      <c r="A170" s="193"/>
      <c r="B170" s="193" t="s">
        <v>133</v>
      </c>
      <c r="C170" s="193"/>
      <c r="D170" s="193"/>
      <c r="E170" s="193"/>
      <c r="F170" s="194">
        <v>-11529650.02</v>
      </c>
      <c r="G170" s="194">
        <v>0</v>
      </c>
      <c r="H170" s="194">
        <v>94260.84</v>
      </c>
      <c r="I170" s="194">
        <v>-11435389.18</v>
      </c>
      <c r="J170" s="202">
        <f t="shared" si="45"/>
        <v>-634130.75109999999</v>
      </c>
      <c r="K170" s="202">
        <f t="shared" si="46"/>
        <v>0</v>
      </c>
      <c r="L170" s="202">
        <f t="shared" si="47"/>
        <v>5184.3462</v>
      </c>
      <c r="M170" s="194"/>
      <c r="N170" s="202">
        <f t="shared" si="48"/>
        <v>-628946.40489999996</v>
      </c>
    </row>
    <row r="171" spans="1:14">
      <c r="A171" s="193"/>
      <c r="B171" s="193" t="s">
        <v>134</v>
      </c>
      <c r="C171" s="193"/>
      <c r="D171" s="193"/>
      <c r="E171" s="193"/>
      <c r="F171" s="194">
        <v>30294794.460000001</v>
      </c>
      <c r="G171" s="194">
        <v>34061.79</v>
      </c>
      <c r="H171" s="194">
        <v>-602115.01</v>
      </c>
      <c r="I171" s="194">
        <v>29726741.239999998</v>
      </c>
      <c r="J171" s="202">
        <f t="shared" si="45"/>
        <v>1666213.6953</v>
      </c>
      <c r="K171" s="202">
        <f t="shared" si="46"/>
        <v>1873.3984500000001</v>
      </c>
      <c r="L171" s="202">
        <f t="shared" si="47"/>
        <v>-33116.325550000001</v>
      </c>
      <c r="M171" s="194"/>
      <c r="N171" s="202">
        <f t="shared" si="48"/>
        <v>1634970.7681999998</v>
      </c>
    </row>
    <row r="172" spans="1:14">
      <c r="A172" s="193"/>
      <c r="B172" s="193" t="s">
        <v>135</v>
      </c>
      <c r="C172" s="193"/>
      <c r="D172" s="193"/>
      <c r="E172" s="193"/>
      <c r="F172" s="194">
        <v>7576745.3200000003</v>
      </c>
      <c r="G172" s="194">
        <v>0</v>
      </c>
      <c r="H172" s="194">
        <v>-890637.33</v>
      </c>
      <c r="I172" s="194">
        <v>6686107.9900000002</v>
      </c>
      <c r="J172" s="202">
        <f t="shared" si="45"/>
        <v>416720.9926</v>
      </c>
      <c r="K172" s="202">
        <f t="shared" si="46"/>
        <v>0</v>
      </c>
      <c r="L172" s="202">
        <f t="shared" si="47"/>
        <v>-48985.05315</v>
      </c>
      <c r="M172" s="194"/>
      <c r="N172" s="202">
        <f t="shared" si="48"/>
        <v>367735.93945000001</v>
      </c>
    </row>
    <row r="173" spans="1:14">
      <c r="A173" s="193"/>
      <c r="B173" s="193" t="s">
        <v>136</v>
      </c>
      <c r="C173" s="193"/>
      <c r="D173" s="193"/>
      <c r="E173" s="193"/>
      <c r="F173" s="194">
        <v>9273330.4199999999</v>
      </c>
      <c r="G173" s="194">
        <v>0</v>
      </c>
      <c r="H173" s="194">
        <v>-513878.33</v>
      </c>
      <c r="I173" s="194">
        <v>8759452.0899999999</v>
      </c>
      <c r="J173" s="202">
        <f t="shared" si="45"/>
        <v>510033.17310000001</v>
      </c>
      <c r="K173" s="202">
        <f t="shared" si="46"/>
        <v>0</v>
      </c>
      <c r="L173" s="202">
        <f t="shared" si="47"/>
        <v>-28263.308150000001</v>
      </c>
      <c r="M173" s="194"/>
      <c r="N173" s="202">
        <f t="shared" si="48"/>
        <v>481769.86495000002</v>
      </c>
    </row>
    <row r="174" spans="1:14">
      <c r="A174" s="193"/>
      <c r="B174" s="193" t="s">
        <v>137</v>
      </c>
      <c r="C174" s="193"/>
      <c r="D174" s="193"/>
      <c r="E174" s="193"/>
      <c r="F174" s="194">
        <v>260560283.37</v>
      </c>
      <c r="G174" s="194">
        <v>60000000</v>
      </c>
      <c r="H174" s="194">
        <v>-5770743.6900000004</v>
      </c>
      <c r="I174" s="194">
        <v>314789539.68000001</v>
      </c>
      <c r="J174" s="202">
        <f t="shared" si="45"/>
        <v>14330815.585350001</v>
      </c>
      <c r="K174" s="202">
        <f t="shared" si="46"/>
        <v>3300000</v>
      </c>
      <c r="L174" s="202">
        <f t="shared" si="47"/>
        <v>-317390.90295000002</v>
      </c>
      <c r="M174" s="194"/>
      <c r="N174" s="202">
        <f t="shared" si="48"/>
        <v>17313424.682399999</v>
      </c>
    </row>
    <row r="175" spans="1:14">
      <c r="A175" s="193"/>
      <c r="B175" s="193" t="s">
        <v>237</v>
      </c>
      <c r="C175" s="193"/>
      <c r="D175" s="193"/>
      <c r="E175" s="193"/>
      <c r="F175" s="194">
        <v>90749.1</v>
      </c>
      <c r="G175" s="194">
        <v>0</v>
      </c>
      <c r="H175" s="194">
        <v>-13619.93</v>
      </c>
      <c r="I175" s="194">
        <v>77129.17</v>
      </c>
      <c r="J175" s="202">
        <f t="shared" si="45"/>
        <v>4991.2004999999999</v>
      </c>
      <c r="K175" s="202">
        <f t="shared" si="46"/>
        <v>0</v>
      </c>
      <c r="L175" s="202">
        <f t="shared" si="47"/>
        <v>-749.09614999999997</v>
      </c>
      <c r="M175" s="194"/>
      <c r="N175" s="202">
        <f t="shared" si="48"/>
        <v>4242.1043499999996</v>
      </c>
    </row>
    <row r="176" spans="1:14">
      <c r="A176" s="193"/>
      <c r="B176" s="193" t="s">
        <v>293</v>
      </c>
      <c r="C176" s="193"/>
      <c r="D176" s="193"/>
      <c r="E176" s="193"/>
      <c r="F176" s="194">
        <v>0</v>
      </c>
      <c r="G176" s="194">
        <v>-32534000</v>
      </c>
      <c r="H176" s="194">
        <v>121913.11</v>
      </c>
      <c r="I176" s="194">
        <v>-32412086.890000001</v>
      </c>
      <c r="J176" s="202">
        <f t="shared" si="45"/>
        <v>0</v>
      </c>
      <c r="K176" s="202">
        <f t="shared" si="46"/>
        <v>-1789370</v>
      </c>
      <c r="L176" s="202">
        <f t="shared" si="47"/>
        <v>6705.2210500000001</v>
      </c>
      <c r="M176" s="194"/>
      <c r="N176" s="202">
        <f t="shared" si="48"/>
        <v>-1782664.7789499999</v>
      </c>
    </row>
    <row r="177" spans="1:14">
      <c r="A177" s="193"/>
      <c r="B177" s="200" t="s">
        <v>307</v>
      </c>
      <c r="C177" s="193" t="s">
        <v>52</v>
      </c>
      <c r="D177" s="193"/>
      <c r="E177" s="193"/>
      <c r="F177" s="194">
        <v>295786891.81</v>
      </c>
      <c r="G177" s="194">
        <v>27500061.789999999</v>
      </c>
      <c r="H177" s="194">
        <v>-7574820.3399999999</v>
      </c>
      <c r="I177" s="194">
        <v>315712133.25999999</v>
      </c>
      <c r="J177" s="202">
        <f>SUM(J165:J176)</f>
        <v>16268279.049550001</v>
      </c>
      <c r="K177" s="202">
        <f t="shared" ref="K177:N177" si="49">SUM(K165:K176)</f>
        <v>1512503.3984500002</v>
      </c>
      <c r="L177" s="202">
        <f t="shared" si="49"/>
        <v>-416615.11870000005</v>
      </c>
      <c r="M177" s="202"/>
      <c r="N177" s="202">
        <f t="shared" si="49"/>
        <v>17364167.329300001</v>
      </c>
    </row>
    <row r="178" spans="1:14">
      <c r="A178" s="193"/>
      <c r="B178" s="193" t="s">
        <v>138</v>
      </c>
      <c r="C178" s="193"/>
      <c r="D178" s="193"/>
      <c r="E178" s="193"/>
      <c r="F178" s="194">
        <v>-1507995.62</v>
      </c>
      <c r="G178" s="194">
        <v>0</v>
      </c>
      <c r="H178" s="194">
        <v>854258.52</v>
      </c>
      <c r="I178" s="194">
        <v>-653737.1</v>
      </c>
      <c r="J178" s="202">
        <f t="shared" si="45"/>
        <v>-82939.75910000001</v>
      </c>
      <c r="K178" s="202">
        <f t="shared" si="46"/>
        <v>0</v>
      </c>
      <c r="L178" s="202">
        <f t="shared" si="47"/>
        <v>46984.2186</v>
      </c>
      <c r="M178" s="194"/>
      <c r="N178" s="202">
        <f t="shared" si="48"/>
        <v>-35955.540499999996</v>
      </c>
    </row>
    <row r="179" spans="1:14">
      <c r="A179" s="193"/>
      <c r="B179" s="193" t="s">
        <v>139</v>
      </c>
      <c r="C179" s="193"/>
      <c r="D179" s="193"/>
      <c r="E179" s="193"/>
      <c r="F179" s="194">
        <v>-58292845.75</v>
      </c>
      <c r="G179" s="194">
        <v>-1946388.28</v>
      </c>
      <c r="H179" s="194">
        <v>6904157.3899999997</v>
      </c>
      <c r="I179" s="194">
        <v>-53335076.640000001</v>
      </c>
      <c r="J179" s="202">
        <f t="shared" si="45"/>
        <v>-3206106.5162499999</v>
      </c>
      <c r="K179" s="202">
        <f t="shared" si="46"/>
        <v>-107051.3554</v>
      </c>
      <c r="L179" s="202">
        <f t="shared" si="47"/>
        <v>379728.65645000001</v>
      </c>
      <c r="M179" s="194"/>
      <c r="N179" s="202">
        <f t="shared" si="48"/>
        <v>-2933429.2152</v>
      </c>
    </row>
    <row r="180" spans="1:14">
      <c r="A180" s="193"/>
      <c r="B180" s="193" t="s">
        <v>140</v>
      </c>
      <c r="C180" s="193"/>
      <c r="D180" s="193"/>
      <c r="E180" s="193"/>
      <c r="F180" s="194">
        <v>-366887.96</v>
      </c>
      <c r="G180" s="194">
        <v>0</v>
      </c>
      <c r="H180" s="194">
        <v>55574.53</v>
      </c>
      <c r="I180" s="194">
        <v>-311313.43</v>
      </c>
      <c r="J180" s="202">
        <f t="shared" si="45"/>
        <v>-20178.837800000001</v>
      </c>
      <c r="K180" s="202">
        <f t="shared" si="46"/>
        <v>0</v>
      </c>
      <c r="L180" s="202">
        <f t="shared" si="47"/>
        <v>3056.59915</v>
      </c>
      <c r="M180" s="194"/>
      <c r="N180" s="202">
        <f t="shared" si="48"/>
        <v>-17122.238649999999</v>
      </c>
    </row>
    <row r="181" spans="1:14">
      <c r="A181" s="193"/>
      <c r="B181" s="193" t="s">
        <v>141</v>
      </c>
      <c r="C181" s="193"/>
      <c r="D181" s="193"/>
      <c r="E181" s="193"/>
      <c r="F181" s="194">
        <v>-37116411.100000001</v>
      </c>
      <c r="G181" s="194">
        <v>-4000000</v>
      </c>
      <c r="H181" s="194">
        <v>4361748.1399999997</v>
      </c>
      <c r="I181" s="194">
        <v>-36754662.960000001</v>
      </c>
      <c r="J181" s="202">
        <f t="shared" si="45"/>
        <v>-2041402.6105000002</v>
      </c>
      <c r="K181" s="202">
        <f t="shared" si="46"/>
        <v>-220000</v>
      </c>
      <c r="L181" s="202">
        <f t="shared" si="47"/>
        <v>239896.14769999997</v>
      </c>
      <c r="M181" s="194"/>
      <c r="N181" s="202">
        <f t="shared" si="48"/>
        <v>-2021506.4628000001</v>
      </c>
    </row>
    <row r="182" spans="1:14">
      <c r="A182" s="193"/>
      <c r="B182" s="193" t="s">
        <v>142</v>
      </c>
      <c r="C182" s="193"/>
      <c r="D182" s="193"/>
      <c r="E182" s="193"/>
      <c r="F182" s="194">
        <v>-6666516.5899999999</v>
      </c>
      <c r="G182" s="194">
        <v>0</v>
      </c>
      <c r="H182" s="194">
        <v>983294.25</v>
      </c>
      <c r="I182" s="194">
        <v>-5683222.3399999999</v>
      </c>
      <c r="J182" s="202">
        <f t="shared" si="45"/>
        <v>-366658.41245</v>
      </c>
      <c r="K182" s="202">
        <f t="shared" si="46"/>
        <v>0</v>
      </c>
      <c r="L182" s="202">
        <f t="shared" si="47"/>
        <v>54081.183750000004</v>
      </c>
      <c r="M182" s="194"/>
      <c r="N182" s="202">
        <f t="shared" si="48"/>
        <v>-312577.22869999998</v>
      </c>
    </row>
    <row r="183" spans="1:14">
      <c r="A183" s="193"/>
      <c r="B183" s="193" t="s">
        <v>143</v>
      </c>
      <c r="C183" s="193"/>
      <c r="D183" s="193"/>
      <c r="E183" s="193"/>
      <c r="F183" s="194">
        <v>-11939301.859999999</v>
      </c>
      <c r="G183" s="194">
        <v>0</v>
      </c>
      <c r="H183" s="194">
        <v>5520855.5599999996</v>
      </c>
      <c r="I183" s="194">
        <v>-6418446.2999999998</v>
      </c>
      <c r="J183" s="202">
        <f t="shared" si="45"/>
        <v>-656661.60230000003</v>
      </c>
      <c r="K183" s="202">
        <f t="shared" si="46"/>
        <v>0</v>
      </c>
      <c r="L183" s="202">
        <f t="shared" si="47"/>
        <v>303647.05579999997</v>
      </c>
      <c r="M183" s="194"/>
      <c r="N183" s="202">
        <f t="shared" si="48"/>
        <v>-353014.5465</v>
      </c>
    </row>
    <row r="184" spans="1:14">
      <c r="A184" s="193"/>
      <c r="B184" s="193" t="s">
        <v>144</v>
      </c>
      <c r="C184" s="193"/>
      <c r="D184" s="193"/>
      <c r="E184" s="193"/>
      <c r="F184" s="194">
        <v>-461633574.42000002</v>
      </c>
      <c r="G184" s="194">
        <v>-52518050</v>
      </c>
      <c r="H184" s="194">
        <v>147144468.44999999</v>
      </c>
      <c r="I184" s="194">
        <v>-367007155.97000003</v>
      </c>
      <c r="J184" s="194">
        <v>-25389846.59</v>
      </c>
      <c r="K184" s="194">
        <v>-2888492.75</v>
      </c>
      <c r="L184" s="194">
        <v>8092945.7699999996</v>
      </c>
      <c r="M184" s="194">
        <v>0</v>
      </c>
      <c r="N184" s="194">
        <v>-20185393.57</v>
      </c>
    </row>
    <row r="185" spans="1:14">
      <c r="A185" s="193"/>
      <c r="B185" s="193" t="s">
        <v>145</v>
      </c>
      <c r="C185" s="193"/>
      <c r="D185" s="193"/>
      <c r="E185" s="193"/>
      <c r="F185" s="194">
        <v>0</v>
      </c>
      <c r="G185" s="194">
        <v>0</v>
      </c>
      <c r="H185" s="194">
        <v>0</v>
      </c>
      <c r="I185" s="194">
        <v>0</v>
      </c>
      <c r="J185" s="202">
        <f t="shared" ref="J185:J189" si="50">+F185*0.055</f>
        <v>0</v>
      </c>
      <c r="K185" s="202">
        <f t="shared" ref="K185:K189" si="51">+G185*0.055</f>
        <v>0</v>
      </c>
      <c r="L185" s="202">
        <f t="shared" ref="L185:L189" si="52">+H185*0.055</f>
        <v>0</v>
      </c>
      <c r="M185" s="194"/>
      <c r="N185" s="202">
        <f t="shared" ref="N185:N189" si="53">+I185*0.055</f>
        <v>0</v>
      </c>
    </row>
    <row r="186" spans="1:14">
      <c r="A186" s="193"/>
      <c r="B186" s="193" t="s">
        <v>146</v>
      </c>
      <c r="C186" s="193"/>
      <c r="D186" s="193"/>
      <c r="E186" s="193"/>
      <c r="F186" s="194">
        <v>69832868.790000007</v>
      </c>
      <c r="G186" s="194">
        <v>0</v>
      </c>
      <c r="H186" s="194">
        <v>-7123023.4900000002</v>
      </c>
      <c r="I186" s="194">
        <v>62709845.299999997</v>
      </c>
      <c r="J186" s="202">
        <f t="shared" si="50"/>
        <v>3840807.7834500005</v>
      </c>
      <c r="K186" s="202">
        <f t="shared" si="51"/>
        <v>0</v>
      </c>
      <c r="L186" s="202">
        <f t="shared" si="52"/>
        <v>-391766.29195000004</v>
      </c>
      <c r="M186" s="194"/>
      <c r="N186" s="202">
        <f t="shared" si="53"/>
        <v>3449041.4915</v>
      </c>
    </row>
    <row r="187" spans="1:14">
      <c r="A187" s="193"/>
      <c r="B187" s="193" t="s">
        <v>147</v>
      </c>
      <c r="C187" s="193"/>
      <c r="D187" s="193"/>
      <c r="E187" s="193"/>
      <c r="F187" s="194">
        <v>-8081038.5700000003</v>
      </c>
      <c r="G187" s="194">
        <v>0</v>
      </c>
      <c r="H187" s="194">
        <v>892331.5</v>
      </c>
      <c r="I187" s="194">
        <v>-7188707.0700000003</v>
      </c>
      <c r="J187" s="202">
        <f t="shared" si="50"/>
        <v>-444457.12135000003</v>
      </c>
      <c r="K187" s="202">
        <f t="shared" si="51"/>
        <v>0</v>
      </c>
      <c r="L187" s="202">
        <f t="shared" si="52"/>
        <v>49078.232499999998</v>
      </c>
      <c r="M187" s="194"/>
      <c r="N187" s="202">
        <f t="shared" si="53"/>
        <v>-395378.88885000005</v>
      </c>
    </row>
    <row r="188" spans="1:14">
      <c r="A188" s="193"/>
      <c r="B188" s="193" t="s">
        <v>148</v>
      </c>
      <c r="C188" s="193"/>
      <c r="D188" s="193"/>
      <c r="E188" s="193"/>
      <c r="F188" s="194">
        <v>91414.95</v>
      </c>
      <c r="G188" s="194">
        <v>0</v>
      </c>
      <c r="H188" s="194">
        <v>-9353.17</v>
      </c>
      <c r="I188" s="194">
        <v>82061.78</v>
      </c>
      <c r="J188" s="202">
        <f t="shared" si="50"/>
        <v>5027.8222500000002</v>
      </c>
      <c r="K188" s="202">
        <f t="shared" si="51"/>
        <v>0</v>
      </c>
      <c r="L188" s="202">
        <f t="shared" si="52"/>
        <v>-514.42435</v>
      </c>
      <c r="M188" s="194"/>
      <c r="N188" s="202">
        <f t="shared" si="53"/>
        <v>4513.3978999999999</v>
      </c>
    </row>
    <row r="189" spans="1:14">
      <c r="A189" s="193"/>
      <c r="B189" s="193" t="s">
        <v>238</v>
      </c>
      <c r="C189" s="193"/>
      <c r="D189" s="193"/>
      <c r="E189" s="193"/>
      <c r="F189" s="194">
        <v>-9456.99</v>
      </c>
      <c r="G189" s="194">
        <v>0</v>
      </c>
      <c r="H189" s="194">
        <v>2701.96</v>
      </c>
      <c r="I189" s="194">
        <v>-6755.03</v>
      </c>
      <c r="J189" s="202">
        <f t="shared" si="50"/>
        <v>-520.13445000000002</v>
      </c>
      <c r="K189" s="202">
        <f t="shared" si="51"/>
        <v>0</v>
      </c>
      <c r="L189" s="202">
        <f t="shared" si="52"/>
        <v>148.6078</v>
      </c>
      <c r="M189" s="194"/>
      <c r="N189" s="202">
        <f t="shared" si="53"/>
        <v>-371.52664999999996</v>
      </c>
    </row>
    <row r="190" spans="1:14">
      <c r="A190" s="193"/>
      <c r="B190" s="193" t="s">
        <v>239</v>
      </c>
      <c r="C190" s="193"/>
      <c r="D190" s="193"/>
      <c r="E190" s="193"/>
      <c r="F190" s="194">
        <v>261371.51</v>
      </c>
      <c r="G190" s="194">
        <v>0</v>
      </c>
      <c r="H190" s="194">
        <v>-61645.63</v>
      </c>
      <c r="I190" s="194">
        <v>199725.88</v>
      </c>
      <c r="J190" s="194">
        <v>14375.43</v>
      </c>
      <c r="K190" s="194">
        <v>0</v>
      </c>
      <c r="L190" s="194">
        <v>-3390.51</v>
      </c>
      <c r="M190" s="194">
        <v>0</v>
      </c>
      <c r="N190" s="194">
        <v>10984.92</v>
      </c>
    </row>
    <row r="191" spans="1:14">
      <c r="A191" s="193"/>
      <c r="B191" s="193" t="s">
        <v>240</v>
      </c>
      <c r="C191" s="193"/>
      <c r="D191" s="193"/>
      <c r="E191" s="193"/>
      <c r="F191" s="194">
        <v>268257336.25</v>
      </c>
      <c r="G191" s="194">
        <v>50968735.5</v>
      </c>
      <c r="H191" s="194">
        <v>-34358973.93</v>
      </c>
      <c r="I191" s="194">
        <v>284867097.81999999</v>
      </c>
      <c r="J191" s="194">
        <v>14754153.59</v>
      </c>
      <c r="K191" s="194">
        <v>2803280.46</v>
      </c>
      <c r="L191" s="194">
        <v>-1889743.6</v>
      </c>
      <c r="M191" s="194">
        <v>0</v>
      </c>
      <c r="N191" s="194">
        <v>15667690.449999999</v>
      </c>
    </row>
    <row r="192" spans="1:14">
      <c r="A192" s="193"/>
      <c r="B192" s="200" t="s">
        <v>308</v>
      </c>
      <c r="C192" s="193" t="s">
        <v>52</v>
      </c>
      <c r="D192" s="193"/>
      <c r="E192" s="193"/>
      <c r="F192" s="194">
        <v>-247171037.36000001</v>
      </c>
      <c r="G192" s="194">
        <v>-7495702.7800000003</v>
      </c>
      <c r="H192" s="194">
        <v>125166394.08</v>
      </c>
      <c r="I192" s="194">
        <v>-129500346.06</v>
      </c>
      <c r="J192" s="194">
        <f>SUM(J178:J191)</f>
        <v>-13594406.958500002</v>
      </c>
      <c r="K192" s="194">
        <f t="shared" ref="K192:N192" si="54">SUM(K178:K191)</f>
        <v>-412263.6453999998</v>
      </c>
      <c r="L192" s="194">
        <f t="shared" si="54"/>
        <v>6884151.6454499979</v>
      </c>
      <c r="M192" s="194">
        <f t="shared" si="54"/>
        <v>0</v>
      </c>
      <c r="N192" s="194">
        <f t="shared" si="54"/>
        <v>-7122518.958449997</v>
      </c>
    </row>
    <row r="193" spans="1:14">
      <c r="A193" s="193"/>
      <c r="B193" s="193" t="s">
        <v>149</v>
      </c>
      <c r="C193" s="193"/>
      <c r="D193" s="193"/>
      <c r="E193" s="193"/>
      <c r="F193" s="194">
        <v>12496.61</v>
      </c>
      <c r="G193" s="194">
        <v>0</v>
      </c>
      <c r="H193" s="194">
        <v>-1065.3399999999999</v>
      </c>
      <c r="I193" s="194">
        <v>11431.27</v>
      </c>
      <c r="J193" s="194">
        <v>0</v>
      </c>
      <c r="K193" s="194">
        <v>0</v>
      </c>
      <c r="L193" s="194">
        <v>0</v>
      </c>
      <c r="M193" s="194">
        <v>0</v>
      </c>
      <c r="N193" s="194">
        <v>0</v>
      </c>
    </row>
    <row r="194" spans="1:14">
      <c r="A194" s="193"/>
      <c r="B194" s="193" t="s">
        <v>150</v>
      </c>
      <c r="C194" s="193"/>
      <c r="D194" s="193"/>
      <c r="E194" s="193"/>
      <c r="F194" s="194">
        <v>71689.66</v>
      </c>
      <c r="G194" s="194">
        <v>0</v>
      </c>
      <c r="H194" s="194">
        <v>-832.75</v>
      </c>
      <c r="I194" s="194">
        <v>70856.91</v>
      </c>
      <c r="J194" s="194">
        <v>0</v>
      </c>
      <c r="K194" s="194">
        <v>0</v>
      </c>
      <c r="L194" s="194">
        <v>0</v>
      </c>
      <c r="M194" s="194">
        <v>0</v>
      </c>
      <c r="N194" s="194">
        <v>0</v>
      </c>
    </row>
    <row r="195" spans="1:14">
      <c r="A195" s="193"/>
      <c r="B195" s="193"/>
      <c r="C195" s="193" t="s">
        <v>52</v>
      </c>
      <c r="D195" s="193"/>
      <c r="E195" s="193"/>
      <c r="F195" s="194">
        <v>84186.27</v>
      </c>
      <c r="G195" s="194">
        <v>0</v>
      </c>
      <c r="H195" s="194">
        <v>-1898.09</v>
      </c>
      <c r="I195" s="194">
        <v>82288.179999999993</v>
      </c>
      <c r="J195" s="194">
        <v>0</v>
      </c>
      <c r="K195" s="194">
        <v>0</v>
      </c>
      <c r="L195" s="194">
        <v>0</v>
      </c>
      <c r="M195" s="194">
        <v>0</v>
      </c>
      <c r="N195" s="194">
        <v>0</v>
      </c>
    </row>
    <row r="196" spans="1:14">
      <c r="A196" s="193"/>
      <c r="B196" s="193" t="s">
        <v>151</v>
      </c>
      <c r="C196" s="193"/>
      <c r="D196" s="193"/>
      <c r="E196" s="193"/>
      <c r="F196" s="194">
        <v>481627.11</v>
      </c>
      <c r="G196" s="194">
        <v>0</v>
      </c>
      <c r="H196" s="194">
        <v>-32763.79</v>
      </c>
      <c r="I196" s="194">
        <v>448863.32</v>
      </c>
      <c r="J196" s="194">
        <v>0</v>
      </c>
      <c r="K196" s="194">
        <v>0</v>
      </c>
      <c r="L196" s="194">
        <v>0</v>
      </c>
      <c r="M196" s="194">
        <v>0</v>
      </c>
      <c r="N196" s="194">
        <v>0</v>
      </c>
    </row>
    <row r="197" spans="1:14">
      <c r="A197" s="193"/>
      <c r="B197" s="193" t="s">
        <v>152</v>
      </c>
      <c r="C197" s="193"/>
      <c r="D197" s="193"/>
      <c r="E197" s="193"/>
      <c r="F197" s="194">
        <v>67180966.469999999</v>
      </c>
      <c r="G197" s="194">
        <v>76392.7</v>
      </c>
      <c r="H197" s="194">
        <v>-1207962.02</v>
      </c>
      <c r="I197" s="194">
        <v>66049397.149999999</v>
      </c>
      <c r="J197" s="194">
        <v>0</v>
      </c>
      <c r="K197" s="194">
        <v>0</v>
      </c>
      <c r="L197" s="194">
        <v>0</v>
      </c>
      <c r="M197" s="194">
        <v>0</v>
      </c>
      <c r="N197" s="194">
        <v>0</v>
      </c>
    </row>
    <row r="198" spans="1:14">
      <c r="A198" s="193"/>
      <c r="B198" s="193" t="s">
        <v>153</v>
      </c>
      <c r="C198" s="193"/>
      <c r="D198" s="193"/>
      <c r="E198" s="193"/>
      <c r="F198" s="194">
        <v>12898.47</v>
      </c>
      <c r="G198" s="194">
        <v>0</v>
      </c>
      <c r="H198" s="194">
        <v>-2501.69</v>
      </c>
      <c r="I198" s="194">
        <v>10396.780000000001</v>
      </c>
      <c r="J198" s="194">
        <v>0</v>
      </c>
      <c r="K198" s="194">
        <v>0</v>
      </c>
      <c r="L198" s="194">
        <v>0</v>
      </c>
      <c r="M198" s="194">
        <v>0</v>
      </c>
      <c r="N198" s="194">
        <v>0</v>
      </c>
    </row>
    <row r="199" spans="1:14">
      <c r="A199" s="193"/>
      <c r="B199" s="193" t="s">
        <v>154</v>
      </c>
      <c r="C199" s="193"/>
      <c r="D199" s="193"/>
      <c r="E199" s="193"/>
      <c r="F199" s="194">
        <v>46034.91</v>
      </c>
      <c r="G199" s="194">
        <v>0</v>
      </c>
      <c r="H199" s="194">
        <v>-2962.26</v>
      </c>
      <c r="I199" s="194">
        <v>43072.65</v>
      </c>
      <c r="J199" s="194">
        <v>0</v>
      </c>
      <c r="K199" s="194">
        <v>0</v>
      </c>
      <c r="L199" s="194">
        <v>0</v>
      </c>
      <c r="M199" s="194">
        <v>0</v>
      </c>
      <c r="N199" s="194">
        <v>0</v>
      </c>
    </row>
    <row r="200" spans="1:14">
      <c r="A200" s="193"/>
      <c r="B200" s="193" t="s">
        <v>155</v>
      </c>
      <c r="C200" s="193"/>
      <c r="D200" s="193"/>
      <c r="E200" s="193"/>
      <c r="F200" s="194">
        <v>79693.73</v>
      </c>
      <c r="G200" s="194">
        <v>0</v>
      </c>
      <c r="H200" s="194">
        <v>-11429.49</v>
      </c>
      <c r="I200" s="194">
        <v>68264.240000000005</v>
      </c>
      <c r="J200" s="194">
        <v>0</v>
      </c>
      <c r="K200" s="194">
        <v>0</v>
      </c>
      <c r="L200" s="194">
        <v>0</v>
      </c>
      <c r="M200" s="194">
        <v>0</v>
      </c>
      <c r="N200" s="194">
        <v>0</v>
      </c>
    </row>
    <row r="201" spans="1:14">
      <c r="A201" s="193"/>
      <c r="B201" s="193"/>
      <c r="C201" s="193" t="s">
        <v>52</v>
      </c>
      <c r="D201" s="193"/>
      <c r="E201" s="193"/>
      <c r="F201" s="194">
        <v>67801220.689999998</v>
      </c>
      <c r="G201" s="194">
        <v>76392.7</v>
      </c>
      <c r="H201" s="194">
        <v>-1257619.25</v>
      </c>
      <c r="I201" s="194">
        <v>66619994.140000001</v>
      </c>
      <c r="J201" s="194">
        <v>0</v>
      </c>
      <c r="K201" s="194">
        <v>0</v>
      </c>
      <c r="L201" s="194">
        <v>0</v>
      </c>
      <c r="M201" s="194">
        <v>0</v>
      </c>
      <c r="N201" s="194">
        <v>0</v>
      </c>
    </row>
    <row r="202" spans="1:14">
      <c r="A202" s="193" t="s">
        <v>80</v>
      </c>
      <c r="B202" s="193"/>
      <c r="C202" s="193"/>
      <c r="D202" s="193"/>
      <c r="E202" s="193"/>
      <c r="F202" s="194">
        <v>1532482635.72</v>
      </c>
      <c r="G202" s="194">
        <v>118904357.53</v>
      </c>
      <c r="H202" s="194">
        <v>96380432.719999999</v>
      </c>
      <c r="I202" s="194">
        <v>1747767425.97</v>
      </c>
      <c r="J202" s="194">
        <f>+J192+J164+J177</f>
        <v>80589740.551049992</v>
      </c>
      <c r="K202" s="194">
        <f t="shared" ref="K202:N202" si="55">+K192+K164+K177</f>
        <v>6535538.0730500007</v>
      </c>
      <c r="L202" s="194">
        <f t="shared" si="55"/>
        <v>5372805.546749997</v>
      </c>
      <c r="M202" s="194">
        <f t="shared" si="55"/>
        <v>0</v>
      </c>
      <c r="N202" s="194">
        <f t="shared" si="55"/>
        <v>92498084.170849994</v>
      </c>
    </row>
    <row r="203" spans="1:14">
      <c r="A203" s="195"/>
      <c r="B203" s="195" t="s">
        <v>124</v>
      </c>
      <c r="C203" s="195"/>
      <c r="D203" s="195"/>
      <c r="E203" s="195"/>
      <c r="F203" s="196">
        <v>-24484423.25</v>
      </c>
      <c r="G203" s="196">
        <v>0</v>
      </c>
      <c r="H203" s="196">
        <v>330397.17</v>
      </c>
      <c r="I203" s="196">
        <v>-24154026.079999998</v>
      </c>
      <c r="J203" s="196">
        <v>-1346134.13</v>
      </c>
      <c r="K203" s="196">
        <v>0</v>
      </c>
      <c r="L203" s="196">
        <v>18164.97</v>
      </c>
      <c r="M203" s="196">
        <v>0</v>
      </c>
      <c r="N203" s="196">
        <v>-1327969.1599999999</v>
      </c>
    </row>
    <row r="204" spans="1:14">
      <c r="A204" s="195"/>
      <c r="B204" s="195" t="s">
        <v>125</v>
      </c>
      <c r="C204" s="195"/>
      <c r="D204" s="195"/>
      <c r="E204" s="195"/>
      <c r="F204" s="196">
        <v>-10004.200000000001</v>
      </c>
      <c r="G204" s="196">
        <v>0</v>
      </c>
      <c r="H204" s="196">
        <v>-51.64</v>
      </c>
      <c r="I204" s="196">
        <v>-10055.84</v>
      </c>
      <c r="J204" s="196">
        <v>-550.16</v>
      </c>
      <c r="K204" s="196">
        <v>0</v>
      </c>
      <c r="L204" s="196">
        <v>-2.84</v>
      </c>
      <c r="M204" s="196">
        <v>0</v>
      </c>
      <c r="N204" s="196">
        <v>-553</v>
      </c>
    </row>
    <row r="205" spans="1:14">
      <c r="A205" s="195"/>
      <c r="B205" s="195" t="s">
        <v>126</v>
      </c>
      <c r="C205" s="195"/>
      <c r="D205" s="195"/>
      <c r="E205" s="195"/>
      <c r="F205" s="196">
        <v>2271398.0499999998</v>
      </c>
      <c r="G205" s="196">
        <v>40.909999999999997</v>
      </c>
      <c r="H205" s="196">
        <v>-176776.38</v>
      </c>
      <c r="I205" s="196">
        <v>2094662.58</v>
      </c>
      <c r="J205" s="196">
        <v>124732.91</v>
      </c>
      <c r="K205" s="196">
        <v>2.25</v>
      </c>
      <c r="L205" s="196">
        <v>-9710.48</v>
      </c>
      <c r="M205" s="196">
        <v>0</v>
      </c>
      <c r="N205" s="196">
        <v>115024.68</v>
      </c>
    </row>
    <row r="206" spans="1:14">
      <c r="A206" s="195"/>
      <c r="B206" s="195" t="s">
        <v>127</v>
      </c>
      <c r="C206" s="195"/>
      <c r="D206" s="195"/>
      <c r="E206" s="195"/>
      <c r="F206" s="196">
        <v>414689842.44</v>
      </c>
      <c r="G206" s="196">
        <v>1693074</v>
      </c>
      <c r="H206" s="196">
        <v>-3651096.88</v>
      </c>
      <c r="I206" s="196">
        <v>412731819.56</v>
      </c>
      <c r="J206" s="196">
        <v>22826322.199999999</v>
      </c>
      <c r="K206" s="196">
        <v>93119.07</v>
      </c>
      <c r="L206" s="196">
        <v>-200810.34</v>
      </c>
      <c r="M206" s="196">
        <v>0</v>
      </c>
      <c r="N206" s="196">
        <v>22718630.93</v>
      </c>
    </row>
    <row r="207" spans="1:14">
      <c r="A207" s="195"/>
      <c r="B207" s="195"/>
      <c r="C207" s="195" t="s">
        <v>52</v>
      </c>
      <c r="D207" s="195"/>
      <c r="E207" s="195"/>
      <c r="F207" s="196">
        <v>392466813.04000002</v>
      </c>
      <c r="G207" s="196">
        <v>1693114.91</v>
      </c>
      <c r="H207" s="196">
        <v>-3497527.73</v>
      </c>
      <c r="I207" s="196">
        <v>390662400.22000003</v>
      </c>
      <c r="J207" s="196">
        <v>21604370.82</v>
      </c>
      <c r="K207" s="196">
        <v>93121.32</v>
      </c>
      <c r="L207" s="196">
        <v>-192358.69</v>
      </c>
      <c r="M207" s="196">
        <v>0</v>
      </c>
      <c r="N207" s="196">
        <v>21505133.449999999</v>
      </c>
    </row>
    <row r="208" spans="1:14">
      <c r="A208" s="195"/>
      <c r="B208" s="195" t="s">
        <v>133</v>
      </c>
      <c r="C208" s="195"/>
      <c r="D208" s="195"/>
      <c r="E208" s="195"/>
      <c r="F208" s="196">
        <v>-561912.34</v>
      </c>
      <c r="G208" s="196">
        <v>0</v>
      </c>
      <c r="H208" s="196">
        <v>-2844.76</v>
      </c>
      <c r="I208" s="196">
        <v>-564757.1</v>
      </c>
      <c r="J208" s="202">
        <f>+F208*0.055</f>
        <v>-30905.178699999997</v>
      </c>
      <c r="K208" s="202">
        <f t="shared" ref="K208:L208" si="56">+G208*0.055</f>
        <v>0</v>
      </c>
      <c r="L208" s="202">
        <f t="shared" si="56"/>
        <v>-156.46180000000001</v>
      </c>
      <c r="M208" s="202"/>
      <c r="N208" s="202">
        <f>+I208*0.055</f>
        <v>-31061.640499999998</v>
      </c>
    </row>
    <row r="209" spans="1:14">
      <c r="A209" s="195"/>
      <c r="B209" s="195" t="s">
        <v>134</v>
      </c>
      <c r="C209" s="195"/>
      <c r="D209" s="195"/>
      <c r="E209" s="195"/>
      <c r="F209" s="196">
        <v>6946718.2199999997</v>
      </c>
      <c r="G209" s="196">
        <v>938.21</v>
      </c>
      <c r="H209" s="196">
        <v>-89280.72</v>
      </c>
      <c r="I209" s="196">
        <v>6858375.71</v>
      </c>
      <c r="J209" s="202">
        <f t="shared" ref="J209:J217" si="57">+F209*0.055</f>
        <v>382069.50209999998</v>
      </c>
      <c r="K209" s="202">
        <f t="shared" ref="K209:K217" si="58">+G209*0.055</f>
        <v>51.601550000000003</v>
      </c>
      <c r="L209" s="202">
        <f t="shared" ref="L209:L217" si="59">+H209*0.055</f>
        <v>-4910.4395999999997</v>
      </c>
      <c r="M209" s="202"/>
      <c r="N209" s="202">
        <f t="shared" ref="N209:N217" si="60">+I209*0.055</f>
        <v>377210.66405000002</v>
      </c>
    </row>
    <row r="210" spans="1:14">
      <c r="A210" s="195"/>
      <c r="B210" s="195" t="s">
        <v>135</v>
      </c>
      <c r="C210" s="195"/>
      <c r="D210" s="195"/>
      <c r="E210" s="195"/>
      <c r="F210" s="196">
        <v>36281.370000000003</v>
      </c>
      <c r="G210" s="196">
        <v>0</v>
      </c>
      <c r="H210" s="196">
        <v>-2622.9</v>
      </c>
      <c r="I210" s="196">
        <v>33658.47</v>
      </c>
      <c r="J210" s="202">
        <f t="shared" si="57"/>
        <v>1995.4753500000002</v>
      </c>
      <c r="K210" s="202">
        <f t="shared" si="58"/>
        <v>0</v>
      </c>
      <c r="L210" s="202">
        <f t="shared" si="59"/>
        <v>-144.2595</v>
      </c>
      <c r="M210" s="202"/>
      <c r="N210" s="202">
        <f t="shared" si="60"/>
        <v>1851.21585</v>
      </c>
    </row>
    <row r="211" spans="1:14">
      <c r="A211" s="195"/>
      <c r="B211" s="195" t="s">
        <v>137</v>
      </c>
      <c r="C211" s="195"/>
      <c r="D211" s="195"/>
      <c r="E211" s="195"/>
      <c r="F211" s="196">
        <v>-1097.69</v>
      </c>
      <c r="G211" s="196">
        <v>0</v>
      </c>
      <c r="H211" s="196">
        <v>10.84</v>
      </c>
      <c r="I211" s="196">
        <v>-1086.8499999999999</v>
      </c>
      <c r="J211" s="202">
        <f t="shared" si="57"/>
        <v>-60.372950000000003</v>
      </c>
      <c r="K211" s="202">
        <f t="shared" si="58"/>
        <v>0</v>
      </c>
      <c r="L211" s="202">
        <f t="shared" si="59"/>
        <v>0.59619999999999995</v>
      </c>
      <c r="M211" s="202"/>
      <c r="N211" s="202">
        <f t="shared" si="60"/>
        <v>-59.776749999999993</v>
      </c>
    </row>
    <row r="212" spans="1:14">
      <c r="A212" s="195"/>
      <c r="B212" s="200" t="s">
        <v>307</v>
      </c>
      <c r="C212" s="195" t="s">
        <v>52</v>
      </c>
      <c r="D212" s="195"/>
      <c r="E212" s="195"/>
      <c r="F212" s="196">
        <v>6419989.5599999996</v>
      </c>
      <c r="G212" s="196">
        <v>938.21</v>
      </c>
      <c r="H212" s="196">
        <v>-94737.54</v>
      </c>
      <c r="I212" s="196">
        <v>6326190.2300000004</v>
      </c>
      <c r="J212" s="202">
        <f>SUM(J208:J211)</f>
        <v>353099.42580000003</v>
      </c>
      <c r="K212" s="202">
        <f t="shared" ref="K212:N212" si="61">SUM(K208:K211)</f>
        <v>51.601550000000003</v>
      </c>
      <c r="L212" s="202">
        <f t="shared" si="61"/>
        <v>-5210.5646999999999</v>
      </c>
      <c r="M212" s="202">
        <f t="shared" si="61"/>
        <v>0</v>
      </c>
      <c r="N212" s="202">
        <f t="shared" si="61"/>
        <v>347940.46265</v>
      </c>
    </row>
    <row r="213" spans="1:14">
      <c r="A213" s="195"/>
      <c r="B213" s="195" t="s">
        <v>138</v>
      </c>
      <c r="C213" s="195"/>
      <c r="D213" s="195"/>
      <c r="E213" s="195"/>
      <c r="F213" s="196">
        <v>-42280.66</v>
      </c>
      <c r="G213" s="196">
        <v>0</v>
      </c>
      <c r="H213" s="196">
        <v>7509.37</v>
      </c>
      <c r="I213" s="196">
        <v>-34771.29</v>
      </c>
      <c r="J213" s="202">
        <f t="shared" si="57"/>
        <v>-2325.4363000000003</v>
      </c>
      <c r="K213" s="202">
        <f t="shared" si="58"/>
        <v>0</v>
      </c>
      <c r="L213" s="202">
        <f t="shared" si="59"/>
        <v>413.01535000000001</v>
      </c>
      <c r="M213" s="202"/>
      <c r="N213" s="202">
        <f t="shared" si="60"/>
        <v>-1912.4209499999999</v>
      </c>
    </row>
    <row r="214" spans="1:14">
      <c r="A214" s="195"/>
      <c r="B214" s="195" t="s">
        <v>139</v>
      </c>
      <c r="C214" s="195"/>
      <c r="D214" s="195"/>
      <c r="E214" s="195"/>
      <c r="F214" s="196">
        <v>-79445.95</v>
      </c>
      <c r="G214" s="196">
        <v>-53611.72</v>
      </c>
      <c r="H214" s="196">
        <v>36960.730000000003</v>
      </c>
      <c r="I214" s="196">
        <v>-96096.94</v>
      </c>
      <c r="J214" s="202">
        <f t="shared" si="57"/>
        <v>-4369.5272500000001</v>
      </c>
      <c r="K214" s="202">
        <f t="shared" si="58"/>
        <v>-2948.6446000000001</v>
      </c>
      <c r="L214" s="202">
        <f t="shared" si="59"/>
        <v>2032.8401500000002</v>
      </c>
      <c r="M214" s="202"/>
      <c r="N214" s="202">
        <f t="shared" si="60"/>
        <v>-5285.3316999999997</v>
      </c>
    </row>
    <row r="215" spans="1:14">
      <c r="A215" s="195"/>
      <c r="B215" s="195" t="s">
        <v>140</v>
      </c>
      <c r="C215" s="195"/>
      <c r="D215" s="195"/>
      <c r="E215" s="195"/>
      <c r="F215" s="196">
        <v>-212</v>
      </c>
      <c r="G215" s="196">
        <v>0</v>
      </c>
      <c r="H215" s="196">
        <v>144.4</v>
      </c>
      <c r="I215" s="196">
        <v>-67.599999999999994</v>
      </c>
      <c r="J215" s="202">
        <f t="shared" si="57"/>
        <v>-11.66</v>
      </c>
      <c r="K215" s="202">
        <f t="shared" si="58"/>
        <v>0</v>
      </c>
      <c r="L215" s="202">
        <f t="shared" si="59"/>
        <v>7.9420000000000002</v>
      </c>
      <c r="M215" s="202"/>
      <c r="N215" s="202">
        <f t="shared" si="60"/>
        <v>-3.7179999999999995</v>
      </c>
    </row>
    <row r="216" spans="1:14">
      <c r="A216" s="195"/>
      <c r="B216" s="195" t="s">
        <v>145</v>
      </c>
      <c r="C216" s="195"/>
      <c r="D216" s="195"/>
      <c r="E216" s="195"/>
      <c r="F216" s="196">
        <v>0</v>
      </c>
      <c r="G216" s="196">
        <v>0</v>
      </c>
      <c r="H216" s="196">
        <v>0</v>
      </c>
      <c r="I216" s="196">
        <v>0</v>
      </c>
      <c r="J216" s="202">
        <f t="shared" si="57"/>
        <v>0</v>
      </c>
      <c r="K216" s="202">
        <f t="shared" si="58"/>
        <v>0</v>
      </c>
      <c r="L216" s="202">
        <f t="shared" si="59"/>
        <v>0</v>
      </c>
      <c r="M216" s="202"/>
      <c r="N216" s="202">
        <f t="shared" si="60"/>
        <v>0</v>
      </c>
    </row>
    <row r="217" spans="1:14">
      <c r="A217" s="195"/>
      <c r="B217" s="195" t="s">
        <v>148</v>
      </c>
      <c r="C217" s="195"/>
      <c r="D217" s="195"/>
      <c r="E217" s="195"/>
      <c r="F217" s="196">
        <v>0</v>
      </c>
      <c r="G217" s="196">
        <v>0</v>
      </c>
      <c r="H217" s="196">
        <v>0</v>
      </c>
      <c r="I217" s="196">
        <v>0</v>
      </c>
      <c r="J217" s="202">
        <f t="shared" si="57"/>
        <v>0</v>
      </c>
      <c r="K217" s="202">
        <f t="shared" si="58"/>
        <v>0</v>
      </c>
      <c r="L217" s="202">
        <f t="shared" si="59"/>
        <v>0</v>
      </c>
      <c r="M217" s="202"/>
      <c r="N217" s="202">
        <f t="shared" si="60"/>
        <v>0</v>
      </c>
    </row>
    <row r="218" spans="1:14">
      <c r="A218" s="195"/>
      <c r="B218" s="195" t="s">
        <v>240</v>
      </c>
      <c r="C218" s="195"/>
      <c r="D218" s="195"/>
      <c r="E218" s="195"/>
      <c r="F218" s="196">
        <v>373273.63</v>
      </c>
      <c r="G218" s="196">
        <v>1549314.84</v>
      </c>
      <c r="H218" s="196">
        <v>-327753.46999999997</v>
      </c>
      <c r="I218" s="196">
        <v>1594835</v>
      </c>
      <c r="J218" s="196">
        <v>20530.05</v>
      </c>
      <c r="K218" s="196">
        <v>85212.32</v>
      </c>
      <c r="L218" s="196">
        <v>-18026.439999999999</v>
      </c>
      <c r="M218" s="196">
        <v>0</v>
      </c>
      <c r="N218" s="196">
        <v>87715.93</v>
      </c>
    </row>
    <row r="219" spans="1:14">
      <c r="A219" s="195"/>
      <c r="B219" s="200" t="s">
        <v>308</v>
      </c>
      <c r="C219" s="195" t="s">
        <v>52</v>
      </c>
      <c r="D219" s="195"/>
      <c r="E219" s="195"/>
      <c r="F219" s="196">
        <v>251335.02</v>
      </c>
      <c r="G219" s="196">
        <v>1495703.12</v>
      </c>
      <c r="H219" s="196">
        <v>-283138.96999999997</v>
      </c>
      <c r="I219" s="196">
        <v>1463899.17</v>
      </c>
      <c r="J219" s="202">
        <f>SUM(J213:J218)</f>
        <v>13823.426449999999</v>
      </c>
      <c r="K219" s="202">
        <f t="shared" ref="K219:N219" si="62">SUM(K213:K218)</f>
        <v>82263.675400000007</v>
      </c>
      <c r="L219" s="202">
        <f t="shared" si="62"/>
        <v>-15572.642499999998</v>
      </c>
      <c r="M219" s="202">
        <f t="shared" si="62"/>
        <v>0</v>
      </c>
      <c r="N219" s="202">
        <f t="shared" si="62"/>
        <v>80514.45934999999</v>
      </c>
    </row>
    <row r="220" spans="1:14">
      <c r="A220" s="195"/>
      <c r="B220" s="195" t="s">
        <v>152</v>
      </c>
      <c r="C220" s="195"/>
      <c r="D220" s="195"/>
      <c r="E220" s="195"/>
      <c r="F220" s="196">
        <v>17156070.98</v>
      </c>
      <c r="G220" s="196">
        <v>1607.3</v>
      </c>
      <c r="H220" s="196">
        <v>-216279.1</v>
      </c>
      <c r="I220" s="196">
        <v>16941399.18</v>
      </c>
      <c r="J220" s="196">
        <v>0</v>
      </c>
      <c r="K220" s="196">
        <v>0</v>
      </c>
      <c r="L220" s="196">
        <v>0</v>
      </c>
      <c r="M220" s="196">
        <v>0</v>
      </c>
      <c r="N220" s="196">
        <v>0</v>
      </c>
    </row>
    <row r="221" spans="1:14">
      <c r="A221" s="195"/>
      <c r="B221" s="195" t="s">
        <v>153</v>
      </c>
      <c r="C221" s="195"/>
      <c r="D221" s="195"/>
      <c r="E221" s="195"/>
      <c r="F221" s="196">
        <v>0</v>
      </c>
      <c r="G221" s="196">
        <v>0</v>
      </c>
      <c r="H221" s="196">
        <v>0</v>
      </c>
      <c r="I221" s="196">
        <v>0</v>
      </c>
      <c r="J221" s="196">
        <v>0</v>
      </c>
      <c r="K221" s="196">
        <v>0</v>
      </c>
      <c r="L221" s="196">
        <v>0</v>
      </c>
      <c r="M221" s="196">
        <v>0</v>
      </c>
      <c r="N221" s="196">
        <v>0</v>
      </c>
    </row>
    <row r="222" spans="1:14">
      <c r="A222" s="195"/>
      <c r="B222" s="195" t="s">
        <v>155</v>
      </c>
      <c r="C222" s="195"/>
      <c r="D222" s="195"/>
      <c r="E222" s="195"/>
      <c r="F222" s="196">
        <v>0</v>
      </c>
      <c r="G222" s="196">
        <v>0</v>
      </c>
      <c r="H222" s="196">
        <v>0</v>
      </c>
      <c r="I222" s="196">
        <v>0</v>
      </c>
      <c r="J222" s="196">
        <v>0</v>
      </c>
      <c r="K222" s="196">
        <v>0</v>
      </c>
      <c r="L222" s="196">
        <v>0</v>
      </c>
      <c r="M222" s="196">
        <v>0</v>
      </c>
      <c r="N222" s="196">
        <v>0</v>
      </c>
    </row>
    <row r="223" spans="1:14">
      <c r="A223" s="195"/>
      <c r="B223" s="195"/>
      <c r="C223" s="195" t="s">
        <v>52</v>
      </c>
      <c r="D223" s="195"/>
      <c r="E223" s="195"/>
      <c r="F223" s="196">
        <v>17156070.98</v>
      </c>
      <c r="G223" s="196">
        <v>1607.3</v>
      </c>
      <c r="H223" s="196">
        <v>-216279.1</v>
      </c>
      <c r="I223" s="196">
        <v>16941399.18</v>
      </c>
      <c r="J223" s="196">
        <v>0</v>
      </c>
      <c r="K223" s="196">
        <v>0</v>
      </c>
      <c r="L223" s="196">
        <v>0</v>
      </c>
      <c r="M223" s="196">
        <v>0</v>
      </c>
      <c r="N223" s="196">
        <v>0</v>
      </c>
    </row>
    <row r="224" spans="1:14">
      <c r="A224" s="195" t="s">
        <v>81</v>
      </c>
      <c r="B224" s="195"/>
      <c r="C224" s="195"/>
      <c r="D224" s="195"/>
      <c r="E224" s="195"/>
      <c r="F224" s="196">
        <v>416294208.60000002</v>
      </c>
      <c r="G224" s="196">
        <v>3191363.54</v>
      </c>
      <c r="H224" s="196">
        <v>-4091683.34</v>
      </c>
      <c r="I224" s="196">
        <v>415393888.80000001</v>
      </c>
      <c r="J224" s="202">
        <f>+J219+J212+J207</f>
        <v>21971293.672249999</v>
      </c>
      <c r="K224" s="202">
        <f t="shared" ref="K224:N224" si="63">+K219+K212+K207</f>
        <v>175436.59695000004</v>
      </c>
      <c r="L224" s="202">
        <f t="shared" si="63"/>
        <v>-213141.89720000001</v>
      </c>
      <c r="M224" s="202">
        <f t="shared" si="63"/>
        <v>0</v>
      </c>
      <c r="N224" s="202">
        <f t="shared" si="63"/>
        <v>21933588.371999998</v>
      </c>
    </row>
    <row r="225" spans="1:14">
      <c r="A225" s="190" t="s">
        <v>82</v>
      </c>
      <c r="B225" s="190"/>
      <c r="C225" s="190"/>
      <c r="D225" s="190"/>
      <c r="E225" s="190"/>
      <c r="F225" s="192">
        <v>1948776844.3199999</v>
      </c>
      <c r="G225" s="192">
        <v>122095721.06999999</v>
      </c>
      <c r="H225" s="192">
        <v>92288749.379999995</v>
      </c>
      <c r="I225" s="192">
        <v>2163161314.77</v>
      </c>
      <c r="J225" s="202">
        <f>+J224+J202</f>
        <v>102561034.2233</v>
      </c>
      <c r="K225" s="202">
        <f t="shared" ref="K225:N225" si="64">+K224+K202</f>
        <v>6710974.6700000009</v>
      </c>
      <c r="L225" s="202">
        <f t="shared" si="64"/>
        <v>5159663.6495499965</v>
      </c>
      <c r="M225" s="202">
        <f t="shared" si="64"/>
        <v>0</v>
      </c>
      <c r="N225" s="202">
        <f t="shared" si="64"/>
        <v>114431672.54284999</v>
      </c>
    </row>
    <row r="226" spans="1:14">
      <c r="A226" s="190" t="s">
        <v>277</v>
      </c>
      <c r="B226" s="190"/>
      <c r="C226" s="190"/>
      <c r="D226" s="190" t="s">
        <v>294</v>
      </c>
      <c r="E226" s="190"/>
      <c r="F226" s="190"/>
      <c r="G226" s="190"/>
      <c r="H226" s="190"/>
      <c r="I226" s="190"/>
      <c r="J226" s="190"/>
      <c r="K226" s="190"/>
      <c r="L226" s="190"/>
      <c r="M226" s="190"/>
      <c r="N226" s="190"/>
    </row>
    <row r="227" spans="1:14" ht="43.2">
      <c r="A227" s="190"/>
      <c r="B227" s="190"/>
      <c r="C227" s="190"/>
      <c r="D227" s="190"/>
      <c r="E227" s="190"/>
      <c r="F227" s="191" t="s">
        <v>278</v>
      </c>
      <c r="G227" s="190" t="s">
        <v>29</v>
      </c>
      <c r="H227" s="190" t="s">
        <v>47</v>
      </c>
      <c r="I227" s="191" t="s">
        <v>279</v>
      </c>
      <c r="J227" s="191" t="s">
        <v>280</v>
      </c>
      <c r="K227" s="191" t="s">
        <v>281</v>
      </c>
      <c r="L227" s="191" t="s">
        <v>282</v>
      </c>
      <c r="M227" s="191" t="s">
        <v>283</v>
      </c>
      <c r="N227" s="191" t="s">
        <v>284</v>
      </c>
    </row>
    <row r="228" spans="1:14">
      <c r="A228" s="190" t="s">
        <v>285</v>
      </c>
      <c r="B228" s="190"/>
      <c r="C228" s="190"/>
      <c r="D228" s="190">
        <v>2017</v>
      </c>
      <c r="E228" s="190"/>
      <c r="F228" s="190"/>
      <c r="G228" s="190"/>
      <c r="H228" s="190"/>
      <c r="I228" s="190"/>
      <c r="J228" s="190"/>
      <c r="K228" s="190"/>
      <c r="L228" s="190"/>
      <c r="M228" s="190"/>
      <c r="N228" s="190"/>
    </row>
    <row r="229" spans="1:14">
      <c r="A229" s="190"/>
      <c r="B229" s="190" t="s">
        <v>156</v>
      </c>
      <c r="C229" s="190"/>
      <c r="D229" s="190"/>
      <c r="E229" s="190"/>
      <c r="F229" s="192">
        <v>0</v>
      </c>
      <c r="G229" s="192">
        <v>0</v>
      </c>
      <c r="H229" s="192">
        <v>0</v>
      </c>
      <c r="I229" s="192">
        <v>0</v>
      </c>
      <c r="J229" s="192">
        <v>0</v>
      </c>
      <c r="K229" s="192">
        <v>0</v>
      </c>
      <c r="L229" s="192">
        <v>0</v>
      </c>
      <c r="M229" s="192">
        <v>0</v>
      </c>
      <c r="N229" s="192">
        <v>0</v>
      </c>
    </row>
    <row r="230" spans="1:14">
      <c r="A230" s="190"/>
      <c r="B230" s="190"/>
      <c r="C230" s="190" t="s">
        <v>52</v>
      </c>
      <c r="D230" s="190"/>
      <c r="E230" s="190"/>
      <c r="F230" s="192">
        <v>0</v>
      </c>
      <c r="G230" s="192">
        <v>0</v>
      </c>
      <c r="H230" s="192">
        <v>0</v>
      </c>
      <c r="I230" s="192">
        <v>0</v>
      </c>
      <c r="J230" s="192">
        <v>0</v>
      </c>
      <c r="K230" s="192">
        <v>0</v>
      </c>
      <c r="L230" s="192">
        <v>0</v>
      </c>
      <c r="M230" s="192">
        <v>0</v>
      </c>
      <c r="N230" s="192">
        <v>0</v>
      </c>
    </row>
    <row r="231" spans="1:14">
      <c r="A231" s="190"/>
      <c r="B231" s="190" t="s">
        <v>157</v>
      </c>
      <c r="C231" s="190"/>
      <c r="D231" s="190"/>
      <c r="E231" s="190"/>
      <c r="F231" s="192">
        <v>0</v>
      </c>
      <c r="G231" s="192">
        <v>0</v>
      </c>
      <c r="H231" s="192">
        <v>0</v>
      </c>
      <c r="I231" s="192">
        <v>0</v>
      </c>
      <c r="J231" s="192">
        <v>0</v>
      </c>
      <c r="K231" s="192">
        <v>0</v>
      </c>
      <c r="L231" s="192">
        <v>0</v>
      </c>
      <c r="M231" s="192">
        <v>0</v>
      </c>
      <c r="N231" s="192">
        <v>0</v>
      </c>
    </row>
    <row r="232" spans="1:14">
      <c r="A232" s="190"/>
      <c r="B232" s="190" t="s">
        <v>158</v>
      </c>
      <c r="C232" s="190"/>
      <c r="D232" s="190"/>
      <c r="E232" s="190"/>
      <c r="F232" s="192">
        <v>0</v>
      </c>
      <c r="G232" s="192">
        <v>0</v>
      </c>
      <c r="H232" s="192">
        <v>0</v>
      </c>
      <c r="I232" s="192">
        <v>0</v>
      </c>
      <c r="J232" s="192">
        <v>0</v>
      </c>
      <c r="K232" s="192">
        <v>0</v>
      </c>
      <c r="L232" s="192">
        <v>0</v>
      </c>
      <c r="M232" s="192">
        <v>0</v>
      </c>
      <c r="N232" s="192">
        <v>0</v>
      </c>
    </row>
    <row r="233" spans="1:14">
      <c r="A233" s="190"/>
      <c r="B233" s="190" t="s">
        <v>159</v>
      </c>
      <c r="C233" s="190"/>
      <c r="D233" s="190"/>
      <c r="E233" s="190"/>
      <c r="F233" s="192">
        <v>0</v>
      </c>
      <c r="G233" s="192">
        <v>0</v>
      </c>
      <c r="H233" s="192">
        <v>0</v>
      </c>
      <c r="I233" s="192">
        <v>0</v>
      </c>
      <c r="J233" s="192">
        <v>0</v>
      </c>
      <c r="K233" s="192">
        <v>0</v>
      </c>
      <c r="L233" s="192">
        <v>0</v>
      </c>
      <c r="M233" s="192">
        <v>0</v>
      </c>
      <c r="N233" s="192">
        <v>0</v>
      </c>
    </row>
    <row r="234" spans="1:14">
      <c r="A234" s="190"/>
      <c r="B234" s="190"/>
      <c r="C234" s="190" t="s">
        <v>52</v>
      </c>
      <c r="D234" s="190"/>
      <c r="E234" s="190"/>
      <c r="F234" s="192">
        <v>0</v>
      </c>
      <c r="G234" s="192">
        <v>0</v>
      </c>
      <c r="H234" s="192">
        <v>0</v>
      </c>
      <c r="I234" s="192">
        <v>0</v>
      </c>
      <c r="J234" s="192">
        <v>0</v>
      </c>
      <c r="K234" s="192">
        <v>0</v>
      </c>
      <c r="L234" s="192">
        <v>0</v>
      </c>
      <c r="M234" s="192">
        <v>0</v>
      </c>
      <c r="N234" s="192">
        <v>0</v>
      </c>
    </row>
    <row r="235" spans="1:14">
      <c r="A235" s="190"/>
      <c r="B235" s="190" t="s">
        <v>160</v>
      </c>
      <c r="C235" s="190"/>
      <c r="D235" s="190"/>
      <c r="E235" s="190"/>
      <c r="F235" s="192">
        <v>0</v>
      </c>
      <c r="G235" s="192">
        <v>0</v>
      </c>
      <c r="H235" s="192">
        <v>0</v>
      </c>
      <c r="I235" s="192">
        <v>0</v>
      </c>
      <c r="J235" s="192">
        <v>0</v>
      </c>
      <c r="K235" s="192">
        <v>0</v>
      </c>
      <c r="L235" s="192">
        <v>0</v>
      </c>
      <c r="M235" s="192">
        <v>0</v>
      </c>
      <c r="N235" s="192">
        <v>0</v>
      </c>
    </row>
    <row r="236" spans="1:14">
      <c r="A236" s="190"/>
      <c r="B236" s="190" t="s">
        <v>161</v>
      </c>
      <c r="C236" s="190"/>
      <c r="D236" s="190"/>
      <c r="E236" s="190"/>
      <c r="F236" s="192">
        <v>0</v>
      </c>
      <c r="G236" s="192">
        <v>0</v>
      </c>
      <c r="H236" s="192">
        <v>0</v>
      </c>
      <c r="I236" s="192">
        <v>0</v>
      </c>
      <c r="J236" s="192">
        <v>0</v>
      </c>
      <c r="K236" s="192">
        <v>0</v>
      </c>
      <c r="L236" s="192">
        <v>0</v>
      </c>
      <c r="M236" s="192">
        <v>0</v>
      </c>
      <c r="N236" s="192">
        <v>0</v>
      </c>
    </row>
    <row r="237" spans="1:14">
      <c r="A237" s="190"/>
      <c r="B237" s="190" t="s">
        <v>162</v>
      </c>
      <c r="C237" s="190"/>
      <c r="D237" s="190"/>
      <c r="E237" s="190"/>
      <c r="F237" s="192">
        <v>0</v>
      </c>
      <c r="G237" s="192">
        <v>0</v>
      </c>
      <c r="H237" s="192">
        <v>0</v>
      </c>
      <c r="I237" s="192">
        <v>0</v>
      </c>
      <c r="J237" s="192">
        <v>0</v>
      </c>
      <c r="K237" s="192">
        <v>0</v>
      </c>
      <c r="L237" s="192">
        <v>0</v>
      </c>
      <c r="M237" s="192">
        <v>0</v>
      </c>
      <c r="N237" s="192">
        <v>0</v>
      </c>
    </row>
    <row r="238" spans="1:14">
      <c r="A238" s="190"/>
      <c r="B238" s="190" t="s">
        <v>163</v>
      </c>
      <c r="C238" s="190"/>
      <c r="D238" s="190"/>
      <c r="E238" s="190"/>
      <c r="F238" s="192">
        <v>0</v>
      </c>
      <c r="G238" s="192">
        <v>0</v>
      </c>
      <c r="H238" s="192">
        <v>0</v>
      </c>
      <c r="I238" s="192">
        <v>0</v>
      </c>
      <c r="J238" s="192">
        <v>0</v>
      </c>
      <c r="K238" s="192">
        <v>0</v>
      </c>
      <c r="L238" s="192">
        <v>0</v>
      </c>
      <c r="M238" s="192">
        <v>0</v>
      </c>
      <c r="N238" s="192">
        <v>0</v>
      </c>
    </row>
    <row r="239" spans="1:14">
      <c r="A239" s="190"/>
      <c r="B239" s="190" t="s">
        <v>164</v>
      </c>
      <c r="C239" s="190"/>
      <c r="D239" s="190"/>
      <c r="E239" s="190"/>
      <c r="F239" s="192">
        <v>0</v>
      </c>
      <c r="G239" s="192">
        <v>0</v>
      </c>
      <c r="H239" s="192">
        <v>0</v>
      </c>
      <c r="I239" s="192">
        <v>0</v>
      </c>
      <c r="J239" s="192">
        <v>0</v>
      </c>
      <c r="K239" s="192">
        <v>0</v>
      </c>
      <c r="L239" s="192">
        <v>0</v>
      </c>
      <c r="M239" s="192">
        <v>0</v>
      </c>
      <c r="N239" s="192">
        <v>0</v>
      </c>
    </row>
    <row r="240" spans="1:14">
      <c r="A240" s="190"/>
      <c r="B240" s="190"/>
      <c r="C240" s="190" t="s">
        <v>52</v>
      </c>
      <c r="D240" s="190"/>
      <c r="E240" s="190"/>
      <c r="F240" s="192">
        <v>0</v>
      </c>
      <c r="G240" s="192">
        <v>0</v>
      </c>
      <c r="H240" s="192">
        <v>0</v>
      </c>
      <c r="I240" s="192">
        <v>0</v>
      </c>
      <c r="J240" s="192">
        <v>0</v>
      </c>
      <c r="K240" s="192">
        <v>0</v>
      </c>
      <c r="L240" s="192">
        <v>0</v>
      </c>
      <c r="M240" s="192">
        <v>0</v>
      </c>
      <c r="N240" s="192">
        <v>0</v>
      </c>
    </row>
    <row r="241" spans="1:14">
      <c r="A241" s="190"/>
      <c r="B241" s="190" t="s">
        <v>165</v>
      </c>
      <c r="C241" s="190"/>
      <c r="D241" s="190"/>
      <c r="E241" s="190"/>
      <c r="F241" s="192">
        <v>0</v>
      </c>
      <c r="G241" s="192">
        <v>0</v>
      </c>
      <c r="H241" s="192">
        <v>0</v>
      </c>
      <c r="I241" s="192">
        <v>0</v>
      </c>
      <c r="J241" s="192">
        <v>0</v>
      </c>
      <c r="K241" s="192">
        <v>0</v>
      </c>
      <c r="L241" s="192">
        <v>0</v>
      </c>
      <c r="M241" s="192">
        <v>0</v>
      </c>
      <c r="N241" s="192">
        <v>0</v>
      </c>
    </row>
    <row r="242" spans="1:14">
      <c r="A242" s="190"/>
      <c r="B242" s="190"/>
      <c r="C242" s="190" t="s">
        <v>52</v>
      </c>
      <c r="D242" s="190"/>
      <c r="E242" s="190"/>
      <c r="F242" s="192">
        <v>0</v>
      </c>
      <c r="G242" s="192">
        <v>0</v>
      </c>
      <c r="H242" s="192">
        <v>0</v>
      </c>
      <c r="I242" s="192">
        <v>0</v>
      </c>
      <c r="J242" s="192">
        <v>0</v>
      </c>
      <c r="K242" s="192">
        <v>0</v>
      </c>
      <c r="L242" s="192">
        <v>0</v>
      </c>
      <c r="M242" s="192">
        <v>0</v>
      </c>
      <c r="N242" s="192">
        <v>0</v>
      </c>
    </row>
    <row r="243" spans="1:14">
      <c r="A243" s="190" t="s">
        <v>80</v>
      </c>
      <c r="B243" s="190"/>
      <c r="C243" s="190"/>
      <c r="D243" s="190"/>
      <c r="E243" s="190"/>
      <c r="F243" s="192">
        <v>0</v>
      </c>
      <c r="G243" s="192">
        <v>0</v>
      </c>
      <c r="H243" s="192">
        <v>0</v>
      </c>
      <c r="I243" s="192">
        <v>0</v>
      </c>
      <c r="J243" s="192">
        <v>0</v>
      </c>
      <c r="K243" s="192">
        <v>0</v>
      </c>
      <c r="L243" s="192">
        <v>0</v>
      </c>
      <c r="M243" s="192">
        <v>0</v>
      </c>
      <c r="N243" s="192">
        <v>0</v>
      </c>
    </row>
    <row r="244" spans="1:14">
      <c r="A244" s="190" t="s">
        <v>82</v>
      </c>
      <c r="B244" s="190"/>
      <c r="C244" s="190"/>
      <c r="D244" s="190"/>
      <c r="E244" s="190"/>
      <c r="F244" s="192">
        <v>0</v>
      </c>
      <c r="G244" s="192">
        <v>0</v>
      </c>
      <c r="H244" s="192">
        <v>0</v>
      </c>
      <c r="I244" s="192">
        <v>0</v>
      </c>
      <c r="J244" s="192">
        <v>0</v>
      </c>
      <c r="K244" s="192">
        <v>0</v>
      </c>
      <c r="L244" s="192">
        <v>0</v>
      </c>
      <c r="M244" s="192">
        <v>0</v>
      </c>
      <c r="N244" s="192">
        <v>0</v>
      </c>
    </row>
    <row r="245" spans="1:14">
      <c r="A245" s="190" t="s">
        <v>276</v>
      </c>
      <c r="B245" s="190"/>
      <c r="C245" s="190"/>
      <c r="D245" s="190"/>
      <c r="E245" s="190"/>
      <c r="F245" s="192">
        <v>6295188798.6499996</v>
      </c>
      <c r="G245" s="192">
        <v>382914518.41000003</v>
      </c>
      <c r="H245" s="192">
        <v>163929558.66</v>
      </c>
      <c r="I245" s="192">
        <v>6842032875.7200003</v>
      </c>
      <c r="J245" s="192">
        <v>876380010.26999998</v>
      </c>
      <c r="K245" s="192">
        <v>52887909.369999997</v>
      </c>
      <c r="L245" s="192">
        <v>-3450219.48</v>
      </c>
      <c r="M245" s="192">
        <v>0</v>
      </c>
      <c r="N245" s="192">
        <v>925817700.05999994</v>
      </c>
    </row>
    <row r="246" spans="1:14">
      <c r="A246" s="190" t="s">
        <v>295</v>
      </c>
      <c r="B246" s="190" t="s">
        <v>296</v>
      </c>
      <c r="C246" s="190"/>
      <c r="D246" s="190"/>
      <c r="E246" s="190"/>
      <c r="F246" s="190"/>
      <c r="G246" s="190"/>
      <c r="H246" s="190"/>
      <c r="I246" s="190"/>
      <c r="J246" s="190"/>
      <c r="K246" s="190"/>
      <c r="L246" s="190"/>
      <c r="M246" s="190"/>
      <c r="N246" s="190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6"/>
  <sheetViews>
    <sheetView workbookViewId="0">
      <selection activeCell="B220" sqref="B1:B1048576"/>
    </sheetView>
  </sheetViews>
  <sheetFormatPr defaultColWidth="9.109375" defaultRowHeight="14.4"/>
  <cols>
    <col min="1" max="1" width="37.5546875" style="2" customWidth="1"/>
    <col min="2" max="2" width="37.109375" style="2" customWidth="1"/>
    <col min="3" max="3" width="9.88671875" style="2" customWidth="1"/>
    <col min="4" max="4" width="17.88671875" style="2" customWidth="1"/>
    <col min="5" max="5" width="18.109375" style="2" customWidth="1"/>
    <col min="6" max="6" width="17.33203125" style="2" customWidth="1"/>
    <col min="7" max="8" width="15.5546875" style="2" customWidth="1"/>
    <col min="9" max="9" width="17.33203125" style="2" customWidth="1"/>
    <col min="10" max="10" width="15.5546875" style="2" customWidth="1"/>
    <col min="11" max="11" width="15.33203125" style="2" customWidth="1"/>
    <col min="12" max="12" width="15.33203125" style="2" bestFit="1" customWidth="1"/>
    <col min="13" max="13" width="9" style="2" customWidth="1"/>
    <col min="14" max="14" width="15.5546875" style="2" customWidth="1"/>
    <col min="15" max="16384" width="9.109375" style="2"/>
  </cols>
  <sheetData>
    <row r="1" spans="1:14">
      <c r="A1" s="190" t="s">
        <v>277</v>
      </c>
      <c r="B1" s="190"/>
      <c r="C1" s="190"/>
      <c r="D1" s="190" t="s">
        <v>46</v>
      </c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ht="43.2">
      <c r="A2" s="190"/>
      <c r="B2" s="190"/>
      <c r="C2" s="190"/>
      <c r="D2" s="190"/>
      <c r="E2" s="190"/>
      <c r="F2" s="191" t="s">
        <v>278</v>
      </c>
      <c r="G2" s="190" t="s">
        <v>29</v>
      </c>
      <c r="H2" s="190" t="s">
        <v>47</v>
      </c>
      <c r="I2" s="191" t="s">
        <v>279</v>
      </c>
      <c r="J2" s="191" t="s">
        <v>280</v>
      </c>
      <c r="K2" s="191" t="s">
        <v>281</v>
      </c>
      <c r="L2" s="191" t="s">
        <v>282</v>
      </c>
      <c r="M2" s="191" t="s">
        <v>283</v>
      </c>
      <c r="N2" s="191" t="s">
        <v>284</v>
      </c>
    </row>
    <row r="3" spans="1:14">
      <c r="A3" s="190" t="s">
        <v>285</v>
      </c>
      <c r="B3" s="190"/>
      <c r="C3" s="190"/>
      <c r="D3" s="190">
        <v>2018</v>
      </c>
      <c r="E3" s="190"/>
      <c r="F3" s="190"/>
      <c r="G3" s="190"/>
      <c r="H3" s="190"/>
      <c r="I3" s="190"/>
      <c r="J3" s="190"/>
      <c r="K3" s="190"/>
      <c r="L3" s="190"/>
      <c r="M3" s="190"/>
      <c r="N3" s="190"/>
    </row>
    <row r="4" spans="1:14">
      <c r="A4" s="190" t="s">
        <v>286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</row>
    <row r="5" spans="1:14">
      <c r="A5" s="190" t="s">
        <v>44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</row>
    <row r="6" spans="1:14">
      <c r="A6" s="190" t="s">
        <v>45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</row>
    <row r="7" spans="1:14">
      <c r="A7" s="190" t="s">
        <v>287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</row>
    <row r="8" spans="1:14">
      <c r="A8" s="193"/>
      <c r="B8" s="193" t="s">
        <v>48</v>
      </c>
      <c r="C8" s="193"/>
      <c r="D8" s="193"/>
      <c r="E8" s="193"/>
      <c r="F8" s="194">
        <v>1594136.31</v>
      </c>
      <c r="G8" s="194">
        <v>121889.43</v>
      </c>
      <c r="H8" s="194">
        <v>-61677.86</v>
      </c>
      <c r="I8" s="194">
        <v>1654347.88</v>
      </c>
      <c r="J8" s="194">
        <v>661146.79</v>
      </c>
      <c r="K8" s="194">
        <v>42661.3</v>
      </c>
      <c r="L8" s="194">
        <v>-29899.68</v>
      </c>
      <c r="M8" s="194">
        <v>0</v>
      </c>
      <c r="N8" s="194">
        <v>673908.41</v>
      </c>
    </row>
    <row r="9" spans="1:14">
      <c r="A9" s="193"/>
      <c r="B9" s="193" t="s">
        <v>49</v>
      </c>
      <c r="C9" s="193"/>
      <c r="D9" s="193"/>
      <c r="E9" s="193"/>
      <c r="F9" s="194">
        <v>5679727.4100000001</v>
      </c>
      <c r="G9" s="194">
        <v>56447.03</v>
      </c>
      <c r="H9" s="194">
        <v>-804089.23</v>
      </c>
      <c r="I9" s="194">
        <v>4932085.21</v>
      </c>
      <c r="J9" s="194">
        <v>1932947.35</v>
      </c>
      <c r="K9" s="194">
        <v>19756.46</v>
      </c>
      <c r="L9" s="194">
        <v>-295563.34999999998</v>
      </c>
      <c r="M9" s="194">
        <v>0</v>
      </c>
      <c r="N9" s="194">
        <v>1657140.46</v>
      </c>
    </row>
    <row r="10" spans="1:14">
      <c r="A10" s="193"/>
      <c r="B10" s="193" t="s">
        <v>50</v>
      </c>
      <c r="C10" s="193"/>
      <c r="D10" s="193"/>
      <c r="E10" s="193"/>
      <c r="F10" s="194">
        <v>2009820189.6600001</v>
      </c>
      <c r="G10" s="194">
        <v>91324018.829999998</v>
      </c>
      <c r="H10" s="194">
        <v>-38526100.649999999</v>
      </c>
      <c r="I10" s="194">
        <v>2062618107.8399999</v>
      </c>
      <c r="J10" s="194">
        <v>703775862.07000005</v>
      </c>
      <c r="K10" s="194">
        <v>31963406.59</v>
      </c>
      <c r="L10" s="194">
        <v>-13529041.66</v>
      </c>
      <c r="M10" s="194">
        <v>0</v>
      </c>
      <c r="N10" s="194">
        <v>722210226.98000002</v>
      </c>
    </row>
    <row r="11" spans="1:14">
      <c r="A11" s="193"/>
      <c r="B11" s="193" t="s">
        <v>51</v>
      </c>
      <c r="C11" s="193"/>
      <c r="D11" s="193"/>
      <c r="E11" s="193"/>
      <c r="F11" s="194">
        <v>-251870820.52000001</v>
      </c>
      <c r="G11" s="194">
        <v>-19524186.91</v>
      </c>
      <c r="H11" s="194">
        <v>-2028248.24</v>
      </c>
      <c r="I11" s="194">
        <v>-273423255.67000002</v>
      </c>
      <c r="J11" s="194">
        <v>-88616989.340000004</v>
      </c>
      <c r="K11" s="194">
        <v>-6833465.4199999999</v>
      </c>
      <c r="L11" s="194">
        <v>-709752.29</v>
      </c>
      <c r="M11" s="194">
        <v>0</v>
      </c>
      <c r="N11" s="194">
        <v>-96160207.069999993</v>
      </c>
    </row>
    <row r="12" spans="1:14">
      <c r="A12" s="193"/>
      <c r="B12" s="193"/>
      <c r="C12" s="193" t="s">
        <v>52</v>
      </c>
      <c r="D12" s="193"/>
      <c r="E12" s="193"/>
      <c r="F12" s="194">
        <v>1765223232.8599999</v>
      </c>
      <c r="G12" s="194">
        <v>71978168.370000005</v>
      </c>
      <c r="H12" s="194">
        <v>-41420115.969999999</v>
      </c>
      <c r="I12" s="194">
        <v>1795781285.26</v>
      </c>
      <c r="J12" s="194">
        <v>617752966.87</v>
      </c>
      <c r="K12" s="194">
        <v>25192358.93</v>
      </c>
      <c r="L12" s="194">
        <v>-14564256.98</v>
      </c>
      <c r="M12" s="194">
        <v>0</v>
      </c>
      <c r="N12" s="194">
        <v>628381068.77999997</v>
      </c>
    </row>
    <row r="13" spans="1:14">
      <c r="A13" s="193"/>
      <c r="B13" s="193" t="s">
        <v>53</v>
      </c>
      <c r="C13" s="193"/>
      <c r="D13" s="193"/>
      <c r="E13" s="193"/>
      <c r="F13" s="194">
        <v>0</v>
      </c>
      <c r="G13" s="194">
        <v>0</v>
      </c>
      <c r="H13" s="194">
        <v>0</v>
      </c>
      <c r="I13" s="194">
        <v>0</v>
      </c>
      <c r="J13" s="194">
        <v>0.01</v>
      </c>
      <c r="K13" s="194">
        <v>0</v>
      </c>
      <c r="L13" s="194">
        <v>0</v>
      </c>
      <c r="M13" s="194">
        <v>0</v>
      </c>
      <c r="N13" s="194">
        <v>0</v>
      </c>
    </row>
    <row r="14" spans="1:14">
      <c r="A14" s="193"/>
      <c r="B14" s="193" t="s">
        <v>54</v>
      </c>
      <c r="C14" s="193"/>
      <c r="D14" s="193"/>
      <c r="E14" s="193"/>
      <c r="F14" s="194">
        <v>824992.22</v>
      </c>
      <c r="G14" s="194">
        <v>0</v>
      </c>
      <c r="H14" s="194">
        <v>0</v>
      </c>
      <c r="I14" s="194">
        <v>824992.22</v>
      </c>
      <c r="J14" s="194">
        <v>288747.27</v>
      </c>
      <c r="K14" s="194">
        <v>0</v>
      </c>
      <c r="L14" s="194">
        <v>0</v>
      </c>
      <c r="M14" s="194">
        <v>0</v>
      </c>
      <c r="N14" s="194">
        <v>288747.27</v>
      </c>
    </row>
    <row r="15" spans="1:14">
      <c r="A15" s="193"/>
      <c r="B15" s="193" t="s">
        <v>55</v>
      </c>
      <c r="C15" s="193"/>
      <c r="D15" s="193"/>
      <c r="E15" s="193"/>
      <c r="F15" s="194">
        <v>0</v>
      </c>
      <c r="G15" s="194">
        <v>0</v>
      </c>
      <c r="H15" s="194">
        <v>0</v>
      </c>
      <c r="I15" s="194">
        <v>0</v>
      </c>
      <c r="J15" s="194">
        <v>0</v>
      </c>
      <c r="K15" s="194">
        <v>0</v>
      </c>
      <c r="L15" s="194">
        <v>0</v>
      </c>
      <c r="M15" s="194">
        <v>0</v>
      </c>
      <c r="N15" s="194">
        <v>0</v>
      </c>
    </row>
    <row r="16" spans="1:14">
      <c r="A16" s="193"/>
      <c r="B16" s="193" t="s">
        <v>56</v>
      </c>
      <c r="C16" s="193"/>
      <c r="D16" s="193"/>
      <c r="E16" s="193"/>
      <c r="F16" s="194">
        <v>0</v>
      </c>
      <c r="G16" s="194">
        <v>0</v>
      </c>
      <c r="H16" s="194">
        <v>0</v>
      </c>
      <c r="I16" s="194">
        <v>0</v>
      </c>
      <c r="J16" s="194">
        <v>-0.01</v>
      </c>
      <c r="K16" s="194">
        <v>0</v>
      </c>
      <c r="L16" s="194">
        <v>0</v>
      </c>
      <c r="M16" s="194">
        <v>0</v>
      </c>
      <c r="N16" s="194">
        <v>0</v>
      </c>
    </row>
    <row r="17" spans="1:14">
      <c r="A17" s="193"/>
      <c r="B17" s="193" t="s">
        <v>57</v>
      </c>
      <c r="C17" s="193"/>
      <c r="D17" s="193"/>
      <c r="E17" s="193"/>
      <c r="F17" s="194">
        <v>-1304353.06</v>
      </c>
      <c r="G17" s="194">
        <v>0</v>
      </c>
      <c r="H17" s="194">
        <v>0</v>
      </c>
      <c r="I17" s="194">
        <v>-1304353.06</v>
      </c>
      <c r="J17" s="194">
        <v>-456466.73</v>
      </c>
      <c r="K17" s="194">
        <v>0</v>
      </c>
      <c r="L17" s="194">
        <v>0</v>
      </c>
      <c r="M17" s="194">
        <v>0</v>
      </c>
      <c r="N17" s="194">
        <v>-456466.73</v>
      </c>
    </row>
    <row r="18" spans="1:14">
      <c r="A18" s="193"/>
      <c r="B18" s="193" t="s">
        <v>58</v>
      </c>
      <c r="C18" s="193"/>
      <c r="D18" s="193"/>
      <c r="E18" s="193"/>
      <c r="F18" s="194">
        <v>-10280648.42</v>
      </c>
      <c r="G18" s="194">
        <v>0</v>
      </c>
      <c r="H18" s="194">
        <v>127051.08</v>
      </c>
      <c r="I18" s="194">
        <v>-10153597.34</v>
      </c>
      <c r="J18" s="194">
        <v>-3272294.72</v>
      </c>
      <c r="K18" s="194">
        <v>0</v>
      </c>
      <c r="L18" s="194">
        <v>15172.58</v>
      </c>
      <c r="M18" s="194">
        <v>0</v>
      </c>
      <c r="N18" s="194">
        <v>-3257122.14</v>
      </c>
    </row>
    <row r="19" spans="1:14">
      <c r="A19" s="193"/>
      <c r="B19" s="193" t="s">
        <v>59</v>
      </c>
      <c r="C19" s="193"/>
      <c r="D19" s="193"/>
      <c r="E19" s="193"/>
      <c r="F19" s="194">
        <v>31150153.359999999</v>
      </c>
      <c r="G19" s="194">
        <v>39561.96</v>
      </c>
      <c r="H19" s="194">
        <v>-1524453.49</v>
      </c>
      <c r="I19" s="194">
        <v>29665261.829999998</v>
      </c>
      <c r="J19" s="194">
        <v>10989457.210000001</v>
      </c>
      <c r="K19" s="194">
        <v>13846.69</v>
      </c>
      <c r="L19" s="194">
        <v>-540830.92000000004</v>
      </c>
      <c r="M19" s="194">
        <v>0</v>
      </c>
      <c r="N19" s="194">
        <v>10462472.960000001</v>
      </c>
    </row>
    <row r="20" spans="1:14">
      <c r="A20" s="193"/>
      <c r="B20" s="193" t="s">
        <v>60</v>
      </c>
      <c r="C20" s="193"/>
      <c r="D20" s="193"/>
      <c r="E20" s="193"/>
      <c r="F20" s="194">
        <v>8153392.8300000001</v>
      </c>
      <c r="G20" s="194">
        <v>0</v>
      </c>
      <c r="H20" s="194">
        <v>-304801.46999999997</v>
      </c>
      <c r="I20" s="194">
        <v>7848591.3600000003</v>
      </c>
      <c r="J20" s="194">
        <v>3352130.52</v>
      </c>
      <c r="K20" s="194">
        <v>0</v>
      </c>
      <c r="L20" s="194">
        <v>-156197.45000000001</v>
      </c>
      <c r="M20" s="194">
        <v>0</v>
      </c>
      <c r="N20" s="194">
        <v>3195933.07</v>
      </c>
    </row>
    <row r="21" spans="1:14">
      <c r="A21" s="193"/>
      <c r="B21" s="193" t="s">
        <v>61</v>
      </c>
      <c r="C21" s="193"/>
      <c r="D21" s="193"/>
      <c r="E21" s="193"/>
      <c r="F21" s="194">
        <v>8760040.2699999996</v>
      </c>
      <c r="G21" s="194">
        <v>0</v>
      </c>
      <c r="H21" s="194">
        <v>-448391.82</v>
      </c>
      <c r="I21" s="194">
        <v>8311648.4500000002</v>
      </c>
      <c r="J21" s="194">
        <v>3042754.95</v>
      </c>
      <c r="K21" s="194">
        <v>0</v>
      </c>
      <c r="L21" s="194">
        <v>-155423.67000000001</v>
      </c>
      <c r="M21" s="194">
        <v>0</v>
      </c>
      <c r="N21" s="194">
        <v>2887331.28</v>
      </c>
    </row>
    <row r="22" spans="1:14">
      <c r="A22" s="193"/>
      <c r="B22" s="193" t="s">
        <v>62</v>
      </c>
      <c r="C22" s="193"/>
      <c r="D22" s="193"/>
      <c r="E22" s="193"/>
      <c r="F22" s="194">
        <v>226.46</v>
      </c>
      <c r="G22" s="194">
        <v>0</v>
      </c>
      <c r="H22" s="194">
        <v>14.89</v>
      </c>
      <c r="I22" s="194">
        <v>241.35</v>
      </c>
      <c r="J22" s="194">
        <v>0</v>
      </c>
      <c r="K22" s="194">
        <v>0</v>
      </c>
      <c r="L22" s="194">
        <v>0</v>
      </c>
      <c r="M22" s="194">
        <v>0</v>
      </c>
      <c r="N22" s="194">
        <v>0</v>
      </c>
    </row>
    <row r="23" spans="1:14">
      <c r="A23" s="193"/>
      <c r="B23" s="193" t="s">
        <v>63</v>
      </c>
      <c r="C23" s="193"/>
      <c r="D23" s="193"/>
      <c r="E23" s="193"/>
      <c r="F23" s="194">
        <v>314789539.68000001</v>
      </c>
      <c r="G23" s="194">
        <v>60000000</v>
      </c>
      <c r="H23" s="194">
        <v>-12410890.91</v>
      </c>
      <c r="I23" s="194">
        <v>362378648.76999998</v>
      </c>
      <c r="J23" s="194">
        <v>110175383.40000001</v>
      </c>
      <c r="K23" s="194">
        <v>21000000</v>
      </c>
      <c r="L23" s="194">
        <v>-4343746.01</v>
      </c>
      <c r="M23" s="194">
        <v>0</v>
      </c>
      <c r="N23" s="194">
        <v>126831637.39</v>
      </c>
    </row>
    <row r="24" spans="1:14">
      <c r="A24" s="193"/>
      <c r="B24" s="193" t="s">
        <v>64</v>
      </c>
      <c r="C24" s="193"/>
      <c r="D24" s="193"/>
      <c r="E24" s="193"/>
      <c r="F24" s="194">
        <v>1325041.8600000001</v>
      </c>
      <c r="G24" s="194">
        <v>0</v>
      </c>
      <c r="H24" s="194">
        <v>-44557.77</v>
      </c>
      <c r="I24" s="194">
        <v>1280484.0900000001</v>
      </c>
      <c r="J24" s="194">
        <v>463764.65</v>
      </c>
      <c r="K24" s="194">
        <v>0</v>
      </c>
      <c r="L24" s="194">
        <v>-15595.24</v>
      </c>
      <c r="M24" s="194">
        <v>0</v>
      </c>
      <c r="N24" s="194">
        <v>448169.41</v>
      </c>
    </row>
    <row r="25" spans="1:14">
      <c r="A25" s="193"/>
      <c r="B25" s="193" t="s">
        <v>288</v>
      </c>
      <c r="C25" s="193"/>
      <c r="D25" s="193"/>
      <c r="E25" s="193"/>
      <c r="F25" s="194">
        <v>-32412086.890000001</v>
      </c>
      <c r="G25" s="194">
        <v>0</v>
      </c>
      <c r="H25" s="194">
        <v>970280.11</v>
      </c>
      <c r="I25" s="194">
        <v>-31441806.780000001</v>
      </c>
      <c r="J25" s="194">
        <v>-11344230.41</v>
      </c>
      <c r="K25" s="194">
        <v>0</v>
      </c>
      <c r="L25" s="194">
        <v>339598.04</v>
      </c>
      <c r="M25" s="194">
        <v>0</v>
      </c>
      <c r="N25" s="194">
        <v>-11004632.369999999</v>
      </c>
    </row>
    <row r="26" spans="1:14">
      <c r="A26" s="193"/>
      <c r="B26" s="200" t="s">
        <v>307</v>
      </c>
      <c r="C26" s="193" t="s">
        <v>52</v>
      </c>
      <c r="D26" s="193"/>
      <c r="E26" s="193"/>
      <c r="F26" s="194">
        <v>321006298.31</v>
      </c>
      <c r="G26" s="194">
        <v>60039561.960000001</v>
      </c>
      <c r="H26" s="194">
        <v>-13635749.380000001</v>
      </c>
      <c r="I26" s="194">
        <v>367410110.88999999</v>
      </c>
      <c r="J26" s="194">
        <v>113239246.14</v>
      </c>
      <c r="K26" s="194">
        <v>21013846.690000001</v>
      </c>
      <c r="L26" s="194">
        <v>-4857022.67</v>
      </c>
      <c r="M26" s="194">
        <v>0</v>
      </c>
      <c r="N26" s="194">
        <v>129396070.14</v>
      </c>
    </row>
    <row r="27" spans="1:14">
      <c r="A27" s="193"/>
      <c r="B27" s="193" t="s">
        <v>65</v>
      </c>
      <c r="C27" s="193"/>
      <c r="D27" s="193"/>
      <c r="E27" s="193"/>
      <c r="F27" s="194">
        <v>-656399.09</v>
      </c>
      <c r="G27" s="194">
        <v>0</v>
      </c>
      <c r="H27" s="194">
        <v>673866.83</v>
      </c>
      <c r="I27" s="194">
        <v>17467.740000000002</v>
      </c>
      <c r="J27" s="194">
        <v>-218989.02</v>
      </c>
      <c r="K27" s="194">
        <v>0</v>
      </c>
      <c r="L27" s="194">
        <v>235816.63</v>
      </c>
      <c r="M27" s="194">
        <v>0</v>
      </c>
      <c r="N27" s="194">
        <v>16827.61</v>
      </c>
    </row>
    <row r="28" spans="1:14">
      <c r="A28" s="193"/>
      <c r="B28" s="193" t="s">
        <v>66</v>
      </c>
      <c r="C28" s="193"/>
      <c r="D28" s="193"/>
      <c r="E28" s="193"/>
      <c r="F28" s="194">
        <v>-53657985.289999999</v>
      </c>
      <c r="G28" s="194">
        <v>-1982204.97</v>
      </c>
      <c r="H28" s="194">
        <v>6456955.4800000004</v>
      </c>
      <c r="I28" s="194">
        <v>-49183234.780000001</v>
      </c>
      <c r="J28" s="194">
        <v>-18780294.949999999</v>
      </c>
      <c r="K28" s="194">
        <v>-693771.74</v>
      </c>
      <c r="L28" s="194">
        <v>2259934.41</v>
      </c>
      <c r="M28" s="194">
        <v>0</v>
      </c>
      <c r="N28" s="194">
        <v>-17214132.289999999</v>
      </c>
    </row>
    <row r="29" spans="1:14">
      <c r="A29" s="193"/>
      <c r="B29" s="193" t="s">
        <v>67</v>
      </c>
      <c r="C29" s="193"/>
      <c r="D29" s="193"/>
      <c r="E29" s="193"/>
      <c r="F29" s="194">
        <v>-309927.77</v>
      </c>
      <c r="G29" s="194">
        <v>0</v>
      </c>
      <c r="H29" s="194">
        <v>49200.63</v>
      </c>
      <c r="I29" s="194">
        <v>-260727.14</v>
      </c>
      <c r="J29" s="194">
        <v>-108474.67</v>
      </c>
      <c r="K29" s="194">
        <v>0</v>
      </c>
      <c r="L29" s="194">
        <v>17220.09</v>
      </c>
      <c r="M29" s="194">
        <v>0</v>
      </c>
      <c r="N29" s="194">
        <v>-91254.58</v>
      </c>
    </row>
    <row r="30" spans="1:14">
      <c r="A30" s="193"/>
      <c r="B30" s="193" t="s">
        <v>68</v>
      </c>
      <c r="C30" s="193"/>
      <c r="D30" s="193"/>
      <c r="E30" s="193"/>
      <c r="F30" s="194">
        <v>-37328146.840000004</v>
      </c>
      <c r="G30" s="194">
        <v>-4000000</v>
      </c>
      <c r="H30" s="194">
        <v>4298555.28</v>
      </c>
      <c r="I30" s="194">
        <v>-37029591.560000002</v>
      </c>
      <c r="J30" s="194">
        <v>-13064851.449999999</v>
      </c>
      <c r="K30" s="194">
        <v>-1400000</v>
      </c>
      <c r="L30" s="194">
        <v>1504494.38</v>
      </c>
      <c r="M30" s="194">
        <v>0</v>
      </c>
      <c r="N30" s="194">
        <v>-12960357.07</v>
      </c>
    </row>
    <row r="31" spans="1:14">
      <c r="A31" s="193"/>
      <c r="B31" s="193" t="s">
        <v>69</v>
      </c>
      <c r="C31" s="193"/>
      <c r="D31" s="193"/>
      <c r="E31" s="193"/>
      <c r="F31" s="194">
        <v>-8732164.9800000004</v>
      </c>
      <c r="G31" s="194">
        <v>0</v>
      </c>
      <c r="H31" s="194">
        <v>390949.9</v>
      </c>
      <c r="I31" s="194">
        <v>-8341215.0800000001</v>
      </c>
      <c r="J31" s="194">
        <v>-3056257.76</v>
      </c>
      <c r="K31" s="194">
        <v>0</v>
      </c>
      <c r="L31" s="194">
        <v>136832.47</v>
      </c>
      <c r="M31" s="194">
        <v>0</v>
      </c>
      <c r="N31" s="194">
        <v>-2919425.29</v>
      </c>
    </row>
    <row r="32" spans="1:14">
      <c r="A32" s="193"/>
      <c r="B32" s="193" t="s">
        <v>70</v>
      </c>
      <c r="C32" s="193"/>
      <c r="D32" s="193"/>
      <c r="E32" s="193"/>
      <c r="F32" s="194">
        <v>-6418446.2999999998</v>
      </c>
      <c r="G32" s="194">
        <v>0</v>
      </c>
      <c r="H32" s="194">
        <v>3548254.95</v>
      </c>
      <c r="I32" s="194">
        <v>-2870191.35</v>
      </c>
      <c r="J32" s="194">
        <v>-2246456.21</v>
      </c>
      <c r="K32" s="194">
        <v>0</v>
      </c>
      <c r="L32" s="194">
        <v>1241889.23</v>
      </c>
      <c r="M32" s="194">
        <v>0</v>
      </c>
      <c r="N32" s="194">
        <v>-1004566.98</v>
      </c>
    </row>
    <row r="33" spans="1:14">
      <c r="A33" s="193"/>
      <c r="B33" s="193" t="s">
        <v>71</v>
      </c>
      <c r="C33" s="193"/>
      <c r="D33" s="193"/>
      <c r="E33" s="193"/>
      <c r="F33" s="194">
        <v>0</v>
      </c>
      <c r="G33" s="194">
        <v>0</v>
      </c>
      <c r="H33" s="194">
        <v>0</v>
      </c>
      <c r="I33" s="194">
        <v>0</v>
      </c>
      <c r="J33" s="194">
        <v>0</v>
      </c>
      <c r="K33" s="194">
        <v>0</v>
      </c>
      <c r="L33" s="194">
        <v>0</v>
      </c>
      <c r="M33" s="194">
        <v>0</v>
      </c>
      <c r="N33" s="194">
        <v>0</v>
      </c>
    </row>
    <row r="34" spans="1:14">
      <c r="A34" s="193"/>
      <c r="B34" s="193" t="s">
        <v>72</v>
      </c>
      <c r="C34" s="193"/>
      <c r="D34" s="193"/>
      <c r="E34" s="193"/>
      <c r="F34" s="194">
        <v>59899291.149999999</v>
      </c>
      <c r="G34" s="194">
        <v>0</v>
      </c>
      <c r="H34" s="194">
        <v>-6388927.6399999997</v>
      </c>
      <c r="I34" s="194">
        <v>53510363.509999998</v>
      </c>
      <c r="J34" s="194">
        <v>20964751.98</v>
      </c>
      <c r="K34" s="194">
        <v>0</v>
      </c>
      <c r="L34" s="194">
        <v>-2236124.65</v>
      </c>
      <c r="M34" s="194">
        <v>0</v>
      </c>
      <c r="N34" s="194">
        <v>18728627.329999998</v>
      </c>
    </row>
    <row r="35" spans="1:14">
      <c r="A35" s="193"/>
      <c r="B35" s="193" t="s">
        <v>73</v>
      </c>
      <c r="C35" s="193"/>
      <c r="D35" s="193"/>
      <c r="E35" s="193"/>
      <c r="F35" s="194">
        <v>-7424866.2999999998</v>
      </c>
      <c r="G35" s="194">
        <v>0</v>
      </c>
      <c r="H35" s="194">
        <v>848197.52</v>
      </c>
      <c r="I35" s="194">
        <v>-6576668.7800000003</v>
      </c>
      <c r="J35" s="194">
        <v>-2598703.1800000002</v>
      </c>
      <c r="K35" s="194">
        <v>0</v>
      </c>
      <c r="L35" s="194">
        <v>296869.12</v>
      </c>
      <c r="M35" s="194">
        <v>0</v>
      </c>
      <c r="N35" s="194">
        <v>-2301834.06</v>
      </c>
    </row>
    <row r="36" spans="1:14">
      <c r="A36" s="193"/>
      <c r="B36" s="200" t="s">
        <v>308</v>
      </c>
      <c r="C36" s="193" t="s">
        <v>52</v>
      </c>
      <c r="D36" s="193"/>
      <c r="E36" s="193"/>
      <c r="F36" s="194">
        <v>-54628645.420000002</v>
      </c>
      <c r="G36" s="194">
        <v>-5982204.9699999997</v>
      </c>
      <c r="H36" s="194">
        <v>9877052.9499999993</v>
      </c>
      <c r="I36" s="194">
        <v>-50733797.439999998</v>
      </c>
      <c r="J36" s="194">
        <v>-19109275.260000002</v>
      </c>
      <c r="K36" s="194">
        <v>-2093771.74</v>
      </c>
      <c r="L36" s="194">
        <v>3456931.68</v>
      </c>
      <c r="M36" s="194">
        <v>0</v>
      </c>
      <c r="N36" s="194">
        <v>-17746115.329999998</v>
      </c>
    </row>
    <row r="37" spans="1:14">
      <c r="A37" s="193"/>
      <c r="B37" s="193" t="s">
        <v>74</v>
      </c>
      <c r="C37" s="193"/>
      <c r="D37" s="193"/>
      <c r="E37" s="193"/>
      <c r="F37" s="194">
        <v>10100.219999999999</v>
      </c>
      <c r="G37" s="194">
        <v>0</v>
      </c>
      <c r="H37" s="194">
        <v>-1592.58</v>
      </c>
      <c r="I37" s="194">
        <v>8507.64</v>
      </c>
      <c r="J37" s="194">
        <v>0</v>
      </c>
      <c r="K37" s="194">
        <v>0</v>
      </c>
      <c r="L37" s="194">
        <v>0</v>
      </c>
      <c r="M37" s="194">
        <v>0</v>
      </c>
      <c r="N37" s="194">
        <v>0</v>
      </c>
    </row>
    <row r="38" spans="1:14">
      <c r="A38" s="193"/>
      <c r="B38" s="193"/>
      <c r="C38" s="193" t="s">
        <v>52</v>
      </c>
      <c r="D38" s="193"/>
      <c r="E38" s="193"/>
      <c r="F38" s="194">
        <v>10100.219999999999</v>
      </c>
      <c r="G38" s="194">
        <v>0</v>
      </c>
      <c r="H38" s="194">
        <v>-1592.58</v>
      </c>
      <c r="I38" s="194">
        <v>8507.64</v>
      </c>
      <c r="J38" s="194">
        <v>0</v>
      </c>
      <c r="K38" s="194">
        <v>0</v>
      </c>
      <c r="L38" s="194">
        <v>0</v>
      </c>
      <c r="M38" s="194">
        <v>0</v>
      </c>
      <c r="N38" s="194">
        <v>0</v>
      </c>
    </row>
    <row r="39" spans="1:14">
      <c r="A39" s="193"/>
      <c r="B39" s="193" t="s">
        <v>75</v>
      </c>
      <c r="C39" s="193"/>
      <c r="D39" s="193"/>
      <c r="E39" s="193"/>
      <c r="F39" s="194">
        <v>448885.97</v>
      </c>
      <c r="G39" s="194">
        <v>0</v>
      </c>
      <c r="H39" s="194">
        <v>-49263.64</v>
      </c>
      <c r="I39" s="194">
        <v>399622.33</v>
      </c>
      <c r="J39" s="194">
        <v>0</v>
      </c>
      <c r="K39" s="194">
        <v>0</v>
      </c>
      <c r="L39" s="194">
        <v>0</v>
      </c>
      <c r="M39" s="194">
        <v>0</v>
      </c>
      <c r="N39" s="194">
        <v>0</v>
      </c>
    </row>
    <row r="40" spans="1:14">
      <c r="A40" s="193"/>
      <c r="B40" s="193" t="s">
        <v>76</v>
      </c>
      <c r="C40" s="193"/>
      <c r="D40" s="193"/>
      <c r="E40" s="193"/>
      <c r="F40" s="194">
        <v>68056957.329999998</v>
      </c>
      <c r="G40" s="194">
        <v>89199.22</v>
      </c>
      <c r="H40" s="194">
        <v>-3065131.64</v>
      </c>
      <c r="I40" s="194">
        <v>65081024.909999996</v>
      </c>
      <c r="J40" s="194">
        <v>0</v>
      </c>
      <c r="K40" s="194">
        <v>0</v>
      </c>
      <c r="L40" s="194">
        <v>0</v>
      </c>
      <c r="M40" s="194">
        <v>0</v>
      </c>
      <c r="N40" s="194">
        <v>0</v>
      </c>
    </row>
    <row r="41" spans="1:14">
      <c r="A41" s="193"/>
      <c r="B41" s="193" t="s">
        <v>77</v>
      </c>
      <c r="C41" s="193"/>
      <c r="D41" s="193"/>
      <c r="E41" s="193"/>
      <c r="F41" s="194">
        <v>10174.16</v>
      </c>
      <c r="G41" s="194">
        <v>0</v>
      </c>
      <c r="H41" s="194">
        <v>-2367.6799999999998</v>
      </c>
      <c r="I41" s="194">
        <v>7806.48</v>
      </c>
      <c r="J41" s="194">
        <v>0</v>
      </c>
      <c r="K41" s="194">
        <v>0</v>
      </c>
      <c r="L41" s="194">
        <v>0</v>
      </c>
      <c r="M41" s="194">
        <v>0</v>
      </c>
      <c r="N41" s="194">
        <v>0</v>
      </c>
    </row>
    <row r="42" spans="1:14">
      <c r="A42" s="193"/>
      <c r="B42" s="193" t="s">
        <v>78</v>
      </c>
      <c r="C42" s="193"/>
      <c r="D42" s="193"/>
      <c r="E42" s="193"/>
      <c r="F42" s="194">
        <v>43074.52</v>
      </c>
      <c r="G42" s="194">
        <v>0</v>
      </c>
      <c r="H42" s="194">
        <v>-2643.29</v>
      </c>
      <c r="I42" s="194">
        <v>40431.230000000003</v>
      </c>
      <c r="J42" s="194">
        <v>0</v>
      </c>
      <c r="K42" s="194">
        <v>0</v>
      </c>
      <c r="L42" s="194">
        <v>0</v>
      </c>
      <c r="M42" s="194">
        <v>0</v>
      </c>
      <c r="N42" s="194">
        <v>0</v>
      </c>
    </row>
    <row r="43" spans="1:14">
      <c r="A43" s="193"/>
      <c r="B43" s="193" t="s">
        <v>79</v>
      </c>
      <c r="C43" s="193"/>
      <c r="D43" s="193"/>
      <c r="E43" s="193"/>
      <c r="F43" s="194">
        <v>68281.86</v>
      </c>
      <c r="G43" s="194">
        <v>0</v>
      </c>
      <c r="H43" s="194">
        <v>-11074.29</v>
      </c>
      <c r="I43" s="194">
        <v>57207.57</v>
      </c>
      <c r="J43" s="194">
        <v>0</v>
      </c>
      <c r="K43" s="194">
        <v>0</v>
      </c>
      <c r="L43" s="194">
        <v>0</v>
      </c>
      <c r="M43" s="194">
        <v>0</v>
      </c>
      <c r="N43" s="194">
        <v>0</v>
      </c>
    </row>
    <row r="44" spans="1:14">
      <c r="A44" s="193"/>
      <c r="B44" s="193" t="s">
        <v>232</v>
      </c>
      <c r="C44" s="193"/>
      <c r="D44" s="193"/>
      <c r="E44" s="193"/>
      <c r="F44" s="194">
        <v>77129.17</v>
      </c>
      <c r="G44" s="194">
        <v>0</v>
      </c>
      <c r="H44" s="194">
        <v>-7956.52</v>
      </c>
      <c r="I44" s="194">
        <v>69172.649999999994</v>
      </c>
      <c r="J44" s="194">
        <v>0</v>
      </c>
      <c r="K44" s="194">
        <v>0</v>
      </c>
      <c r="L44" s="194">
        <v>0</v>
      </c>
      <c r="M44" s="194">
        <v>0</v>
      </c>
      <c r="N44" s="194">
        <v>0</v>
      </c>
    </row>
    <row r="45" spans="1:14">
      <c r="A45" s="193"/>
      <c r="B45" s="193"/>
      <c r="C45" s="193" t="s">
        <v>52</v>
      </c>
      <c r="D45" s="193"/>
      <c r="E45" s="193"/>
      <c r="F45" s="194">
        <v>68704503.010000005</v>
      </c>
      <c r="G45" s="194">
        <v>89199.22</v>
      </c>
      <c r="H45" s="194">
        <v>-3138437.06</v>
      </c>
      <c r="I45" s="194">
        <v>65655265.170000002</v>
      </c>
      <c r="J45" s="194">
        <v>0</v>
      </c>
      <c r="K45" s="194">
        <v>0</v>
      </c>
      <c r="L45" s="194">
        <v>0</v>
      </c>
      <c r="M45" s="194">
        <v>0</v>
      </c>
      <c r="N45" s="194">
        <v>0</v>
      </c>
    </row>
    <row r="46" spans="1:14">
      <c r="A46" s="193" t="s">
        <v>80</v>
      </c>
      <c r="B46" s="193"/>
      <c r="C46" s="193"/>
      <c r="D46" s="193"/>
      <c r="E46" s="193"/>
      <c r="F46" s="194">
        <v>2100315488.98</v>
      </c>
      <c r="G46" s="194">
        <v>126124724.58</v>
      </c>
      <c r="H46" s="194">
        <v>-48318842.039999999</v>
      </c>
      <c r="I46" s="194">
        <v>2178121371.52</v>
      </c>
      <c r="J46" s="194">
        <v>711882937.75</v>
      </c>
      <c r="K46" s="194">
        <v>44112433.880000003</v>
      </c>
      <c r="L46" s="194">
        <v>-15964347.970000001</v>
      </c>
      <c r="M46" s="194">
        <v>0</v>
      </c>
      <c r="N46" s="194">
        <v>740031023.59000003</v>
      </c>
    </row>
    <row r="47" spans="1:14">
      <c r="A47" s="195"/>
      <c r="B47" s="195" t="s">
        <v>48</v>
      </c>
      <c r="C47" s="195"/>
      <c r="D47" s="195"/>
      <c r="E47" s="195"/>
      <c r="F47" s="196">
        <v>-10055.84</v>
      </c>
      <c r="G47" s="196">
        <v>0</v>
      </c>
      <c r="H47" s="196">
        <v>-51.67</v>
      </c>
      <c r="I47" s="196">
        <v>-10107.51</v>
      </c>
      <c r="J47" s="196">
        <v>-3519.19</v>
      </c>
      <c r="K47" s="196">
        <v>0</v>
      </c>
      <c r="L47" s="196">
        <v>-18.079999999999998</v>
      </c>
      <c r="M47" s="196">
        <v>0</v>
      </c>
      <c r="N47" s="196">
        <v>-3537.27</v>
      </c>
    </row>
    <row r="48" spans="1:14">
      <c r="A48" s="195"/>
      <c r="B48" s="195" t="s">
        <v>49</v>
      </c>
      <c r="C48" s="195"/>
      <c r="D48" s="195"/>
      <c r="E48" s="195"/>
      <c r="F48" s="196">
        <v>2095190</v>
      </c>
      <c r="G48" s="196">
        <v>8.57</v>
      </c>
      <c r="H48" s="196">
        <v>-478996.65</v>
      </c>
      <c r="I48" s="196">
        <v>1616201.92</v>
      </c>
      <c r="J48" s="196">
        <v>739889.15</v>
      </c>
      <c r="K48" s="196">
        <v>3</v>
      </c>
      <c r="L48" s="196">
        <v>-168923.55</v>
      </c>
      <c r="M48" s="196">
        <v>0</v>
      </c>
      <c r="N48" s="196">
        <v>570968.6</v>
      </c>
    </row>
    <row r="49" spans="1:14">
      <c r="A49" s="195"/>
      <c r="B49" s="195" t="s">
        <v>50</v>
      </c>
      <c r="C49" s="195"/>
      <c r="D49" s="195"/>
      <c r="E49" s="195"/>
      <c r="F49" s="196">
        <v>414326948.37</v>
      </c>
      <c r="G49" s="196">
        <v>1268120.97</v>
      </c>
      <c r="H49" s="196">
        <v>-14711298.23</v>
      </c>
      <c r="I49" s="196">
        <v>400883771.11000001</v>
      </c>
      <c r="J49" s="196">
        <v>145131398.75</v>
      </c>
      <c r="K49" s="196">
        <v>443842.34</v>
      </c>
      <c r="L49" s="196">
        <v>-5148954.3899999997</v>
      </c>
      <c r="M49" s="196">
        <v>0</v>
      </c>
      <c r="N49" s="196">
        <v>140426286.69999999</v>
      </c>
    </row>
    <row r="50" spans="1:14">
      <c r="A50" s="195"/>
      <c r="B50" s="195" t="s">
        <v>51</v>
      </c>
      <c r="C50" s="195"/>
      <c r="D50" s="195"/>
      <c r="E50" s="195"/>
      <c r="F50" s="196">
        <v>-24154026.079999998</v>
      </c>
      <c r="G50" s="196">
        <v>-4215101.37</v>
      </c>
      <c r="H50" s="196">
        <v>0.01</v>
      </c>
      <c r="I50" s="196">
        <v>-28369127.440000001</v>
      </c>
      <c r="J50" s="196">
        <v>-8471572.9399999995</v>
      </c>
      <c r="K50" s="196">
        <v>-1475285.48</v>
      </c>
      <c r="L50" s="196">
        <v>0</v>
      </c>
      <c r="M50" s="196">
        <v>0</v>
      </c>
      <c r="N50" s="196">
        <v>-9946858.4199999999</v>
      </c>
    </row>
    <row r="51" spans="1:14">
      <c r="A51" s="195"/>
      <c r="B51" s="195"/>
      <c r="C51" s="195" t="s">
        <v>52</v>
      </c>
      <c r="D51" s="195"/>
      <c r="E51" s="195"/>
      <c r="F51" s="196">
        <v>392258056.44999999</v>
      </c>
      <c r="G51" s="196">
        <v>-2946971.83</v>
      </c>
      <c r="H51" s="196">
        <v>-15190346.539999999</v>
      </c>
      <c r="I51" s="196">
        <v>374120738.07999998</v>
      </c>
      <c r="J51" s="196">
        <v>137396195.77000001</v>
      </c>
      <c r="K51" s="196">
        <v>-1031440.14</v>
      </c>
      <c r="L51" s="196">
        <v>-5317896.0199999996</v>
      </c>
      <c r="M51" s="196">
        <v>0</v>
      </c>
      <c r="N51" s="196">
        <v>131046859.61</v>
      </c>
    </row>
    <row r="52" spans="1:14">
      <c r="A52" s="195"/>
      <c r="B52" s="195" t="s">
        <v>58</v>
      </c>
      <c r="C52" s="195"/>
      <c r="D52" s="195"/>
      <c r="E52" s="195"/>
      <c r="F52" s="196">
        <v>-564738.72</v>
      </c>
      <c r="G52" s="196">
        <v>0</v>
      </c>
      <c r="H52" s="196">
        <v>-7897.49</v>
      </c>
      <c r="I52" s="196">
        <v>-572636.21</v>
      </c>
      <c r="J52" s="196">
        <v>-193121.49</v>
      </c>
      <c r="K52" s="196">
        <v>0</v>
      </c>
      <c r="L52" s="196">
        <v>-5929.74</v>
      </c>
      <c r="M52" s="196">
        <v>0</v>
      </c>
      <c r="N52" s="196">
        <v>-199051.23</v>
      </c>
    </row>
    <row r="53" spans="1:14">
      <c r="A53" s="195"/>
      <c r="B53" s="195" t="s">
        <v>59</v>
      </c>
      <c r="C53" s="195"/>
      <c r="D53" s="195"/>
      <c r="E53" s="195"/>
      <c r="F53" s="196">
        <v>6858383.3700000001</v>
      </c>
      <c r="G53" s="196">
        <v>438.04</v>
      </c>
      <c r="H53" s="196">
        <v>-296401.32</v>
      </c>
      <c r="I53" s="196">
        <v>6562420.0899999999</v>
      </c>
      <c r="J53" s="196">
        <v>2402254.63</v>
      </c>
      <c r="K53" s="196">
        <v>153.31</v>
      </c>
      <c r="L53" s="196">
        <v>-105052.58</v>
      </c>
      <c r="M53" s="196">
        <v>0</v>
      </c>
      <c r="N53" s="196">
        <v>2297355.36</v>
      </c>
    </row>
    <row r="54" spans="1:14">
      <c r="A54" s="195"/>
      <c r="B54" s="195" t="s">
        <v>60</v>
      </c>
      <c r="C54" s="195"/>
      <c r="D54" s="195"/>
      <c r="E54" s="195"/>
      <c r="F54" s="196">
        <v>33663.89</v>
      </c>
      <c r="G54" s="196">
        <v>0</v>
      </c>
      <c r="H54" s="196">
        <v>-7414.04</v>
      </c>
      <c r="I54" s="196">
        <v>26249.85</v>
      </c>
      <c r="J54" s="196">
        <v>15258.01</v>
      </c>
      <c r="K54" s="196">
        <v>0</v>
      </c>
      <c r="L54" s="196">
        <v>-3356.21</v>
      </c>
      <c r="M54" s="196">
        <v>0</v>
      </c>
      <c r="N54" s="196">
        <v>11901.8</v>
      </c>
    </row>
    <row r="55" spans="1:14">
      <c r="A55" s="195"/>
      <c r="B55" s="195" t="s">
        <v>63</v>
      </c>
      <c r="C55" s="195"/>
      <c r="D55" s="195"/>
      <c r="E55" s="195"/>
      <c r="F55" s="196">
        <v>-1086.8499999999999</v>
      </c>
      <c r="G55" s="196">
        <v>0</v>
      </c>
      <c r="H55" s="196">
        <v>43.09</v>
      </c>
      <c r="I55" s="196">
        <v>-1043.76</v>
      </c>
      <c r="J55" s="196">
        <v>-380.41</v>
      </c>
      <c r="K55" s="196">
        <v>0</v>
      </c>
      <c r="L55" s="196">
        <v>15.08</v>
      </c>
      <c r="M55" s="196">
        <v>0</v>
      </c>
      <c r="N55" s="196">
        <v>-365.33</v>
      </c>
    </row>
    <row r="56" spans="1:14">
      <c r="A56" s="195"/>
      <c r="B56" s="195" t="s">
        <v>64</v>
      </c>
      <c r="C56" s="195"/>
      <c r="D56" s="195"/>
      <c r="E56" s="195"/>
      <c r="F56" s="196">
        <v>0</v>
      </c>
      <c r="G56" s="196">
        <v>0</v>
      </c>
      <c r="H56" s="196">
        <v>0</v>
      </c>
      <c r="I56" s="196">
        <v>0</v>
      </c>
      <c r="J56" s="196">
        <v>0</v>
      </c>
      <c r="K56" s="196">
        <v>0</v>
      </c>
      <c r="L56" s="196">
        <v>0</v>
      </c>
      <c r="M56" s="196">
        <v>0</v>
      </c>
      <c r="N56" s="196">
        <v>0</v>
      </c>
    </row>
    <row r="57" spans="1:14">
      <c r="A57" s="195"/>
      <c r="B57" s="200" t="s">
        <v>307</v>
      </c>
      <c r="C57" s="195" t="s">
        <v>52</v>
      </c>
      <c r="D57" s="195"/>
      <c r="E57" s="195"/>
      <c r="F57" s="196">
        <v>6326221.6900000004</v>
      </c>
      <c r="G57" s="196">
        <v>438.04</v>
      </c>
      <c r="H57" s="196">
        <v>-311669.76000000001</v>
      </c>
      <c r="I57" s="196">
        <v>6014989.9699999997</v>
      </c>
      <c r="J57" s="196">
        <v>2224010.7400000002</v>
      </c>
      <c r="K57" s="196">
        <v>153.31</v>
      </c>
      <c r="L57" s="196">
        <v>-114323.45</v>
      </c>
      <c r="M57" s="196">
        <v>0</v>
      </c>
      <c r="N57" s="196">
        <v>2109840.6</v>
      </c>
    </row>
    <row r="58" spans="1:14">
      <c r="A58" s="195"/>
      <c r="B58" s="195" t="s">
        <v>65</v>
      </c>
      <c r="C58" s="195"/>
      <c r="D58" s="195"/>
      <c r="E58" s="195"/>
      <c r="F58" s="196">
        <v>-34771.29</v>
      </c>
      <c r="G58" s="196">
        <v>0</v>
      </c>
      <c r="H58" s="196">
        <v>7251.87</v>
      </c>
      <c r="I58" s="196">
        <v>-27519.42</v>
      </c>
      <c r="J58" s="196">
        <v>-8113.3</v>
      </c>
      <c r="K58" s="196">
        <v>0</v>
      </c>
      <c r="L58" s="196">
        <v>1692.1</v>
      </c>
      <c r="M58" s="196">
        <v>0</v>
      </c>
      <c r="N58" s="196">
        <v>-6421.2</v>
      </c>
    </row>
    <row r="59" spans="1:14">
      <c r="A59" s="195"/>
      <c r="B59" s="195" t="s">
        <v>66</v>
      </c>
      <c r="C59" s="195"/>
      <c r="D59" s="195"/>
      <c r="E59" s="195"/>
      <c r="F59" s="196">
        <v>-96096.94</v>
      </c>
      <c r="G59" s="196">
        <v>-17795.03</v>
      </c>
      <c r="H59" s="196">
        <v>30730.38</v>
      </c>
      <c r="I59" s="196">
        <v>-83161.59</v>
      </c>
      <c r="J59" s="196">
        <v>-33633.93</v>
      </c>
      <c r="K59" s="196">
        <v>-6228.26</v>
      </c>
      <c r="L59" s="196">
        <v>10755.64</v>
      </c>
      <c r="M59" s="196">
        <v>0</v>
      </c>
      <c r="N59" s="196">
        <v>-29106.55</v>
      </c>
    </row>
    <row r="60" spans="1:14">
      <c r="A60" s="195"/>
      <c r="B60" s="195" t="s">
        <v>67</v>
      </c>
      <c r="C60" s="195"/>
      <c r="D60" s="195"/>
      <c r="E60" s="195"/>
      <c r="F60" s="196">
        <v>-67.599999999999994</v>
      </c>
      <c r="G60" s="196">
        <v>0</v>
      </c>
      <c r="H60" s="196">
        <v>23.19</v>
      </c>
      <c r="I60" s="196">
        <v>-44.41</v>
      </c>
      <c r="J60" s="196">
        <v>-23.66</v>
      </c>
      <c r="K60" s="196">
        <v>0</v>
      </c>
      <c r="L60" s="196">
        <v>8.1199999999999992</v>
      </c>
      <c r="M60" s="196">
        <v>0</v>
      </c>
      <c r="N60" s="196">
        <v>-15.54</v>
      </c>
    </row>
    <row r="61" spans="1:14">
      <c r="A61" s="195"/>
      <c r="B61" s="195" t="s">
        <v>71</v>
      </c>
      <c r="C61" s="195"/>
      <c r="D61" s="195"/>
      <c r="E61" s="195"/>
      <c r="F61" s="196">
        <v>0</v>
      </c>
      <c r="G61" s="196">
        <v>0</v>
      </c>
      <c r="H61" s="196">
        <v>0</v>
      </c>
      <c r="I61" s="196">
        <v>0</v>
      </c>
      <c r="J61" s="196">
        <v>0</v>
      </c>
      <c r="K61" s="196">
        <v>0</v>
      </c>
      <c r="L61" s="196">
        <v>0</v>
      </c>
      <c r="M61" s="196">
        <v>0</v>
      </c>
      <c r="N61" s="196">
        <v>0</v>
      </c>
    </row>
    <row r="62" spans="1:14">
      <c r="A62" s="195"/>
      <c r="B62" s="200" t="s">
        <v>308</v>
      </c>
      <c r="C62" s="195" t="s">
        <v>52</v>
      </c>
      <c r="D62" s="195"/>
      <c r="E62" s="195"/>
      <c r="F62" s="196">
        <v>-130935.83</v>
      </c>
      <c r="G62" s="196">
        <v>-17795.03</v>
      </c>
      <c r="H62" s="196">
        <v>38005.440000000002</v>
      </c>
      <c r="I62" s="196">
        <v>-110725.42</v>
      </c>
      <c r="J62" s="196">
        <v>-41770.89</v>
      </c>
      <c r="K62" s="196">
        <v>-6228.26</v>
      </c>
      <c r="L62" s="196">
        <v>12455.86</v>
      </c>
      <c r="M62" s="196">
        <v>0</v>
      </c>
      <c r="N62" s="196">
        <v>-35543.29</v>
      </c>
    </row>
    <row r="63" spans="1:14">
      <c r="A63" s="195"/>
      <c r="B63" s="195" t="s">
        <v>76</v>
      </c>
      <c r="C63" s="195"/>
      <c r="D63" s="195"/>
      <c r="E63" s="195"/>
      <c r="F63" s="196">
        <v>16941414.699999999</v>
      </c>
      <c r="G63" s="196">
        <v>800.78</v>
      </c>
      <c r="H63" s="196">
        <v>-718638.7</v>
      </c>
      <c r="I63" s="196">
        <v>16223576.779999999</v>
      </c>
      <c r="J63" s="196">
        <v>0</v>
      </c>
      <c r="K63" s="196">
        <v>0</v>
      </c>
      <c r="L63" s="196">
        <v>0</v>
      </c>
      <c r="M63" s="196">
        <v>0</v>
      </c>
      <c r="N63" s="196">
        <v>0</v>
      </c>
    </row>
    <row r="64" spans="1:14">
      <c r="A64" s="195"/>
      <c r="B64" s="195" t="s">
        <v>77</v>
      </c>
      <c r="C64" s="195"/>
      <c r="D64" s="195"/>
      <c r="E64" s="195"/>
      <c r="F64" s="196">
        <v>0</v>
      </c>
      <c r="G64" s="196">
        <v>0</v>
      </c>
      <c r="H64" s="196">
        <v>0</v>
      </c>
      <c r="I64" s="196">
        <v>0</v>
      </c>
      <c r="J64" s="196">
        <v>0</v>
      </c>
      <c r="K64" s="196">
        <v>0</v>
      </c>
      <c r="L64" s="196">
        <v>0</v>
      </c>
      <c r="M64" s="196">
        <v>0</v>
      </c>
      <c r="N64" s="196">
        <v>0</v>
      </c>
    </row>
    <row r="65" spans="1:14">
      <c r="A65" s="195"/>
      <c r="B65" s="195" t="s">
        <v>79</v>
      </c>
      <c r="C65" s="195"/>
      <c r="D65" s="195"/>
      <c r="E65" s="195"/>
      <c r="F65" s="196">
        <v>0</v>
      </c>
      <c r="G65" s="196">
        <v>0</v>
      </c>
      <c r="H65" s="196">
        <v>0</v>
      </c>
      <c r="I65" s="196">
        <v>0</v>
      </c>
      <c r="J65" s="196">
        <v>0</v>
      </c>
      <c r="K65" s="196">
        <v>0</v>
      </c>
      <c r="L65" s="196">
        <v>0</v>
      </c>
      <c r="M65" s="196">
        <v>0</v>
      </c>
      <c r="N65" s="196">
        <v>0</v>
      </c>
    </row>
    <row r="66" spans="1:14">
      <c r="A66" s="195"/>
      <c r="B66" s="195"/>
      <c r="C66" s="195" t="s">
        <v>52</v>
      </c>
      <c r="D66" s="195"/>
      <c r="E66" s="195"/>
      <c r="F66" s="196">
        <v>16941414.699999999</v>
      </c>
      <c r="G66" s="196">
        <v>800.78</v>
      </c>
      <c r="H66" s="196">
        <v>-718638.7</v>
      </c>
      <c r="I66" s="196">
        <v>16223576.779999999</v>
      </c>
      <c r="J66" s="196">
        <v>0</v>
      </c>
      <c r="K66" s="196">
        <v>0</v>
      </c>
      <c r="L66" s="196">
        <v>0</v>
      </c>
      <c r="M66" s="196">
        <v>0</v>
      </c>
      <c r="N66" s="196">
        <v>0</v>
      </c>
    </row>
    <row r="67" spans="1:14">
      <c r="A67" s="195" t="s">
        <v>81</v>
      </c>
      <c r="B67" s="195"/>
      <c r="C67" s="195"/>
      <c r="D67" s="195"/>
      <c r="E67" s="195"/>
      <c r="F67" s="196">
        <v>415394757.00999999</v>
      </c>
      <c r="G67" s="196">
        <v>-2963528.04</v>
      </c>
      <c r="H67" s="196">
        <v>-16182649.560000001</v>
      </c>
      <c r="I67" s="196">
        <v>396248579.41000003</v>
      </c>
      <c r="J67" s="196">
        <v>139578435.62</v>
      </c>
      <c r="K67" s="196">
        <v>-1037515.09</v>
      </c>
      <c r="L67" s="196">
        <v>-5419763.6100000003</v>
      </c>
      <c r="M67" s="196">
        <v>0</v>
      </c>
      <c r="N67" s="196">
        <v>133121156.92</v>
      </c>
    </row>
    <row r="68" spans="1:14">
      <c r="A68" s="190" t="s">
        <v>82</v>
      </c>
      <c r="B68" s="190"/>
      <c r="C68" s="190"/>
      <c r="D68" s="190"/>
      <c r="E68" s="190"/>
      <c r="F68" s="192">
        <v>2515710245.9899998</v>
      </c>
      <c r="G68" s="192">
        <v>123161196.54000001</v>
      </c>
      <c r="H68" s="192">
        <v>-64501491.600000001</v>
      </c>
      <c r="I68" s="192">
        <v>2574369950.9299998</v>
      </c>
      <c r="J68" s="192">
        <v>851461373.37</v>
      </c>
      <c r="K68" s="192">
        <v>43074918.789999999</v>
      </c>
      <c r="L68" s="192">
        <v>-21384111.579999998</v>
      </c>
      <c r="M68" s="192">
        <v>0</v>
      </c>
      <c r="N68" s="192">
        <v>873152180.50999999</v>
      </c>
    </row>
    <row r="69" spans="1:14">
      <c r="A69" s="190" t="s">
        <v>277</v>
      </c>
      <c r="B69" s="190"/>
      <c r="C69" s="190"/>
      <c r="D69" s="190" t="s">
        <v>289</v>
      </c>
      <c r="E69" s="190"/>
      <c r="F69" s="190"/>
      <c r="G69" s="190"/>
      <c r="H69" s="190"/>
      <c r="I69" s="190"/>
      <c r="J69" s="190"/>
      <c r="K69" s="190"/>
      <c r="L69" s="190"/>
      <c r="M69" s="190"/>
      <c r="N69" s="190"/>
    </row>
    <row r="70" spans="1:14" ht="43.2">
      <c r="A70" s="190"/>
      <c r="B70" s="190"/>
      <c r="C70" s="190"/>
      <c r="D70" s="190"/>
      <c r="E70" s="190"/>
      <c r="F70" s="191" t="s">
        <v>278</v>
      </c>
      <c r="G70" s="190" t="s">
        <v>29</v>
      </c>
      <c r="H70" s="190" t="s">
        <v>47</v>
      </c>
      <c r="I70" s="191" t="s">
        <v>279</v>
      </c>
      <c r="J70" s="191" t="s">
        <v>280</v>
      </c>
      <c r="K70" s="191" t="s">
        <v>281</v>
      </c>
      <c r="L70" s="191" t="s">
        <v>282</v>
      </c>
      <c r="M70" s="191" t="s">
        <v>283</v>
      </c>
      <c r="N70" s="191" t="s">
        <v>284</v>
      </c>
    </row>
    <row r="71" spans="1:14">
      <c r="A71" s="190" t="s">
        <v>285</v>
      </c>
      <c r="B71" s="190"/>
      <c r="C71" s="190"/>
      <c r="D71" s="190">
        <v>2018</v>
      </c>
      <c r="E71" s="190"/>
      <c r="F71" s="190"/>
      <c r="G71" s="190"/>
      <c r="H71" s="190"/>
      <c r="I71" s="190"/>
      <c r="J71" s="190"/>
      <c r="K71" s="190"/>
      <c r="L71" s="190"/>
      <c r="M71" s="190"/>
      <c r="N71" s="190"/>
    </row>
    <row r="72" spans="1:14">
      <c r="A72" s="190"/>
      <c r="B72" s="190" t="s">
        <v>83</v>
      </c>
      <c r="C72" s="190"/>
      <c r="D72" s="190"/>
      <c r="E72" s="190"/>
      <c r="F72" s="192">
        <v>0</v>
      </c>
      <c r="G72" s="192">
        <v>0</v>
      </c>
      <c r="H72" s="192">
        <v>0</v>
      </c>
      <c r="I72" s="192">
        <v>0</v>
      </c>
      <c r="J72" s="192">
        <v>0</v>
      </c>
      <c r="K72" s="192">
        <v>0</v>
      </c>
      <c r="L72" s="192">
        <v>0</v>
      </c>
      <c r="M72" s="192">
        <v>0</v>
      </c>
      <c r="N72" s="192">
        <v>0</v>
      </c>
    </row>
    <row r="73" spans="1:14">
      <c r="A73" s="190"/>
      <c r="B73" s="190"/>
      <c r="C73" s="190" t="s">
        <v>52</v>
      </c>
      <c r="D73" s="190"/>
      <c r="E73" s="190"/>
      <c r="F73" s="192">
        <v>0</v>
      </c>
      <c r="G73" s="192">
        <v>0</v>
      </c>
      <c r="H73" s="192">
        <v>0</v>
      </c>
      <c r="I73" s="192">
        <v>0</v>
      </c>
      <c r="J73" s="192">
        <v>0</v>
      </c>
      <c r="K73" s="192">
        <v>0</v>
      </c>
      <c r="L73" s="192">
        <v>0</v>
      </c>
      <c r="M73" s="192">
        <v>0</v>
      </c>
      <c r="N73" s="192">
        <v>0</v>
      </c>
    </row>
    <row r="74" spans="1:14">
      <c r="A74" s="190"/>
      <c r="B74" s="190" t="s">
        <v>84</v>
      </c>
      <c r="C74" s="190"/>
      <c r="D74" s="190"/>
      <c r="E74" s="190"/>
      <c r="F74" s="192">
        <v>0</v>
      </c>
      <c r="G74" s="192">
        <v>0</v>
      </c>
      <c r="H74" s="192">
        <v>0</v>
      </c>
      <c r="I74" s="192">
        <v>0</v>
      </c>
      <c r="J74" s="192">
        <v>0</v>
      </c>
      <c r="K74" s="192">
        <v>0</v>
      </c>
      <c r="L74" s="192">
        <v>0</v>
      </c>
      <c r="M74" s="192">
        <v>0</v>
      </c>
      <c r="N74" s="192">
        <v>0</v>
      </c>
    </row>
    <row r="75" spans="1:14">
      <c r="A75" s="190"/>
      <c r="B75" s="190" t="s">
        <v>85</v>
      </c>
      <c r="C75" s="190"/>
      <c r="D75" s="190"/>
      <c r="E75" s="190"/>
      <c r="F75" s="192">
        <v>0</v>
      </c>
      <c r="G75" s="192">
        <v>0</v>
      </c>
      <c r="H75" s="192">
        <v>0</v>
      </c>
      <c r="I75" s="192">
        <v>0</v>
      </c>
      <c r="J75" s="192">
        <v>0</v>
      </c>
      <c r="K75" s="192">
        <v>0</v>
      </c>
      <c r="L75" s="192">
        <v>0</v>
      </c>
      <c r="M75" s="192">
        <v>0</v>
      </c>
      <c r="N75" s="192">
        <v>0</v>
      </c>
    </row>
    <row r="76" spans="1:14">
      <c r="A76" s="190"/>
      <c r="B76" s="190" t="s">
        <v>86</v>
      </c>
      <c r="C76" s="190"/>
      <c r="D76" s="190"/>
      <c r="E76" s="190"/>
      <c r="F76" s="192">
        <v>0</v>
      </c>
      <c r="G76" s="192">
        <v>0</v>
      </c>
      <c r="H76" s="192">
        <v>0</v>
      </c>
      <c r="I76" s="192">
        <v>0</v>
      </c>
      <c r="J76" s="192">
        <v>0</v>
      </c>
      <c r="K76" s="192">
        <v>0</v>
      </c>
      <c r="L76" s="192">
        <v>0</v>
      </c>
      <c r="M76" s="192">
        <v>0</v>
      </c>
      <c r="N76" s="192">
        <v>0</v>
      </c>
    </row>
    <row r="77" spans="1:14">
      <c r="A77" s="190"/>
      <c r="B77" s="190"/>
      <c r="C77" s="190" t="s">
        <v>52</v>
      </c>
      <c r="D77" s="190"/>
      <c r="E77" s="190"/>
      <c r="F77" s="192">
        <v>0</v>
      </c>
      <c r="G77" s="192">
        <v>0</v>
      </c>
      <c r="H77" s="192">
        <v>0</v>
      </c>
      <c r="I77" s="192">
        <v>0</v>
      </c>
      <c r="J77" s="192">
        <v>0</v>
      </c>
      <c r="K77" s="192">
        <v>0</v>
      </c>
      <c r="L77" s="192">
        <v>0</v>
      </c>
      <c r="M77" s="192">
        <v>0</v>
      </c>
      <c r="N77" s="192">
        <v>0</v>
      </c>
    </row>
    <row r="78" spans="1:14">
      <c r="A78" s="190"/>
      <c r="B78" s="190" t="s">
        <v>87</v>
      </c>
      <c r="C78" s="190"/>
      <c r="D78" s="190"/>
      <c r="E78" s="190"/>
      <c r="F78" s="192">
        <v>0</v>
      </c>
      <c r="G78" s="192">
        <v>0</v>
      </c>
      <c r="H78" s="192">
        <v>0</v>
      </c>
      <c r="I78" s="192">
        <v>0</v>
      </c>
      <c r="J78" s="192">
        <v>0</v>
      </c>
      <c r="K78" s="192">
        <v>0</v>
      </c>
      <c r="L78" s="192">
        <v>0</v>
      </c>
      <c r="M78" s="192">
        <v>0</v>
      </c>
      <c r="N78" s="192">
        <v>0</v>
      </c>
    </row>
    <row r="79" spans="1:14">
      <c r="A79" s="190"/>
      <c r="B79" s="190" t="s">
        <v>88</v>
      </c>
      <c r="C79" s="190"/>
      <c r="D79" s="190"/>
      <c r="E79" s="190"/>
      <c r="F79" s="192">
        <v>0</v>
      </c>
      <c r="G79" s="192">
        <v>0</v>
      </c>
      <c r="H79" s="192">
        <v>0</v>
      </c>
      <c r="I79" s="192">
        <v>0</v>
      </c>
      <c r="J79" s="192">
        <v>0</v>
      </c>
      <c r="K79" s="192">
        <v>0</v>
      </c>
      <c r="L79" s="192">
        <v>0</v>
      </c>
      <c r="M79" s="192">
        <v>0</v>
      </c>
      <c r="N79" s="192">
        <v>0</v>
      </c>
    </row>
    <row r="80" spans="1:14">
      <c r="A80" s="190"/>
      <c r="B80" s="190" t="s">
        <v>89</v>
      </c>
      <c r="C80" s="190"/>
      <c r="D80" s="190"/>
      <c r="E80" s="190"/>
      <c r="F80" s="192">
        <v>0</v>
      </c>
      <c r="G80" s="192">
        <v>0</v>
      </c>
      <c r="H80" s="192">
        <v>0</v>
      </c>
      <c r="I80" s="192">
        <v>0</v>
      </c>
      <c r="J80" s="192">
        <v>0</v>
      </c>
      <c r="K80" s="192">
        <v>0</v>
      </c>
      <c r="L80" s="192">
        <v>0</v>
      </c>
      <c r="M80" s="192">
        <v>0</v>
      </c>
      <c r="N80" s="192">
        <v>0</v>
      </c>
    </row>
    <row r="81" spans="1:14">
      <c r="A81" s="190"/>
      <c r="B81" s="190" t="s">
        <v>90</v>
      </c>
      <c r="C81" s="190"/>
      <c r="D81" s="190"/>
      <c r="E81" s="190"/>
      <c r="F81" s="192">
        <v>0</v>
      </c>
      <c r="G81" s="192">
        <v>0</v>
      </c>
      <c r="H81" s="192">
        <v>0</v>
      </c>
      <c r="I81" s="192">
        <v>0</v>
      </c>
      <c r="J81" s="192">
        <v>0</v>
      </c>
      <c r="K81" s="192">
        <v>0</v>
      </c>
      <c r="L81" s="192">
        <v>0</v>
      </c>
      <c r="M81" s="192">
        <v>0</v>
      </c>
      <c r="N81" s="192">
        <v>0</v>
      </c>
    </row>
    <row r="82" spans="1:14">
      <c r="A82" s="190"/>
      <c r="B82" s="190"/>
      <c r="C82" s="190" t="s">
        <v>52</v>
      </c>
      <c r="D82" s="190"/>
      <c r="E82" s="190"/>
      <c r="F82" s="192">
        <v>0</v>
      </c>
      <c r="G82" s="192">
        <v>0</v>
      </c>
      <c r="H82" s="192">
        <v>0</v>
      </c>
      <c r="I82" s="192">
        <v>0</v>
      </c>
      <c r="J82" s="192">
        <v>0</v>
      </c>
      <c r="K82" s="192">
        <v>0</v>
      </c>
      <c r="L82" s="192">
        <v>0</v>
      </c>
      <c r="M82" s="192">
        <v>0</v>
      </c>
      <c r="N82" s="192">
        <v>0</v>
      </c>
    </row>
    <row r="83" spans="1:14">
      <c r="A83" s="190"/>
      <c r="B83" s="190" t="s">
        <v>91</v>
      </c>
      <c r="C83" s="190"/>
      <c r="D83" s="190"/>
      <c r="E83" s="190"/>
      <c r="F83" s="192">
        <v>0</v>
      </c>
      <c r="G83" s="192">
        <v>0</v>
      </c>
      <c r="H83" s="192">
        <v>0</v>
      </c>
      <c r="I83" s="192">
        <v>0</v>
      </c>
      <c r="J83" s="192">
        <v>0</v>
      </c>
      <c r="K83" s="192">
        <v>0</v>
      </c>
      <c r="L83" s="192">
        <v>0</v>
      </c>
      <c r="M83" s="192">
        <v>0</v>
      </c>
      <c r="N83" s="192">
        <v>0</v>
      </c>
    </row>
    <row r="84" spans="1:14">
      <c r="A84" s="190"/>
      <c r="B84" s="190"/>
      <c r="C84" s="190" t="s">
        <v>52</v>
      </c>
      <c r="D84" s="190"/>
      <c r="E84" s="190"/>
      <c r="F84" s="192">
        <v>0</v>
      </c>
      <c r="G84" s="192">
        <v>0</v>
      </c>
      <c r="H84" s="192">
        <v>0</v>
      </c>
      <c r="I84" s="192">
        <v>0</v>
      </c>
      <c r="J84" s="192">
        <v>0</v>
      </c>
      <c r="K84" s="192">
        <v>0</v>
      </c>
      <c r="L84" s="192">
        <v>0</v>
      </c>
      <c r="M84" s="192">
        <v>0</v>
      </c>
      <c r="N84" s="192">
        <v>0</v>
      </c>
    </row>
    <row r="85" spans="1:14">
      <c r="A85" s="190" t="s">
        <v>80</v>
      </c>
      <c r="B85" s="190"/>
      <c r="C85" s="190"/>
      <c r="D85" s="190"/>
      <c r="E85" s="190"/>
      <c r="F85" s="192">
        <v>0</v>
      </c>
      <c r="G85" s="192">
        <v>0</v>
      </c>
      <c r="H85" s="192">
        <v>0</v>
      </c>
      <c r="I85" s="192">
        <v>0</v>
      </c>
      <c r="J85" s="192">
        <v>0</v>
      </c>
      <c r="K85" s="192">
        <v>0</v>
      </c>
      <c r="L85" s="192">
        <v>0</v>
      </c>
      <c r="M85" s="192">
        <v>0</v>
      </c>
      <c r="N85" s="192">
        <v>0</v>
      </c>
    </row>
    <row r="86" spans="1:14">
      <c r="A86" s="190" t="s">
        <v>82</v>
      </c>
      <c r="B86" s="190"/>
      <c r="C86" s="190"/>
      <c r="D86" s="190"/>
      <c r="E86" s="190"/>
      <c r="F86" s="192">
        <v>0</v>
      </c>
      <c r="G86" s="192">
        <v>0</v>
      </c>
      <c r="H86" s="192">
        <v>0</v>
      </c>
      <c r="I86" s="192">
        <v>0</v>
      </c>
      <c r="J86" s="192">
        <v>0</v>
      </c>
      <c r="K86" s="192">
        <v>0</v>
      </c>
      <c r="L86" s="192">
        <v>0</v>
      </c>
      <c r="M86" s="192">
        <v>0</v>
      </c>
      <c r="N86" s="192">
        <v>0</v>
      </c>
    </row>
    <row r="87" spans="1:14">
      <c r="A87" s="190" t="s">
        <v>277</v>
      </c>
      <c r="B87" s="190"/>
      <c r="C87" s="190"/>
      <c r="D87" s="190" t="s">
        <v>290</v>
      </c>
      <c r="E87" s="190"/>
      <c r="F87" s="190"/>
      <c r="G87" s="190"/>
      <c r="H87" s="190"/>
      <c r="I87" s="190"/>
      <c r="J87" s="190"/>
      <c r="K87" s="190"/>
      <c r="L87" s="190"/>
      <c r="M87" s="190"/>
      <c r="N87" s="190"/>
    </row>
    <row r="88" spans="1:14" ht="43.2">
      <c r="A88" s="190"/>
      <c r="B88" s="190"/>
      <c r="C88" s="190"/>
      <c r="D88" s="190"/>
      <c r="E88" s="190"/>
      <c r="F88" s="191" t="s">
        <v>278</v>
      </c>
      <c r="G88" s="190" t="s">
        <v>29</v>
      </c>
      <c r="H88" s="190" t="s">
        <v>47</v>
      </c>
      <c r="I88" s="191" t="s">
        <v>279</v>
      </c>
      <c r="J88" s="191" t="s">
        <v>280</v>
      </c>
      <c r="K88" s="191" t="s">
        <v>281</v>
      </c>
      <c r="L88" s="191" t="s">
        <v>282</v>
      </c>
      <c r="M88" s="191" t="s">
        <v>283</v>
      </c>
      <c r="N88" s="191" t="s">
        <v>284</v>
      </c>
    </row>
    <row r="89" spans="1:14">
      <c r="A89" s="190" t="s">
        <v>285</v>
      </c>
      <c r="B89" s="190"/>
      <c r="C89" s="190"/>
      <c r="D89" s="190">
        <v>2018</v>
      </c>
      <c r="E89" s="190"/>
      <c r="F89" s="190"/>
      <c r="G89" s="190"/>
      <c r="H89" s="190"/>
      <c r="I89" s="190"/>
      <c r="J89" s="190"/>
      <c r="K89" s="190"/>
      <c r="L89" s="190"/>
      <c r="M89" s="190"/>
      <c r="N89" s="190"/>
    </row>
    <row r="90" spans="1:14">
      <c r="A90" s="193"/>
      <c r="B90" s="193" t="s">
        <v>92</v>
      </c>
      <c r="C90" s="193"/>
      <c r="D90" s="193"/>
      <c r="E90" s="193"/>
      <c r="F90" s="194">
        <v>-251870820.52000001</v>
      </c>
      <c r="G90" s="194">
        <v>-19524186.489999998</v>
      </c>
      <c r="H90" s="194">
        <v>-2028248.66</v>
      </c>
      <c r="I90" s="194">
        <v>-273423255.67000002</v>
      </c>
      <c r="J90" s="194">
        <v>4859372.21</v>
      </c>
      <c r="K90" s="194">
        <v>375840.59</v>
      </c>
      <c r="L90" s="194">
        <v>39045.980000000003</v>
      </c>
      <c r="M90" s="194">
        <v>0</v>
      </c>
      <c r="N90" s="194">
        <v>5274258.78</v>
      </c>
    </row>
    <row r="91" spans="1:14">
      <c r="A91" s="193"/>
      <c r="B91" s="193" t="s">
        <v>93</v>
      </c>
      <c r="C91" s="193"/>
      <c r="D91" s="193"/>
      <c r="E91" s="193"/>
      <c r="F91" s="194">
        <v>1678490.5</v>
      </c>
      <c r="G91" s="194">
        <v>121739.74</v>
      </c>
      <c r="H91" s="194">
        <v>-78691.929999999993</v>
      </c>
      <c r="I91" s="194">
        <v>1721538.31</v>
      </c>
      <c r="J91" s="194">
        <v>-36202.89</v>
      </c>
      <c r="K91" s="194">
        <v>-2343.4899999999998</v>
      </c>
      <c r="L91" s="194">
        <v>1865.5</v>
      </c>
      <c r="M91" s="194">
        <v>0</v>
      </c>
      <c r="N91" s="194">
        <v>-36680.879999999997</v>
      </c>
    </row>
    <row r="92" spans="1:14">
      <c r="A92" s="193"/>
      <c r="B92" s="193" t="s">
        <v>94</v>
      </c>
      <c r="C92" s="193"/>
      <c r="D92" s="193"/>
      <c r="E92" s="193"/>
      <c r="F92" s="194">
        <v>11702178.74</v>
      </c>
      <c r="G92" s="194">
        <v>57309.09</v>
      </c>
      <c r="H92" s="194">
        <v>-859049.5</v>
      </c>
      <c r="I92" s="194">
        <v>10900438.33</v>
      </c>
      <c r="J92" s="194">
        <v>-222494.61</v>
      </c>
      <c r="K92" s="194">
        <v>-1103.2</v>
      </c>
      <c r="L92" s="194">
        <v>17080.43</v>
      </c>
      <c r="M92" s="194">
        <v>0</v>
      </c>
      <c r="N92" s="194">
        <v>-206517.38</v>
      </c>
    </row>
    <row r="93" spans="1:14">
      <c r="A93" s="193"/>
      <c r="B93" s="193" t="s">
        <v>95</v>
      </c>
      <c r="C93" s="193"/>
      <c r="D93" s="193"/>
      <c r="E93" s="193"/>
      <c r="F93" s="194">
        <v>1733343507.73</v>
      </c>
      <c r="G93" s="194">
        <v>73194785.969999999</v>
      </c>
      <c r="H93" s="194">
        <v>-36435728.020000003</v>
      </c>
      <c r="I93" s="194">
        <v>1770102565.6800001</v>
      </c>
      <c r="J93" s="194">
        <v>-33385931.460000001</v>
      </c>
      <c r="K93" s="194">
        <v>-1408999.63</v>
      </c>
      <c r="L93" s="194">
        <v>703250.83</v>
      </c>
      <c r="M93" s="194">
        <v>0</v>
      </c>
      <c r="N93" s="194">
        <v>-34091680.259999998</v>
      </c>
    </row>
    <row r="94" spans="1:14">
      <c r="A94" s="193"/>
      <c r="B94" s="193"/>
      <c r="C94" s="193" t="s">
        <v>52</v>
      </c>
      <c r="D94" s="193"/>
      <c r="E94" s="193"/>
      <c r="F94" s="194">
        <v>1494853356.45</v>
      </c>
      <c r="G94" s="194">
        <v>53849648.310000002</v>
      </c>
      <c r="H94" s="194">
        <v>-39401718.109999999</v>
      </c>
      <c r="I94" s="194">
        <v>1509301286.6500001</v>
      </c>
      <c r="J94" s="194">
        <v>-28785256.75</v>
      </c>
      <c r="K94" s="194">
        <v>-1036605.73</v>
      </c>
      <c r="L94" s="194">
        <v>761242.74</v>
      </c>
      <c r="M94" s="194">
        <v>0</v>
      </c>
      <c r="N94" s="194">
        <v>-29060619.739999998</v>
      </c>
    </row>
    <row r="95" spans="1:14">
      <c r="A95" s="193"/>
      <c r="B95" s="193" t="s">
        <v>96</v>
      </c>
      <c r="C95" s="193"/>
      <c r="D95" s="193"/>
      <c r="E95" s="193"/>
      <c r="F95" s="194">
        <v>0</v>
      </c>
      <c r="G95" s="194">
        <v>0</v>
      </c>
      <c r="H95" s="194">
        <v>0</v>
      </c>
      <c r="I95" s="194">
        <v>0</v>
      </c>
      <c r="J95" s="194">
        <v>0.01</v>
      </c>
      <c r="K95" s="194">
        <v>0</v>
      </c>
      <c r="L95" s="194">
        <v>0</v>
      </c>
      <c r="M95" s="194">
        <v>0</v>
      </c>
      <c r="N95" s="194">
        <v>0</v>
      </c>
    </row>
    <row r="96" spans="1:14">
      <c r="A96" s="193"/>
      <c r="B96" s="193" t="s">
        <v>275</v>
      </c>
      <c r="C96" s="193"/>
      <c r="D96" s="193"/>
      <c r="E96" s="193"/>
      <c r="F96" s="194">
        <v>824992.22</v>
      </c>
      <c r="G96" s="194">
        <v>0</v>
      </c>
      <c r="H96" s="194">
        <v>0</v>
      </c>
      <c r="I96" s="194">
        <v>824992.22</v>
      </c>
      <c r="J96" s="194">
        <v>-15881.11</v>
      </c>
      <c r="K96" s="194">
        <v>0</v>
      </c>
      <c r="L96" s="194">
        <v>0</v>
      </c>
      <c r="M96" s="194">
        <v>0</v>
      </c>
      <c r="N96" s="194">
        <v>-15881.11</v>
      </c>
    </row>
    <row r="97" spans="1:14">
      <c r="A97" s="193"/>
      <c r="B97" s="193" t="s">
        <v>97</v>
      </c>
      <c r="C97" s="193"/>
      <c r="D97" s="193"/>
      <c r="E97" s="193"/>
      <c r="F97" s="194">
        <v>0</v>
      </c>
      <c r="G97" s="194">
        <v>0</v>
      </c>
      <c r="H97" s="194">
        <v>0</v>
      </c>
      <c r="I97" s="194">
        <v>0</v>
      </c>
      <c r="J97" s="194">
        <v>0</v>
      </c>
      <c r="K97" s="194">
        <v>0</v>
      </c>
      <c r="L97" s="194">
        <v>0</v>
      </c>
      <c r="M97" s="194">
        <v>0</v>
      </c>
      <c r="N97" s="194">
        <v>0</v>
      </c>
    </row>
    <row r="98" spans="1:14">
      <c r="A98" s="193"/>
      <c r="B98" s="193" t="s">
        <v>98</v>
      </c>
      <c r="C98" s="193"/>
      <c r="D98" s="193"/>
      <c r="E98" s="193"/>
      <c r="F98" s="194">
        <v>0</v>
      </c>
      <c r="G98" s="194">
        <v>0</v>
      </c>
      <c r="H98" s="194">
        <v>0</v>
      </c>
      <c r="I98" s="194">
        <v>0</v>
      </c>
      <c r="J98" s="194">
        <v>0</v>
      </c>
      <c r="K98" s="194">
        <v>0</v>
      </c>
      <c r="L98" s="194">
        <v>0</v>
      </c>
      <c r="M98" s="194">
        <v>0</v>
      </c>
      <c r="N98" s="194">
        <v>0</v>
      </c>
    </row>
    <row r="99" spans="1:14">
      <c r="A99" s="193"/>
      <c r="B99" s="193" t="s">
        <v>99</v>
      </c>
      <c r="C99" s="193"/>
      <c r="D99" s="193"/>
      <c r="E99" s="193"/>
      <c r="F99" s="194">
        <v>-1304353.06</v>
      </c>
      <c r="G99" s="194">
        <v>0</v>
      </c>
      <c r="H99" s="194">
        <v>0</v>
      </c>
      <c r="I99" s="194">
        <v>-1304353.06</v>
      </c>
      <c r="J99" s="194">
        <v>25118.7</v>
      </c>
      <c r="K99" s="194">
        <v>0</v>
      </c>
      <c r="L99" s="194">
        <v>0</v>
      </c>
      <c r="M99" s="194">
        <v>0</v>
      </c>
      <c r="N99" s="194">
        <v>25118.7</v>
      </c>
    </row>
    <row r="100" spans="1:14">
      <c r="A100" s="193"/>
      <c r="B100" s="193" t="s">
        <v>100</v>
      </c>
      <c r="C100" s="193"/>
      <c r="D100" s="193"/>
      <c r="E100" s="193"/>
      <c r="F100" s="194">
        <v>-11435389.18</v>
      </c>
      <c r="G100" s="194">
        <v>0</v>
      </c>
      <c r="H100" s="194">
        <v>154444.75</v>
      </c>
      <c r="I100" s="194">
        <v>-11280944.43</v>
      </c>
      <c r="J100" s="194">
        <v>210344.57</v>
      </c>
      <c r="K100" s="194">
        <v>0</v>
      </c>
      <c r="L100" s="194">
        <v>-1880.15</v>
      </c>
      <c r="M100" s="194">
        <v>0</v>
      </c>
      <c r="N100" s="194">
        <v>208464.43</v>
      </c>
    </row>
    <row r="101" spans="1:14">
      <c r="A101" s="193"/>
      <c r="B101" s="193" t="s">
        <v>101</v>
      </c>
      <c r="C101" s="193"/>
      <c r="D101" s="193"/>
      <c r="E101" s="193"/>
      <c r="F101" s="194">
        <v>29726741.239999998</v>
      </c>
      <c r="G101" s="194">
        <v>39561.96</v>
      </c>
      <c r="H101" s="194">
        <v>-1490645.26</v>
      </c>
      <c r="I101" s="194">
        <v>28275657.940000001</v>
      </c>
      <c r="J101" s="194">
        <v>-569973.01</v>
      </c>
      <c r="K101" s="194">
        <v>-761.55</v>
      </c>
      <c r="L101" s="194">
        <v>28832.65</v>
      </c>
      <c r="M101" s="194">
        <v>0</v>
      </c>
      <c r="N101" s="194">
        <v>-541901.93000000005</v>
      </c>
    </row>
    <row r="102" spans="1:14">
      <c r="A102" s="193"/>
      <c r="B102" s="193" t="s">
        <v>102</v>
      </c>
      <c r="C102" s="193"/>
      <c r="D102" s="193"/>
      <c r="E102" s="193"/>
      <c r="F102" s="194">
        <v>6686107.9900000002</v>
      </c>
      <c r="G102" s="194">
        <v>0</v>
      </c>
      <c r="H102" s="194">
        <v>-271514.78000000003</v>
      </c>
      <c r="I102" s="194">
        <v>6414593.21</v>
      </c>
      <c r="J102" s="194">
        <v>-144177.81</v>
      </c>
      <c r="K102" s="194">
        <v>0</v>
      </c>
      <c r="L102" s="194">
        <v>6943.42</v>
      </c>
      <c r="M102" s="194">
        <v>0</v>
      </c>
      <c r="N102" s="194">
        <v>-137234.39000000001</v>
      </c>
    </row>
    <row r="103" spans="1:14">
      <c r="A103" s="193"/>
      <c r="B103" s="193" t="s">
        <v>103</v>
      </c>
      <c r="C103" s="193"/>
      <c r="D103" s="193"/>
      <c r="E103" s="193"/>
      <c r="F103" s="194">
        <v>8759452.0899999999</v>
      </c>
      <c r="G103" s="194">
        <v>0</v>
      </c>
      <c r="H103" s="194">
        <v>-448384.18</v>
      </c>
      <c r="I103" s="194">
        <v>8311067.9100000001</v>
      </c>
      <c r="J103" s="194">
        <v>-167340.17000000001</v>
      </c>
      <c r="K103" s="194">
        <v>0</v>
      </c>
      <c r="L103" s="194">
        <v>8548.1299999999992</v>
      </c>
      <c r="M103" s="194">
        <v>0</v>
      </c>
      <c r="N103" s="194">
        <v>-158792.04</v>
      </c>
    </row>
    <row r="104" spans="1:14">
      <c r="A104" s="193"/>
      <c r="B104" s="193" t="s">
        <v>104</v>
      </c>
      <c r="C104" s="193"/>
      <c r="D104" s="193"/>
      <c r="E104" s="193"/>
      <c r="F104" s="194">
        <v>314789539.68000001</v>
      </c>
      <c r="G104" s="194">
        <v>60000000</v>
      </c>
      <c r="H104" s="194">
        <v>-12410890.91</v>
      </c>
      <c r="I104" s="194">
        <v>362378648.76999998</v>
      </c>
      <c r="J104" s="194">
        <v>-6059646.2000000002</v>
      </c>
      <c r="K104" s="194">
        <v>-1155000</v>
      </c>
      <c r="L104" s="194">
        <v>238906.03</v>
      </c>
      <c r="M104" s="194">
        <v>0</v>
      </c>
      <c r="N104" s="194">
        <v>-6975740.1699999999</v>
      </c>
    </row>
    <row r="105" spans="1:14">
      <c r="A105" s="193"/>
      <c r="B105" s="193" t="s">
        <v>233</v>
      </c>
      <c r="C105" s="193"/>
      <c r="D105" s="193"/>
      <c r="E105" s="193"/>
      <c r="F105" s="194">
        <v>77129.17</v>
      </c>
      <c r="G105" s="194">
        <v>0</v>
      </c>
      <c r="H105" s="194">
        <v>-7956.52</v>
      </c>
      <c r="I105" s="194">
        <v>69172.649999999994</v>
      </c>
      <c r="J105" s="194">
        <v>-1301.25</v>
      </c>
      <c r="K105" s="194">
        <v>0</v>
      </c>
      <c r="L105" s="194">
        <v>131.65</v>
      </c>
      <c r="M105" s="194">
        <v>0</v>
      </c>
      <c r="N105" s="194">
        <v>-1169.5999999999999</v>
      </c>
    </row>
    <row r="106" spans="1:14">
      <c r="A106" s="193"/>
      <c r="B106" s="193" t="s">
        <v>291</v>
      </c>
      <c r="C106" s="193"/>
      <c r="D106" s="193"/>
      <c r="E106" s="193"/>
      <c r="F106" s="194">
        <v>-32412086.890000001</v>
      </c>
      <c r="G106" s="194">
        <v>0</v>
      </c>
      <c r="H106" s="194">
        <v>970280.11</v>
      </c>
      <c r="I106" s="194">
        <v>-31441806.780000001</v>
      </c>
      <c r="J106" s="194">
        <v>623932.67000000004</v>
      </c>
      <c r="K106" s="194">
        <v>0</v>
      </c>
      <c r="L106" s="194">
        <v>-18677.89</v>
      </c>
      <c r="M106" s="194">
        <v>0</v>
      </c>
      <c r="N106" s="194">
        <v>605254.78</v>
      </c>
    </row>
    <row r="107" spans="1:14">
      <c r="A107" s="193"/>
      <c r="B107" s="200" t="s">
        <v>307</v>
      </c>
      <c r="C107" s="193" t="s">
        <v>52</v>
      </c>
      <c r="D107" s="193"/>
      <c r="E107" s="193"/>
      <c r="F107" s="194">
        <v>315712133.25999999</v>
      </c>
      <c r="G107" s="194">
        <v>60039561.960000001</v>
      </c>
      <c r="H107" s="194">
        <v>-13504666.789999999</v>
      </c>
      <c r="I107" s="194">
        <v>362247028.43000001</v>
      </c>
      <c r="J107" s="194">
        <v>-6098923.5999999996</v>
      </c>
      <c r="K107" s="194">
        <v>-1155761.55</v>
      </c>
      <c r="L107" s="194">
        <v>262803.84000000003</v>
      </c>
      <c r="M107" s="194">
        <v>0</v>
      </c>
      <c r="N107" s="194">
        <v>-6991881.3300000001</v>
      </c>
    </row>
    <row r="108" spans="1:14">
      <c r="A108" s="193"/>
      <c r="B108" s="193" t="s">
        <v>105</v>
      </c>
      <c r="C108" s="193"/>
      <c r="D108" s="193"/>
      <c r="E108" s="193"/>
      <c r="F108" s="194">
        <v>-653737.1</v>
      </c>
      <c r="G108" s="194">
        <v>0</v>
      </c>
      <c r="H108" s="194">
        <v>673047.5</v>
      </c>
      <c r="I108" s="194">
        <v>19310.400000000001</v>
      </c>
      <c r="J108" s="194">
        <v>11990.93</v>
      </c>
      <c r="K108" s="194">
        <v>0</v>
      </c>
      <c r="L108" s="194">
        <v>-12954.12</v>
      </c>
      <c r="M108" s="194">
        <v>0</v>
      </c>
      <c r="N108" s="194">
        <v>-963.19</v>
      </c>
    </row>
    <row r="109" spans="1:14">
      <c r="A109" s="193"/>
      <c r="B109" s="193" t="s">
        <v>106</v>
      </c>
      <c r="C109" s="193"/>
      <c r="D109" s="193"/>
      <c r="E109" s="193"/>
      <c r="F109" s="194">
        <v>-53335076.640000001</v>
      </c>
      <c r="G109" s="194">
        <v>-1982204.97</v>
      </c>
      <c r="H109" s="194">
        <v>6425159.0899999999</v>
      </c>
      <c r="I109" s="194">
        <v>-48892122.520000003</v>
      </c>
      <c r="J109" s="194">
        <v>1013956.69</v>
      </c>
      <c r="K109" s="194">
        <v>38157.43</v>
      </c>
      <c r="L109" s="194">
        <v>-122692.79</v>
      </c>
      <c r="M109" s="194">
        <v>0</v>
      </c>
      <c r="N109" s="194">
        <v>929421.37</v>
      </c>
    </row>
    <row r="110" spans="1:14">
      <c r="A110" s="193"/>
      <c r="B110" s="193" t="s">
        <v>107</v>
      </c>
      <c r="C110" s="193"/>
      <c r="D110" s="193"/>
      <c r="E110" s="193"/>
      <c r="F110" s="194">
        <v>-311313.43</v>
      </c>
      <c r="G110" s="194">
        <v>0</v>
      </c>
      <c r="H110" s="194">
        <v>49875.27</v>
      </c>
      <c r="I110" s="194">
        <v>-261438.16</v>
      </c>
      <c r="J110" s="194">
        <v>6024.81</v>
      </c>
      <c r="K110" s="194">
        <v>0</v>
      </c>
      <c r="L110" s="194">
        <v>-961.85</v>
      </c>
      <c r="M110" s="194">
        <v>0</v>
      </c>
      <c r="N110" s="194">
        <v>5062.96</v>
      </c>
    </row>
    <row r="111" spans="1:14">
      <c r="A111" s="193"/>
      <c r="B111" s="193" t="s">
        <v>108</v>
      </c>
      <c r="C111" s="193"/>
      <c r="D111" s="193"/>
      <c r="E111" s="193"/>
      <c r="F111" s="194">
        <v>-36754662.960000001</v>
      </c>
      <c r="G111" s="194">
        <v>-4000000</v>
      </c>
      <c r="H111" s="194">
        <v>4239263.08</v>
      </c>
      <c r="I111" s="194">
        <v>-36515399.880000003</v>
      </c>
      <c r="J111" s="194">
        <v>707527.23</v>
      </c>
      <c r="K111" s="194">
        <v>77000</v>
      </c>
      <c r="L111" s="194">
        <v>-81605.820000000007</v>
      </c>
      <c r="M111" s="194">
        <v>0</v>
      </c>
      <c r="N111" s="194">
        <v>702921.41</v>
      </c>
    </row>
    <row r="112" spans="1:14">
      <c r="A112" s="193"/>
      <c r="B112" s="193" t="s">
        <v>109</v>
      </c>
      <c r="C112" s="193"/>
      <c r="D112" s="193"/>
      <c r="E112" s="193"/>
      <c r="F112" s="194">
        <v>-5683222.3399999999</v>
      </c>
      <c r="G112" s="194">
        <v>0</v>
      </c>
      <c r="H112" s="194">
        <v>398241.8</v>
      </c>
      <c r="I112" s="194">
        <v>-5284980.54</v>
      </c>
      <c r="J112" s="194">
        <v>109401.99</v>
      </c>
      <c r="K112" s="194">
        <v>0</v>
      </c>
      <c r="L112" s="194">
        <v>-7666.15</v>
      </c>
      <c r="M112" s="194">
        <v>0</v>
      </c>
      <c r="N112" s="194">
        <v>101735.84</v>
      </c>
    </row>
    <row r="113" spans="1:14">
      <c r="A113" s="193"/>
      <c r="B113" s="193" t="s">
        <v>110</v>
      </c>
      <c r="C113" s="193"/>
      <c r="D113" s="193"/>
      <c r="E113" s="193"/>
      <c r="F113" s="194">
        <v>-6418446.2999999998</v>
      </c>
      <c r="G113" s="194">
        <v>0</v>
      </c>
      <c r="H113" s="194">
        <v>3548254.95</v>
      </c>
      <c r="I113" s="194">
        <v>-2870191.35</v>
      </c>
      <c r="J113" s="194">
        <v>123555.1</v>
      </c>
      <c r="K113" s="194">
        <v>0</v>
      </c>
      <c r="L113" s="194">
        <v>-68303.91</v>
      </c>
      <c r="M113" s="194">
        <v>0</v>
      </c>
      <c r="N113" s="194">
        <v>55251.19</v>
      </c>
    </row>
    <row r="114" spans="1:14">
      <c r="A114" s="193"/>
      <c r="B114" s="193" t="s">
        <v>111</v>
      </c>
      <c r="C114" s="193"/>
      <c r="D114" s="193"/>
      <c r="E114" s="193"/>
      <c r="F114" s="194">
        <v>-367007155.97000003</v>
      </c>
      <c r="G114" s="194">
        <v>-53425905</v>
      </c>
      <c r="H114" s="194">
        <v>125421606.91</v>
      </c>
      <c r="I114" s="194">
        <v>-295011454.06</v>
      </c>
      <c r="J114" s="194">
        <v>7064887.7699999996</v>
      </c>
      <c r="K114" s="194">
        <v>1028448.67</v>
      </c>
      <c r="L114" s="194">
        <v>-2414365.94</v>
      </c>
      <c r="M114" s="194">
        <v>0</v>
      </c>
      <c r="N114" s="194">
        <v>5678970.5</v>
      </c>
    </row>
    <row r="115" spans="1:14">
      <c r="A115" s="193"/>
      <c r="B115" s="193" t="s">
        <v>112</v>
      </c>
      <c r="C115" s="193"/>
      <c r="D115" s="193"/>
      <c r="E115" s="193"/>
      <c r="F115" s="194">
        <v>0</v>
      </c>
      <c r="G115" s="194">
        <v>0</v>
      </c>
      <c r="H115" s="194">
        <v>0</v>
      </c>
      <c r="I115" s="194">
        <v>0</v>
      </c>
      <c r="J115" s="194">
        <v>0</v>
      </c>
      <c r="K115" s="194">
        <v>0</v>
      </c>
      <c r="L115" s="194">
        <v>0</v>
      </c>
      <c r="M115" s="194">
        <v>0</v>
      </c>
      <c r="N115" s="194">
        <v>0</v>
      </c>
    </row>
    <row r="116" spans="1:14">
      <c r="A116" s="193"/>
      <c r="B116" s="193" t="s">
        <v>113</v>
      </c>
      <c r="C116" s="193"/>
      <c r="D116" s="193"/>
      <c r="E116" s="193"/>
      <c r="F116" s="194">
        <v>62709845.299999997</v>
      </c>
      <c r="G116" s="194">
        <v>0</v>
      </c>
      <c r="H116" s="194">
        <v>-6612372.6799999997</v>
      </c>
      <c r="I116" s="194">
        <v>56097472.619999997</v>
      </c>
      <c r="J116" s="194">
        <v>-1207164.55</v>
      </c>
      <c r="K116" s="194">
        <v>0</v>
      </c>
      <c r="L116" s="194">
        <v>127288.19</v>
      </c>
      <c r="M116" s="194">
        <v>0</v>
      </c>
      <c r="N116" s="194">
        <v>-1079876.3600000001</v>
      </c>
    </row>
    <row r="117" spans="1:14">
      <c r="A117" s="193"/>
      <c r="B117" s="193" t="s">
        <v>114</v>
      </c>
      <c r="C117" s="193"/>
      <c r="D117" s="193"/>
      <c r="E117" s="193"/>
      <c r="F117" s="194">
        <v>-7188707.0700000003</v>
      </c>
      <c r="G117" s="194">
        <v>0</v>
      </c>
      <c r="H117" s="194">
        <v>823683.48</v>
      </c>
      <c r="I117" s="194">
        <v>-6365023.5899999999</v>
      </c>
      <c r="J117" s="194">
        <v>138382.6</v>
      </c>
      <c r="K117" s="194">
        <v>0</v>
      </c>
      <c r="L117" s="194">
        <v>-15855.9</v>
      </c>
      <c r="M117" s="194">
        <v>0</v>
      </c>
      <c r="N117" s="194">
        <v>122526.7</v>
      </c>
    </row>
    <row r="118" spans="1:14">
      <c r="A118" s="193"/>
      <c r="B118" s="193" t="s">
        <v>115</v>
      </c>
      <c r="C118" s="193"/>
      <c r="D118" s="193"/>
      <c r="E118" s="193"/>
      <c r="F118" s="194">
        <v>82061.78</v>
      </c>
      <c r="G118" s="194">
        <v>0</v>
      </c>
      <c r="H118" s="194">
        <v>-8390.2099999999991</v>
      </c>
      <c r="I118" s="194">
        <v>73671.570000000007</v>
      </c>
      <c r="J118" s="194">
        <v>-1579.67</v>
      </c>
      <c r="K118" s="194">
        <v>0</v>
      </c>
      <c r="L118" s="194">
        <v>161.52000000000001</v>
      </c>
      <c r="M118" s="194">
        <v>0</v>
      </c>
      <c r="N118" s="194">
        <v>-1418.15</v>
      </c>
    </row>
    <row r="119" spans="1:14">
      <c r="A119" s="193"/>
      <c r="B119" s="193" t="s">
        <v>234</v>
      </c>
      <c r="C119" s="193"/>
      <c r="D119" s="193"/>
      <c r="E119" s="193"/>
      <c r="F119" s="194">
        <v>-6755.03</v>
      </c>
      <c r="G119" s="194">
        <v>0</v>
      </c>
      <c r="H119" s="194">
        <v>1929.98</v>
      </c>
      <c r="I119" s="194">
        <v>-4825.05</v>
      </c>
      <c r="J119" s="194">
        <v>130.03</v>
      </c>
      <c r="K119" s="194">
        <v>0</v>
      </c>
      <c r="L119" s="194">
        <v>-37.15</v>
      </c>
      <c r="M119" s="194">
        <v>0</v>
      </c>
      <c r="N119" s="194">
        <v>92.88</v>
      </c>
    </row>
    <row r="120" spans="1:14">
      <c r="A120" s="193"/>
      <c r="B120" s="193" t="s">
        <v>235</v>
      </c>
      <c r="C120" s="193"/>
      <c r="D120" s="193"/>
      <c r="E120" s="193"/>
      <c r="F120" s="194">
        <v>199725.88</v>
      </c>
      <c r="G120" s="194">
        <v>0</v>
      </c>
      <c r="H120" s="194">
        <v>-58085.24</v>
      </c>
      <c r="I120" s="194">
        <v>141640.64000000001</v>
      </c>
      <c r="J120" s="194">
        <v>-3844.73</v>
      </c>
      <c r="K120" s="194">
        <v>0</v>
      </c>
      <c r="L120" s="194">
        <v>1118.1500000000001</v>
      </c>
      <c r="M120" s="194">
        <v>0</v>
      </c>
      <c r="N120" s="194">
        <v>-2726.58</v>
      </c>
    </row>
    <row r="121" spans="1:14">
      <c r="A121" s="193"/>
      <c r="B121" s="193" t="s">
        <v>236</v>
      </c>
      <c r="C121" s="193"/>
      <c r="D121" s="193"/>
      <c r="E121" s="193"/>
      <c r="F121" s="194">
        <v>284867097.81999999</v>
      </c>
      <c r="G121" s="194">
        <v>52769486.530000001</v>
      </c>
      <c r="H121" s="194">
        <v>-37306251.619999997</v>
      </c>
      <c r="I121" s="194">
        <v>300330332.73000002</v>
      </c>
      <c r="J121" s="194">
        <v>-5483691.5999999996</v>
      </c>
      <c r="K121" s="194">
        <v>-1015812.62</v>
      </c>
      <c r="L121" s="194">
        <v>718145.3</v>
      </c>
      <c r="M121" s="194">
        <v>0</v>
      </c>
      <c r="N121" s="194">
        <v>-5781358.9199999999</v>
      </c>
    </row>
    <row r="122" spans="1:14">
      <c r="A122" s="193"/>
      <c r="B122" s="200" t="s">
        <v>308</v>
      </c>
      <c r="C122" s="193" t="s">
        <v>52</v>
      </c>
      <c r="D122" s="193"/>
      <c r="E122" s="193"/>
      <c r="F122" s="194">
        <v>-129500346.06</v>
      </c>
      <c r="G122" s="194">
        <v>-6638623.4400000004</v>
      </c>
      <c r="H122" s="194">
        <v>97595962.310000002</v>
      </c>
      <c r="I122" s="194">
        <v>-38543007.189999998</v>
      </c>
      <c r="J122" s="194">
        <v>2479576.6</v>
      </c>
      <c r="K122" s="194">
        <v>127793.48</v>
      </c>
      <c r="L122" s="194">
        <v>-1877730.47</v>
      </c>
      <c r="M122" s="194">
        <v>0</v>
      </c>
      <c r="N122" s="194">
        <v>729639.65</v>
      </c>
    </row>
    <row r="123" spans="1:14">
      <c r="A123" s="193"/>
      <c r="B123" s="193" t="s">
        <v>116</v>
      </c>
      <c r="C123" s="193"/>
      <c r="D123" s="193"/>
      <c r="E123" s="193"/>
      <c r="F123" s="194">
        <v>11431.27</v>
      </c>
      <c r="G123" s="194">
        <v>0</v>
      </c>
      <c r="H123" s="194">
        <v>-1592.58</v>
      </c>
      <c r="I123" s="194">
        <v>9838.69</v>
      </c>
      <c r="J123" s="194">
        <v>0</v>
      </c>
      <c r="K123" s="194">
        <v>0</v>
      </c>
      <c r="L123" s="194">
        <v>0</v>
      </c>
      <c r="M123" s="194">
        <v>0</v>
      </c>
      <c r="N123" s="194">
        <v>0</v>
      </c>
    </row>
    <row r="124" spans="1:14">
      <c r="A124" s="193"/>
      <c r="B124" s="193" t="s">
        <v>117</v>
      </c>
      <c r="C124" s="193"/>
      <c r="D124" s="193"/>
      <c r="E124" s="193"/>
      <c r="F124" s="194">
        <v>70854.070000000007</v>
      </c>
      <c r="G124" s="194">
        <v>0</v>
      </c>
      <c r="H124" s="194">
        <v>-783.12</v>
      </c>
      <c r="I124" s="194">
        <v>70070.95</v>
      </c>
      <c r="J124" s="194">
        <v>0</v>
      </c>
      <c r="K124" s="194">
        <v>0</v>
      </c>
      <c r="L124" s="194">
        <v>0</v>
      </c>
      <c r="M124" s="194">
        <v>0</v>
      </c>
      <c r="N124" s="194">
        <v>0</v>
      </c>
    </row>
    <row r="125" spans="1:14">
      <c r="A125" s="193"/>
      <c r="B125" s="193" t="s">
        <v>118</v>
      </c>
      <c r="C125" s="193"/>
      <c r="D125" s="193"/>
      <c r="E125" s="193"/>
      <c r="F125" s="194">
        <v>3.03</v>
      </c>
      <c r="G125" s="194">
        <v>0</v>
      </c>
      <c r="H125" s="194">
        <v>-0.03</v>
      </c>
      <c r="I125" s="194">
        <v>3</v>
      </c>
      <c r="J125" s="194">
        <v>0</v>
      </c>
      <c r="K125" s="194">
        <v>0</v>
      </c>
      <c r="L125" s="194">
        <v>0</v>
      </c>
      <c r="M125" s="194">
        <v>0</v>
      </c>
      <c r="N125" s="194">
        <v>0</v>
      </c>
    </row>
    <row r="126" spans="1:14">
      <c r="A126" s="193"/>
      <c r="B126" s="193"/>
      <c r="C126" s="193" t="s">
        <v>52</v>
      </c>
      <c r="D126" s="193"/>
      <c r="E126" s="193"/>
      <c r="F126" s="194">
        <v>82288.37</v>
      </c>
      <c r="G126" s="194">
        <v>0</v>
      </c>
      <c r="H126" s="194">
        <v>-2375.73</v>
      </c>
      <c r="I126" s="194">
        <v>79912.639999999999</v>
      </c>
      <c r="J126" s="194">
        <v>0</v>
      </c>
      <c r="K126" s="194">
        <v>0</v>
      </c>
      <c r="L126" s="194">
        <v>0</v>
      </c>
      <c r="M126" s="194">
        <v>0</v>
      </c>
      <c r="N126" s="194">
        <v>0</v>
      </c>
    </row>
    <row r="127" spans="1:14">
      <c r="A127" s="193"/>
      <c r="B127" s="193" t="s">
        <v>119</v>
      </c>
      <c r="C127" s="193"/>
      <c r="D127" s="193"/>
      <c r="E127" s="193"/>
      <c r="F127" s="194">
        <v>448863.32</v>
      </c>
      <c r="G127" s="194">
        <v>0</v>
      </c>
      <c r="H127" s="194">
        <v>-49255.16</v>
      </c>
      <c r="I127" s="194">
        <v>399608.16</v>
      </c>
      <c r="J127" s="194">
        <v>0</v>
      </c>
      <c r="K127" s="194">
        <v>0</v>
      </c>
      <c r="L127" s="194">
        <v>0</v>
      </c>
      <c r="M127" s="194">
        <v>0</v>
      </c>
      <c r="N127" s="194">
        <v>0</v>
      </c>
    </row>
    <row r="128" spans="1:14">
      <c r="A128" s="193"/>
      <c r="B128" s="193" t="s">
        <v>120</v>
      </c>
      <c r="C128" s="193"/>
      <c r="D128" s="193"/>
      <c r="E128" s="193"/>
      <c r="F128" s="194">
        <v>66049397.149999999</v>
      </c>
      <c r="G128" s="194">
        <v>89199.22</v>
      </c>
      <c r="H128" s="194">
        <v>-3018075.47</v>
      </c>
      <c r="I128" s="194">
        <v>63120520.899999999</v>
      </c>
      <c r="J128" s="194">
        <v>0</v>
      </c>
      <c r="K128" s="194">
        <v>0</v>
      </c>
      <c r="L128" s="194">
        <v>0</v>
      </c>
      <c r="M128" s="194">
        <v>0</v>
      </c>
      <c r="N128" s="194">
        <v>0</v>
      </c>
    </row>
    <row r="129" spans="1:14">
      <c r="A129" s="193"/>
      <c r="B129" s="193" t="s">
        <v>121</v>
      </c>
      <c r="C129" s="193"/>
      <c r="D129" s="193"/>
      <c r="E129" s="193"/>
      <c r="F129" s="194">
        <v>10396.780000000001</v>
      </c>
      <c r="G129" s="194">
        <v>0</v>
      </c>
      <c r="H129" s="194">
        <v>-2370.83</v>
      </c>
      <c r="I129" s="194">
        <v>8025.95</v>
      </c>
      <c r="J129" s="194">
        <v>0</v>
      </c>
      <c r="K129" s="194">
        <v>0</v>
      </c>
      <c r="L129" s="194">
        <v>0</v>
      </c>
      <c r="M129" s="194">
        <v>0</v>
      </c>
      <c r="N129" s="194">
        <v>0</v>
      </c>
    </row>
    <row r="130" spans="1:14">
      <c r="A130" s="193"/>
      <c r="B130" s="193" t="s">
        <v>122</v>
      </c>
      <c r="C130" s="193"/>
      <c r="D130" s="193"/>
      <c r="E130" s="193"/>
      <c r="F130" s="194">
        <v>43072.65</v>
      </c>
      <c r="G130" s="194">
        <v>0</v>
      </c>
      <c r="H130" s="194">
        <v>-2643.25</v>
      </c>
      <c r="I130" s="194">
        <v>40429.4</v>
      </c>
      <c r="J130" s="194">
        <v>0</v>
      </c>
      <c r="K130" s="194">
        <v>0</v>
      </c>
      <c r="L130" s="194">
        <v>0</v>
      </c>
      <c r="M130" s="194">
        <v>0</v>
      </c>
      <c r="N130" s="194">
        <v>0</v>
      </c>
    </row>
    <row r="131" spans="1:14">
      <c r="A131" s="193"/>
      <c r="B131" s="193" t="s">
        <v>123</v>
      </c>
      <c r="C131" s="193"/>
      <c r="D131" s="193"/>
      <c r="E131" s="193"/>
      <c r="F131" s="194">
        <v>68264.240000000005</v>
      </c>
      <c r="G131" s="194">
        <v>0</v>
      </c>
      <c r="H131" s="194">
        <v>-11077.07</v>
      </c>
      <c r="I131" s="194">
        <v>57187.17</v>
      </c>
      <c r="J131" s="194">
        <v>0</v>
      </c>
      <c r="K131" s="194">
        <v>0</v>
      </c>
      <c r="L131" s="194">
        <v>0</v>
      </c>
      <c r="M131" s="194">
        <v>0</v>
      </c>
      <c r="N131" s="194">
        <v>0</v>
      </c>
    </row>
    <row r="132" spans="1:14">
      <c r="A132" s="193"/>
      <c r="B132" s="193"/>
      <c r="C132" s="193" t="s">
        <v>52</v>
      </c>
      <c r="D132" s="193"/>
      <c r="E132" s="193"/>
      <c r="F132" s="194">
        <v>66619994.140000001</v>
      </c>
      <c r="G132" s="194">
        <v>89199.22</v>
      </c>
      <c r="H132" s="194">
        <v>-3083421.78</v>
      </c>
      <c r="I132" s="194">
        <v>63625771.579999998</v>
      </c>
      <c r="J132" s="194">
        <v>0</v>
      </c>
      <c r="K132" s="194">
        <v>0</v>
      </c>
      <c r="L132" s="194">
        <v>0</v>
      </c>
      <c r="M132" s="194">
        <v>0</v>
      </c>
      <c r="N132" s="194">
        <v>0</v>
      </c>
    </row>
    <row r="133" spans="1:14">
      <c r="A133" s="193" t="s">
        <v>80</v>
      </c>
      <c r="B133" s="193"/>
      <c r="C133" s="193"/>
      <c r="D133" s="193"/>
      <c r="E133" s="193"/>
      <c r="F133" s="194">
        <v>1747767426.1600001</v>
      </c>
      <c r="G133" s="194">
        <v>107339786.05</v>
      </c>
      <c r="H133" s="194">
        <v>41603779.899999999</v>
      </c>
      <c r="I133" s="194">
        <v>1896710992.1099999</v>
      </c>
      <c r="J133" s="194">
        <v>-32404603.75</v>
      </c>
      <c r="K133" s="194">
        <v>-2064573.8</v>
      </c>
      <c r="L133" s="194">
        <v>-853683.89</v>
      </c>
      <c r="M133" s="194">
        <v>0</v>
      </c>
      <c r="N133" s="194">
        <v>-35322861.420000002</v>
      </c>
    </row>
    <row r="134" spans="1:14">
      <c r="A134" s="195"/>
      <c r="B134" s="195" t="s">
        <v>92</v>
      </c>
      <c r="C134" s="195"/>
      <c r="D134" s="195"/>
      <c r="E134" s="195"/>
      <c r="F134" s="196">
        <v>-24154026.079999998</v>
      </c>
      <c r="G134" s="196">
        <v>-4215101.3</v>
      </c>
      <c r="H134" s="196">
        <v>-0.06</v>
      </c>
      <c r="I134" s="196">
        <v>-28369127.440000001</v>
      </c>
      <c r="J134" s="196">
        <v>465711.84</v>
      </c>
      <c r="K134" s="196">
        <v>81140.7</v>
      </c>
      <c r="L134" s="196">
        <v>0</v>
      </c>
      <c r="M134" s="196">
        <v>0</v>
      </c>
      <c r="N134" s="196">
        <v>546852.54</v>
      </c>
    </row>
    <row r="135" spans="1:14">
      <c r="A135" s="195"/>
      <c r="B135" s="195" t="s">
        <v>93</v>
      </c>
      <c r="C135" s="195"/>
      <c r="D135" s="195"/>
      <c r="E135" s="195"/>
      <c r="F135" s="196">
        <v>-10055.84</v>
      </c>
      <c r="G135" s="196">
        <v>0</v>
      </c>
      <c r="H135" s="196">
        <v>-51.67</v>
      </c>
      <c r="I135" s="196">
        <v>-10107.51</v>
      </c>
      <c r="J135" s="196">
        <v>193.55</v>
      </c>
      <c r="K135" s="196">
        <v>0</v>
      </c>
      <c r="L135" s="196">
        <v>0.99</v>
      </c>
      <c r="M135" s="196">
        <v>0</v>
      </c>
      <c r="N135" s="196">
        <v>194.54</v>
      </c>
    </row>
    <row r="136" spans="1:14">
      <c r="A136" s="195"/>
      <c r="B136" s="195" t="s">
        <v>94</v>
      </c>
      <c r="C136" s="195"/>
      <c r="D136" s="195"/>
      <c r="E136" s="195"/>
      <c r="F136" s="196">
        <v>2094662.58</v>
      </c>
      <c r="G136" s="196">
        <v>8.31</v>
      </c>
      <c r="H136" s="196">
        <v>-478859.16</v>
      </c>
      <c r="I136" s="196">
        <v>1615811.73</v>
      </c>
      <c r="J136" s="196">
        <v>-27676</v>
      </c>
      <c r="K136" s="196">
        <v>-0.16</v>
      </c>
      <c r="L136" s="196">
        <v>6311.15</v>
      </c>
      <c r="M136" s="196">
        <v>0</v>
      </c>
      <c r="N136" s="196">
        <v>-21365.01</v>
      </c>
    </row>
    <row r="137" spans="1:14">
      <c r="A137" s="195"/>
      <c r="B137" s="195" t="s">
        <v>95</v>
      </c>
      <c r="C137" s="195"/>
      <c r="D137" s="195"/>
      <c r="E137" s="195"/>
      <c r="F137" s="196">
        <v>412731819.56</v>
      </c>
      <c r="G137" s="196">
        <v>1115423.8999999999</v>
      </c>
      <c r="H137" s="196">
        <v>-14711298.01</v>
      </c>
      <c r="I137" s="196">
        <v>399135945.44999999</v>
      </c>
      <c r="J137" s="196">
        <v>-7943710.1299999999</v>
      </c>
      <c r="K137" s="196">
        <v>-21471.91</v>
      </c>
      <c r="L137" s="196">
        <v>283192.49</v>
      </c>
      <c r="M137" s="196">
        <v>0</v>
      </c>
      <c r="N137" s="196">
        <v>-7681989.5499999998</v>
      </c>
    </row>
    <row r="138" spans="1:14">
      <c r="A138" s="195"/>
      <c r="B138" s="195"/>
      <c r="C138" s="195" t="s">
        <v>52</v>
      </c>
      <c r="D138" s="195"/>
      <c r="E138" s="195"/>
      <c r="F138" s="196">
        <v>390662400.22000003</v>
      </c>
      <c r="G138" s="196">
        <v>-3099669.09</v>
      </c>
      <c r="H138" s="196">
        <v>-15190208.9</v>
      </c>
      <c r="I138" s="196">
        <v>372372522.23000002</v>
      </c>
      <c r="J138" s="196">
        <v>-7505480.7400000002</v>
      </c>
      <c r="K138" s="196">
        <v>59668.63</v>
      </c>
      <c r="L138" s="196">
        <v>289504.63</v>
      </c>
      <c r="M138" s="196">
        <v>0</v>
      </c>
      <c r="N138" s="196">
        <v>-7156307.4800000004</v>
      </c>
    </row>
    <row r="139" spans="1:14">
      <c r="A139" s="195"/>
      <c r="B139" s="195" t="s">
        <v>100</v>
      </c>
      <c r="C139" s="195"/>
      <c r="D139" s="195"/>
      <c r="E139" s="195"/>
      <c r="F139" s="196">
        <v>-564757.1</v>
      </c>
      <c r="G139" s="196">
        <v>0</v>
      </c>
      <c r="H139" s="196">
        <v>-7897.09</v>
      </c>
      <c r="I139" s="196">
        <v>-572654.18999999994</v>
      </c>
      <c r="J139" s="196">
        <v>10717.39</v>
      </c>
      <c r="K139" s="196">
        <v>0</v>
      </c>
      <c r="L139" s="196">
        <v>259.89</v>
      </c>
      <c r="M139" s="196">
        <v>0</v>
      </c>
      <c r="N139" s="196">
        <v>10977.28</v>
      </c>
    </row>
    <row r="140" spans="1:14">
      <c r="A140" s="195"/>
      <c r="B140" s="195" t="s">
        <v>101</v>
      </c>
      <c r="C140" s="195"/>
      <c r="D140" s="195"/>
      <c r="E140" s="195"/>
      <c r="F140" s="196">
        <v>6858375.71</v>
      </c>
      <c r="G140" s="196">
        <v>438.04</v>
      </c>
      <c r="H140" s="196">
        <v>-296401.15999999997</v>
      </c>
      <c r="I140" s="196">
        <v>6562412.5899999999</v>
      </c>
      <c r="J140" s="196">
        <v>-132085.63</v>
      </c>
      <c r="K140" s="196">
        <v>-8.43</v>
      </c>
      <c r="L140" s="196">
        <v>5750.42</v>
      </c>
      <c r="M140" s="196">
        <v>0</v>
      </c>
      <c r="N140" s="196">
        <v>-126343.65</v>
      </c>
    </row>
    <row r="141" spans="1:14">
      <c r="A141" s="195"/>
      <c r="B141" s="195" t="s">
        <v>102</v>
      </c>
      <c r="C141" s="195"/>
      <c r="D141" s="195"/>
      <c r="E141" s="195"/>
      <c r="F141" s="196">
        <v>33658.47</v>
      </c>
      <c r="G141" s="196">
        <v>0</v>
      </c>
      <c r="H141" s="196">
        <v>-7413.92</v>
      </c>
      <c r="I141" s="196">
        <v>26244.55</v>
      </c>
      <c r="J141" s="196">
        <v>-770.21</v>
      </c>
      <c r="K141" s="196">
        <v>0</v>
      </c>
      <c r="L141" s="196">
        <v>169.56</v>
      </c>
      <c r="M141" s="196">
        <v>0</v>
      </c>
      <c r="N141" s="196">
        <v>-600.65</v>
      </c>
    </row>
    <row r="142" spans="1:14">
      <c r="A142" s="195"/>
      <c r="B142" s="195" t="s">
        <v>104</v>
      </c>
      <c r="C142" s="195"/>
      <c r="D142" s="195"/>
      <c r="E142" s="195"/>
      <c r="F142" s="196">
        <v>-1086.8499999999999</v>
      </c>
      <c r="G142" s="196">
        <v>0</v>
      </c>
      <c r="H142" s="196">
        <v>43.09</v>
      </c>
      <c r="I142" s="196">
        <v>-1043.76</v>
      </c>
      <c r="J142" s="196">
        <v>20.92</v>
      </c>
      <c r="K142" s="196">
        <v>0</v>
      </c>
      <c r="L142" s="196">
        <v>-0.83</v>
      </c>
      <c r="M142" s="196">
        <v>0</v>
      </c>
      <c r="N142" s="196">
        <v>20.09</v>
      </c>
    </row>
    <row r="143" spans="1:14">
      <c r="A143" s="195"/>
      <c r="B143" s="200" t="s">
        <v>307</v>
      </c>
      <c r="C143" s="195" t="s">
        <v>52</v>
      </c>
      <c r="D143" s="195"/>
      <c r="E143" s="195"/>
      <c r="F143" s="196">
        <v>6326190.2300000004</v>
      </c>
      <c r="G143" s="196">
        <v>438.04</v>
      </c>
      <c r="H143" s="196">
        <v>-311669.08</v>
      </c>
      <c r="I143" s="196">
        <v>6014959.1900000004</v>
      </c>
      <c r="J143" s="196">
        <v>-122117.53</v>
      </c>
      <c r="K143" s="196">
        <v>-8.43</v>
      </c>
      <c r="L143" s="196">
        <v>6179.04</v>
      </c>
      <c r="M143" s="196">
        <v>0</v>
      </c>
      <c r="N143" s="196">
        <v>-115946.93</v>
      </c>
    </row>
    <row r="144" spans="1:14">
      <c r="A144" s="195"/>
      <c r="B144" s="195" t="s">
        <v>105</v>
      </c>
      <c r="C144" s="195"/>
      <c r="D144" s="195"/>
      <c r="E144" s="195"/>
      <c r="F144" s="196">
        <v>-34771.29</v>
      </c>
      <c r="G144" s="196">
        <v>0</v>
      </c>
      <c r="H144" s="196">
        <v>7251.87</v>
      </c>
      <c r="I144" s="196">
        <v>-27519.42</v>
      </c>
      <c r="J144" s="196">
        <v>446.23</v>
      </c>
      <c r="K144" s="196">
        <v>0</v>
      </c>
      <c r="L144" s="196">
        <v>-93.07</v>
      </c>
      <c r="M144" s="196">
        <v>0</v>
      </c>
      <c r="N144" s="196">
        <v>353.16</v>
      </c>
    </row>
    <row r="145" spans="1:14">
      <c r="A145" s="195"/>
      <c r="B145" s="195" t="s">
        <v>106</v>
      </c>
      <c r="C145" s="195"/>
      <c r="D145" s="195"/>
      <c r="E145" s="195"/>
      <c r="F145" s="196">
        <v>-96096.94</v>
      </c>
      <c r="G145" s="196">
        <v>-17795.03</v>
      </c>
      <c r="H145" s="196">
        <v>30730.38</v>
      </c>
      <c r="I145" s="196">
        <v>-83161.59</v>
      </c>
      <c r="J145" s="196">
        <v>1849.87</v>
      </c>
      <c r="K145" s="196">
        <v>342.55</v>
      </c>
      <c r="L145" s="196">
        <v>-591.55999999999995</v>
      </c>
      <c r="M145" s="196">
        <v>0</v>
      </c>
      <c r="N145" s="196">
        <v>1600.86</v>
      </c>
    </row>
    <row r="146" spans="1:14">
      <c r="A146" s="195"/>
      <c r="B146" s="195" t="s">
        <v>107</v>
      </c>
      <c r="C146" s="195"/>
      <c r="D146" s="195"/>
      <c r="E146" s="195"/>
      <c r="F146" s="196">
        <v>-67.599999999999994</v>
      </c>
      <c r="G146" s="196">
        <v>0</v>
      </c>
      <c r="H146" s="196">
        <v>23.19</v>
      </c>
      <c r="I146" s="196">
        <v>-44.41</v>
      </c>
      <c r="J146" s="196">
        <v>1.3</v>
      </c>
      <c r="K146" s="196">
        <v>0</v>
      </c>
      <c r="L146" s="196">
        <v>-0.45</v>
      </c>
      <c r="M146" s="196">
        <v>0</v>
      </c>
      <c r="N146" s="196">
        <v>0.85</v>
      </c>
    </row>
    <row r="147" spans="1:14">
      <c r="A147" s="195"/>
      <c r="B147" s="195" t="s">
        <v>112</v>
      </c>
      <c r="C147" s="195"/>
      <c r="D147" s="195"/>
      <c r="E147" s="195"/>
      <c r="F147" s="196">
        <v>0</v>
      </c>
      <c r="G147" s="196">
        <v>0</v>
      </c>
      <c r="H147" s="196">
        <v>0</v>
      </c>
      <c r="I147" s="196">
        <v>0</v>
      </c>
      <c r="J147" s="196">
        <v>0</v>
      </c>
      <c r="K147" s="196">
        <v>0</v>
      </c>
      <c r="L147" s="196">
        <v>0</v>
      </c>
      <c r="M147" s="196">
        <v>0</v>
      </c>
      <c r="N147" s="196">
        <v>0</v>
      </c>
    </row>
    <row r="148" spans="1:14">
      <c r="A148" s="195"/>
      <c r="B148" s="195" t="s">
        <v>115</v>
      </c>
      <c r="C148" s="195"/>
      <c r="D148" s="195"/>
      <c r="E148" s="195"/>
      <c r="F148" s="196">
        <v>0</v>
      </c>
      <c r="G148" s="196">
        <v>0</v>
      </c>
      <c r="H148" s="196">
        <v>0</v>
      </c>
      <c r="I148" s="196">
        <v>0</v>
      </c>
      <c r="J148" s="196">
        <v>0</v>
      </c>
      <c r="K148" s="196">
        <v>0</v>
      </c>
      <c r="L148" s="196">
        <v>0</v>
      </c>
      <c r="M148" s="196">
        <v>0</v>
      </c>
      <c r="N148" s="196">
        <v>0</v>
      </c>
    </row>
    <row r="149" spans="1:14">
      <c r="A149" s="195"/>
      <c r="B149" s="195" t="s">
        <v>236</v>
      </c>
      <c r="C149" s="195"/>
      <c r="D149" s="195"/>
      <c r="E149" s="195"/>
      <c r="F149" s="196">
        <v>1594835</v>
      </c>
      <c r="G149" s="196">
        <v>656418.52</v>
      </c>
      <c r="H149" s="196">
        <v>-503722.3</v>
      </c>
      <c r="I149" s="196">
        <v>1747531.22</v>
      </c>
      <c r="J149" s="196">
        <v>-30700.57</v>
      </c>
      <c r="K149" s="196">
        <v>-12636.06</v>
      </c>
      <c r="L149" s="196">
        <v>9696.66</v>
      </c>
      <c r="M149" s="196">
        <v>0</v>
      </c>
      <c r="N149" s="196">
        <v>-33639.97</v>
      </c>
    </row>
    <row r="150" spans="1:14">
      <c r="A150" s="195"/>
      <c r="B150" s="200" t="s">
        <v>308</v>
      </c>
      <c r="C150" s="195" t="s">
        <v>52</v>
      </c>
      <c r="D150" s="195"/>
      <c r="E150" s="195"/>
      <c r="F150" s="196">
        <v>1463899.17</v>
      </c>
      <c r="G150" s="196">
        <v>638623.49</v>
      </c>
      <c r="H150" s="196">
        <v>-465716.86</v>
      </c>
      <c r="I150" s="196">
        <v>1636805.8</v>
      </c>
      <c r="J150" s="196">
        <v>-28403.17</v>
      </c>
      <c r="K150" s="196">
        <v>-12293.51</v>
      </c>
      <c r="L150" s="196">
        <v>9011.58</v>
      </c>
      <c r="M150" s="196">
        <v>0</v>
      </c>
      <c r="N150" s="196">
        <v>-31685.1</v>
      </c>
    </row>
    <row r="151" spans="1:14">
      <c r="A151" s="195"/>
      <c r="B151" s="195" t="s">
        <v>120</v>
      </c>
      <c r="C151" s="195"/>
      <c r="D151" s="195"/>
      <c r="E151" s="195"/>
      <c r="F151" s="196">
        <v>16941399.18</v>
      </c>
      <c r="G151" s="196">
        <v>800.78</v>
      </c>
      <c r="H151" s="196">
        <v>-718638.36</v>
      </c>
      <c r="I151" s="196">
        <v>16223561.6</v>
      </c>
      <c r="J151" s="196">
        <v>0</v>
      </c>
      <c r="K151" s="196">
        <v>0</v>
      </c>
      <c r="L151" s="196">
        <v>0</v>
      </c>
      <c r="M151" s="196">
        <v>0</v>
      </c>
      <c r="N151" s="196">
        <v>0</v>
      </c>
    </row>
    <row r="152" spans="1:14">
      <c r="A152" s="195"/>
      <c r="B152" s="195" t="s">
        <v>121</v>
      </c>
      <c r="C152" s="195"/>
      <c r="D152" s="195"/>
      <c r="E152" s="195"/>
      <c r="F152" s="196">
        <v>0</v>
      </c>
      <c r="G152" s="196">
        <v>0</v>
      </c>
      <c r="H152" s="196">
        <v>0</v>
      </c>
      <c r="I152" s="196">
        <v>0</v>
      </c>
      <c r="J152" s="196">
        <v>0</v>
      </c>
      <c r="K152" s="196">
        <v>0</v>
      </c>
      <c r="L152" s="196">
        <v>0</v>
      </c>
      <c r="M152" s="196">
        <v>0</v>
      </c>
      <c r="N152" s="196">
        <v>0</v>
      </c>
    </row>
    <row r="153" spans="1:14">
      <c r="A153" s="195"/>
      <c r="B153" s="195" t="s">
        <v>123</v>
      </c>
      <c r="C153" s="195"/>
      <c r="D153" s="195"/>
      <c r="E153" s="195"/>
      <c r="F153" s="196">
        <v>0</v>
      </c>
      <c r="G153" s="196">
        <v>0</v>
      </c>
      <c r="H153" s="196">
        <v>0</v>
      </c>
      <c r="I153" s="196">
        <v>0</v>
      </c>
      <c r="J153" s="196">
        <v>0</v>
      </c>
      <c r="K153" s="196">
        <v>0</v>
      </c>
      <c r="L153" s="196">
        <v>0</v>
      </c>
      <c r="M153" s="196">
        <v>0</v>
      </c>
      <c r="N153" s="196">
        <v>0</v>
      </c>
    </row>
    <row r="154" spans="1:14">
      <c r="A154" s="195"/>
      <c r="B154" s="195"/>
      <c r="C154" s="195" t="s">
        <v>52</v>
      </c>
      <c r="D154" s="195"/>
      <c r="E154" s="195"/>
      <c r="F154" s="196">
        <v>16941399.18</v>
      </c>
      <c r="G154" s="196">
        <v>800.78</v>
      </c>
      <c r="H154" s="196">
        <v>-718638.36</v>
      </c>
      <c r="I154" s="196">
        <v>16223561.6</v>
      </c>
      <c r="J154" s="196">
        <v>0</v>
      </c>
      <c r="K154" s="196">
        <v>0</v>
      </c>
      <c r="L154" s="196">
        <v>0</v>
      </c>
      <c r="M154" s="196">
        <v>0</v>
      </c>
      <c r="N154" s="196">
        <v>0</v>
      </c>
    </row>
    <row r="155" spans="1:14">
      <c r="A155" s="195" t="s">
        <v>81</v>
      </c>
      <c r="B155" s="195"/>
      <c r="C155" s="195"/>
      <c r="D155" s="195"/>
      <c r="E155" s="195"/>
      <c r="F155" s="196">
        <v>415393888.80000001</v>
      </c>
      <c r="G155" s="196">
        <v>-2459806.7799999998</v>
      </c>
      <c r="H155" s="196">
        <v>-16686233.199999999</v>
      </c>
      <c r="I155" s="196">
        <v>396247848.81999999</v>
      </c>
      <c r="J155" s="196">
        <v>-7656001.4400000004</v>
      </c>
      <c r="K155" s="196">
        <v>47366.69</v>
      </c>
      <c r="L155" s="196">
        <v>304695.25</v>
      </c>
      <c r="M155" s="196">
        <v>0</v>
      </c>
      <c r="N155" s="196">
        <v>-7303939.5099999998</v>
      </c>
    </row>
    <row r="156" spans="1:14">
      <c r="A156" s="190" t="s">
        <v>82</v>
      </c>
      <c r="B156" s="190"/>
      <c r="C156" s="190"/>
      <c r="D156" s="190"/>
      <c r="E156" s="190"/>
      <c r="F156" s="192">
        <v>2163161314.96</v>
      </c>
      <c r="G156" s="192">
        <v>104879979.27</v>
      </c>
      <c r="H156" s="192">
        <v>24917546.699999999</v>
      </c>
      <c r="I156" s="192">
        <v>2292958840.9299998</v>
      </c>
      <c r="J156" s="192">
        <v>-40060605.189999998</v>
      </c>
      <c r="K156" s="192">
        <v>-2017207.11</v>
      </c>
      <c r="L156" s="192">
        <v>-548988.64</v>
      </c>
      <c r="M156" s="192">
        <v>0</v>
      </c>
      <c r="N156" s="192">
        <v>-42626800.93</v>
      </c>
    </row>
    <row r="157" spans="1:14">
      <c r="A157" s="190" t="s">
        <v>277</v>
      </c>
      <c r="B157" s="190"/>
      <c r="C157" s="190"/>
      <c r="D157" s="190" t="s">
        <v>292</v>
      </c>
      <c r="E157" s="190"/>
      <c r="F157" s="190"/>
      <c r="G157" s="190"/>
      <c r="H157" s="190"/>
      <c r="I157" s="190"/>
      <c r="J157" s="190"/>
      <c r="K157" s="190"/>
      <c r="L157" s="190"/>
      <c r="M157" s="190"/>
      <c r="N157" s="190"/>
    </row>
    <row r="158" spans="1:14" ht="43.2">
      <c r="A158" s="190"/>
      <c r="B158" s="190"/>
      <c r="C158" s="190"/>
      <c r="D158" s="190"/>
      <c r="E158" s="190"/>
      <c r="F158" s="191" t="s">
        <v>278</v>
      </c>
      <c r="G158" s="190" t="s">
        <v>29</v>
      </c>
      <c r="H158" s="190" t="s">
        <v>47</v>
      </c>
      <c r="I158" s="191" t="s">
        <v>279</v>
      </c>
      <c r="J158" s="191" t="s">
        <v>280</v>
      </c>
      <c r="K158" s="191" t="s">
        <v>281</v>
      </c>
      <c r="L158" s="191" t="s">
        <v>282</v>
      </c>
      <c r="M158" s="191" t="s">
        <v>283</v>
      </c>
      <c r="N158" s="191" t="s">
        <v>284</v>
      </c>
    </row>
    <row r="159" spans="1:14">
      <c r="A159" s="190" t="s">
        <v>285</v>
      </c>
      <c r="B159" s="190"/>
      <c r="C159" s="190"/>
      <c r="D159" s="190">
        <v>2018</v>
      </c>
      <c r="E159" s="190"/>
      <c r="F159" s="190"/>
      <c r="G159" s="190"/>
      <c r="H159" s="190"/>
      <c r="I159" s="190"/>
      <c r="J159" s="190"/>
      <c r="K159" s="190"/>
      <c r="L159" s="190"/>
      <c r="M159" s="190"/>
      <c r="N159" s="190"/>
    </row>
    <row r="160" spans="1:14">
      <c r="A160" s="193"/>
      <c r="B160" s="193" t="s">
        <v>124</v>
      </c>
      <c r="C160" s="193"/>
      <c r="D160" s="193"/>
      <c r="E160" s="193"/>
      <c r="F160" s="194">
        <v>-251870820.52000001</v>
      </c>
      <c r="G160" s="194">
        <v>-19524187.09</v>
      </c>
      <c r="H160" s="194">
        <v>-2028248.06</v>
      </c>
      <c r="I160" s="194">
        <v>-273423255.67000002</v>
      </c>
      <c r="J160" s="194">
        <v>-13790944.59</v>
      </c>
      <c r="K160" s="194">
        <v>-1073830.29</v>
      </c>
      <c r="L160" s="194">
        <v>-111564.27</v>
      </c>
      <c r="M160" s="194">
        <v>0</v>
      </c>
      <c r="N160" s="194">
        <v>-14976339.15</v>
      </c>
    </row>
    <row r="161" spans="1:14">
      <c r="A161" s="193"/>
      <c r="B161" s="193" t="s">
        <v>125</v>
      </c>
      <c r="C161" s="193"/>
      <c r="D161" s="193"/>
      <c r="E161" s="193"/>
      <c r="F161" s="194">
        <v>1678490.5</v>
      </c>
      <c r="G161" s="194">
        <v>121739.82</v>
      </c>
      <c r="H161" s="194">
        <v>-78692.009999999995</v>
      </c>
      <c r="I161" s="194">
        <v>1721538.31</v>
      </c>
      <c r="J161" s="194">
        <v>88313.84</v>
      </c>
      <c r="K161" s="194">
        <v>6695.69</v>
      </c>
      <c r="L161" s="194">
        <v>-3981.99</v>
      </c>
      <c r="M161" s="194">
        <v>0</v>
      </c>
      <c r="N161" s="194">
        <v>91027.54</v>
      </c>
    </row>
    <row r="162" spans="1:14">
      <c r="A162" s="193"/>
      <c r="B162" s="193" t="s">
        <v>126</v>
      </c>
      <c r="C162" s="193"/>
      <c r="D162" s="193"/>
      <c r="E162" s="193"/>
      <c r="F162" s="194">
        <v>11702178.74</v>
      </c>
      <c r="G162" s="194">
        <v>57309.09</v>
      </c>
      <c r="H162" s="194">
        <v>-859049.5</v>
      </c>
      <c r="I162" s="194">
        <v>10900438.33</v>
      </c>
      <c r="J162" s="194">
        <v>617279.92000000004</v>
      </c>
      <c r="K162" s="194">
        <v>3152</v>
      </c>
      <c r="L162" s="194">
        <v>-46508.5</v>
      </c>
      <c r="M162" s="194">
        <v>0</v>
      </c>
      <c r="N162" s="194">
        <v>573923.42000000004</v>
      </c>
    </row>
    <row r="163" spans="1:14">
      <c r="A163" s="193"/>
      <c r="B163" s="193" t="s">
        <v>127</v>
      </c>
      <c r="C163" s="193"/>
      <c r="D163" s="193"/>
      <c r="E163" s="193"/>
      <c r="F163" s="194">
        <v>1733343507.73</v>
      </c>
      <c r="G163" s="194">
        <v>73194785.640000001</v>
      </c>
      <c r="H163" s="194">
        <v>-36435727.689999998</v>
      </c>
      <c r="I163" s="194">
        <v>1770102565.6800001</v>
      </c>
      <c r="J163" s="194">
        <v>95341786.629999995</v>
      </c>
      <c r="K163" s="194">
        <v>4025713.21</v>
      </c>
      <c r="L163" s="194">
        <v>-2000028.29</v>
      </c>
      <c r="M163" s="194">
        <v>0</v>
      </c>
      <c r="N163" s="194">
        <v>97367471.549999997</v>
      </c>
    </row>
    <row r="164" spans="1:14">
      <c r="A164" s="193"/>
      <c r="B164" s="193"/>
      <c r="C164" s="193" t="s">
        <v>52</v>
      </c>
      <c r="D164" s="193"/>
      <c r="E164" s="193"/>
      <c r="F164" s="194">
        <v>1494853356.45</v>
      </c>
      <c r="G164" s="194">
        <v>53849647.450000003</v>
      </c>
      <c r="H164" s="194">
        <v>-39401717.25</v>
      </c>
      <c r="I164" s="194">
        <v>1509301286.6500001</v>
      </c>
      <c r="J164" s="194">
        <v>82256435.799999997</v>
      </c>
      <c r="K164" s="194">
        <v>2961730.61</v>
      </c>
      <c r="L164" s="194">
        <v>-2162083.0499999998</v>
      </c>
      <c r="M164" s="194">
        <v>0</v>
      </c>
      <c r="N164" s="194">
        <v>83056083.359999999</v>
      </c>
    </row>
    <row r="165" spans="1:14">
      <c r="A165" s="193"/>
      <c r="B165" s="193" t="s">
        <v>128</v>
      </c>
      <c r="C165" s="193"/>
      <c r="D165" s="193"/>
      <c r="E165" s="193"/>
      <c r="F165" s="194">
        <v>0</v>
      </c>
      <c r="G165" s="194">
        <v>0</v>
      </c>
      <c r="H165" s="194">
        <v>0</v>
      </c>
      <c r="I165" s="194">
        <v>0</v>
      </c>
      <c r="J165" s="194">
        <v>0</v>
      </c>
      <c r="K165" s="194">
        <v>0</v>
      </c>
      <c r="L165" s="194">
        <v>0</v>
      </c>
      <c r="M165" s="194">
        <v>0</v>
      </c>
      <c r="N165" s="194">
        <v>0</v>
      </c>
    </row>
    <row r="166" spans="1:14">
      <c r="A166" s="193"/>
      <c r="B166" s="193" t="s">
        <v>129</v>
      </c>
      <c r="C166" s="193"/>
      <c r="D166" s="193"/>
      <c r="E166" s="193"/>
      <c r="F166" s="194">
        <v>824992.22</v>
      </c>
      <c r="G166" s="194">
        <v>0</v>
      </c>
      <c r="H166" s="194">
        <v>0</v>
      </c>
      <c r="I166" s="194">
        <v>824992.22</v>
      </c>
      <c r="J166" s="194">
        <v>45374.559999999998</v>
      </c>
      <c r="K166" s="194">
        <v>0</v>
      </c>
      <c r="L166" s="194">
        <v>0</v>
      </c>
      <c r="M166" s="194">
        <v>0</v>
      </c>
      <c r="N166" s="194">
        <v>45374.559999999998</v>
      </c>
    </row>
    <row r="167" spans="1:14">
      <c r="A167" s="193"/>
      <c r="B167" s="193" t="s">
        <v>130</v>
      </c>
      <c r="C167" s="193"/>
      <c r="D167" s="193"/>
      <c r="E167" s="193"/>
      <c r="F167" s="194">
        <v>0</v>
      </c>
      <c r="G167" s="194">
        <v>0</v>
      </c>
      <c r="H167" s="194">
        <v>0</v>
      </c>
      <c r="I167" s="194">
        <v>0</v>
      </c>
      <c r="J167" s="194">
        <v>0</v>
      </c>
      <c r="K167" s="194">
        <v>0</v>
      </c>
      <c r="L167" s="194">
        <v>0</v>
      </c>
      <c r="M167" s="194">
        <v>0</v>
      </c>
      <c r="N167" s="194">
        <v>0</v>
      </c>
    </row>
    <row r="168" spans="1:14">
      <c r="A168" s="193"/>
      <c r="B168" s="193" t="s">
        <v>131</v>
      </c>
      <c r="C168" s="193"/>
      <c r="D168" s="193"/>
      <c r="E168" s="193"/>
      <c r="F168" s="194">
        <v>0</v>
      </c>
      <c r="G168" s="194">
        <v>0</v>
      </c>
      <c r="H168" s="194">
        <v>0</v>
      </c>
      <c r="I168" s="194">
        <v>0</v>
      </c>
      <c r="J168" s="194">
        <v>-0.01</v>
      </c>
      <c r="K168" s="194">
        <v>0</v>
      </c>
      <c r="L168" s="194">
        <v>0</v>
      </c>
      <c r="M168" s="194">
        <v>0</v>
      </c>
      <c r="N168" s="194">
        <v>0</v>
      </c>
    </row>
    <row r="169" spans="1:14">
      <c r="A169" s="193"/>
      <c r="B169" s="193" t="s">
        <v>132</v>
      </c>
      <c r="C169" s="193"/>
      <c r="D169" s="193"/>
      <c r="E169" s="193"/>
      <c r="F169" s="194">
        <v>-1304353.06</v>
      </c>
      <c r="G169" s="194">
        <v>0</v>
      </c>
      <c r="H169" s="194">
        <v>0</v>
      </c>
      <c r="I169" s="194">
        <v>-1304353.06</v>
      </c>
      <c r="J169" s="194">
        <v>-71800.899999999994</v>
      </c>
      <c r="K169" s="194">
        <v>0</v>
      </c>
      <c r="L169" s="194">
        <v>0</v>
      </c>
      <c r="M169" s="194">
        <v>0</v>
      </c>
      <c r="N169" s="194">
        <v>-71800.899999999994</v>
      </c>
    </row>
    <row r="170" spans="1:14">
      <c r="A170" s="193"/>
      <c r="B170" s="193" t="s">
        <v>133</v>
      </c>
      <c r="C170" s="193"/>
      <c r="D170" s="193"/>
      <c r="E170" s="193"/>
      <c r="F170" s="194">
        <v>-11435389.18</v>
      </c>
      <c r="G170" s="194">
        <v>0</v>
      </c>
      <c r="H170" s="194">
        <v>154444.75</v>
      </c>
      <c r="I170" s="194">
        <v>-11280944.43</v>
      </c>
      <c r="J170" s="194">
        <v>-631490.25</v>
      </c>
      <c r="K170" s="194">
        <v>0</v>
      </c>
      <c r="L170" s="194">
        <v>9254.49</v>
      </c>
      <c r="M170" s="194">
        <v>0</v>
      </c>
      <c r="N170" s="194">
        <v>-622235.76</v>
      </c>
    </row>
    <row r="171" spans="1:14">
      <c r="A171" s="193"/>
      <c r="B171" s="193" t="s">
        <v>134</v>
      </c>
      <c r="C171" s="193"/>
      <c r="D171" s="193"/>
      <c r="E171" s="193"/>
      <c r="F171" s="194">
        <v>29726741.239999998</v>
      </c>
      <c r="G171" s="194">
        <v>39561.96</v>
      </c>
      <c r="H171" s="194">
        <v>-1490645.26</v>
      </c>
      <c r="I171" s="194">
        <v>28275657.940000001</v>
      </c>
      <c r="J171" s="194">
        <v>1636815.11</v>
      </c>
      <c r="K171" s="194">
        <v>2175.92</v>
      </c>
      <c r="L171" s="194">
        <v>-81590.36</v>
      </c>
      <c r="M171" s="194">
        <v>0</v>
      </c>
      <c r="N171" s="194">
        <v>1557400.64</v>
      </c>
    </row>
    <row r="172" spans="1:14">
      <c r="A172" s="193"/>
      <c r="B172" s="193" t="s">
        <v>135</v>
      </c>
      <c r="C172" s="193"/>
      <c r="D172" s="193"/>
      <c r="E172" s="193"/>
      <c r="F172" s="194">
        <v>6686107.9900000002</v>
      </c>
      <c r="G172" s="194">
        <v>0</v>
      </c>
      <c r="H172" s="194">
        <v>-271514.78000000003</v>
      </c>
      <c r="I172" s="194">
        <v>6414593.21</v>
      </c>
      <c r="J172" s="194">
        <v>355858.16</v>
      </c>
      <c r="K172" s="194">
        <v>0</v>
      </c>
      <c r="L172" s="194">
        <v>-13139.49</v>
      </c>
      <c r="M172" s="194">
        <v>0</v>
      </c>
      <c r="N172" s="194">
        <v>342718.67</v>
      </c>
    </row>
    <row r="173" spans="1:14">
      <c r="A173" s="193"/>
      <c r="B173" s="193" t="s">
        <v>136</v>
      </c>
      <c r="C173" s="193"/>
      <c r="D173" s="193"/>
      <c r="E173" s="193"/>
      <c r="F173" s="194">
        <v>8759452.0899999999</v>
      </c>
      <c r="G173" s="194">
        <v>0</v>
      </c>
      <c r="H173" s="194">
        <v>-448384.18</v>
      </c>
      <c r="I173" s="194">
        <v>8311067.9100000001</v>
      </c>
      <c r="J173" s="194">
        <v>481769.95</v>
      </c>
      <c r="K173" s="194">
        <v>0</v>
      </c>
      <c r="L173" s="194">
        <v>-24661.16</v>
      </c>
      <c r="M173" s="194">
        <v>0</v>
      </c>
      <c r="N173" s="194">
        <v>457108.79</v>
      </c>
    </row>
    <row r="174" spans="1:14">
      <c r="A174" s="193"/>
      <c r="B174" s="193" t="s">
        <v>137</v>
      </c>
      <c r="C174" s="193"/>
      <c r="D174" s="193"/>
      <c r="E174" s="193"/>
      <c r="F174" s="194">
        <v>314789539.68000001</v>
      </c>
      <c r="G174" s="194">
        <v>60000000</v>
      </c>
      <c r="H174" s="194">
        <v>-12410890.91</v>
      </c>
      <c r="I174" s="194">
        <v>362378648.76999998</v>
      </c>
      <c r="J174" s="194">
        <v>17313274.600000001</v>
      </c>
      <c r="K174" s="194">
        <v>3300000</v>
      </c>
      <c r="L174" s="194">
        <v>-682588.68</v>
      </c>
      <c r="M174" s="194">
        <v>0</v>
      </c>
      <c r="N174" s="194">
        <v>19930685.920000002</v>
      </c>
    </row>
    <row r="175" spans="1:14">
      <c r="A175" s="193"/>
      <c r="B175" s="193" t="s">
        <v>237</v>
      </c>
      <c r="C175" s="193"/>
      <c r="D175" s="193"/>
      <c r="E175" s="193"/>
      <c r="F175" s="194">
        <v>77129.17</v>
      </c>
      <c r="G175" s="194">
        <v>0</v>
      </c>
      <c r="H175" s="194">
        <v>-7956.52</v>
      </c>
      <c r="I175" s="194">
        <v>69172.649999999994</v>
      </c>
      <c r="J175" s="194">
        <v>3717.86</v>
      </c>
      <c r="K175" s="194">
        <v>0</v>
      </c>
      <c r="L175" s="194">
        <v>-376.13</v>
      </c>
      <c r="M175" s="194">
        <v>0</v>
      </c>
      <c r="N175" s="194">
        <v>3341.73</v>
      </c>
    </row>
    <row r="176" spans="1:14">
      <c r="A176" s="193"/>
      <c r="B176" s="193" t="s">
        <v>293</v>
      </c>
      <c r="C176" s="193"/>
      <c r="D176" s="193"/>
      <c r="E176" s="193"/>
      <c r="F176" s="194">
        <v>-32412086.890000001</v>
      </c>
      <c r="G176" s="194">
        <v>0</v>
      </c>
      <c r="H176" s="194">
        <v>970280.11</v>
      </c>
      <c r="I176" s="194">
        <v>-31441806.780000001</v>
      </c>
      <c r="J176" s="194">
        <v>-1782664.78</v>
      </c>
      <c r="K176" s="194">
        <v>0</v>
      </c>
      <c r="L176" s="194">
        <v>53365.41</v>
      </c>
      <c r="M176" s="194">
        <v>0</v>
      </c>
      <c r="N176" s="194">
        <v>-1729299.37</v>
      </c>
    </row>
    <row r="177" spans="1:14">
      <c r="A177" s="193"/>
      <c r="B177" s="200" t="s">
        <v>307</v>
      </c>
      <c r="C177" s="193" t="s">
        <v>52</v>
      </c>
      <c r="D177" s="193"/>
      <c r="E177" s="193"/>
      <c r="F177" s="194">
        <v>315712133.25999999</v>
      </c>
      <c r="G177" s="194">
        <v>60039561.960000001</v>
      </c>
      <c r="H177" s="194">
        <v>-13504666.789999999</v>
      </c>
      <c r="I177" s="194">
        <v>362247028.43000001</v>
      </c>
      <c r="J177" s="194">
        <v>17350854.300000001</v>
      </c>
      <c r="K177" s="194">
        <v>3302175.92</v>
      </c>
      <c r="L177" s="194">
        <v>-739735.92</v>
      </c>
      <c r="M177" s="194">
        <v>0</v>
      </c>
      <c r="N177" s="194">
        <v>19913294.280000001</v>
      </c>
    </row>
    <row r="178" spans="1:14">
      <c r="A178" s="193"/>
      <c r="B178" s="193" t="s">
        <v>138</v>
      </c>
      <c r="C178" s="193"/>
      <c r="D178" s="193"/>
      <c r="E178" s="193"/>
      <c r="F178" s="194">
        <v>-653737.1</v>
      </c>
      <c r="G178" s="194">
        <v>0</v>
      </c>
      <c r="H178" s="194">
        <v>673047.5</v>
      </c>
      <c r="I178" s="194">
        <v>19310.400000000001</v>
      </c>
      <c r="J178" s="194">
        <v>-34276.559999999998</v>
      </c>
      <c r="K178" s="194">
        <v>0</v>
      </c>
      <c r="L178" s="194">
        <v>37013.14</v>
      </c>
      <c r="M178" s="194">
        <v>0</v>
      </c>
      <c r="N178" s="194">
        <v>2736.58</v>
      </c>
    </row>
    <row r="179" spans="1:14">
      <c r="A179" s="193"/>
      <c r="B179" s="193" t="s">
        <v>139</v>
      </c>
      <c r="C179" s="193"/>
      <c r="D179" s="193"/>
      <c r="E179" s="193"/>
      <c r="F179" s="194">
        <v>-53335076.640000001</v>
      </c>
      <c r="G179" s="194">
        <v>-1982204.97</v>
      </c>
      <c r="H179" s="194">
        <v>6425159.0899999999</v>
      </c>
      <c r="I179" s="194">
        <v>-48892122.520000003</v>
      </c>
      <c r="J179" s="194">
        <v>-2936745.18</v>
      </c>
      <c r="K179" s="194">
        <v>-109021.29</v>
      </c>
      <c r="L179" s="194">
        <v>353641.53</v>
      </c>
      <c r="M179" s="194">
        <v>0</v>
      </c>
      <c r="N179" s="194">
        <v>-2692124.91</v>
      </c>
    </row>
    <row r="180" spans="1:14">
      <c r="A180" s="193"/>
      <c r="B180" s="193" t="s">
        <v>140</v>
      </c>
      <c r="C180" s="193"/>
      <c r="D180" s="193"/>
      <c r="E180" s="193"/>
      <c r="F180" s="194">
        <v>-311313.43</v>
      </c>
      <c r="G180" s="194">
        <v>0</v>
      </c>
      <c r="H180" s="194">
        <v>49875.27</v>
      </c>
      <c r="I180" s="194">
        <v>-261438.16</v>
      </c>
      <c r="J180" s="194">
        <v>-17111.02</v>
      </c>
      <c r="K180" s="194">
        <v>0</v>
      </c>
      <c r="L180" s="194">
        <v>2742.29</v>
      </c>
      <c r="M180" s="194">
        <v>0</v>
      </c>
      <c r="N180" s="194">
        <v>-14368.73</v>
      </c>
    </row>
    <row r="181" spans="1:14">
      <c r="A181" s="193"/>
      <c r="B181" s="193" t="s">
        <v>141</v>
      </c>
      <c r="C181" s="193"/>
      <c r="D181" s="193"/>
      <c r="E181" s="193"/>
      <c r="F181" s="194">
        <v>-36754662.960000001</v>
      </c>
      <c r="G181" s="194">
        <v>-4000000</v>
      </c>
      <c r="H181" s="194">
        <v>4239263.08</v>
      </c>
      <c r="I181" s="194">
        <v>-36515399.880000003</v>
      </c>
      <c r="J181" s="194">
        <v>-2021506.44</v>
      </c>
      <c r="K181" s="194">
        <v>-220000</v>
      </c>
      <c r="L181" s="194">
        <v>233159.48</v>
      </c>
      <c r="M181" s="194">
        <v>0</v>
      </c>
      <c r="N181" s="194">
        <v>-2008346.95</v>
      </c>
    </row>
    <row r="182" spans="1:14">
      <c r="A182" s="193"/>
      <c r="B182" s="193" t="s">
        <v>142</v>
      </c>
      <c r="C182" s="193"/>
      <c r="D182" s="193"/>
      <c r="E182" s="193"/>
      <c r="F182" s="194">
        <v>-5683222.3399999999</v>
      </c>
      <c r="G182" s="194">
        <v>0</v>
      </c>
      <c r="H182" s="194">
        <v>398241.8</v>
      </c>
      <c r="I182" s="194">
        <v>-5284980.54</v>
      </c>
      <c r="J182" s="194">
        <v>-312577.27</v>
      </c>
      <c r="K182" s="194">
        <v>0</v>
      </c>
      <c r="L182" s="194">
        <v>21903.3</v>
      </c>
      <c r="M182" s="194">
        <v>0</v>
      </c>
      <c r="N182" s="194">
        <v>-290673.96999999997</v>
      </c>
    </row>
    <row r="183" spans="1:14">
      <c r="A183" s="193"/>
      <c r="B183" s="193" t="s">
        <v>143</v>
      </c>
      <c r="C183" s="193"/>
      <c r="D183" s="193"/>
      <c r="E183" s="193"/>
      <c r="F183" s="194">
        <v>-6418446.2999999998</v>
      </c>
      <c r="G183" s="194">
        <v>0</v>
      </c>
      <c r="H183" s="194">
        <v>3548254.95</v>
      </c>
      <c r="I183" s="194">
        <v>-2870191.35</v>
      </c>
      <c r="J183" s="194">
        <v>-353014.55</v>
      </c>
      <c r="K183" s="194">
        <v>0</v>
      </c>
      <c r="L183" s="194">
        <v>195154.03</v>
      </c>
      <c r="M183" s="194">
        <v>0</v>
      </c>
      <c r="N183" s="194">
        <v>-157860.51999999999</v>
      </c>
    </row>
    <row r="184" spans="1:14">
      <c r="A184" s="193"/>
      <c r="B184" s="193" t="s">
        <v>144</v>
      </c>
      <c r="C184" s="193"/>
      <c r="D184" s="193"/>
      <c r="E184" s="193"/>
      <c r="F184" s="194">
        <v>-367007155.97000003</v>
      </c>
      <c r="G184" s="194">
        <v>-53425905</v>
      </c>
      <c r="H184" s="194">
        <v>125421606.91</v>
      </c>
      <c r="I184" s="194">
        <v>-295011454.06</v>
      </c>
      <c r="J184" s="194">
        <v>-20185393.57</v>
      </c>
      <c r="K184" s="194">
        <v>-2938424.77</v>
      </c>
      <c r="L184" s="194">
        <v>6898188.3700000001</v>
      </c>
      <c r="M184" s="194">
        <v>0</v>
      </c>
      <c r="N184" s="194">
        <v>-16225629.970000001</v>
      </c>
    </row>
    <row r="185" spans="1:14">
      <c r="A185" s="193"/>
      <c r="B185" s="193" t="s">
        <v>145</v>
      </c>
      <c r="C185" s="193"/>
      <c r="D185" s="193"/>
      <c r="E185" s="193"/>
      <c r="F185" s="194">
        <v>0</v>
      </c>
      <c r="G185" s="194">
        <v>0</v>
      </c>
      <c r="H185" s="194">
        <v>0</v>
      </c>
      <c r="I185" s="194">
        <v>0</v>
      </c>
      <c r="J185" s="194">
        <v>0</v>
      </c>
      <c r="K185" s="194">
        <v>0</v>
      </c>
      <c r="L185" s="194">
        <v>0</v>
      </c>
      <c r="M185" s="194">
        <v>0</v>
      </c>
      <c r="N185" s="194">
        <v>0</v>
      </c>
    </row>
    <row r="186" spans="1:14">
      <c r="A186" s="193"/>
      <c r="B186" s="193" t="s">
        <v>146</v>
      </c>
      <c r="C186" s="193"/>
      <c r="D186" s="193"/>
      <c r="E186" s="193"/>
      <c r="F186" s="194">
        <v>62709845.299999997</v>
      </c>
      <c r="G186" s="194">
        <v>0</v>
      </c>
      <c r="H186" s="194">
        <v>-6612372.6799999997</v>
      </c>
      <c r="I186" s="194">
        <v>56097472.619999997</v>
      </c>
      <c r="J186" s="194">
        <v>3449041.58</v>
      </c>
      <c r="K186" s="194">
        <v>0</v>
      </c>
      <c r="L186" s="194">
        <v>-363680.53</v>
      </c>
      <c r="M186" s="194">
        <v>0</v>
      </c>
      <c r="N186" s="194">
        <v>3085361.05</v>
      </c>
    </row>
    <row r="187" spans="1:14">
      <c r="A187" s="193"/>
      <c r="B187" s="193" t="s">
        <v>147</v>
      </c>
      <c r="C187" s="193"/>
      <c r="D187" s="193"/>
      <c r="E187" s="193"/>
      <c r="F187" s="194">
        <v>-7188707.0700000003</v>
      </c>
      <c r="G187" s="194">
        <v>0</v>
      </c>
      <c r="H187" s="194">
        <v>823683.48</v>
      </c>
      <c r="I187" s="194">
        <v>-6365023.5899999999</v>
      </c>
      <c r="J187" s="194">
        <v>-395378.88</v>
      </c>
      <c r="K187" s="194">
        <v>0</v>
      </c>
      <c r="L187" s="194">
        <v>45302.58</v>
      </c>
      <c r="M187" s="194">
        <v>0</v>
      </c>
      <c r="N187" s="194">
        <v>-350076.3</v>
      </c>
    </row>
    <row r="188" spans="1:14">
      <c r="A188" s="193"/>
      <c r="B188" s="193" t="s">
        <v>148</v>
      </c>
      <c r="C188" s="193"/>
      <c r="D188" s="193"/>
      <c r="E188" s="193"/>
      <c r="F188" s="194">
        <v>82061.78</v>
      </c>
      <c r="G188" s="194">
        <v>0</v>
      </c>
      <c r="H188" s="194">
        <v>-8390.2099999999991</v>
      </c>
      <c r="I188" s="194">
        <v>73671.570000000007</v>
      </c>
      <c r="J188" s="194">
        <v>4513.3999999999996</v>
      </c>
      <c r="K188" s="194">
        <v>0</v>
      </c>
      <c r="L188" s="194">
        <v>-461.47</v>
      </c>
      <c r="M188" s="194">
        <v>0</v>
      </c>
      <c r="N188" s="194">
        <v>4051.93</v>
      </c>
    </row>
    <row r="189" spans="1:14">
      <c r="A189" s="193"/>
      <c r="B189" s="193" t="s">
        <v>238</v>
      </c>
      <c r="C189" s="193"/>
      <c r="D189" s="193"/>
      <c r="E189" s="193"/>
      <c r="F189" s="194">
        <v>-6755.03</v>
      </c>
      <c r="G189" s="194">
        <v>0</v>
      </c>
      <c r="H189" s="194">
        <v>1929.98</v>
      </c>
      <c r="I189" s="194">
        <v>-4825.05</v>
      </c>
      <c r="J189" s="194">
        <v>-371.52</v>
      </c>
      <c r="K189" s="194">
        <v>0</v>
      </c>
      <c r="L189" s="194">
        <v>106.15</v>
      </c>
      <c r="M189" s="194">
        <v>0</v>
      </c>
      <c r="N189" s="194">
        <v>-265.37</v>
      </c>
    </row>
    <row r="190" spans="1:14">
      <c r="A190" s="193"/>
      <c r="B190" s="193" t="s">
        <v>239</v>
      </c>
      <c r="C190" s="193"/>
      <c r="D190" s="193"/>
      <c r="E190" s="193"/>
      <c r="F190" s="194">
        <v>199725.88</v>
      </c>
      <c r="G190" s="194">
        <v>0</v>
      </c>
      <c r="H190" s="194">
        <v>-58085.24</v>
      </c>
      <c r="I190" s="194">
        <v>141640.64000000001</v>
      </c>
      <c r="J190" s="194">
        <v>10984.92</v>
      </c>
      <c r="K190" s="194">
        <v>0</v>
      </c>
      <c r="L190" s="194">
        <v>-3194.69</v>
      </c>
      <c r="M190" s="194">
        <v>0</v>
      </c>
      <c r="N190" s="194">
        <v>7790.23</v>
      </c>
    </row>
    <row r="191" spans="1:14">
      <c r="A191" s="193"/>
      <c r="B191" s="193" t="s">
        <v>240</v>
      </c>
      <c r="C191" s="193"/>
      <c r="D191" s="193"/>
      <c r="E191" s="193"/>
      <c r="F191" s="194">
        <v>284867097.81999999</v>
      </c>
      <c r="G191" s="194">
        <v>52769486.530000001</v>
      </c>
      <c r="H191" s="194">
        <v>-37306251.619999997</v>
      </c>
      <c r="I191" s="194">
        <v>300330332.73000002</v>
      </c>
      <c r="J191" s="194">
        <v>15667690.449999999</v>
      </c>
      <c r="K191" s="194">
        <v>2902321.75</v>
      </c>
      <c r="L191" s="194">
        <v>-2051843.86</v>
      </c>
      <c r="M191" s="194">
        <v>0</v>
      </c>
      <c r="N191" s="194">
        <v>16518168.33</v>
      </c>
    </row>
    <row r="192" spans="1:14">
      <c r="A192" s="193"/>
      <c r="B192" s="200" t="s">
        <v>308</v>
      </c>
      <c r="C192" s="193" t="s">
        <v>52</v>
      </c>
      <c r="D192" s="193"/>
      <c r="E192" s="193"/>
      <c r="F192" s="194">
        <v>-129500346.06</v>
      </c>
      <c r="G192" s="194">
        <v>-6638623.4400000004</v>
      </c>
      <c r="H192" s="194">
        <v>97595962.310000002</v>
      </c>
      <c r="I192" s="194">
        <v>-38543007.189999998</v>
      </c>
      <c r="J192" s="194">
        <v>-7124144.6399999997</v>
      </c>
      <c r="K192" s="194">
        <v>-365124.31</v>
      </c>
      <c r="L192" s="194">
        <v>5368030.32</v>
      </c>
      <c r="M192" s="194">
        <v>0</v>
      </c>
      <c r="N192" s="194">
        <v>-2121238.6</v>
      </c>
    </row>
    <row r="193" spans="1:14">
      <c r="A193" s="193"/>
      <c r="B193" s="193" t="s">
        <v>149</v>
      </c>
      <c r="C193" s="193"/>
      <c r="D193" s="193"/>
      <c r="E193" s="193"/>
      <c r="F193" s="194">
        <v>11431.27</v>
      </c>
      <c r="G193" s="194">
        <v>0</v>
      </c>
      <c r="H193" s="194">
        <v>-1592.58</v>
      </c>
      <c r="I193" s="194">
        <v>9838.69</v>
      </c>
      <c r="J193" s="194">
        <v>0</v>
      </c>
      <c r="K193" s="194">
        <v>0</v>
      </c>
      <c r="L193" s="194">
        <v>0</v>
      </c>
      <c r="M193" s="194">
        <v>0</v>
      </c>
      <c r="N193" s="194">
        <v>0</v>
      </c>
    </row>
    <row r="194" spans="1:14">
      <c r="A194" s="193"/>
      <c r="B194" s="193" t="s">
        <v>150</v>
      </c>
      <c r="C194" s="193"/>
      <c r="D194" s="193"/>
      <c r="E194" s="193"/>
      <c r="F194" s="194">
        <v>70856.91</v>
      </c>
      <c r="G194" s="194">
        <v>0</v>
      </c>
      <c r="H194" s="194">
        <v>-783.17</v>
      </c>
      <c r="I194" s="194">
        <v>70073.740000000005</v>
      </c>
      <c r="J194" s="194">
        <v>0</v>
      </c>
      <c r="K194" s="194">
        <v>0</v>
      </c>
      <c r="L194" s="194">
        <v>0</v>
      </c>
      <c r="M194" s="194">
        <v>0</v>
      </c>
      <c r="N194" s="194">
        <v>0</v>
      </c>
    </row>
    <row r="195" spans="1:14">
      <c r="A195" s="193"/>
      <c r="B195" s="193"/>
      <c r="C195" s="193" t="s">
        <v>52</v>
      </c>
      <c r="D195" s="193"/>
      <c r="E195" s="193"/>
      <c r="F195" s="194">
        <v>82288.179999999993</v>
      </c>
      <c r="G195" s="194">
        <v>0</v>
      </c>
      <c r="H195" s="194">
        <v>-2375.75</v>
      </c>
      <c r="I195" s="194">
        <v>79912.429999999993</v>
      </c>
      <c r="J195" s="194">
        <v>0</v>
      </c>
      <c r="K195" s="194">
        <v>0</v>
      </c>
      <c r="L195" s="194">
        <v>0</v>
      </c>
      <c r="M195" s="194">
        <v>0</v>
      </c>
      <c r="N195" s="194">
        <v>0</v>
      </c>
    </row>
    <row r="196" spans="1:14">
      <c r="A196" s="193"/>
      <c r="B196" s="193" t="s">
        <v>151</v>
      </c>
      <c r="C196" s="193"/>
      <c r="D196" s="193"/>
      <c r="E196" s="193"/>
      <c r="F196" s="194">
        <v>448863.32</v>
      </c>
      <c r="G196" s="194">
        <v>0</v>
      </c>
      <c r="H196" s="194">
        <v>-49255.16</v>
      </c>
      <c r="I196" s="194">
        <v>399608.16</v>
      </c>
      <c r="J196" s="194">
        <v>0</v>
      </c>
      <c r="K196" s="194">
        <v>0</v>
      </c>
      <c r="L196" s="194">
        <v>0</v>
      </c>
      <c r="M196" s="194">
        <v>0</v>
      </c>
      <c r="N196" s="194">
        <v>0</v>
      </c>
    </row>
    <row r="197" spans="1:14">
      <c r="A197" s="193"/>
      <c r="B197" s="193" t="s">
        <v>152</v>
      </c>
      <c r="C197" s="193"/>
      <c r="D197" s="193"/>
      <c r="E197" s="193"/>
      <c r="F197" s="194">
        <v>66049397.149999999</v>
      </c>
      <c r="G197" s="194">
        <v>89199.22</v>
      </c>
      <c r="H197" s="194">
        <v>-3018075.47</v>
      </c>
      <c r="I197" s="194">
        <v>63120520.899999999</v>
      </c>
      <c r="J197" s="194">
        <v>0</v>
      </c>
      <c r="K197" s="194">
        <v>0</v>
      </c>
      <c r="L197" s="194">
        <v>0</v>
      </c>
      <c r="M197" s="194">
        <v>0</v>
      </c>
      <c r="N197" s="194">
        <v>0</v>
      </c>
    </row>
    <row r="198" spans="1:14">
      <c r="A198" s="193"/>
      <c r="B198" s="193" t="s">
        <v>153</v>
      </c>
      <c r="C198" s="193"/>
      <c r="D198" s="193"/>
      <c r="E198" s="193"/>
      <c r="F198" s="194">
        <v>10396.780000000001</v>
      </c>
      <c r="G198" s="194">
        <v>0</v>
      </c>
      <c r="H198" s="194">
        <v>-2370.83</v>
      </c>
      <c r="I198" s="194">
        <v>8025.95</v>
      </c>
      <c r="J198" s="194">
        <v>0</v>
      </c>
      <c r="K198" s="194">
        <v>0</v>
      </c>
      <c r="L198" s="194">
        <v>0</v>
      </c>
      <c r="M198" s="194">
        <v>0</v>
      </c>
      <c r="N198" s="194">
        <v>0</v>
      </c>
    </row>
    <row r="199" spans="1:14">
      <c r="A199" s="193"/>
      <c r="B199" s="193" t="s">
        <v>154</v>
      </c>
      <c r="C199" s="193"/>
      <c r="D199" s="193"/>
      <c r="E199" s="193"/>
      <c r="F199" s="194">
        <v>43072.65</v>
      </c>
      <c r="G199" s="194">
        <v>0</v>
      </c>
      <c r="H199" s="194">
        <v>-2643.25</v>
      </c>
      <c r="I199" s="194">
        <v>40429.4</v>
      </c>
      <c r="J199" s="194">
        <v>0</v>
      </c>
      <c r="K199" s="194">
        <v>0</v>
      </c>
      <c r="L199" s="194">
        <v>0</v>
      </c>
      <c r="M199" s="194">
        <v>0</v>
      </c>
      <c r="N199" s="194">
        <v>0</v>
      </c>
    </row>
    <row r="200" spans="1:14">
      <c r="A200" s="193"/>
      <c r="B200" s="193" t="s">
        <v>155</v>
      </c>
      <c r="C200" s="193"/>
      <c r="D200" s="193"/>
      <c r="E200" s="193"/>
      <c r="F200" s="194">
        <v>68264.240000000005</v>
      </c>
      <c r="G200" s="194">
        <v>0</v>
      </c>
      <c r="H200" s="194">
        <v>-11077.07</v>
      </c>
      <c r="I200" s="194">
        <v>57187.17</v>
      </c>
      <c r="J200" s="194">
        <v>0</v>
      </c>
      <c r="K200" s="194">
        <v>0</v>
      </c>
      <c r="L200" s="194">
        <v>0</v>
      </c>
      <c r="M200" s="194">
        <v>0</v>
      </c>
      <c r="N200" s="194">
        <v>0</v>
      </c>
    </row>
    <row r="201" spans="1:14">
      <c r="A201" s="193"/>
      <c r="B201" s="193"/>
      <c r="C201" s="193" t="s">
        <v>52</v>
      </c>
      <c r="D201" s="193"/>
      <c r="E201" s="193"/>
      <c r="F201" s="194">
        <v>66619994.140000001</v>
      </c>
      <c r="G201" s="194">
        <v>89199.22</v>
      </c>
      <c r="H201" s="194">
        <v>-3083421.78</v>
      </c>
      <c r="I201" s="194">
        <v>63625771.579999998</v>
      </c>
      <c r="J201" s="194">
        <v>0</v>
      </c>
      <c r="K201" s="194">
        <v>0</v>
      </c>
      <c r="L201" s="194">
        <v>0</v>
      </c>
      <c r="M201" s="194">
        <v>0</v>
      </c>
      <c r="N201" s="194">
        <v>0</v>
      </c>
    </row>
    <row r="202" spans="1:14">
      <c r="A202" s="193" t="s">
        <v>80</v>
      </c>
      <c r="B202" s="193"/>
      <c r="C202" s="193"/>
      <c r="D202" s="193"/>
      <c r="E202" s="193"/>
      <c r="F202" s="194">
        <v>1747767425.97</v>
      </c>
      <c r="G202" s="194">
        <v>107339785.19</v>
      </c>
      <c r="H202" s="194">
        <v>41603780.740000002</v>
      </c>
      <c r="I202" s="194">
        <v>1896710991.9000001</v>
      </c>
      <c r="J202" s="194">
        <v>92483145.459999993</v>
      </c>
      <c r="K202" s="194">
        <v>5898782.2199999997</v>
      </c>
      <c r="L202" s="194">
        <v>2466211.35</v>
      </c>
      <c r="M202" s="194">
        <v>0</v>
      </c>
      <c r="N202" s="194">
        <v>100848139.04000001</v>
      </c>
    </row>
    <row r="203" spans="1:14">
      <c r="A203" s="195"/>
      <c r="B203" s="195" t="s">
        <v>124</v>
      </c>
      <c r="C203" s="195"/>
      <c r="D203" s="195"/>
      <c r="E203" s="195"/>
      <c r="F203" s="196">
        <v>-24154026.079999998</v>
      </c>
      <c r="G203" s="196">
        <v>-4215101.2699999996</v>
      </c>
      <c r="H203" s="196">
        <v>-0.09</v>
      </c>
      <c r="I203" s="196">
        <v>-28369127.440000001</v>
      </c>
      <c r="J203" s="196">
        <v>-1327969.1599999999</v>
      </c>
      <c r="K203" s="196">
        <v>-231830.57</v>
      </c>
      <c r="L203" s="196">
        <v>0</v>
      </c>
      <c r="M203" s="196">
        <v>0</v>
      </c>
      <c r="N203" s="196">
        <v>-1559799.73</v>
      </c>
    </row>
    <row r="204" spans="1:14">
      <c r="A204" s="195"/>
      <c r="B204" s="195" t="s">
        <v>125</v>
      </c>
      <c r="C204" s="195"/>
      <c r="D204" s="195"/>
      <c r="E204" s="195"/>
      <c r="F204" s="196">
        <v>-10055.84</v>
      </c>
      <c r="G204" s="196">
        <v>0</v>
      </c>
      <c r="H204" s="196">
        <v>-51.67</v>
      </c>
      <c r="I204" s="196">
        <v>-10107.51</v>
      </c>
      <c r="J204" s="196">
        <v>-553</v>
      </c>
      <c r="K204" s="196">
        <v>0</v>
      </c>
      <c r="L204" s="196">
        <v>-2.84</v>
      </c>
      <c r="M204" s="196">
        <v>0</v>
      </c>
      <c r="N204" s="196">
        <v>-555.84</v>
      </c>
    </row>
    <row r="205" spans="1:14">
      <c r="A205" s="195"/>
      <c r="B205" s="195" t="s">
        <v>126</v>
      </c>
      <c r="C205" s="195"/>
      <c r="D205" s="195"/>
      <c r="E205" s="195"/>
      <c r="F205" s="196">
        <v>2094662.58</v>
      </c>
      <c r="G205" s="196">
        <v>8.5500000000000007</v>
      </c>
      <c r="H205" s="196">
        <v>-478859.4</v>
      </c>
      <c r="I205" s="196">
        <v>1615811.73</v>
      </c>
      <c r="J205" s="196">
        <v>115024.68</v>
      </c>
      <c r="K205" s="196">
        <v>0.47</v>
      </c>
      <c r="L205" s="196">
        <v>-26305.85</v>
      </c>
      <c r="M205" s="196">
        <v>0</v>
      </c>
      <c r="N205" s="196">
        <v>88719.3</v>
      </c>
    </row>
    <row r="206" spans="1:14">
      <c r="A206" s="195"/>
      <c r="B206" s="195" t="s">
        <v>127</v>
      </c>
      <c r="C206" s="195"/>
      <c r="D206" s="195"/>
      <c r="E206" s="195"/>
      <c r="F206" s="196">
        <v>412731819.56</v>
      </c>
      <c r="G206" s="196">
        <v>1115424</v>
      </c>
      <c r="H206" s="196">
        <v>-14711298.109999999</v>
      </c>
      <c r="I206" s="196">
        <v>399135945.44999999</v>
      </c>
      <c r="J206" s="196">
        <v>22718630.93</v>
      </c>
      <c r="K206" s="196">
        <v>61348.32</v>
      </c>
      <c r="L206" s="196">
        <v>-809121.41</v>
      </c>
      <c r="M206" s="196">
        <v>0</v>
      </c>
      <c r="N206" s="196">
        <v>21970857.84</v>
      </c>
    </row>
    <row r="207" spans="1:14">
      <c r="A207" s="195"/>
      <c r="B207" s="195"/>
      <c r="C207" s="195" t="s">
        <v>52</v>
      </c>
      <c r="D207" s="195"/>
      <c r="E207" s="195"/>
      <c r="F207" s="196">
        <v>390662400.22000003</v>
      </c>
      <c r="G207" s="196">
        <v>-3099668.73</v>
      </c>
      <c r="H207" s="196">
        <v>-15190209.26</v>
      </c>
      <c r="I207" s="196">
        <v>372372522.23000002</v>
      </c>
      <c r="J207" s="196">
        <v>21505133.449999999</v>
      </c>
      <c r="K207" s="196">
        <v>-170481.78</v>
      </c>
      <c r="L207" s="196">
        <v>-835430.1</v>
      </c>
      <c r="M207" s="196">
        <v>0</v>
      </c>
      <c r="N207" s="196">
        <v>20499221.57</v>
      </c>
    </row>
    <row r="208" spans="1:14">
      <c r="A208" s="195"/>
      <c r="B208" s="195" t="s">
        <v>133</v>
      </c>
      <c r="C208" s="195"/>
      <c r="D208" s="195"/>
      <c r="E208" s="195"/>
      <c r="F208" s="196">
        <v>-564757.1</v>
      </c>
      <c r="G208" s="196">
        <v>0</v>
      </c>
      <c r="H208" s="196">
        <v>-7897.09</v>
      </c>
      <c r="I208" s="196">
        <v>-572654.18999999994</v>
      </c>
      <c r="J208" s="196">
        <v>-31268.77</v>
      </c>
      <c r="K208" s="196">
        <v>0</v>
      </c>
      <c r="L208" s="196">
        <v>-290.32</v>
      </c>
      <c r="M208" s="196">
        <v>0</v>
      </c>
      <c r="N208" s="196">
        <v>-31559.09</v>
      </c>
    </row>
    <row r="209" spans="1:14">
      <c r="A209" s="195"/>
      <c r="B209" s="195" t="s">
        <v>134</v>
      </c>
      <c r="C209" s="195"/>
      <c r="D209" s="195"/>
      <c r="E209" s="195"/>
      <c r="F209" s="196">
        <v>6858375.71</v>
      </c>
      <c r="G209" s="196">
        <v>438.04</v>
      </c>
      <c r="H209" s="196">
        <v>-296401.15999999997</v>
      </c>
      <c r="I209" s="196">
        <v>6562412.5899999999</v>
      </c>
      <c r="J209" s="196">
        <v>377127.96</v>
      </c>
      <c r="K209" s="196">
        <v>24.09</v>
      </c>
      <c r="L209" s="196">
        <v>-16242.45</v>
      </c>
      <c r="M209" s="196">
        <v>0</v>
      </c>
      <c r="N209" s="196">
        <v>360909.6</v>
      </c>
    </row>
    <row r="210" spans="1:14">
      <c r="A210" s="195"/>
      <c r="B210" s="195" t="s">
        <v>135</v>
      </c>
      <c r="C210" s="195"/>
      <c r="D210" s="195"/>
      <c r="E210" s="195"/>
      <c r="F210" s="196">
        <v>33658.47</v>
      </c>
      <c r="G210" s="196">
        <v>0</v>
      </c>
      <c r="H210" s="196">
        <v>-7413.92</v>
      </c>
      <c r="I210" s="196">
        <v>26244.55</v>
      </c>
      <c r="J210" s="196">
        <v>1701.63</v>
      </c>
      <c r="K210" s="196">
        <v>0</v>
      </c>
      <c r="L210" s="196">
        <v>-375.17</v>
      </c>
      <c r="M210" s="196">
        <v>0</v>
      </c>
      <c r="N210" s="196">
        <v>1326.46</v>
      </c>
    </row>
    <row r="211" spans="1:14">
      <c r="A211" s="195"/>
      <c r="B211" s="195" t="s">
        <v>137</v>
      </c>
      <c r="C211" s="195"/>
      <c r="D211" s="195"/>
      <c r="E211" s="195"/>
      <c r="F211" s="196">
        <v>-1086.8499999999999</v>
      </c>
      <c r="G211" s="196">
        <v>0</v>
      </c>
      <c r="H211" s="196">
        <v>43.09</v>
      </c>
      <c r="I211" s="196">
        <v>-1043.76</v>
      </c>
      <c r="J211" s="196">
        <v>-59.78</v>
      </c>
      <c r="K211" s="196">
        <v>0</v>
      </c>
      <c r="L211" s="196">
        <v>2.37</v>
      </c>
      <c r="M211" s="196">
        <v>0</v>
      </c>
      <c r="N211" s="196">
        <v>-57.41</v>
      </c>
    </row>
    <row r="212" spans="1:14">
      <c r="A212" s="195"/>
      <c r="B212" s="200" t="s">
        <v>307</v>
      </c>
      <c r="C212" s="195" t="s">
        <v>52</v>
      </c>
      <c r="D212" s="195"/>
      <c r="E212" s="195"/>
      <c r="F212" s="196">
        <v>6326190.2300000004</v>
      </c>
      <c r="G212" s="196">
        <v>438.04</v>
      </c>
      <c r="H212" s="196">
        <v>-311669.08</v>
      </c>
      <c r="I212" s="196">
        <v>6014959.1900000004</v>
      </c>
      <c r="J212" s="196">
        <v>347501.04</v>
      </c>
      <c r="K212" s="196">
        <v>24.09</v>
      </c>
      <c r="L212" s="196">
        <v>-16905.57</v>
      </c>
      <c r="M212" s="196">
        <v>0</v>
      </c>
      <c r="N212" s="196">
        <v>330619.56</v>
      </c>
    </row>
    <row r="213" spans="1:14">
      <c r="A213" s="195"/>
      <c r="B213" s="195" t="s">
        <v>138</v>
      </c>
      <c r="C213" s="195"/>
      <c r="D213" s="195"/>
      <c r="E213" s="195"/>
      <c r="F213" s="196">
        <v>-34771.29</v>
      </c>
      <c r="G213" s="196">
        <v>0</v>
      </c>
      <c r="H213" s="196">
        <v>7251.87</v>
      </c>
      <c r="I213" s="196">
        <v>-27519.42</v>
      </c>
      <c r="J213" s="196">
        <v>-1274.95</v>
      </c>
      <c r="K213" s="196">
        <v>0</v>
      </c>
      <c r="L213" s="196">
        <v>265.89999999999998</v>
      </c>
      <c r="M213" s="196">
        <v>0</v>
      </c>
      <c r="N213" s="196">
        <v>-1009.05</v>
      </c>
    </row>
    <row r="214" spans="1:14">
      <c r="A214" s="195"/>
      <c r="B214" s="195" t="s">
        <v>139</v>
      </c>
      <c r="C214" s="195"/>
      <c r="D214" s="195"/>
      <c r="E214" s="195"/>
      <c r="F214" s="196">
        <v>-96096.94</v>
      </c>
      <c r="G214" s="196">
        <v>-17795.03</v>
      </c>
      <c r="H214" s="196">
        <v>30730.38</v>
      </c>
      <c r="I214" s="196">
        <v>-83161.59</v>
      </c>
      <c r="J214" s="196">
        <v>-5285.33</v>
      </c>
      <c r="K214" s="196">
        <v>-978.73</v>
      </c>
      <c r="L214" s="196">
        <v>1690.17</v>
      </c>
      <c r="M214" s="196">
        <v>0</v>
      </c>
      <c r="N214" s="196">
        <v>-4573.8900000000003</v>
      </c>
    </row>
    <row r="215" spans="1:14">
      <c r="A215" s="195"/>
      <c r="B215" s="195" t="s">
        <v>140</v>
      </c>
      <c r="C215" s="195"/>
      <c r="D215" s="195"/>
      <c r="E215" s="195"/>
      <c r="F215" s="196">
        <v>-67.599999999999994</v>
      </c>
      <c r="G215" s="196">
        <v>0</v>
      </c>
      <c r="H215" s="196">
        <v>23.19</v>
      </c>
      <c r="I215" s="196">
        <v>-44.41</v>
      </c>
      <c r="J215" s="196">
        <v>-3.72</v>
      </c>
      <c r="K215" s="196">
        <v>0</v>
      </c>
      <c r="L215" s="196">
        <v>1.28</v>
      </c>
      <c r="M215" s="196">
        <v>0</v>
      </c>
      <c r="N215" s="196">
        <v>-2.44</v>
      </c>
    </row>
    <row r="216" spans="1:14">
      <c r="A216" s="195"/>
      <c r="B216" s="195" t="s">
        <v>145</v>
      </c>
      <c r="C216" s="195"/>
      <c r="D216" s="195"/>
      <c r="E216" s="195"/>
      <c r="F216" s="196">
        <v>0</v>
      </c>
      <c r="G216" s="196">
        <v>0</v>
      </c>
      <c r="H216" s="196">
        <v>0</v>
      </c>
      <c r="I216" s="196">
        <v>0</v>
      </c>
      <c r="J216" s="196">
        <v>0</v>
      </c>
      <c r="K216" s="196">
        <v>0</v>
      </c>
      <c r="L216" s="196">
        <v>0</v>
      </c>
      <c r="M216" s="196">
        <v>0</v>
      </c>
      <c r="N216" s="196">
        <v>0</v>
      </c>
    </row>
    <row r="217" spans="1:14">
      <c r="A217" s="195"/>
      <c r="B217" s="195" t="s">
        <v>148</v>
      </c>
      <c r="C217" s="195"/>
      <c r="D217" s="195"/>
      <c r="E217" s="195"/>
      <c r="F217" s="196">
        <v>0</v>
      </c>
      <c r="G217" s="196">
        <v>0</v>
      </c>
      <c r="H217" s="196">
        <v>0</v>
      </c>
      <c r="I217" s="196">
        <v>0</v>
      </c>
      <c r="J217" s="196">
        <v>0</v>
      </c>
      <c r="K217" s="196">
        <v>0</v>
      </c>
      <c r="L217" s="196">
        <v>0</v>
      </c>
      <c r="M217" s="196">
        <v>0</v>
      </c>
      <c r="N217" s="196">
        <v>0</v>
      </c>
    </row>
    <row r="218" spans="1:14">
      <c r="A218" s="195"/>
      <c r="B218" s="195" t="s">
        <v>240</v>
      </c>
      <c r="C218" s="195"/>
      <c r="D218" s="195"/>
      <c r="E218" s="195"/>
      <c r="F218" s="196">
        <v>1594835</v>
      </c>
      <c r="G218" s="196">
        <v>656418.52</v>
      </c>
      <c r="H218" s="196">
        <v>-503722.3</v>
      </c>
      <c r="I218" s="196">
        <v>1747531.22</v>
      </c>
      <c r="J218" s="196">
        <v>87715.93</v>
      </c>
      <c r="K218" s="196">
        <v>36103.019999999997</v>
      </c>
      <c r="L218" s="196">
        <v>-27704.73</v>
      </c>
      <c r="M218" s="196">
        <v>0</v>
      </c>
      <c r="N218" s="196">
        <v>96114.22</v>
      </c>
    </row>
    <row r="219" spans="1:14">
      <c r="A219" s="195"/>
      <c r="B219" s="200" t="s">
        <v>308</v>
      </c>
      <c r="C219" s="195" t="s">
        <v>52</v>
      </c>
      <c r="D219" s="195"/>
      <c r="E219" s="195"/>
      <c r="F219" s="196">
        <v>1463899.17</v>
      </c>
      <c r="G219" s="196">
        <v>638623.49</v>
      </c>
      <c r="H219" s="196">
        <v>-465716.86</v>
      </c>
      <c r="I219" s="196">
        <v>1636805.8</v>
      </c>
      <c r="J219" s="196">
        <v>81151.929999999993</v>
      </c>
      <c r="K219" s="196">
        <v>35124.29</v>
      </c>
      <c r="L219" s="196">
        <v>-25747.38</v>
      </c>
      <c r="M219" s="196">
        <v>0</v>
      </c>
      <c r="N219" s="196">
        <v>90528.84</v>
      </c>
    </row>
    <row r="220" spans="1:14">
      <c r="A220" s="195"/>
      <c r="B220" s="195" t="s">
        <v>152</v>
      </c>
      <c r="C220" s="195"/>
      <c r="D220" s="195"/>
      <c r="E220" s="195"/>
      <c r="F220" s="196">
        <v>16941399.18</v>
      </c>
      <c r="G220" s="196">
        <v>800.78</v>
      </c>
      <c r="H220" s="196">
        <v>-718638.36</v>
      </c>
      <c r="I220" s="196">
        <v>16223561.6</v>
      </c>
      <c r="J220" s="196">
        <v>0</v>
      </c>
      <c r="K220" s="196">
        <v>0</v>
      </c>
      <c r="L220" s="196">
        <v>0</v>
      </c>
      <c r="M220" s="196">
        <v>0</v>
      </c>
      <c r="N220" s="196">
        <v>0</v>
      </c>
    </row>
    <row r="221" spans="1:14">
      <c r="A221" s="195"/>
      <c r="B221" s="195" t="s">
        <v>153</v>
      </c>
      <c r="C221" s="195"/>
      <c r="D221" s="195"/>
      <c r="E221" s="195"/>
      <c r="F221" s="196">
        <v>0</v>
      </c>
      <c r="G221" s="196">
        <v>0</v>
      </c>
      <c r="H221" s="196">
        <v>0</v>
      </c>
      <c r="I221" s="196">
        <v>0</v>
      </c>
      <c r="J221" s="196">
        <v>0</v>
      </c>
      <c r="K221" s="196">
        <v>0</v>
      </c>
      <c r="L221" s="196">
        <v>0</v>
      </c>
      <c r="M221" s="196">
        <v>0</v>
      </c>
      <c r="N221" s="196">
        <v>0</v>
      </c>
    </row>
    <row r="222" spans="1:14">
      <c r="A222" s="195"/>
      <c r="B222" s="195" t="s">
        <v>155</v>
      </c>
      <c r="C222" s="195"/>
      <c r="D222" s="195"/>
      <c r="E222" s="195"/>
      <c r="F222" s="196">
        <v>0</v>
      </c>
      <c r="G222" s="196">
        <v>0</v>
      </c>
      <c r="H222" s="196">
        <v>0</v>
      </c>
      <c r="I222" s="196">
        <v>0</v>
      </c>
      <c r="J222" s="196">
        <v>0</v>
      </c>
      <c r="K222" s="196">
        <v>0</v>
      </c>
      <c r="L222" s="196">
        <v>0</v>
      </c>
      <c r="M222" s="196">
        <v>0</v>
      </c>
      <c r="N222" s="196">
        <v>0</v>
      </c>
    </row>
    <row r="223" spans="1:14">
      <c r="A223" s="195"/>
      <c r="B223" s="195"/>
      <c r="C223" s="195" t="s">
        <v>52</v>
      </c>
      <c r="D223" s="195"/>
      <c r="E223" s="195"/>
      <c r="F223" s="196">
        <v>16941399.18</v>
      </c>
      <c r="G223" s="196">
        <v>800.78</v>
      </c>
      <c r="H223" s="196">
        <v>-718638.36</v>
      </c>
      <c r="I223" s="196">
        <v>16223561.6</v>
      </c>
      <c r="J223" s="196">
        <v>0</v>
      </c>
      <c r="K223" s="196">
        <v>0</v>
      </c>
      <c r="L223" s="196">
        <v>0</v>
      </c>
      <c r="M223" s="196">
        <v>0</v>
      </c>
      <c r="N223" s="196">
        <v>0</v>
      </c>
    </row>
    <row r="224" spans="1:14">
      <c r="A224" s="195" t="s">
        <v>81</v>
      </c>
      <c r="B224" s="195"/>
      <c r="C224" s="195"/>
      <c r="D224" s="195"/>
      <c r="E224" s="195"/>
      <c r="F224" s="196">
        <v>415393888.80000001</v>
      </c>
      <c r="G224" s="196">
        <v>-2459806.42</v>
      </c>
      <c r="H224" s="196">
        <v>-16686233.560000001</v>
      </c>
      <c r="I224" s="196">
        <v>396247848.81999999</v>
      </c>
      <c r="J224" s="196">
        <v>21933786.420000002</v>
      </c>
      <c r="K224" s="196">
        <v>-135333.4</v>
      </c>
      <c r="L224" s="196">
        <v>-878083.05</v>
      </c>
      <c r="M224" s="196">
        <v>0</v>
      </c>
      <c r="N224" s="196">
        <v>20920369.969999999</v>
      </c>
    </row>
    <row r="225" spans="1:14">
      <c r="A225" s="190" t="s">
        <v>82</v>
      </c>
      <c r="B225" s="190"/>
      <c r="C225" s="190"/>
      <c r="D225" s="190"/>
      <c r="E225" s="190"/>
      <c r="F225" s="192">
        <v>2163161314.77</v>
      </c>
      <c r="G225" s="192">
        <v>104879978.78</v>
      </c>
      <c r="H225" s="192">
        <v>24917547.170000002</v>
      </c>
      <c r="I225" s="192">
        <v>2292958840.7199998</v>
      </c>
      <c r="J225" s="192">
        <v>114416931.88</v>
      </c>
      <c r="K225" s="192">
        <v>5763448.8200000003</v>
      </c>
      <c r="L225" s="192">
        <v>1588128.3</v>
      </c>
      <c r="M225" s="192">
        <v>0</v>
      </c>
      <c r="N225" s="192">
        <v>121768509.01000001</v>
      </c>
    </row>
    <row r="226" spans="1:14">
      <c r="A226" s="190" t="s">
        <v>277</v>
      </c>
      <c r="B226" s="190"/>
      <c r="C226" s="190"/>
      <c r="D226" s="190" t="s">
        <v>294</v>
      </c>
      <c r="E226" s="190"/>
      <c r="F226" s="190"/>
      <c r="G226" s="190"/>
      <c r="H226" s="190"/>
      <c r="I226" s="190"/>
      <c r="J226" s="190"/>
      <c r="K226" s="190"/>
      <c r="L226" s="190"/>
      <c r="M226" s="190"/>
      <c r="N226" s="190"/>
    </row>
    <row r="227" spans="1:14" ht="43.2">
      <c r="A227" s="190"/>
      <c r="B227" s="190"/>
      <c r="C227" s="190"/>
      <c r="D227" s="190"/>
      <c r="E227" s="190"/>
      <c r="F227" s="191" t="s">
        <v>278</v>
      </c>
      <c r="G227" s="190" t="s">
        <v>29</v>
      </c>
      <c r="H227" s="190" t="s">
        <v>47</v>
      </c>
      <c r="I227" s="191" t="s">
        <v>279</v>
      </c>
      <c r="J227" s="191" t="s">
        <v>280</v>
      </c>
      <c r="K227" s="191" t="s">
        <v>281</v>
      </c>
      <c r="L227" s="191" t="s">
        <v>282</v>
      </c>
      <c r="M227" s="191" t="s">
        <v>283</v>
      </c>
      <c r="N227" s="191" t="s">
        <v>284</v>
      </c>
    </row>
    <row r="228" spans="1:14">
      <c r="A228" s="190" t="s">
        <v>285</v>
      </c>
      <c r="B228" s="190"/>
      <c r="C228" s="190"/>
      <c r="D228" s="190">
        <v>2018</v>
      </c>
      <c r="E228" s="190"/>
      <c r="F228" s="190"/>
      <c r="G228" s="190"/>
      <c r="H228" s="190"/>
      <c r="I228" s="190"/>
      <c r="J228" s="190"/>
      <c r="K228" s="190"/>
      <c r="L228" s="190"/>
      <c r="M228" s="190"/>
      <c r="N228" s="190"/>
    </row>
    <row r="229" spans="1:14">
      <c r="A229" s="190"/>
      <c r="B229" s="190" t="s">
        <v>156</v>
      </c>
      <c r="C229" s="190"/>
      <c r="D229" s="190"/>
      <c r="E229" s="190"/>
      <c r="F229" s="192">
        <v>0</v>
      </c>
      <c r="G229" s="192">
        <v>0</v>
      </c>
      <c r="H229" s="192">
        <v>0</v>
      </c>
      <c r="I229" s="192">
        <v>0</v>
      </c>
      <c r="J229" s="192">
        <v>0</v>
      </c>
      <c r="K229" s="192">
        <v>0</v>
      </c>
      <c r="L229" s="192">
        <v>0</v>
      </c>
      <c r="M229" s="192">
        <v>0</v>
      </c>
      <c r="N229" s="192">
        <v>0</v>
      </c>
    </row>
    <row r="230" spans="1:14">
      <c r="A230" s="190"/>
      <c r="B230" s="190"/>
      <c r="C230" s="190" t="s">
        <v>52</v>
      </c>
      <c r="D230" s="190"/>
      <c r="E230" s="190"/>
      <c r="F230" s="192">
        <v>0</v>
      </c>
      <c r="G230" s="192">
        <v>0</v>
      </c>
      <c r="H230" s="192">
        <v>0</v>
      </c>
      <c r="I230" s="192">
        <v>0</v>
      </c>
      <c r="J230" s="192">
        <v>0</v>
      </c>
      <c r="K230" s="192">
        <v>0</v>
      </c>
      <c r="L230" s="192">
        <v>0</v>
      </c>
      <c r="M230" s="192">
        <v>0</v>
      </c>
      <c r="N230" s="192">
        <v>0</v>
      </c>
    </row>
    <row r="231" spans="1:14">
      <c r="A231" s="190"/>
      <c r="B231" s="190" t="s">
        <v>157</v>
      </c>
      <c r="C231" s="190"/>
      <c r="D231" s="190"/>
      <c r="E231" s="190"/>
      <c r="F231" s="192">
        <v>0</v>
      </c>
      <c r="G231" s="192">
        <v>0</v>
      </c>
      <c r="H231" s="192">
        <v>0</v>
      </c>
      <c r="I231" s="192">
        <v>0</v>
      </c>
      <c r="J231" s="192">
        <v>0</v>
      </c>
      <c r="K231" s="192">
        <v>0</v>
      </c>
      <c r="L231" s="192">
        <v>0</v>
      </c>
      <c r="M231" s="192">
        <v>0</v>
      </c>
      <c r="N231" s="192">
        <v>0</v>
      </c>
    </row>
    <row r="232" spans="1:14">
      <c r="A232" s="190"/>
      <c r="B232" s="190" t="s">
        <v>158</v>
      </c>
      <c r="C232" s="190"/>
      <c r="D232" s="190"/>
      <c r="E232" s="190"/>
      <c r="F232" s="192">
        <v>0</v>
      </c>
      <c r="G232" s="192">
        <v>0</v>
      </c>
      <c r="H232" s="192">
        <v>0</v>
      </c>
      <c r="I232" s="192">
        <v>0</v>
      </c>
      <c r="J232" s="192">
        <v>0</v>
      </c>
      <c r="K232" s="192">
        <v>0</v>
      </c>
      <c r="L232" s="192">
        <v>0</v>
      </c>
      <c r="M232" s="192">
        <v>0</v>
      </c>
      <c r="N232" s="192">
        <v>0</v>
      </c>
    </row>
    <row r="233" spans="1:14">
      <c r="A233" s="190"/>
      <c r="B233" s="190" t="s">
        <v>159</v>
      </c>
      <c r="C233" s="190"/>
      <c r="D233" s="190"/>
      <c r="E233" s="190"/>
      <c r="F233" s="192">
        <v>0</v>
      </c>
      <c r="G233" s="192">
        <v>0</v>
      </c>
      <c r="H233" s="192">
        <v>0</v>
      </c>
      <c r="I233" s="192">
        <v>0</v>
      </c>
      <c r="J233" s="192">
        <v>0</v>
      </c>
      <c r="K233" s="192">
        <v>0</v>
      </c>
      <c r="L233" s="192">
        <v>0</v>
      </c>
      <c r="M233" s="192">
        <v>0</v>
      </c>
      <c r="N233" s="192">
        <v>0</v>
      </c>
    </row>
    <row r="234" spans="1:14">
      <c r="A234" s="190"/>
      <c r="B234" s="190"/>
      <c r="C234" s="190" t="s">
        <v>52</v>
      </c>
      <c r="D234" s="190"/>
      <c r="E234" s="190"/>
      <c r="F234" s="192">
        <v>0</v>
      </c>
      <c r="G234" s="192">
        <v>0</v>
      </c>
      <c r="H234" s="192">
        <v>0</v>
      </c>
      <c r="I234" s="192">
        <v>0</v>
      </c>
      <c r="J234" s="192">
        <v>0</v>
      </c>
      <c r="K234" s="192">
        <v>0</v>
      </c>
      <c r="L234" s="192">
        <v>0</v>
      </c>
      <c r="M234" s="192">
        <v>0</v>
      </c>
      <c r="N234" s="192">
        <v>0</v>
      </c>
    </row>
    <row r="235" spans="1:14">
      <c r="A235" s="190"/>
      <c r="B235" s="190" t="s">
        <v>160</v>
      </c>
      <c r="C235" s="190"/>
      <c r="D235" s="190"/>
      <c r="E235" s="190"/>
      <c r="F235" s="192">
        <v>0</v>
      </c>
      <c r="G235" s="192">
        <v>0</v>
      </c>
      <c r="H235" s="192">
        <v>0</v>
      </c>
      <c r="I235" s="192">
        <v>0</v>
      </c>
      <c r="J235" s="192">
        <v>0</v>
      </c>
      <c r="K235" s="192">
        <v>0</v>
      </c>
      <c r="L235" s="192">
        <v>0</v>
      </c>
      <c r="M235" s="192">
        <v>0</v>
      </c>
      <c r="N235" s="192">
        <v>0</v>
      </c>
    </row>
    <row r="236" spans="1:14">
      <c r="A236" s="190"/>
      <c r="B236" s="190" t="s">
        <v>161</v>
      </c>
      <c r="C236" s="190"/>
      <c r="D236" s="190"/>
      <c r="E236" s="190"/>
      <c r="F236" s="192">
        <v>0</v>
      </c>
      <c r="G236" s="192">
        <v>0</v>
      </c>
      <c r="H236" s="192">
        <v>0</v>
      </c>
      <c r="I236" s="192">
        <v>0</v>
      </c>
      <c r="J236" s="192">
        <v>0</v>
      </c>
      <c r="K236" s="192">
        <v>0</v>
      </c>
      <c r="L236" s="192">
        <v>0</v>
      </c>
      <c r="M236" s="192">
        <v>0</v>
      </c>
      <c r="N236" s="192">
        <v>0</v>
      </c>
    </row>
    <row r="237" spans="1:14">
      <c r="A237" s="190"/>
      <c r="B237" s="190" t="s">
        <v>162</v>
      </c>
      <c r="C237" s="190"/>
      <c r="D237" s="190"/>
      <c r="E237" s="190"/>
      <c r="F237" s="192">
        <v>0</v>
      </c>
      <c r="G237" s="192">
        <v>0</v>
      </c>
      <c r="H237" s="192">
        <v>0</v>
      </c>
      <c r="I237" s="192">
        <v>0</v>
      </c>
      <c r="J237" s="192">
        <v>0</v>
      </c>
      <c r="K237" s="192">
        <v>0</v>
      </c>
      <c r="L237" s="192">
        <v>0</v>
      </c>
      <c r="M237" s="192">
        <v>0</v>
      </c>
      <c r="N237" s="192">
        <v>0</v>
      </c>
    </row>
    <row r="238" spans="1:14">
      <c r="A238" s="190"/>
      <c r="B238" s="190" t="s">
        <v>163</v>
      </c>
      <c r="C238" s="190"/>
      <c r="D238" s="190"/>
      <c r="E238" s="190"/>
      <c r="F238" s="192">
        <v>0</v>
      </c>
      <c r="G238" s="192">
        <v>0</v>
      </c>
      <c r="H238" s="192">
        <v>0</v>
      </c>
      <c r="I238" s="192">
        <v>0</v>
      </c>
      <c r="J238" s="192">
        <v>0</v>
      </c>
      <c r="K238" s="192">
        <v>0</v>
      </c>
      <c r="L238" s="192">
        <v>0</v>
      </c>
      <c r="M238" s="192">
        <v>0</v>
      </c>
      <c r="N238" s="192">
        <v>0</v>
      </c>
    </row>
    <row r="239" spans="1:14">
      <c r="A239" s="190"/>
      <c r="B239" s="190" t="s">
        <v>164</v>
      </c>
      <c r="C239" s="190"/>
      <c r="D239" s="190"/>
      <c r="E239" s="190"/>
      <c r="F239" s="192">
        <v>0</v>
      </c>
      <c r="G239" s="192">
        <v>0</v>
      </c>
      <c r="H239" s="192">
        <v>0</v>
      </c>
      <c r="I239" s="192">
        <v>0</v>
      </c>
      <c r="J239" s="192">
        <v>0</v>
      </c>
      <c r="K239" s="192">
        <v>0</v>
      </c>
      <c r="L239" s="192">
        <v>0</v>
      </c>
      <c r="M239" s="192">
        <v>0</v>
      </c>
      <c r="N239" s="192">
        <v>0</v>
      </c>
    </row>
    <row r="240" spans="1:14">
      <c r="A240" s="190"/>
      <c r="B240" s="190"/>
      <c r="C240" s="190" t="s">
        <v>52</v>
      </c>
      <c r="D240" s="190"/>
      <c r="E240" s="190"/>
      <c r="F240" s="192">
        <v>0</v>
      </c>
      <c r="G240" s="192">
        <v>0</v>
      </c>
      <c r="H240" s="192">
        <v>0</v>
      </c>
      <c r="I240" s="192">
        <v>0</v>
      </c>
      <c r="J240" s="192">
        <v>0</v>
      </c>
      <c r="K240" s="192">
        <v>0</v>
      </c>
      <c r="L240" s="192">
        <v>0</v>
      </c>
      <c r="M240" s="192">
        <v>0</v>
      </c>
      <c r="N240" s="192">
        <v>0</v>
      </c>
    </row>
    <row r="241" spans="1:14">
      <c r="A241" s="190"/>
      <c r="B241" s="190" t="s">
        <v>165</v>
      </c>
      <c r="C241" s="190"/>
      <c r="D241" s="190"/>
      <c r="E241" s="190"/>
      <c r="F241" s="192">
        <v>0</v>
      </c>
      <c r="G241" s="192">
        <v>0</v>
      </c>
      <c r="H241" s="192">
        <v>0</v>
      </c>
      <c r="I241" s="192">
        <v>0</v>
      </c>
      <c r="J241" s="192">
        <v>0</v>
      </c>
      <c r="K241" s="192">
        <v>0</v>
      </c>
      <c r="L241" s="192">
        <v>0</v>
      </c>
      <c r="M241" s="192">
        <v>0</v>
      </c>
      <c r="N241" s="192">
        <v>0</v>
      </c>
    </row>
    <row r="242" spans="1:14">
      <c r="A242" s="190"/>
      <c r="B242" s="190"/>
      <c r="C242" s="190" t="s">
        <v>52</v>
      </c>
      <c r="D242" s="190"/>
      <c r="E242" s="190"/>
      <c r="F242" s="192">
        <v>0</v>
      </c>
      <c r="G242" s="192">
        <v>0</v>
      </c>
      <c r="H242" s="192">
        <v>0</v>
      </c>
      <c r="I242" s="192">
        <v>0</v>
      </c>
      <c r="J242" s="192">
        <v>0</v>
      </c>
      <c r="K242" s="192">
        <v>0</v>
      </c>
      <c r="L242" s="192">
        <v>0</v>
      </c>
      <c r="M242" s="192">
        <v>0</v>
      </c>
      <c r="N242" s="192">
        <v>0</v>
      </c>
    </row>
    <row r="243" spans="1:14">
      <c r="A243" s="190" t="s">
        <v>80</v>
      </c>
      <c r="B243" s="190"/>
      <c r="C243" s="190"/>
      <c r="D243" s="190"/>
      <c r="E243" s="190"/>
      <c r="F243" s="192">
        <v>0</v>
      </c>
      <c r="G243" s="192">
        <v>0</v>
      </c>
      <c r="H243" s="192">
        <v>0</v>
      </c>
      <c r="I243" s="192">
        <v>0</v>
      </c>
      <c r="J243" s="192">
        <v>0</v>
      </c>
      <c r="K243" s="192">
        <v>0</v>
      </c>
      <c r="L243" s="192">
        <v>0</v>
      </c>
      <c r="M243" s="192">
        <v>0</v>
      </c>
      <c r="N243" s="192">
        <v>0</v>
      </c>
    </row>
    <row r="244" spans="1:14">
      <c r="A244" s="190" t="s">
        <v>82</v>
      </c>
      <c r="B244" s="190"/>
      <c r="C244" s="190"/>
      <c r="D244" s="190"/>
      <c r="E244" s="190"/>
      <c r="F244" s="192">
        <v>0</v>
      </c>
      <c r="G244" s="192">
        <v>0</v>
      </c>
      <c r="H244" s="192">
        <v>0</v>
      </c>
      <c r="I244" s="192">
        <v>0</v>
      </c>
      <c r="J244" s="192">
        <v>0</v>
      </c>
      <c r="K244" s="192">
        <v>0</v>
      </c>
      <c r="L244" s="192">
        <v>0</v>
      </c>
      <c r="M244" s="192">
        <v>0</v>
      </c>
      <c r="N244" s="192">
        <v>0</v>
      </c>
    </row>
    <row r="245" spans="1:14">
      <c r="A245" s="190" t="s">
        <v>276</v>
      </c>
      <c r="B245" s="190"/>
      <c r="C245" s="190"/>
      <c r="D245" s="190"/>
      <c r="E245" s="190"/>
      <c r="F245" s="192">
        <v>6842032875.7200003</v>
      </c>
      <c r="G245" s="192">
        <v>332921154.58999997</v>
      </c>
      <c r="H245" s="192">
        <v>-14666397.73</v>
      </c>
      <c r="I245" s="192">
        <v>7160287632.5799999</v>
      </c>
      <c r="J245" s="192">
        <v>925817700.05999994</v>
      </c>
      <c r="K245" s="192">
        <v>46821160.5</v>
      </c>
      <c r="L245" s="192">
        <v>-20344971.920000002</v>
      </c>
      <c r="M245" s="192">
        <v>0</v>
      </c>
      <c r="N245" s="192">
        <v>952293888.59000003</v>
      </c>
    </row>
    <row r="246" spans="1:14">
      <c r="A246" s="190" t="s">
        <v>295</v>
      </c>
      <c r="B246" s="190" t="s">
        <v>296</v>
      </c>
      <c r="C246" s="190"/>
      <c r="D246" s="190"/>
      <c r="E246" s="190"/>
      <c r="F246" s="190"/>
      <c r="G246" s="190"/>
      <c r="H246" s="190"/>
      <c r="I246" s="190"/>
      <c r="J246" s="190"/>
      <c r="K246" s="190"/>
      <c r="L246" s="190"/>
      <c r="M246" s="190"/>
      <c r="N246" s="19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22" zoomScaleNormal="100" workbookViewId="0">
      <selection sqref="A1:G54"/>
    </sheetView>
  </sheetViews>
  <sheetFormatPr defaultColWidth="9.109375" defaultRowHeight="14.4"/>
  <cols>
    <col min="1" max="1" width="43.33203125" style="89" bestFit="1" customWidth="1"/>
    <col min="2" max="2" width="34.88671875" style="44" bestFit="1" customWidth="1"/>
    <col min="3" max="3" width="14.44140625" style="44" bestFit="1" customWidth="1"/>
    <col min="4" max="7" width="17.88671875" style="44" customWidth="1"/>
    <col min="8" max="8" width="6.5546875" style="44" customWidth="1"/>
    <col min="9" max="9" width="5.109375" style="44" customWidth="1"/>
    <col min="10" max="16384" width="9.109375" style="44"/>
  </cols>
  <sheetData>
    <row r="1" spans="1:10">
      <c r="A1" t="s">
        <v>168</v>
      </c>
      <c r="B1"/>
      <c r="C1"/>
      <c r="D1"/>
      <c r="E1"/>
      <c r="F1"/>
      <c r="G1"/>
      <c r="J1" s="89"/>
    </row>
    <row r="2" spans="1:10">
      <c r="A2" t="s">
        <v>167</v>
      </c>
      <c r="B2"/>
      <c r="C2"/>
      <c r="D2"/>
      <c r="E2"/>
      <c r="F2"/>
      <c r="G2"/>
    </row>
    <row r="3" spans="1:10">
      <c r="A3" t="s">
        <v>241</v>
      </c>
      <c r="B3"/>
      <c r="C3"/>
      <c r="D3"/>
      <c r="E3"/>
      <c r="F3"/>
      <c r="G3"/>
    </row>
    <row r="4" spans="1:10">
      <c r="A4" t="s">
        <v>44</v>
      </c>
      <c r="B4"/>
      <c r="C4"/>
      <c r="D4"/>
      <c r="E4"/>
      <c r="F4"/>
      <c r="G4"/>
    </row>
    <row r="5" spans="1:10">
      <c r="A5" t="s">
        <v>313</v>
      </c>
      <c r="B5"/>
      <c r="C5"/>
      <c r="D5"/>
      <c r="E5"/>
      <c r="F5"/>
      <c r="G5"/>
    </row>
    <row r="6" spans="1:10" ht="43.2">
      <c r="A6"/>
      <c r="B6"/>
      <c r="C6"/>
      <c r="D6" s="189" t="s">
        <v>315</v>
      </c>
      <c r="E6" s="189" t="s">
        <v>314</v>
      </c>
      <c r="F6" s="189" t="s">
        <v>311</v>
      </c>
      <c r="G6" s="189" t="s">
        <v>310</v>
      </c>
      <c r="I6" s="90"/>
    </row>
    <row r="7" spans="1:10">
      <c r="A7" t="s">
        <v>166</v>
      </c>
      <c r="B7"/>
      <c r="C7" t="s">
        <v>169</v>
      </c>
      <c r="D7"/>
      <c r="E7"/>
      <c r="F7"/>
      <c r="G7"/>
    </row>
    <row r="8" spans="1:10">
      <c r="A8" t="s">
        <v>299</v>
      </c>
      <c r="B8"/>
      <c r="C8"/>
      <c r="D8"/>
      <c r="E8"/>
      <c r="F8"/>
      <c r="G8"/>
    </row>
    <row r="9" spans="1:10">
      <c r="A9" t="s">
        <v>170</v>
      </c>
      <c r="B9"/>
      <c r="C9"/>
      <c r="D9"/>
      <c r="E9"/>
      <c r="F9"/>
      <c r="G9"/>
      <c r="I9" s="72"/>
      <c r="J9" s="72"/>
    </row>
    <row r="10" spans="1:10">
      <c r="A10">
        <v>906001</v>
      </c>
      <c r="B10" t="s">
        <v>208</v>
      </c>
      <c r="C10"/>
      <c r="D10" s="155">
        <v>-535579.26</v>
      </c>
      <c r="E10" s="155">
        <v>248526.71</v>
      </c>
      <c r="F10" s="155">
        <v>-283734.06</v>
      </c>
      <c r="G10" s="155">
        <v>-287052.55</v>
      </c>
      <c r="I10" s="72"/>
      <c r="J10" s="72"/>
    </row>
    <row r="11" spans="1:10">
      <c r="A11" t="s">
        <v>172</v>
      </c>
      <c r="B11" t="s">
        <v>171</v>
      </c>
      <c r="C11"/>
      <c r="D11" s="155">
        <v>120626.43</v>
      </c>
      <c r="E11" s="155">
        <v>-64744.65</v>
      </c>
      <c r="F11" s="155">
        <v>-27845.87</v>
      </c>
      <c r="G11" s="155">
        <v>55881.78</v>
      </c>
      <c r="I11" s="72"/>
      <c r="J11" s="72"/>
    </row>
    <row r="12" spans="1:10">
      <c r="A12" t="s">
        <v>172</v>
      </c>
      <c r="B12" t="s">
        <v>173</v>
      </c>
      <c r="C12"/>
      <c r="D12" s="155">
        <v>7144.1</v>
      </c>
      <c r="E12" s="155">
        <v>-59.06</v>
      </c>
      <c r="F12" s="155">
        <v>-838.93</v>
      </c>
      <c r="G12" s="155">
        <v>7085.04</v>
      </c>
      <c r="I12" s="72"/>
      <c r="J12" s="72"/>
    </row>
    <row r="13" spans="1:10">
      <c r="A13" t="s">
        <v>172</v>
      </c>
      <c r="B13" t="s">
        <v>174</v>
      </c>
      <c r="C13"/>
      <c r="D13" s="155">
        <v>5569.84</v>
      </c>
      <c r="E13" s="155">
        <v>-2728.71</v>
      </c>
      <c r="F13" s="155">
        <v>-4280.2</v>
      </c>
      <c r="G13" s="155">
        <v>2841.13</v>
      </c>
      <c r="I13" s="72"/>
      <c r="J13" s="72"/>
    </row>
    <row r="14" spans="1:10">
      <c r="A14" t="s">
        <v>172</v>
      </c>
      <c r="B14" t="s">
        <v>175</v>
      </c>
      <c r="C14"/>
      <c r="D14" s="155">
        <v>4781.8100000000004</v>
      </c>
      <c r="E14" s="155">
        <v>7.44</v>
      </c>
      <c r="F14" s="155">
        <v>-187.97</v>
      </c>
      <c r="G14" s="155">
        <v>4789.25</v>
      </c>
      <c r="I14" s="72"/>
      <c r="J14" s="72"/>
    </row>
    <row r="15" spans="1:10">
      <c r="A15" t="s">
        <v>172</v>
      </c>
      <c r="B15" t="s">
        <v>176</v>
      </c>
      <c r="C15"/>
      <c r="D15" s="155">
        <v>47501261.350000001</v>
      </c>
      <c r="E15" s="155">
        <v>-23353996.030000001</v>
      </c>
      <c r="F15" s="155">
        <v>-26372733.350000001</v>
      </c>
      <c r="G15" s="155">
        <v>24147265.32</v>
      </c>
      <c r="I15" s="72"/>
      <c r="J15" s="72"/>
    </row>
    <row r="16" spans="1:10">
      <c r="A16" t="s">
        <v>172</v>
      </c>
      <c r="B16" t="s">
        <v>177</v>
      </c>
      <c r="C16"/>
      <c r="D16" s="155">
        <v>4733412.0199999996</v>
      </c>
      <c r="E16" s="155">
        <v>145929.13</v>
      </c>
      <c r="F16" s="155">
        <v>-182866.03</v>
      </c>
      <c r="G16" s="155">
        <v>4879341.1500000004</v>
      </c>
      <c r="I16" s="72"/>
      <c r="J16" s="72"/>
    </row>
    <row r="17" spans="1:10">
      <c r="A17" t="s">
        <v>172</v>
      </c>
      <c r="B17" t="s">
        <v>230</v>
      </c>
      <c r="C17"/>
      <c r="D17" s="155">
        <v>615954.34</v>
      </c>
      <c r="E17" s="155">
        <v>-282972.03999999998</v>
      </c>
      <c r="F17" s="155">
        <v>-282972.03999999998</v>
      </c>
      <c r="G17" s="155">
        <v>332982.3</v>
      </c>
      <c r="I17" s="72"/>
      <c r="J17" s="72"/>
    </row>
    <row r="18" spans="1:10">
      <c r="A18" t="s">
        <v>300</v>
      </c>
      <c r="B18"/>
      <c r="C18"/>
      <c r="D18" s="155">
        <v>52453170.630000003</v>
      </c>
      <c r="E18" s="155">
        <v>-23310037.210000001</v>
      </c>
      <c r="F18" s="155">
        <v>-27155458.449999999</v>
      </c>
      <c r="G18" s="155">
        <v>29143133.420000002</v>
      </c>
      <c r="J18" s="72"/>
    </row>
    <row r="19" spans="1:10">
      <c r="A19" t="s">
        <v>301</v>
      </c>
      <c r="B19"/>
      <c r="C19"/>
      <c r="D19"/>
      <c r="E19"/>
      <c r="F19"/>
      <c r="G19"/>
      <c r="I19" s="72"/>
      <c r="J19" s="72"/>
    </row>
    <row r="20" spans="1:10">
      <c r="A20" t="s">
        <v>178</v>
      </c>
      <c r="B20"/>
      <c r="C20"/>
      <c r="D20" s="155">
        <v>52453170.630000003</v>
      </c>
      <c r="E20" s="155">
        <v>-23310037.210000001</v>
      </c>
      <c r="F20" s="155">
        <v>-27155458.449999999</v>
      </c>
      <c r="G20" s="155">
        <v>29143133.420000002</v>
      </c>
      <c r="I20" s="72"/>
      <c r="J20" s="72"/>
    </row>
    <row r="21" spans="1:10">
      <c r="A21" t="s">
        <v>204</v>
      </c>
      <c r="B21"/>
      <c r="C21"/>
      <c r="D21"/>
      <c r="E21"/>
      <c r="F21"/>
      <c r="G21"/>
      <c r="I21" s="72"/>
      <c r="J21" s="72"/>
    </row>
    <row r="22" spans="1:10">
      <c r="A22">
        <v>500001</v>
      </c>
      <c r="B22" t="s">
        <v>180</v>
      </c>
      <c r="C22"/>
      <c r="D22" s="155">
        <v>-171046.57</v>
      </c>
      <c r="E22" s="155">
        <v>-74371511.959999993</v>
      </c>
      <c r="F22" s="155">
        <v>-74368075.909999996</v>
      </c>
      <c r="G22" s="155">
        <v>-74542558.530000001</v>
      </c>
      <c r="I22" s="72"/>
      <c r="J22" s="72"/>
    </row>
    <row r="23" spans="1:10">
      <c r="A23">
        <v>500001</v>
      </c>
      <c r="B23" t="s">
        <v>182</v>
      </c>
      <c r="C23"/>
      <c r="D23" s="155">
        <v>-100126.45</v>
      </c>
      <c r="E23" s="155">
        <v>4088779.63</v>
      </c>
      <c r="F23" s="155">
        <v>4096451.81</v>
      </c>
      <c r="G23" s="155">
        <v>3988653.18</v>
      </c>
      <c r="I23" s="72"/>
      <c r="J23" s="72"/>
    </row>
    <row r="24" spans="1:10">
      <c r="A24">
        <v>500001</v>
      </c>
      <c r="B24" t="s">
        <v>184</v>
      </c>
      <c r="C24"/>
      <c r="D24" s="155">
        <v>-0.02</v>
      </c>
      <c r="E24" s="155">
        <v>840858.83</v>
      </c>
      <c r="F24" s="155">
        <v>840858.84</v>
      </c>
      <c r="G24" s="155">
        <v>840858.81</v>
      </c>
      <c r="I24" s="72"/>
      <c r="J24" s="72"/>
    </row>
    <row r="25" spans="1:10">
      <c r="A25">
        <v>500001</v>
      </c>
      <c r="B25" t="s">
        <v>186</v>
      </c>
      <c r="C25"/>
      <c r="D25" s="155">
        <v>47665.78</v>
      </c>
      <c r="E25" s="155">
        <v>-35369.54</v>
      </c>
      <c r="F25" s="155">
        <v>-35369.58</v>
      </c>
      <c r="G25" s="155">
        <v>12296.24</v>
      </c>
      <c r="I25" s="72"/>
      <c r="J25" s="72"/>
    </row>
    <row r="26" spans="1:10">
      <c r="A26">
        <v>512002</v>
      </c>
      <c r="B26" t="s">
        <v>199</v>
      </c>
      <c r="C26"/>
      <c r="D26" s="155">
        <v>794596.33</v>
      </c>
      <c r="E26" s="155">
        <v>47057680.18</v>
      </c>
      <c r="F26" s="155">
        <v>47058416.170000002</v>
      </c>
      <c r="G26" s="155">
        <v>47852276.509999998</v>
      </c>
      <c r="I26" s="72"/>
      <c r="J26" s="72"/>
    </row>
    <row r="27" spans="1:10">
      <c r="A27">
        <v>616114</v>
      </c>
      <c r="B27" t="s">
        <v>205</v>
      </c>
      <c r="C27"/>
      <c r="D27" s="155">
        <v>-0.04</v>
      </c>
      <c r="E27" s="155">
        <v>0.04</v>
      </c>
      <c r="F27" s="155">
        <v>0.03</v>
      </c>
      <c r="G27" s="155">
        <v>0</v>
      </c>
      <c r="I27" s="72"/>
      <c r="J27" s="72"/>
    </row>
    <row r="28" spans="1:10">
      <c r="A28">
        <v>616114</v>
      </c>
      <c r="B28" t="s">
        <v>272</v>
      </c>
      <c r="C28"/>
      <c r="D28" s="155">
        <v>-0.02</v>
      </c>
      <c r="E28" s="155">
        <v>0.02</v>
      </c>
      <c r="F28" s="155">
        <v>0</v>
      </c>
      <c r="G28" s="155">
        <v>0</v>
      </c>
      <c r="I28" s="72"/>
      <c r="J28" s="72"/>
    </row>
    <row r="29" spans="1:10">
      <c r="A29">
        <v>616114</v>
      </c>
      <c r="B29" t="s">
        <v>203</v>
      </c>
      <c r="C29"/>
      <c r="D29" s="155">
        <v>1723.58</v>
      </c>
      <c r="E29" s="155">
        <v>-1723.58</v>
      </c>
      <c r="F29" s="155">
        <v>-1368.4</v>
      </c>
      <c r="G29" s="155">
        <v>0</v>
      </c>
      <c r="I29" s="72"/>
      <c r="J29" s="72"/>
    </row>
    <row r="30" spans="1:10">
      <c r="A30" t="s">
        <v>172</v>
      </c>
      <c r="B30" t="s">
        <v>179</v>
      </c>
      <c r="C30"/>
      <c r="D30" s="155">
        <v>-2359932.0099999998</v>
      </c>
      <c r="E30" s="155">
        <v>56376632.259999998</v>
      </c>
      <c r="F30" s="155">
        <v>56473604.409999996</v>
      </c>
      <c r="G30" s="155">
        <v>54016700.25</v>
      </c>
      <c r="I30" s="72"/>
      <c r="J30" s="72"/>
    </row>
    <row r="31" spans="1:10">
      <c r="A31" t="s">
        <v>172</v>
      </c>
      <c r="B31" t="s">
        <v>181</v>
      </c>
      <c r="C31"/>
      <c r="D31" s="155">
        <v>-601610.37</v>
      </c>
      <c r="E31" s="155">
        <v>-9362950.2300000004</v>
      </c>
      <c r="F31" s="155">
        <v>-9379482</v>
      </c>
      <c r="G31" s="155">
        <v>-9964560.5999999996</v>
      </c>
      <c r="I31" s="72"/>
      <c r="J31" s="72"/>
    </row>
    <row r="32" spans="1:10">
      <c r="A32" t="s">
        <v>172</v>
      </c>
      <c r="B32" t="s">
        <v>183</v>
      </c>
      <c r="C32"/>
      <c r="D32" s="155">
        <v>1621804.23</v>
      </c>
      <c r="E32" s="155">
        <v>-433429677.75</v>
      </c>
      <c r="F32" s="155">
        <v>-433429677.75</v>
      </c>
      <c r="G32" s="155">
        <v>-431807873.51999998</v>
      </c>
      <c r="I32" s="72"/>
      <c r="J32" s="72"/>
    </row>
    <row r="33" spans="1:10">
      <c r="A33" t="s">
        <v>172</v>
      </c>
      <c r="B33" t="s">
        <v>185</v>
      </c>
      <c r="C33"/>
      <c r="D33" s="155">
        <v>627462.98</v>
      </c>
      <c r="E33" s="155">
        <v>26412710.82</v>
      </c>
      <c r="F33" s="155">
        <v>26412710.460000001</v>
      </c>
      <c r="G33" s="155">
        <v>27040173.800000001</v>
      </c>
      <c r="I33" s="72"/>
      <c r="J33" s="72"/>
    </row>
    <row r="34" spans="1:10">
      <c r="A34" t="s">
        <v>172</v>
      </c>
      <c r="B34" t="s">
        <v>187</v>
      </c>
      <c r="C34"/>
      <c r="D34" s="155">
        <v>-14870127.710000001</v>
      </c>
      <c r="E34" s="155">
        <v>14870127.710000001</v>
      </c>
      <c r="F34" s="155">
        <v>14655066.560000001</v>
      </c>
      <c r="G34" s="155">
        <v>0</v>
      </c>
      <c r="I34" s="72"/>
      <c r="J34" s="72"/>
    </row>
    <row r="35" spans="1:10">
      <c r="A35" t="s">
        <v>172</v>
      </c>
      <c r="B35" t="s">
        <v>188</v>
      </c>
      <c r="C35"/>
      <c r="D35" s="155">
        <v>13381381.35</v>
      </c>
      <c r="E35" s="155">
        <v>-13381381.35</v>
      </c>
      <c r="F35" s="155">
        <v>-13054152.880000001</v>
      </c>
      <c r="G35" s="155">
        <v>0</v>
      </c>
      <c r="I35" s="72"/>
      <c r="J35" s="72"/>
    </row>
    <row r="36" spans="1:10">
      <c r="A36" t="s">
        <v>172</v>
      </c>
      <c r="B36" t="s">
        <v>189</v>
      </c>
      <c r="C36"/>
      <c r="D36" s="155">
        <v>67491.78</v>
      </c>
      <c r="E36" s="155">
        <v>-67491.78</v>
      </c>
      <c r="F36" s="155">
        <v>-89338.89</v>
      </c>
      <c r="G36" s="155">
        <v>0</v>
      </c>
      <c r="I36" s="72"/>
      <c r="J36" s="72"/>
    </row>
    <row r="37" spans="1:10">
      <c r="A37" t="s">
        <v>172</v>
      </c>
      <c r="B37" t="s">
        <v>190</v>
      </c>
      <c r="C37"/>
      <c r="D37" s="155">
        <v>13324.12</v>
      </c>
      <c r="E37" s="155">
        <v>-13324.12</v>
      </c>
      <c r="F37" s="155">
        <v>-10494.69</v>
      </c>
      <c r="G37" s="155">
        <v>0</v>
      </c>
      <c r="I37" s="72"/>
      <c r="J37" s="72"/>
    </row>
    <row r="38" spans="1:10">
      <c r="A38" t="s">
        <v>172</v>
      </c>
      <c r="B38" t="s">
        <v>191</v>
      </c>
      <c r="C38"/>
      <c r="D38" s="155">
        <v>-668945.78</v>
      </c>
      <c r="E38" s="155">
        <v>-6076464.5800000001</v>
      </c>
      <c r="F38" s="155">
        <v>-6076464.5700000003</v>
      </c>
      <c r="G38" s="155">
        <v>-6745410.3600000003</v>
      </c>
      <c r="I38" s="72"/>
      <c r="J38" s="72"/>
    </row>
    <row r="39" spans="1:10">
      <c r="A39" t="s">
        <v>172</v>
      </c>
      <c r="B39" t="s">
        <v>192</v>
      </c>
      <c r="C39"/>
      <c r="D39" s="155">
        <v>764765.18</v>
      </c>
      <c r="E39" s="155">
        <v>4989144.82</v>
      </c>
      <c r="F39" s="155">
        <v>5018950.49</v>
      </c>
      <c r="G39" s="155">
        <v>5753910</v>
      </c>
      <c r="I39" s="72"/>
      <c r="J39" s="72"/>
    </row>
    <row r="40" spans="1:10">
      <c r="A40" t="s">
        <v>172</v>
      </c>
      <c r="B40" t="s">
        <v>193</v>
      </c>
      <c r="C40"/>
      <c r="D40" s="155">
        <v>76048.77</v>
      </c>
      <c r="E40" s="155">
        <v>474318.72</v>
      </c>
      <c r="F40" s="155">
        <v>474318.69</v>
      </c>
      <c r="G40" s="155">
        <v>550367.49</v>
      </c>
      <c r="I40" s="72"/>
      <c r="J40" s="72"/>
    </row>
    <row r="41" spans="1:10">
      <c r="A41" t="s">
        <v>172</v>
      </c>
      <c r="B41" t="s">
        <v>194</v>
      </c>
      <c r="C41"/>
      <c r="D41" s="155">
        <v>-38086.57</v>
      </c>
      <c r="E41" s="155">
        <v>-360014.68</v>
      </c>
      <c r="F41" s="155">
        <v>-364559.01</v>
      </c>
      <c r="G41" s="155">
        <v>-398101.25</v>
      </c>
      <c r="I41" s="72"/>
      <c r="J41" s="72"/>
    </row>
    <row r="42" spans="1:10">
      <c r="A42" t="s">
        <v>172</v>
      </c>
      <c r="B42" t="s">
        <v>200</v>
      </c>
      <c r="C42"/>
      <c r="D42" s="155">
        <v>-121637.86</v>
      </c>
      <c r="E42" s="155">
        <v>-2573713.79</v>
      </c>
      <c r="F42" s="155">
        <v>-2573675.5499999998</v>
      </c>
      <c r="G42" s="155">
        <v>-2695351.65</v>
      </c>
      <c r="I42" s="72"/>
      <c r="J42" s="72"/>
    </row>
    <row r="43" spans="1:10">
      <c r="A43" t="s">
        <v>172</v>
      </c>
      <c r="B43" t="s">
        <v>201</v>
      </c>
      <c r="C43"/>
      <c r="D43" s="155">
        <v>0.01</v>
      </c>
      <c r="E43" s="155">
        <v>-0.01</v>
      </c>
      <c r="F43" s="155">
        <v>0.12</v>
      </c>
      <c r="G43" s="155">
        <v>0</v>
      </c>
      <c r="I43" s="72"/>
      <c r="J43" s="72"/>
    </row>
    <row r="44" spans="1:10">
      <c r="A44" t="s">
        <v>172</v>
      </c>
      <c r="B44" t="s">
        <v>202</v>
      </c>
      <c r="C44"/>
      <c r="D44" s="155">
        <v>-0.02</v>
      </c>
      <c r="E44" s="155">
        <v>0.02</v>
      </c>
      <c r="F44" s="155">
        <v>-0.02</v>
      </c>
      <c r="G44" s="155">
        <v>0</v>
      </c>
      <c r="I44" s="72"/>
      <c r="J44" s="72"/>
    </row>
    <row r="45" spans="1:10">
      <c r="A45" t="s">
        <v>302</v>
      </c>
      <c r="B45"/>
      <c r="C45"/>
      <c r="D45" s="155">
        <v>-1535249.31</v>
      </c>
      <c r="E45" s="155">
        <v>-384563370.31999999</v>
      </c>
      <c r="F45" s="155">
        <v>-384352281.67000002</v>
      </c>
      <c r="G45" s="155">
        <v>-386098619.63</v>
      </c>
      <c r="J45" s="72"/>
    </row>
    <row r="46" spans="1:10">
      <c r="A46" t="s">
        <v>303</v>
      </c>
      <c r="B46"/>
      <c r="C46"/>
      <c r="D46"/>
      <c r="E46"/>
      <c r="F46"/>
      <c r="G46"/>
      <c r="I46" s="72"/>
      <c r="J46" s="72"/>
    </row>
    <row r="47" spans="1:10">
      <c r="A47" t="s">
        <v>172</v>
      </c>
      <c r="B47" t="s">
        <v>195</v>
      </c>
      <c r="C47"/>
      <c r="D47" s="155">
        <v>-688844.44</v>
      </c>
      <c r="E47" s="155">
        <v>358015.47</v>
      </c>
      <c r="F47" s="155">
        <v>563756.22</v>
      </c>
      <c r="G47" s="155">
        <v>-330828.96999999997</v>
      </c>
      <c r="I47" s="72"/>
      <c r="J47" s="72"/>
    </row>
    <row r="48" spans="1:10">
      <c r="A48" t="s">
        <v>172</v>
      </c>
      <c r="B48" t="s">
        <v>196</v>
      </c>
      <c r="C48"/>
      <c r="D48" s="155">
        <v>-70360.539999999994</v>
      </c>
      <c r="E48" s="155">
        <v>1910.46</v>
      </c>
      <c r="F48" s="155">
        <v>22925.41</v>
      </c>
      <c r="G48" s="155">
        <v>-68450.080000000002</v>
      </c>
      <c r="I48" s="72"/>
      <c r="J48" s="72"/>
    </row>
    <row r="49" spans="1:10">
      <c r="A49" t="s">
        <v>172</v>
      </c>
      <c r="B49" t="s">
        <v>197</v>
      </c>
      <c r="C49"/>
      <c r="D49" s="155">
        <v>251900.59</v>
      </c>
      <c r="E49" s="155">
        <v>-125631.69</v>
      </c>
      <c r="F49" s="155">
        <v>-142933.85999999999</v>
      </c>
      <c r="G49" s="155">
        <v>126268.9</v>
      </c>
      <c r="I49" s="72"/>
      <c r="J49" s="72"/>
    </row>
    <row r="50" spans="1:10">
      <c r="A50" t="s">
        <v>172</v>
      </c>
      <c r="B50" t="s">
        <v>198</v>
      </c>
      <c r="C50"/>
      <c r="D50" s="155">
        <v>25728.23</v>
      </c>
      <c r="E50" s="155">
        <v>396.09</v>
      </c>
      <c r="F50" s="155">
        <v>-1374.68</v>
      </c>
      <c r="G50" s="155">
        <v>26124.32</v>
      </c>
      <c r="I50" s="72"/>
      <c r="J50" s="72"/>
    </row>
    <row r="51" spans="1:10">
      <c r="A51" t="s">
        <v>304</v>
      </c>
      <c r="B51"/>
      <c r="C51"/>
      <c r="D51" s="155">
        <v>-481576.16</v>
      </c>
      <c r="E51" s="155">
        <v>234690.33</v>
      </c>
      <c r="F51" s="155">
        <v>442373.09</v>
      </c>
      <c r="G51" s="155">
        <v>-246885.83</v>
      </c>
      <c r="I51" s="72"/>
      <c r="J51" s="72"/>
    </row>
    <row r="52" spans="1:10">
      <c r="A52" t="s">
        <v>206</v>
      </c>
      <c r="B52"/>
      <c r="C52"/>
      <c r="D52" s="155">
        <v>-2016825.47</v>
      </c>
      <c r="E52" s="155">
        <v>-384328679.99000001</v>
      </c>
      <c r="F52" s="155">
        <v>-383909908.57999998</v>
      </c>
      <c r="G52" s="155">
        <v>-386345505.45999998</v>
      </c>
      <c r="I52" s="72"/>
      <c r="J52" s="72"/>
    </row>
    <row r="53" spans="1:10">
      <c r="A53" t="s">
        <v>273</v>
      </c>
      <c r="B53"/>
      <c r="C53"/>
      <c r="D53" s="155">
        <v>50436345.159999996</v>
      </c>
      <c r="E53" s="155">
        <v>-407638717.19999999</v>
      </c>
      <c r="F53" s="155">
        <v>-411065367.02999997</v>
      </c>
      <c r="G53" s="155">
        <v>-357202372.04000002</v>
      </c>
      <c r="I53" s="72"/>
      <c r="J53" s="72"/>
    </row>
    <row r="54" spans="1:10">
      <c r="A54" t="s">
        <v>207</v>
      </c>
      <c r="B54" s="198">
        <v>43109</v>
      </c>
      <c r="C54" s="199">
        <v>0.74653935185185183</v>
      </c>
      <c r="D54"/>
      <c r="E54"/>
      <c r="F54"/>
      <c r="G54"/>
      <c r="I54" s="72"/>
      <c r="J54" s="72"/>
    </row>
  </sheetData>
  <pageMargins left="0.7" right="0.7" top="0.75" bottom="0.75" header="0.3" footer="0.3"/>
  <pageSetup scale="71" orientation="landscape" r:id="rId1"/>
  <rowBreaks count="2" manualBreakCount="2">
    <brk id="16" max="16383" man="1"/>
    <brk id="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9"/>
  <sheetViews>
    <sheetView zoomScaleNormal="100" workbookViewId="0">
      <selection activeCell="O10" sqref="O10"/>
    </sheetView>
  </sheetViews>
  <sheetFormatPr defaultRowHeight="14.4"/>
  <cols>
    <col min="2" max="2" width="12.33203125" bestFit="1" customWidth="1"/>
  </cols>
  <sheetData>
    <row r="2" spans="1:1">
      <c r="A2" t="s">
        <v>209</v>
      </c>
    </row>
    <row r="33" spans="2:3">
      <c r="B33" s="1">
        <v>840243.84</v>
      </c>
    </row>
    <row r="34" spans="2:3">
      <c r="B34" s="1">
        <v>-928440</v>
      </c>
    </row>
    <row r="35" spans="2:3">
      <c r="B35" s="188">
        <v>10568</v>
      </c>
    </row>
    <row r="36" spans="2:3">
      <c r="B36" s="1">
        <f>SUM(B33:B35)</f>
        <v>-77628.160000000033</v>
      </c>
    </row>
    <row r="37" spans="2:3">
      <c r="B37" s="1">
        <v>-78000</v>
      </c>
    </row>
    <row r="38" spans="2:3" ht="15" thickBot="1">
      <c r="B38" s="201">
        <f>+B37-B36</f>
        <v>-371.8399999999674</v>
      </c>
      <c r="C38" t="s">
        <v>312</v>
      </c>
    </row>
    <row r="39" spans="2:3" ht="15" thickTop="1"/>
  </sheetData>
  <pageMargins left="0.7" right="0.7" top="0.75" bottom="0.75" header="0.3" footer="0.3"/>
  <pageSetup scale="8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5"/>
  <sheetViews>
    <sheetView topLeftCell="A13" zoomScaleNormal="100" workbookViewId="0">
      <selection activeCell="I40" sqref="I40"/>
    </sheetView>
  </sheetViews>
  <sheetFormatPr defaultRowHeight="14.4"/>
  <cols>
    <col min="2" max="2" width="12.88671875" customWidth="1"/>
    <col min="3" max="3" width="14.5546875" customWidth="1"/>
    <col min="13" max="13" width="12.44140625" customWidth="1"/>
  </cols>
  <sheetData>
    <row r="2" spans="1:1">
      <c r="A2" t="s">
        <v>231</v>
      </c>
    </row>
    <row r="32" spans="1:2">
      <c r="A32" t="s">
        <v>242</v>
      </c>
      <c r="B32" s="1">
        <v>980816.47</v>
      </c>
    </row>
    <row r="33" spans="1:3">
      <c r="A33">
        <v>1</v>
      </c>
      <c r="B33" s="1"/>
    </row>
    <row r="34" spans="1:3">
      <c r="A34">
        <v>2</v>
      </c>
      <c r="B34" s="1"/>
    </row>
    <row r="35" spans="1:3">
      <c r="A35">
        <v>3</v>
      </c>
      <c r="B35" s="1"/>
      <c r="C35" s="1"/>
    </row>
    <row r="36" spans="1:3">
      <c r="A36">
        <v>4</v>
      </c>
      <c r="B36" s="1"/>
      <c r="C36" s="1"/>
    </row>
    <row r="37" spans="1:3">
      <c r="A37">
        <v>5</v>
      </c>
      <c r="B37" s="1"/>
    </row>
    <row r="38" spans="1:3">
      <c r="A38">
        <v>6</v>
      </c>
      <c r="B38" s="1"/>
    </row>
    <row r="39" spans="1:3">
      <c r="A39">
        <v>7</v>
      </c>
      <c r="B39" s="1"/>
      <c r="C39" s="74"/>
    </row>
    <row r="40" spans="1:3">
      <c r="A40">
        <v>8</v>
      </c>
      <c r="B40" s="1"/>
      <c r="C40" s="74"/>
    </row>
    <row r="41" spans="1:3">
      <c r="A41">
        <v>9</v>
      </c>
      <c r="B41" s="1"/>
    </row>
    <row r="42" spans="1:3">
      <c r="A42">
        <v>10</v>
      </c>
      <c r="B42" s="1"/>
    </row>
    <row r="43" spans="1:3">
      <c r="A43">
        <v>11</v>
      </c>
      <c r="B43" s="1"/>
    </row>
    <row r="44" spans="1:3">
      <c r="A44">
        <v>12</v>
      </c>
      <c r="B44" s="1"/>
    </row>
    <row r="45" spans="1:3" ht="15" thickBot="1">
      <c r="B45" s="75">
        <f>SUM(B32:B44)</f>
        <v>980816.47</v>
      </c>
    </row>
  </sheetData>
  <pageMargins left="0.7" right="0.7" top="0.75" bottom="0.75" header="0.3" footer="0.3"/>
  <pageSetup scale="7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118"/>
  <sheetViews>
    <sheetView topLeftCell="A49" zoomScale="70" zoomScaleNormal="70" workbookViewId="0">
      <selection activeCell="AY72" sqref="AY72"/>
    </sheetView>
  </sheetViews>
  <sheetFormatPr defaultColWidth="9.109375" defaultRowHeight="15"/>
  <cols>
    <col min="1" max="1" width="26.5546875" style="92" customWidth="1"/>
    <col min="2" max="2" width="16.109375" style="92" bestFit="1" customWidth="1"/>
    <col min="3" max="3" width="7.5546875" style="92" hidden="1" customWidth="1"/>
    <col min="4" max="4" width="9.109375" style="92" hidden="1" customWidth="1"/>
    <col min="5" max="5" width="10.6640625" style="92" hidden="1" customWidth="1"/>
    <col min="6" max="13" width="12.33203125" style="92" hidden="1" customWidth="1"/>
    <col min="14" max="31" width="14.5546875" style="92" hidden="1" customWidth="1"/>
    <col min="32" max="32" width="27.88671875" style="92" hidden="1" customWidth="1"/>
    <col min="33" max="33" width="14.5546875" style="92" hidden="1" customWidth="1"/>
    <col min="34" max="39" width="16.109375" style="92" hidden="1" customWidth="1"/>
    <col min="40" max="40" width="21" style="92" hidden="1" customWidth="1"/>
    <col min="41" max="46" width="19.44140625" style="92" hidden="1" customWidth="1"/>
    <col min="47" max="50" width="19.44140625" style="92" bestFit="1" customWidth="1"/>
    <col min="51" max="57" width="17.109375" style="92" bestFit="1" customWidth="1"/>
    <col min="58" max="58" width="14.5546875" style="92" bestFit="1" customWidth="1"/>
    <col min="59" max="74" width="9.109375" style="92"/>
    <col min="75" max="75" width="15.44140625" style="92" bestFit="1" customWidth="1"/>
    <col min="76" max="16384" width="9.109375" style="92"/>
  </cols>
  <sheetData>
    <row r="1" spans="1:74" ht="17.399999999999999">
      <c r="A1" s="91" t="s">
        <v>243</v>
      </c>
      <c r="AQ1" s="93"/>
      <c r="AR1" s="93"/>
      <c r="AT1" s="93"/>
      <c r="AU1" s="93"/>
      <c r="AV1" s="93"/>
    </row>
    <row r="2" spans="1:74" ht="17.399999999999999">
      <c r="A2" s="91" t="s">
        <v>244</v>
      </c>
    </row>
    <row r="5" spans="1:74" ht="17.399999999999999">
      <c r="B5" s="94" t="s">
        <v>245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5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6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</row>
    <row r="6" spans="1:74" ht="17.399999999999999">
      <c r="A6" s="97" t="s">
        <v>246</v>
      </c>
      <c r="B6" s="97" t="s">
        <v>29</v>
      </c>
      <c r="C6" s="98">
        <v>1971</v>
      </c>
      <c r="D6" s="98">
        <v>1972</v>
      </c>
      <c r="E6" s="98">
        <v>1973</v>
      </c>
      <c r="F6" s="99">
        <v>1974</v>
      </c>
      <c r="G6" s="100">
        <v>1975</v>
      </c>
      <c r="H6" s="100">
        <v>1976</v>
      </c>
      <c r="I6" s="100">
        <v>1977</v>
      </c>
      <c r="J6" s="100">
        <v>1978</v>
      </c>
      <c r="K6" s="100">
        <v>1979</v>
      </c>
      <c r="L6" s="100">
        <v>1980</v>
      </c>
      <c r="M6" s="100">
        <v>1981</v>
      </c>
      <c r="N6" s="100">
        <v>1982</v>
      </c>
      <c r="O6" s="100">
        <v>1983</v>
      </c>
      <c r="P6" s="100">
        <v>1984</v>
      </c>
      <c r="Q6" s="100">
        <v>1985</v>
      </c>
      <c r="R6" s="100">
        <v>1986</v>
      </c>
      <c r="S6" s="100">
        <v>1987</v>
      </c>
      <c r="T6" s="100">
        <v>1988</v>
      </c>
      <c r="U6" s="100">
        <v>1989</v>
      </c>
      <c r="V6" s="100">
        <v>1990</v>
      </c>
      <c r="W6" s="100">
        <v>1991</v>
      </c>
      <c r="X6" s="100">
        <v>1992</v>
      </c>
      <c r="Y6" s="100">
        <v>1993</v>
      </c>
      <c r="Z6" s="100">
        <v>1994</v>
      </c>
      <c r="AA6" s="100">
        <v>1995</v>
      </c>
      <c r="AB6" s="100">
        <v>1996</v>
      </c>
      <c r="AC6" s="100">
        <v>1997</v>
      </c>
      <c r="AD6" s="100">
        <v>1998</v>
      </c>
      <c r="AE6" s="100">
        <v>1999</v>
      </c>
      <c r="AF6" s="100">
        <v>2000</v>
      </c>
      <c r="AG6" s="100">
        <v>2001</v>
      </c>
      <c r="AH6" s="100">
        <v>2002</v>
      </c>
      <c r="AI6" s="100">
        <v>2003</v>
      </c>
      <c r="AJ6" s="100">
        <v>2004</v>
      </c>
      <c r="AK6" s="100">
        <v>2005</v>
      </c>
      <c r="AL6" s="101">
        <v>2006</v>
      </c>
      <c r="AM6" s="100">
        <v>2007</v>
      </c>
      <c r="AN6" s="100">
        <v>2008</v>
      </c>
      <c r="AO6" s="100">
        <v>2009</v>
      </c>
      <c r="AP6" s="102">
        <v>2010</v>
      </c>
      <c r="AQ6" s="100">
        <v>2011</v>
      </c>
      <c r="AR6" s="102">
        <v>2012</v>
      </c>
      <c r="AS6" s="102">
        <v>2013</v>
      </c>
      <c r="AT6" s="100">
        <v>2014</v>
      </c>
      <c r="AU6" s="100">
        <v>2015</v>
      </c>
      <c r="AV6" s="100">
        <v>2016</v>
      </c>
      <c r="AW6" s="100">
        <v>2017</v>
      </c>
      <c r="AX6" s="100">
        <v>2018</v>
      </c>
      <c r="AY6" s="100">
        <v>2019</v>
      </c>
      <c r="AZ6" s="100">
        <v>2020</v>
      </c>
      <c r="BA6" s="100">
        <v>2021</v>
      </c>
      <c r="BB6" s="100">
        <v>2022</v>
      </c>
      <c r="BC6" s="100">
        <v>2023</v>
      </c>
      <c r="BD6" s="98"/>
      <c r="BE6" s="98"/>
      <c r="BF6" s="103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100"/>
    </row>
    <row r="7" spans="1:74" ht="17.399999999999999">
      <c r="A7" s="104" t="s">
        <v>247</v>
      </c>
      <c r="B7" s="105"/>
      <c r="F7" s="91"/>
      <c r="G7" s="106"/>
    </row>
    <row r="8" spans="1:74" ht="17.399999999999999">
      <c r="A8" s="107">
        <v>1971</v>
      </c>
      <c r="B8" s="105">
        <v>217804</v>
      </c>
      <c r="D8" s="91">
        <v>29</v>
      </c>
      <c r="E8" s="91">
        <v>29</v>
      </c>
      <c r="F8" s="91">
        <v>29</v>
      </c>
      <c r="G8" s="106">
        <v>29</v>
      </c>
      <c r="H8" s="91">
        <v>29</v>
      </c>
      <c r="I8" s="91">
        <v>29</v>
      </c>
      <c r="J8" s="91">
        <v>29</v>
      </c>
      <c r="K8" s="91">
        <v>30</v>
      </c>
      <c r="L8" s="91">
        <v>30</v>
      </c>
      <c r="M8" s="91">
        <v>31</v>
      </c>
      <c r="N8" s="91">
        <v>31</v>
      </c>
      <c r="O8" s="91">
        <v>31</v>
      </c>
      <c r="P8" s="91">
        <v>29</v>
      </c>
      <c r="Q8" s="91">
        <v>27</v>
      </c>
      <c r="R8" s="91">
        <v>27</v>
      </c>
      <c r="S8" s="91">
        <v>27</v>
      </c>
      <c r="T8" s="91">
        <v>31</v>
      </c>
      <c r="U8" s="91">
        <v>31</v>
      </c>
      <c r="V8" s="91">
        <v>31</v>
      </c>
      <c r="W8" s="91">
        <v>31</v>
      </c>
      <c r="X8" s="91">
        <v>32</v>
      </c>
      <c r="Y8" s="91">
        <v>31</v>
      </c>
      <c r="Z8" s="91">
        <v>31</v>
      </c>
      <c r="AA8" s="91">
        <v>31</v>
      </c>
      <c r="AB8" s="91">
        <v>31</v>
      </c>
      <c r="AC8" s="91">
        <v>31</v>
      </c>
      <c r="AD8" s="91">
        <v>35</v>
      </c>
      <c r="AE8" s="107">
        <v>35</v>
      </c>
      <c r="AF8" s="91">
        <v>35</v>
      </c>
      <c r="AG8" s="91">
        <v>35</v>
      </c>
      <c r="AH8" s="91">
        <v>35</v>
      </c>
      <c r="AI8" s="91">
        <v>35</v>
      </c>
      <c r="AJ8" s="91">
        <v>35</v>
      </c>
      <c r="AK8" s="91">
        <v>35</v>
      </c>
      <c r="AL8" s="108">
        <v>35</v>
      </c>
      <c r="AM8" s="91">
        <v>36</v>
      </c>
      <c r="AN8" s="91">
        <v>36</v>
      </c>
      <c r="AO8" s="91">
        <v>36</v>
      </c>
      <c r="AP8" s="91">
        <v>36</v>
      </c>
      <c r="AQ8" s="91">
        <v>36</v>
      </c>
      <c r="AR8" s="91">
        <v>35</v>
      </c>
      <c r="AS8" s="93">
        <v>35</v>
      </c>
      <c r="AT8" s="91">
        <v>35</v>
      </c>
      <c r="AU8" s="91">
        <v>35</v>
      </c>
      <c r="AV8" s="91">
        <v>35</v>
      </c>
      <c r="AW8" s="91">
        <v>35</v>
      </c>
      <c r="AX8" s="91">
        <v>35</v>
      </c>
      <c r="AY8" s="91">
        <v>35</v>
      </c>
      <c r="AZ8" s="91">
        <v>35</v>
      </c>
      <c r="BA8" s="91">
        <v>35</v>
      </c>
      <c r="BB8" s="91">
        <v>35</v>
      </c>
      <c r="BC8" s="91">
        <v>35</v>
      </c>
    </row>
    <row r="9" spans="1:74" ht="17.399999999999999">
      <c r="A9" s="107">
        <v>1972</v>
      </c>
      <c r="B9" s="105">
        <v>425566</v>
      </c>
      <c r="E9" s="91">
        <v>29</v>
      </c>
      <c r="F9" s="91">
        <v>30</v>
      </c>
      <c r="G9" s="106">
        <v>30</v>
      </c>
      <c r="H9" s="91">
        <v>30</v>
      </c>
      <c r="I9" s="91">
        <v>30</v>
      </c>
      <c r="J9" s="91">
        <v>30</v>
      </c>
      <c r="K9" s="91">
        <v>29</v>
      </c>
      <c r="L9" s="91">
        <v>29</v>
      </c>
      <c r="M9" s="91">
        <v>31</v>
      </c>
      <c r="N9" s="91">
        <v>31</v>
      </c>
      <c r="O9" s="91">
        <v>31</v>
      </c>
      <c r="P9" s="91">
        <v>29</v>
      </c>
      <c r="Q9" s="91">
        <v>27</v>
      </c>
      <c r="R9" s="91">
        <v>27</v>
      </c>
      <c r="S9" s="91">
        <v>27</v>
      </c>
      <c r="T9" s="91">
        <v>29</v>
      </c>
      <c r="U9" s="91">
        <v>29</v>
      </c>
      <c r="V9" s="91">
        <v>29</v>
      </c>
      <c r="W9" s="91">
        <v>29</v>
      </c>
      <c r="X9" s="91">
        <v>31</v>
      </c>
      <c r="Y9" s="91">
        <v>29</v>
      </c>
      <c r="Z9" s="91">
        <v>30</v>
      </c>
      <c r="AA9" s="91">
        <v>30</v>
      </c>
      <c r="AB9" s="91">
        <v>30</v>
      </c>
      <c r="AC9" s="91">
        <v>30</v>
      </c>
      <c r="AD9" s="91">
        <v>32</v>
      </c>
      <c r="AE9" s="107">
        <v>32</v>
      </c>
      <c r="AF9" s="91">
        <v>32</v>
      </c>
      <c r="AG9" s="91">
        <v>32</v>
      </c>
      <c r="AH9" s="91">
        <v>33</v>
      </c>
      <c r="AI9" s="91">
        <v>33</v>
      </c>
      <c r="AJ9" s="91">
        <v>34</v>
      </c>
      <c r="AK9" s="91">
        <v>34</v>
      </c>
      <c r="AL9" s="108">
        <v>35</v>
      </c>
      <c r="AM9" s="91">
        <v>35</v>
      </c>
      <c r="AN9" s="91">
        <v>35</v>
      </c>
      <c r="AO9" s="91">
        <v>35</v>
      </c>
      <c r="AP9" s="91">
        <v>35</v>
      </c>
      <c r="AQ9" s="91">
        <v>35</v>
      </c>
      <c r="AR9" s="91">
        <v>36</v>
      </c>
      <c r="AS9" s="93">
        <v>36</v>
      </c>
      <c r="AT9" s="91">
        <v>36</v>
      </c>
      <c r="AU9" s="91">
        <v>37</v>
      </c>
      <c r="AV9" s="91">
        <v>37</v>
      </c>
      <c r="AW9" s="91">
        <v>37</v>
      </c>
      <c r="AX9" s="91">
        <v>37</v>
      </c>
      <c r="AY9" s="91">
        <v>37</v>
      </c>
      <c r="AZ9" s="91">
        <v>37</v>
      </c>
      <c r="BA9" s="91">
        <v>37</v>
      </c>
      <c r="BB9" s="91">
        <v>37</v>
      </c>
      <c r="BC9" s="91">
        <v>37</v>
      </c>
    </row>
    <row r="10" spans="1:74" ht="17.399999999999999">
      <c r="A10" s="107">
        <v>1973</v>
      </c>
      <c r="B10" s="105">
        <v>3401523</v>
      </c>
      <c r="F10" s="91">
        <v>28</v>
      </c>
      <c r="G10" s="106">
        <v>28</v>
      </c>
      <c r="H10" s="91">
        <v>28</v>
      </c>
      <c r="I10" s="91">
        <v>28</v>
      </c>
      <c r="J10" s="91">
        <v>28</v>
      </c>
      <c r="K10" s="91">
        <v>30</v>
      </c>
      <c r="L10" s="91">
        <v>30</v>
      </c>
      <c r="M10" s="91">
        <v>31</v>
      </c>
      <c r="N10" s="91">
        <v>31</v>
      </c>
      <c r="O10" s="91">
        <v>31</v>
      </c>
      <c r="P10" s="91">
        <v>32</v>
      </c>
      <c r="Q10" s="91">
        <v>30</v>
      </c>
      <c r="R10" s="91">
        <v>30</v>
      </c>
      <c r="S10" s="91">
        <v>30</v>
      </c>
      <c r="T10" s="91">
        <v>32</v>
      </c>
      <c r="U10" s="91">
        <v>32</v>
      </c>
      <c r="V10" s="91">
        <v>33</v>
      </c>
      <c r="W10" s="91">
        <v>32</v>
      </c>
      <c r="X10" s="91">
        <v>34</v>
      </c>
      <c r="Y10" s="91">
        <v>32</v>
      </c>
      <c r="Z10" s="91">
        <v>31</v>
      </c>
      <c r="AA10" s="91">
        <v>31</v>
      </c>
      <c r="AB10" s="91">
        <v>31</v>
      </c>
      <c r="AC10" s="91">
        <v>31</v>
      </c>
      <c r="AD10" s="91">
        <v>36</v>
      </c>
      <c r="AE10" s="107">
        <v>36</v>
      </c>
      <c r="AF10" s="91">
        <v>36</v>
      </c>
      <c r="AG10" s="91">
        <v>36</v>
      </c>
      <c r="AH10" s="91">
        <v>35</v>
      </c>
      <c r="AI10" s="91">
        <v>35</v>
      </c>
      <c r="AJ10" s="91">
        <v>35</v>
      </c>
      <c r="AK10" s="91">
        <v>35</v>
      </c>
      <c r="AL10" s="91">
        <v>35</v>
      </c>
      <c r="AM10" s="91">
        <v>37</v>
      </c>
      <c r="AN10" s="91">
        <v>37</v>
      </c>
      <c r="AO10" s="91">
        <v>37</v>
      </c>
      <c r="AP10" s="91">
        <v>37</v>
      </c>
      <c r="AQ10" s="91">
        <v>37</v>
      </c>
      <c r="AR10" s="91">
        <v>36</v>
      </c>
      <c r="AS10" s="93">
        <v>36</v>
      </c>
      <c r="AT10" s="91">
        <v>36</v>
      </c>
      <c r="AU10" s="91">
        <v>36</v>
      </c>
      <c r="AV10" s="91">
        <v>36</v>
      </c>
      <c r="AW10" s="91">
        <v>36</v>
      </c>
      <c r="AX10" s="91">
        <v>36</v>
      </c>
      <c r="AY10" s="91">
        <v>36</v>
      </c>
      <c r="AZ10" s="91">
        <v>36</v>
      </c>
      <c r="BA10" s="91">
        <v>36</v>
      </c>
      <c r="BB10" s="91">
        <v>36</v>
      </c>
      <c r="BC10" s="91">
        <v>36</v>
      </c>
    </row>
    <row r="11" spans="1:74" ht="17.399999999999999">
      <c r="A11" s="107">
        <v>1974</v>
      </c>
      <c r="B11" s="105">
        <v>1016699</v>
      </c>
      <c r="F11" s="91"/>
      <c r="G11" s="106">
        <v>31</v>
      </c>
      <c r="H11" s="91">
        <v>31</v>
      </c>
      <c r="I11" s="91">
        <v>31</v>
      </c>
      <c r="J11" s="91">
        <v>31</v>
      </c>
      <c r="K11" s="91">
        <v>32</v>
      </c>
      <c r="L11" s="91">
        <v>33</v>
      </c>
      <c r="M11" s="91">
        <v>34</v>
      </c>
      <c r="N11" s="91">
        <v>34</v>
      </c>
      <c r="O11" s="91">
        <v>34</v>
      </c>
      <c r="P11" s="91">
        <v>33</v>
      </c>
      <c r="Q11" s="91">
        <v>31</v>
      </c>
      <c r="R11" s="91">
        <v>31</v>
      </c>
      <c r="S11" s="91">
        <v>31</v>
      </c>
      <c r="T11" s="91">
        <v>32</v>
      </c>
      <c r="U11" s="91">
        <v>32</v>
      </c>
      <c r="V11" s="91">
        <v>32</v>
      </c>
      <c r="W11" s="91">
        <v>32</v>
      </c>
      <c r="X11" s="91">
        <v>34</v>
      </c>
      <c r="Y11" s="91">
        <v>32</v>
      </c>
      <c r="Z11" s="91">
        <v>33</v>
      </c>
      <c r="AA11" s="91">
        <v>33</v>
      </c>
      <c r="AB11" s="91">
        <v>33</v>
      </c>
      <c r="AC11" s="91">
        <v>33</v>
      </c>
      <c r="AD11" s="91">
        <v>36</v>
      </c>
      <c r="AE11" s="107">
        <v>36</v>
      </c>
      <c r="AF11" s="91">
        <v>36</v>
      </c>
      <c r="AG11" s="91">
        <v>36</v>
      </c>
      <c r="AH11" s="91">
        <v>39</v>
      </c>
      <c r="AI11" s="91">
        <v>39</v>
      </c>
      <c r="AJ11" s="91">
        <v>39</v>
      </c>
      <c r="AK11" s="91">
        <v>39</v>
      </c>
      <c r="AL11" s="109">
        <v>40</v>
      </c>
      <c r="AM11" s="91">
        <v>40</v>
      </c>
      <c r="AN11" s="91">
        <v>40</v>
      </c>
      <c r="AO11" s="91">
        <v>40</v>
      </c>
      <c r="AP11" s="91">
        <v>40</v>
      </c>
      <c r="AQ11" s="91">
        <v>40</v>
      </c>
      <c r="AR11" s="91">
        <v>41</v>
      </c>
      <c r="AS11" s="93">
        <v>41</v>
      </c>
      <c r="AT11" s="91">
        <v>41</v>
      </c>
      <c r="AU11" s="91">
        <v>41</v>
      </c>
      <c r="AV11" s="91">
        <v>41</v>
      </c>
      <c r="AW11" s="91">
        <v>41</v>
      </c>
      <c r="AX11" s="91">
        <v>41</v>
      </c>
      <c r="AY11" s="91">
        <v>41</v>
      </c>
      <c r="AZ11" s="91">
        <v>41</v>
      </c>
      <c r="BA11" s="91">
        <v>41</v>
      </c>
      <c r="BB11" s="91">
        <v>41</v>
      </c>
      <c r="BC11" s="91">
        <v>41</v>
      </c>
    </row>
    <row r="12" spans="1:74" ht="17.399999999999999">
      <c r="A12" s="107">
        <v>1975</v>
      </c>
      <c r="B12" s="105">
        <v>105056</v>
      </c>
      <c r="G12" s="106"/>
      <c r="H12" s="91">
        <v>31</v>
      </c>
      <c r="I12" s="91">
        <v>31</v>
      </c>
      <c r="J12" s="91">
        <v>31</v>
      </c>
      <c r="K12" s="91">
        <v>32</v>
      </c>
      <c r="L12" s="91">
        <v>32</v>
      </c>
      <c r="M12" s="91">
        <v>33</v>
      </c>
      <c r="N12" s="91">
        <v>33</v>
      </c>
      <c r="O12" s="91">
        <v>33</v>
      </c>
      <c r="P12" s="91">
        <v>32</v>
      </c>
      <c r="Q12" s="91">
        <v>30</v>
      </c>
      <c r="R12" s="91">
        <v>30</v>
      </c>
      <c r="S12" s="91">
        <v>30</v>
      </c>
      <c r="T12" s="91">
        <v>31</v>
      </c>
      <c r="U12" s="91">
        <v>31</v>
      </c>
      <c r="V12" s="91">
        <v>31</v>
      </c>
      <c r="W12" s="91">
        <v>31</v>
      </c>
      <c r="X12" s="91">
        <v>33</v>
      </c>
      <c r="Y12" s="91">
        <v>31</v>
      </c>
      <c r="Z12" s="91">
        <v>32</v>
      </c>
      <c r="AA12" s="91">
        <v>32</v>
      </c>
      <c r="AB12" s="91">
        <v>32</v>
      </c>
      <c r="AC12" s="91">
        <v>33</v>
      </c>
      <c r="AD12" s="91">
        <v>35</v>
      </c>
      <c r="AE12" s="107">
        <v>35</v>
      </c>
      <c r="AF12" s="91">
        <v>35</v>
      </c>
      <c r="AG12" s="91">
        <v>35</v>
      </c>
      <c r="AH12" s="91">
        <v>37</v>
      </c>
      <c r="AI12" s="91">
        <v>37</v>
      </c>
      <c r="AJ12" s="91">
        <v>37</v>
      </c>
      <c r="AK12" s="91">
        <v>37</v>
      </c>
      <c r="AL12" s="91">
        <v>38</v>
      </c>
      <c r="AM12" s="91">
        <v>39</v>
      </c>
      <c r="AN12" s="91">
        <v>39</v>
      </c>
      <c r="AO12" s="91">
        <v>39</v>
      </c>
      <c r="AP12" s="91">
        <v>39</v>
      </c>
      <c r="AQ12" s="91">
        <v>39</v>
      </c>
      <c r="AR12" s="91">
        <v>39</v>
      </c>
      <c r="AS12" s="93">
        <v>39</v>
      </c>
      <c r="AT12" s="91">
        <v>39</v>
      </c>
      <c r="AU12" s="91">
        <v>39</v>
      </c>
      <c r="AV12" s="91">
        <v>39</v>
      </c>
      <c r="AW12" s="91">
        <v>39</v>
      </c>
      <c r="AX12" s="91">
        <v>39</v>
      </c>
      <c r="AY12" s="91">
        <v>39</v>
      </c>
      <c r="AZ12" s="91">
        <v>39</v>
      </c>
      <c r="BA12" s="91">
        <v>39</v>
      </c>
      <c r="BB12" s="91">
        <v>39</v>
      </c>
      <c r="BC12" s="91">
        <v>39</v>
      </c>
    </row>
    <row r="13" spans="1:74" ht="17.399999999999999">
      <c r="A13" s="107">
        <v>1976</v>
      </c>
      <c r="B13" s="105">
        <v>6398</v>
      </c>
      <c r="I13" s="91">
        <v>31</v>
      </c>
      <c r="J13" s="91">
        <v>31</v>
      </c>
      <c r="K13" s="91">
        <v>30</v>
      </c>
      <c r="L13" s="91">
        <v>30</v>
      </c>
      <c r="M13" s="91">
        <v>30</v>
      </c>
      <c r="N13" s="91">
        <v>30</v>
      </c>
      <c r="O13" s="91">
        <v>30</v>
      </c>
      <c r="P13" s="91">
        <v>31</v>
      </c>
      <c r="Q13" s="91">
        <v>29</v>
      </c>
      <c r="R13" s="91">
        <v>29</v>
      </c>
      <c r="S13" s="91">
        <v>29</v>
      </c>
      <c r="T13" s="91">
        <v>32</v>
      </c>
      <c r="U13" s="91">
        <v>32</v>
      </c>
      <c r="V13" s="91">
        <v>32</v>
      </c>
      <c r="W13" s="91">
        <v>32</v>
      </c>
      <c r="X13" s="91">
        <v>33</v>
      </c>
      <c r="Y13" s="91">
        <v>32</v>
      </c>
      <c r="Z13" s="91">
        <v>30</v>
      </c>
      <c r="AA13" s="91">
        <v>30</v>
      </c>
      <c r="AB13" s="91">
        <v>30</v>
      </c>
      <c r="AC13" s="91">
        <v>30</v>
      </c>
      <c r="AD13" s="91">
        <v>36</v>
      </c>
      <c r="AE13" s="107">
        <v>36</v>
      </c>
      <c r="AF13" s="91">
        <v>36</v>
      </c>
      <c r="AG13" s="91">
        <v>36</v>
      </c>
      <c r="AH13" s="91">
        <v>34</v>
      </c>
      <c r="AI13" s="91">
        <v>34</v>
      </c>
      <c r="AJ13" s="91">
        <v>34</v>
      </c>
      <c r="AK13" s="91">
        <v>34</v>
      </c>
      <c r="AL13" s="91">
        <v>34</v>
      </c>
      <c r="AM13" s="91">
        <v>37</v>
      </c>
      <c r="AN13" s="91">
        <v>37</v>
      </c>
      <c r="AO13" s="91">
        <v>37</v>
      </c>
      <c r="AP13" s="91">
        <v>37</v>
      </c>
      <c r="AQ13" s="91">
        <v>37</v>
      </c>
      <c r="AR13" s="91">
        <v>34</v>
      </c>
      <c r="AS13" s="93">
        <v>34</v>
      </c>
      <c r="AT13" s="91">
        <v>35</v>
      </c>
      <c r="AU13" s="91">
        <v>35</v>
      </c>
      <c r="AV13" s="91">
        <v>35</v>
      </c>
      <c r="AW13" s="91">
        <v>35</v>
      </c>
      <c r="AX13" s="91">
        <v>35</v>
      </c>
      <c r="AY13" s="91">
        <v>35</v>
      </c>
      <c r="AZ13" s="91">
        <v>35</v>
      </c>
      <c r="BA13" s="91">
        <v>35</v>
      </c>
      <c r="BB13" s="91">
        <v>35</v>
      </c>
      <c r="BC13" s="91">
        <v>35</v>
      </c>
    </row>
    <row r="14" spans="1:74" ht="17.399999999999999">
      <c r="A14" s="107">
        <v>1977</v>
      </c>
      <c r="B14" s="105">
        <v>191684</v>
      </c>
      <c r="J14" s="91">
        <v>31</v>
      </c>
      <c r="K14" s="91">
        <v>30</v>
      </c>
      <c r="L14" s="91">
        <v>30</v>
      </c>
      <c r="M14" s="91">
        <v>31</v>
      </c>
      <c r="N14" s="91">
        <v>31</v>
      </c>
      <c r="O14" s="91">
        <v>31</v>
      </c>
      <c r="P14" s="91">
        <v>32</v>
      </c>
      <c r="Q14" s="91">
        <v>30</v>
      </c>
      <c r="R14" s="91">
        <v>30</v>
      </c>
      <c r="S14" s="91">
        <v>30</v>
      </c>
      <c r="T14" s="91">
        <v>32</v>
      </c>
      <c r="U14" s="91">
        <v>32</v>
      </c>
      <c r="V14" s="91">
        <v>32</v>
      </c>
      <c r="W14" s="91">
        <v>32</v>
      </c>
      <c r="X14" s="91">
        <v>33</v>
      </c>
      <c r="Y14" s="91">
        <v>32</v>
      </c>
      <c r="Z14" s="91">
        <v>31</v>
      </c>
      <c r="AA14" s="91">
        <v>31</v>
      </c>
      <c r="AB14" s="91">
        <v>31</v>
      </c>
      <c r="AC14" s="91">
        <v>31</v>
      </c>
      <c r="AD14" s="91">
        <v>36</v>
      </c>
      <c r="AE14" s="107">
        <v>36</v>
      </c>
      <c r="AF14" s="91">
        <v>36</v>
      </c>
      <c r="AG14" s="91">
        <v>36</v>
      </c>
      <c r="AH14" s="91">
        <v>35</v>
      </c>
      <c r="AI14" s="91">
        <v>35</v>
      </c>
      <c r="AJ14" s="91">
        <v>35</v>
      </c>
      <c r="AK14" s="91">
        <v>35</v>
      </c>
      <c r="AL14" s="91">
        <v>35</v>
      </c>
      <c r="AM14" s="91">
        <v>37</v>
      </c>
      <c r="AN14" s="91">
        <v>37</v>
      </c>
      <c r="AO14" s="91">
        <v>37</v>
      </c>
      <c r="AP14" s="91">
        <v>37</v>
      </c>
      <c r="AQ14" s="91">
        <v>37</v>
      </c>
      <c r="AR14" s="91">
        <v>36</v>
      </c>
      <c r="AS14" s="93">
        <v>36</v>
      </c>
      <c r="AT14" s="91">
        <v>36</v>
      </c>
      <c r="AU14" s="91">
        <v>36</v>
      </c>
      <c r="AV14" s="91">
        <v>36</v>
      </c>
      <c r="AW14" s="91">
        <v>36</v>
      </c>
      <c r="AX14" s="91">
        <v>36</v>
      </c>
      <c r="AY14" s="91">
        <v>36</v>
      </c>
      <c r="AZ14" s="91">
        <v>36</v>
      </c>
      <c r="BA14" s="91">
        <v>36</v>
      </c>
      <c r="BB14" s="91">
        <v>36</v>
      </c>
      <c r="BC14" s="91">
        <v>36</v>
      </c>
    </row>
    <row r="15" spans="1:74" ht="17.399999999999999">
      <c r="A15" s="107">
        <v>1978</v>
      </c>
      <c r="B15" s="110">
        <v>3045</v>
      </c>
      <c r="K15" s="91">
        <v>30</v>
      </c>
      <c r="L15" s="91">
        <v>29</v>
      </c>
      <c r="M15" s="91">
        <v>31</v>
      </c>
      <c r="N15" s="91">
        <v>31</v>
      </c>
      <c r="O15" s="91">
        <v>31</v>
      </c>
      <c r="P15" s="91">
        <v>30</v>
      </c>
      <c r="Q15" s="91">
        <v>28</v>
      </c>
      <c r="R15" s="91">
        <v>29</v>
      </c>
      <c r="S15" s="91">
        <v>29</v>
      </c>
      <c r="T15" s="91">
        <v>30</v>
      </c>
      <c r="U15" s="91">
        <v>30</v>
      </c>
      <c r="V15" s="91">
        <v>31</v>
      </c>
      <c r="W15" s="91">
        <v>30</v>
      </c>
      <c r="X15" s="91">
        <v>32</v>
      </c>
      <c r="Y15" s="91">
        <v>30</v>
      </c>
      <c r="Z15" s="91">
        <v>30</v>
      </c>
      <c r="AA15" s="91">
        <v>30</v>
      </c>
      <c r="AB15" s="91">
        <v>30</v>
      </c>
      <c r="AC15" s="91">
        <v>30</v>
      </c>
      <c r="AD15" s="91">
        <v>34</v>
      </c>
      <c r="AE15" s="107">
        <v>34</v>
      </c>
      <c r="AF15" s="91">
        <v>34</v>
      </c>
      <c r="AG15" s="91">
        <v>34</v>
      </c>
      <c r="AH15" s="91">
        <v>34</v>
      </c>
      <c r="AI15" s="91">
        <v>34</v>
      </c>
      <c r="AJ15" s="91">
        <v>34</v>
      </c>
      <c r="AK15" s="91">
        <v>34</v>
      </c>
      <c r="AL15" s="91">
        <v>34</v>
      </c>
      <c r="AM15" s="91">
        <v>36</v>
      </c>
      <c r="AN15" s="91">
        <v>36</v>
      </c>
      <c r="AO15" s="91">
        <v>36</v>
      </c>
      <c r="AP15" s="91">
        <v>36</v>
      </c>
      <c r="AQ15" s="91">
        <v>36</v>
      </c>
      <c r="AR15" s="91">
        <v>35</v>
      </c>
      <c r="AS15" s="93">
        <v>35</v>
      </c>
      <c r="AT15" s="91">
        <v>35</v>
      </c>
      <c r="AU15" s="91">
        <v>35</v>
      </c>
      <c r="AV15" s="91">
        <v>35</v>
      </c>
      <c r="AW15" s="91">
        <v>35</v>
      </c>
      <c r="AX15" s="91">
        <v>35</v>
      </c>
      <c r="AY15" s="91">
        <v>35</v>
      </c>
      <c r="AZ15" s="91">
        <v>35</v>
      </c>
      <c r="BA15" s="91">
        <v>35</v>
      </c>
      <c r="BB15" s="91">
        <v>35</v>
      </c>
      <c r="BC15" s="91">
        <v>35</v>
      </c>
    </row>
    <row r="16" spans="1:74" ht="17.399999999999999">
      <c r="A16" s="107" t="s">
        <v>248</v>
      </c>
      <c r="B16" s="105">
        <v>5367775</v>
      </c>
    </row>
    <row r="17" spans="1:55" ht="17.399999999999999">
      <c r="A17" s="104" t="s">
        <v>249</v>
      </c>
      <c r="B17" s="105"/>
    </row>
    <row r="18" spans="1:55" ht="17.399999999999999">
      <c r="A18" s="107">
        <v>1975</v>
      </c>
      <c r="B18" s="105">
        <v>941015</v>
      </c>
      <c r="G18" s="106"/>
      <c r="H18" s="91">
        <v>31</v>
      </c>
      <c r="I18" s="91">
        <v>31</v>
      </c>
      <c r="J18" s="91">
        <v>31</v>
      </c>
      <c r="K18" s="91">
        <v>32</v>
      </c>
      <c r="L18" s="91">
        <v>32</v>
      </c>
      <c r="M18" s="91">
        <v>33</v>
      </c>
      <c r="N18" s="91">
        <v>33</v>
      </c>
      <c r="O18" s="91">
        <v>33</v>
      </c>
      <c r="P18" s="91">
        <v>32</v>
      </c>
      <c r="Q18" s="91">
        <v>30</v>
      </c>
      <c r="R18" s="91">
        <v>30</v>
      </c>
      <c r="S18" s="91">
        <v>30</v>
      </c>
      <c r="T18" s="91">
        <v>31</v>
      </c>
      <c r="U18" s="91">
        <v>31</v>
      </c>
      <c r="V18" s="91">
        <v>31</v>
      </c>
      <c r="W18" s="91">
        <v>31</v>
      </c>
      <c r="X18" s="91">
        <v>33</v>
      </c>
      <c r="Y18" s="91">
        <v>31</v>
      </c>
      <c r="Z18" s="91">
        <v>32</v>
      </c>
      <c r="AA18" s="91">
        <v>32</v>
      </c>
      <c r="AB18" s="91">
        <v>32</v>
      </c>
      <c r="AC18" s="91">
        <v>33</v>
      </c>
      <c r="AD18" s="91">
        <v>35</v>
      </c>
      <c r="AE18" s="91">
        <v>35</v>
      </c>
      <c r="AF18" s="91">
        <v>35</v>
      </c>
      <c r="AG18" s="91">
        <v>35</v>
      </c>
      <c r="AH18" s="91">
        <v>37</v>
      </c>
      <c r="AI18" s="91">
        <v>37</v>
      </c>
      <c r="AJ18" s="91">
        <v>37</v>
      </c>
      <c r="AK18" s="91">
        <v>37</v>
      </c>
      <c r="AL18" s="91">
        <v>38</v>
      </c>
      <c r="AM18" s="91">
        <v>39</v>
      </c>
      <c r="AN18" s="91">
        <v>39</v>
      </c>
      <c r="AO18" s="91">
        <v>39</v>
      </c>
      <c r="AP18" s="91">
        <v>39</v>
      </c>
      <c r="AQ18" s="91">
        <v>39</v>
      </c>
      <c r="AR18" s="91">
        <v>39</v>
      </c>
      <c r="AS18" s="93">
        <v>39</v>
      </c>
      <c r="AT18" s="91">
        <v>39</v>
      </c>
      <c r="AU18" s="91">
        <v>39</v>
      </c>
      <c r="AV18" s="91">
        <v>39</v>
      </c>
      <c r="AW18" s="91">
        <v>39</v>
      </c>
      <c r="AX18" s="91">
        <v>39</v>
      </c>
      <c r="AY18" s="91">
        <v>39</v>
      </c>
      <c r="AZ18" s="91">
        <v>39</v>
      </c>
      <c r="BA18" s="91">
        <v>39</v>
      </c>
      <c r="BB18" s="91">
        <v>39</v>
      </c>
      <c r="BC18" s="91">
        <v>39</v>
      </c>
    </row>
    <row r="19" spans="1:55" ht="17.399999999999999">
      <c r="A19" s="107">
        <v>1976</v>
      </c>
      <c r="B19" s="105">
        <v>3123640</v>
      </c>
      <c r="I19" s="91">
        <v>31</v>
      </c>
      <c r="J19" s="91">
        <v>31</v>
      </c>
      <c r="K19" s="91">
        <v>30</v>
      </c>
      <c r="L19" s="91">
        <v>30</v>
      </c>
      <c r="M19" s="91">
        <v>30</v>
      </c>
      <c r="N19" s="91">
        <v>30</v>
      </c>
      <c r="O19" s="91">
        <v>30</v>
      </c>
      <c r="P19" s="91">
        <v>31</v>
      </c>
      <c r="Q19" s="91">
        <v>29</v>
      </c>
      <c r="R19" s="91">
        <v>29</v>
      </c>
      <c r="S19" s="91">
        <v>29</v>
      </c>
      <c r="T19" s="91">
        <v>32</v>
      </c>
      <c r="U19" s="91">
        <v>32</v>
      </c>
      <c r="V19" s="91">
        <v>32</v>
      </c>
      <c r="W19" s="91">
        <v>32</v>
      </c>
      <c r="X19" s="91">
        <v>33</v>
      </c>
      <c r="Y19" s="91">
        <v>32</v>
      </c>
      <c r="Z19" s="91">
        <v>30</v>
      </c>
      <c r="AA19" s="91">
        <v>30</v>
      </c>
      <c r="AB19" s="91">
        <v>30</v>
      </c>
      <c r="AC19" s="91">
        <v>30</v>
      </c>
      <c r="AD19" s="91">
        <v>36</v>
      </c>
      <c r="AE19" s="91">
        <v>36</v>
      </c>
      <c r="AF19" s="91">
        <v>36</v>
      </c>
      <c r="AG19" s="91">
        <v>36</v>
      </c>
      <c r="AH19" s="91">
        <v>34</v>
      </c>
      <c r="AI19" s="91">
        <v>34</v>
      </c>
      <c r="AJ19" s="91">
        <v>34</v>
      </c>
      <c r="AK19" s="91">
        <v>34</v>
      </c>
      <c r="AL19" s="91">
        <v>34</v>
      </c>
      <c r="AM19" s="91">
        <v>37</v>
      </c>
      <c r="AN19" s="91">
        <v>37</v>
      </c>
      <c r="AO19" s="91">
        <v>37</v>
      </c>
      <c r="AP19" s="91">
        <v>37</v>
      </c>
      <c r="AQ19" s="91">
        <v>37</v>
      </c>
      <c r="AR19" s="91">
        <v>34</v>
      </c>
      <c r="AS19" s="93">
        <v>34</v>
      </c>
      <c r="AT19" s="91">
        <v>35</v>
      </c>
      <c r="AU19" s="91">
        <v>35</v>
      </c>
      <c r="AV19" s="91">
        <v>35</v>
      </c>
      <c r="AW19" s="91">
        <v>35</v>
      </c>
      <c r="AX19" s="91">
        <v>35</v>
      </c>
      <c r="AY19" s="91">
        <v>35</v>
      </c>
      <c r="AZ19" s="91">
        <v>35</v>
      </c>
      <c r="BA19" s="91">
        <v>35</v>
      </c>
      <c r="BB19" s="91">
        <v>35</v>
      </c>
      <c r="BC19" s="91">
        <v>35</v>
      </c>
    </row>
    <row r="20" spans="1:55" ht="17.399999999999999">
      <c r="A20" s="107">
        <v>1977</v>
      </c>
      <c r="B20" s="105">
        <v>4788408</v>
      </c>
      <c r="J20" s="91">
        <v>31</v>
      </c>
      <c r="K20" s="91">
        <v>30</v>
      </c>
      <c r="L20" s="91">
        <v>30</v>
      </c>
      <c r="M20" s="91">
        <v>31</v>
      </c>
      <c r="N20" s="91">
        <v>31</v>
      </c>
      <c r="O20" s="91">
        <v>31</v>
      </c>
      <c r="P20" s="91">
        <v>32</v>
      </c>
      <c r="Q20" s="91">
        <v>30</v>
      </c>
      <c r="R20" s="91">
        <v>30</v>
      </c>
      <c r="S20" s="91">
        <v>30</v>
      </c>
      <c r="T20" s="91">
        <v>32</v>
      </c>
      <c r="U20" s="91">
        <v>32</v>
      </c>
      <c r="V20" s="91">
        <v>32</v>
      </c>
      <c r="W20" s="91">
        <v>32</v>
      </c>
      <c r="X20" s="91">
        <v>33</v>
      </c>
      <c r="Y20" s="91">
        <v>32</v>
      </c>
      <c r="Z20" s="91">
        <v>31</v>
      </c>
      <c r="AA20" s="91">
        <v>31</v>
      </c>
      <c r="AB20" s="91">
        <v>31</v>
      </c>
      <c r="AC20" s="91">
        <v>31</v>
      </c>
      <c r="AD20" s="91">
        <v>36</v>
      </c>
      <c r="AE20" s="91">
        <v>36</v>
      </c>
      <c r="AF20" s="91">
        <v>36</v>
      </c>
      <c r="AG20" s="91">
        <v>36</v>
      </c>
      <c r="AH20" s="91">
        <v>35</v>
      </c>
      <c r="AI20" s="91">
        <v>35</v>
      </c>
      <c r="AJ20" s="91">
        <v>35</v>
      </c>
      <c r="AK20" s="91">
        <v>35</v>
      </c>
      <c r="AL20" s="91">
        <v>35</v>
      </c>
      <c r="AM20" s="91">
        <v>37</v>
      </c>
      <c r="AN20" s="91">
        <v>37</v>
      </c>
      <c r="AO20" s="91">
        <v>37</v>
      </c>
      <c r="AP20" s="91">
        <v>37</v>
      </c>
      <c r="AQ20" s="91">
        <v>37</v>
      </c>
      <c r="AR20" s="91">
        <v>36</v>
      </c>
      <c r="AS20" s="93">
        <v>36</v>
      </c>
      <c r="AT20" s="91">
        <v>36</v>
      </c>
      <c r="AU20" s="91">
        <v>36</v>
      </c>
      <c r="AV20" s="91">
        <v>36</v>
      </c>
      <c r="AW20" s="91">
        <v>36</v>
      </c>
      <c r="AX20" s="91">
        <v>36</v>
      </c>
      <c r="AY20" s="91">
        <v>36</v>
      </c>
      <c r="AZ20" s="91">
        <v>36</v>
      </c>
      <c r="BA20" s="91">
        <v>36</v>
      </c>
      <c r="BB20" s="91">
        <v>36</v>
      </c>
      <c r="BC20" s="91">
        <v>36</v>
      </c>
    </row>
    <row r="21" spans="1:55" ht="17.399999999999999">
      <c r="A21" s="107">
        <v>1978</v>
      </c>
      <c r="B21" s="105">
        <v>3658003</v>
      </c>
      <c r="K21" s="91">
        <v>30</v>
      </c>
      <c r="L21" s="91">
        <v>29</v>
      </c>
      <c r="M21" s="91">
        <v>31</v>
      </c>
      <c r="N21" s="91">
        <v>31</v>
      </c>
      <c r="O21" s="91">
        <v>31</v>
      </c>
      <c r="P21" s="91">
        <v>30</v>
      </c>
      <c r="Q21" s="91">
        <v>28</v>
      </c>
      <c r="R21" s="91">
        <v>29</v>
      </c>
      <c r="S21" s="91">
        <v>29</v>
      </c>
      <c r="T21" s="91">
        <v>30</v>
      </c>
      <c r="U21" s="91">
        <v>30</v>
      </c>
      <c r="V21" s="91">
        <v>31</v>
      </c>
      <c r="W21" s="91">
        <v>30</v>
      </c>
      <c r="X21" s="91">
        <v>32</v>
      </c>
      <c r="Y21" s="91">
        <v>30</v>
      </c>
      <c r="Z21" s="91">
        <v>30</v>
      </c>
      <c r="AA21" s="91">
        <v>30</v>
      </c>
      <c r="AB21" s="91">
        <v>30</v>
      </c>
      <c r="AC21" s="91">
        <v>30</v>
      </c>
      <c r="AD21" s="91">
        <v>34</v>
      </c>
      <c r="AE21" s="91">
        <v>34</v>
      </c>
      <c r="AF21" s="91">
        <v>34</v>
      </c>
      <c r="AG21" s="91">
        <v>34</v>
      </c>
      <c r="AH21" s="91">
        <v>34</v>
      </c>
      <c r="AI21" s="91">
        <v>34</v>
      </c>
      <c r="AJ21" s="91">
        <v>34</v>
      </c>
      <c r="AK21" s="91">
        <v>34</v>
      </c>
      <c r="AL21" s="91">
        <v>34</v>
      </c>
      <c r="AM21" s="91">
        <v>36</v>
      </c>
      <c r="AN21" s="91">
        <v>36</v>
      </c>
      <c r="AO21" s="91">
        <v>36</v>
      </c>
      <c r="AP21" s="91">
        <v>36</v>
      </c>
      <c r="AQ21" s="91">
        <v>36</v>
      </c>
      <c r="AR21" s="91">
        <v>35</v>
      </c>
      <c r="AS21" s="93">
        <v>35</v>
      </c>
      <c r="AT21" s="91">
        <v>35</v>
      </c>
      <c r="AU21" s="91">
        <v>35</v>
      </c>
      <c r="AV21" s="91">
        <v>35</v>
      </c>
      <c r="AW21" s="91">
        <v>35</v>
      </c>
      <c r="AX21" s="91">
        <v>35</v>
      </c>
      <c r="AY21" s="91">
        <v>35</v>
      </c>
      <c r="AZ21" s="91">
        <v>35</v>
      </c>
      <c r="BA21" s="91">
        <v>35</v>
      </c>
      <c r="BB21" s="91">
        <v>35</v>
      </c>
      <c r="BC21" s="91">
        <v>35</v>
      </c>
    </row>
    <row r="22" spans="1:55" ht="17.399999999999999">
      <c r="A22" s="107">
        <v>1979</v>
      </c>
      <c r="B22" s="105">
        <v>1279086</v>
      </c>
      <c r="L22" s="91">
        <v>29</v>
      </c>
      <c r="M22" s="91">
        <v>31</v>
      </c>
      <c r="N22" s="91">
        <v>31</v>
      </c>
      <c r="O22" s="91">
        <v>31</v>
      </c>
      <c r="P22" s="91">
        <v>30</v>
      </c>
      <c r="Q22" s="91">
        <v>28</v>
      </c>
      <c r="R22" s="91">
        <v>28</v>
      </c>
      <c r="S22" s="91">
        <v>28</v>
      </c>
      <c r="T22" s="91">
        <v>30</v>
      </c>
      <c r="U22" s="91">
        <v>30</v>
      </c>
      <c r="V22" s="91">
        <v>30</v>
      </c>
      <c r="W22" s="91">
        <v>30</v>
      </c>
      <c r="X22" s="91">
        <v>32</v>
      </c>
      <c r="Y22" s="91">
        <v>30</v>
      </c>
      <c r="Z22" s="91">
        <v>30</v>
      </c>
      <c r="AA22" s="91">
        <v>30</v>
      </c>
      <c r="AB22" s="91">
        <v>30</v>
      </c>
      <c r="AC22" s="91">
        <v>30</v>
      </c>
      <c r="AD22" s="91">
        <v>34</v>
      </c>
      <c r="AE22" s="111">
        <v>34</v>
      </c>
      <c r="AF22" s="91">
        <v>34</v>
      </c>
      <c r="AG22" s="91">
        <v>34</v>
      </c>
      <c r="AH22" s="91">
        <v>34</v>
      </c>
      <c r="AI22" s="91">
        <v>34</v>
      </c>
      <c r="AJ22" s="91">
        <v>34</v>
      </c>
      <c r="AK22" s="91">
        <v>34</v>
      </c>
      <c r="AL22" s="91">
        <v>34</v>
      </c>
      <c r="AM22" s="91">
        <v>36</v>
      </c>
      <c r="AN22" s="91">
        <v>36</v>
      </c>
      <c r="AO22" s="91">
        <v>36</v>
      </c>
      <c r="AP22" s="91">
        <v>36</v>
      </c>
      <c r="AQ22" s="91">
        <v>36</v>
      </c>
      <c r="AR22" s="91">
        <v>36</v>
      </c>
      <c r="AS22" s="93">
        <v>36</v>
      </c>
      <c r="AT22" s="91">
        <v>36</v>
      </c>
      <c r="AU22" s="91">
        <v>36</v>
      </c>
      <c r="AV22" s="91">
        <v>36</v>
      </c>
      <c r="AW22" s="91">
        <v>36</v>
      </c>
      <c r="AX22" s="91">
        <v>36</v>
      </c>
      <c r="AY22" s="91">
        <v>36</v>
      </c>
      <c r="AZ22" s="91">
        <v>36</v>
      </c>
      <c r="BA22" s="91">
        <v>36</v>
      </c>
      <c r="BB22" s="91">
        <v>36</v>
      </c>
      <c r="BC22" s="91">
        <v>36</v>
      </c>
    </row>
    <row r="23" spans="1:55" ht="17.399999999999999">
      <c r="A23" s="107">
        <v>1980</v>
      </c>
      <c r="B23" s="105">
        <v>801852</v>
      </c>
      <c r="M23" s="91">
        <v>30</v>
      </c>
      <c r="N23" s="91">
        <v>30</v>
      </c>
      <c r="O23" s="91">
        <v>28</v>
      </c>
      <c r="P23" s="91">
        <v>27</v>
      </c>
      <c r="Q23" s="91">
        <v>25</v>
      </c>
      <c r="R23" s="91">
        <v>25</v>
      </c>
      <c r="S23" s="91">
        <v>25</v>
      </c>
      <c r="T23" s="91">
        <v>26</v>
      </c>
      <c r="U23" s="91">
        <v>25</v>
      </c>
      <c r="V23" s="91">
        <v>30</v>
      </c>
      <c r="W23" s="91">
        <v>30</v>
      </c>
      <c r="X23" s="91">
        <v>31</v>
      </c>
      <c r="Y23" s="91">
        <v>30</v>
      </c>
      <c r="Z23" s="91">
        <v>30</v>
      </c>
      <c r="AA23" s="91">
        <v>30</v>
      </c>
      <c r="AB23" s="91">
        <v>30</v>
      </c>
      <c r="AC23" s="91">
        <v>30</v>
      </c>
      <c r="AD23" s="91">
        <v>34</v>
      </c>
      <c r="AE23" s="111">
        <v>34</v>
      </c>
      <c r="AF23" s="91">
        <v>34</v>
      </c>
      <c r="AG23" s="91">
        <v>34</v>
      </c>
      <c r="AH23" s="91">
        <v>34</v>
      </c>
      <c r="AI23" s="91">
        <v>34</v>
      </c>
      <c r="AJ23" s="91">
        <v>34</v>
      </c>
      <c r="AK23" s="91">
        <v>34</v>
      </c>
      <c r="AL23" s="109">
        <v>35</v>
      </c>
      <c r="AM23" s="91">
        <v>36</v>
      </c>
      <c r="AN23" s="91">
        <v>36</v>
      </c>
      <c r="AO23" s="91">
        <v>36</v>
      </c>
      <c r="AP23" s="91">
        <v>36</v>
      </c>
      <c r="AQ23" s="91">
        <v>36</v>
      </c>
      <c r="AR23" s="91">
        <v>36</v>
      </c>
      <c r="AS23" s="93">
        <v>36</v>
      </c>
      <c r="AT23" s="91">
        <v>35</v>
      </c>
      <c r="AU23" s="91">
        <v>35</v>
      </c>
      <c r="AV23" s="91">
        <v>35</v>
      </c>
      <c r="AW23" s="91">
        <v>35</v>
      </c>
      <c r="AX23" s="91">
        <v>35</v>
      </c>
      <c r="AY23" s="91">
        <v>35</v>
      </c>
      <c r="AZ23" s="91">
        <v>35</v>
      </c>
      <c r="BA23" s="91">
        <v>35</v>
      </c>
      <c r="BB23" s="91">
        <v>35</v>
      </c>
      <c r="BC23" s="91">
        <v>35</v>
      </c>
    </row>
    <row r="24" spans="1:55" ht="17.399999999999999">
      <c r="A24" s="107">
        <v>1981</v>
      </c>
      <c r="B24" s="105">
        <v>6976409</v>
      </c>
      <c r="N24" s="91">
        <v>30</v>
      </c>
      <c r="O24" s="91">
        <v>30</v>
      </c>
      <c r="P24" s="91">
        <v>31</v>
      </c>
      <c r="Q24" s="91">
        <v>29</v>
      </c>
      <c r="R24" s="91">
        <v>29</v>
      </c>
      <c r="S24" s="91">
        <v>29</v>
      </c>
      <c r="T24" s="91">
        <v>32</v>
      </c>
      <c r="U24" s="91">
        <v>32</v>
      </c>
      <c r="V24" s="91">
        <v>32</v>
      </c>
      <c r="W24" s="91">
        <v>32</v>
      </c>
      <c r="X24" s="91">
        <v>33</v>
      </c>
      <c r="Y24" s="91">
        <v>32</v>
      </c>
      <c r="Z24" s="91">
        <v>30</v>
      </c>
      <c r="AA24" s="91">
        <v>31</v>
      </c>
      <c r="AB24" s="91">
        <v>31</v>
      </c>
      <c r="AC24" s="91">
        <v>31</v>
      </c>
      <c r="AD24" s="91">
        <v>36</v>
      </c>
      <c r="AE24" s="111">
        <v>36</v>
      </c>
      <c r="AF24" s="91">
        <v>36</v>
      </c>
      <c r="AG24" s="91">
        <v>36</v>
      </c>
      <c r="AH24" s="91">
        <v>34</v>
      </c>
      <c r="AI24" s="91">
        <v>34</v>
      </c>
      <c r="AJ24" s="91">
        <v>34</v>
      </c>
      <c r="AK24" s="91">
        <v>34</v>
      </c>
      <c r="AL24" s="91">
        <v>34</v>
      </c>
      <c r="AM24" s="91">
        <v>37</v>
      </c>
      <c r="AN24" s="91">
        <v>37</v>
      </c>
      <c r="AO24" s="91">
        <v>37</v>
      </c>
      <c r="AP24" s="91">
        <v>37</v>
      </c>
      <c r="AQ24" s="91">
        <v>37</v>
      </c>
      <c r="AR24" s="91">
        <v>35</v>
      </c>
      <c r="AS24" s="93">
        <v>35</v>
      </c>
      <c r="AT24" s="91">
        <v>35</v>
      </c>
      <c r="AU24" s="91">
        <v>35</v>
      </c>
      <c r="AV24" s="91">
        <v>35</v>
      </c>
      <c r="AW24" s="91">
        <v>35</v>
      </c>
      <c r="AX24" s="91">
        <v>35</v>
      </c>
      <c r="AY24" s="91">
        <v>35</v>
      </c>
      <c r="AZ24" s="91">
        <v>35</v>
      </c>
      <c r="BA24" s="91">
        <v>35</v>
      </c>
      <c r="BB24" s="91">
        <v>35</v>
      </c>
      <c r="BC24" s="91">
        <v>35</v>
      </c>
    </row>
    <row r="25" spans="1:55" ht="17.399999999999999">
      <c r="A25" s="107">
        <v>1982</v>
      </c>
      <c r="B25" s="105">
        <v>3589009</v>
      </c>
      <c r="O25" s="91">
        <v>31</v>
      </c>
      <c r="P25" s="91">
        <v>29</v>
      </c>
      <c r="Q25" s="91">
        <v>27</v>
      </c>
      <c r="R25" s="91">
        <v>27</v>
      </c>
      <c r="S25" s="91">
        <v>27</v>
      </c>
      <c r="T25" s="91">
        <v>28</v>
      </c>
      <c r="U25" s="91">
        <v>28</v>
      </c>
      <c r="V25" s="91">
        <v>28</v>
      </c>
      <c r="W25" s="91">
        <v>28</v>
      </c>
      <c r="X25" s="91">
        <v>30</v>
      </c>
      <c r="Y25" s="91">
        <v>28</v>
      </c>
      <c r="Z25" s="91">
        <v>31</v>
      </c>
      <c r="AA25" s="91">
        <v>30</v>
      </c>
      <c r="AB25" s="91">
        <v>30</v>
      </c>
      <c r="AC25" s="91">
        <v>30</v>
      </c>
      <c r="AD25" s="91">
        <v>33</v>
      </c>
      <c r="AE25" s="111">
        <v>33</v>
      </c>
      <c r="AF25" s="91">
        <v>33</v>
      </c>
      <c r="AG25" s="91">
        <v>33</v>
      </c>
      <c r="AH25" s="91">
        <v>33</v>
      </c>
      <c r="AI25" s="91">
        <v>33</v>
      </c>
      <c r="AJ25" s="91">
        <v>33</v>
      </c>
      <c r="AK25" s="91">
        <v>33</v>
      </c>
      <c r="AL25" s="109">
        <v>34</v>
      </c>
      <c r="AM25" s="91">
        <v>35</v>
      </c>
      <c r="AN25" s="91">
        <v>35</v>
      </c>
      <c r="AO25" s="91">
        <v>35</v>
      </c>
      <c r="AP25" s="91">
        <v>35</v>
      </c>
      <c r="AQ25" s="91">
        <v>35</v>
      </c>
      <c r="AR25" s="91">
        <v>35</v>
      </c>
      <c r="AS25" s="93">
        <v>35</v>
      </c>
      <c r="AT25" s="91">
        <v>35</v>
      </c>
      <c r="AU25" s="91">
        <v>35</v>
      </c>
      <c r="AV25" s="91">
        <v>35</v>
      </c>
      <c r="AW25" s="91">
        <v>35</v>
      </c>
      <c r="AX25" s="91">
        <v>35</v>
      </c>
      <c r="AY25" s="91">
        <v>35</v>
      </c>
      <c r="AZ25" s="91">
        <v>35</v>
      </c>
      <c r="BA25" s="91">
        <v>35</v>
      </c>
      <c r="BB25" s="91">
        <v>35</v>
      </c>
      <c r="BC25" s="91">
        <v>35</v>
      </c>
    </row>
    <row r="26" spans="1:55" ht="17.399999999999999">
      <c r="A26" s="107">
        <v>1983</v>
      </c>
      <c r="B26" s="105">
        <v>1857100</v>
      </c>
      <c r="P26" s="91">
        <v>30</v>
      </c>
      <c r="Q26" s="91">
        <v>28</v>
      </c>
      <c r="R26" s="91">
        <v>28</v>
      </c>
      <c r="S26" s="91">
        <v>28</v>
      </c>
      <c r="T26" s="91">
        <v>29</v>
      </c>
      <c r="U26" s="91">
        <v>29</v>
      </c>
      <c r="V26" s="91">
        <v>30</v>
      </c>
      <c r="W26" s="91">
        <v>30</v>
      </c>
      <c r="X26" s="91">
        <v>31</v>
      </c>
      <c r="Y26" s="91">
        <v>30</v>
      </c>
      <c r="Z26" s="91">
        <v>29</v>
      </c>
      <c r="AA26" s="91">
        <v>30</v>
      </c>
      <c r="AB26" s="91">
        <v>30</v>
      </c>
      <c r="AC26" s="91">
        <v>30</v>
      </c>
      <c r="AD26" s="91">
        <v>34</v>
      </c>
      <c r="AE26" s="111">
        <v>34</v>
      </c>
      <c r="AF26" s="91">
        <v>34</v>
      </c>
      <c r="AG26" s="91">
        <v>34</v>
      </c>
      <c r="AH26" s="91">
        <v>33</v>
      </c>
      <c r="AI26" s="91">
        <v>33</v>
      </c>
      <c r="AJ26" s="91">
        <v>33</v>
      </c>
      <c r="AK26" s="91">
        <v>33</v>
      </c>
      <c r="AL26" s="109">
        <v>34</v>
      </c>
      <c r="AM26" s="91">
        <v>36</v>
      </c>
      <c r="AN26" s="91">
        <v>36</v>
      </c>
      <c r="AO26" s="91">
        <v>36</v>
      </c>
      <c r="AP26" s="91">
        <v>36</v>
      </c>
      <c r="AQ26" s="91">
        <v>36</v>
      </c>
      <c r="AR26" s="91">
        <v>35</v>
      </c>
      <c r="AS26" s="93">
        <v>35</v>
      </c>
      <c r="AT26" s="91">
        <v>35</v>
      </c>
      <c r="AU26" s="91">
        <v>35</v>
      </c>
      <c r="AV26" s="91">
        <v>35</v>
      </c>
      <c r="AW26" s="91">
        <v>35</v>
      </c>
      <c r="AX26" s="91">
        <v>35</v>
      </c>
      <c r="AY26" s="91">
        <v>35</v>
      </c>
      <c r="AZ26" s="91">
        <v>35</v>
      </c>
      <c r="BA26" s="91">
        <v>35</v>
      </c>
      <c r="BB26" s="91">
        <v>35</v>
      </c>
      <c r="BC26" s="91">
        <v>35</v>
      </c>
    </row>
    <row r="27" spans="1:55" ht="17.399999999999999">
      <c r="A27" s="107">
        <v>1984</v>
      </c>
      <c r="B27" s="105">
        <v>3459089</v>
      </c>
      <c r="Q27" s="91">
        <v>27</v>
      </c>
      <c r="R27" s="91">
        <v>27</v>
      </c>
      <c r="S27" s="91">
        <v>27</v>
      </c>
      <c r="T27" s="91">
        <v>28</v>
      </c>
      <c r="U27" s="91">
        <v>28</v>
      </c>
      <c r="V27" s="91">
        <v>29</v>
      </c>
      <c r="W27" s="91">
        <v>28</v>
      </c>
      <c r="X27" s="91">
        <v>30</v>
      </c>
      <c r="Y27" s="91">
        <v>29</v>
      </c>
      <c r="Z27" s="91">
        <v>29</v>
      </c>
      <c r="AA27" s="91">
        <v>29</v>
      </c>
      <c r="AB27" s="91">
        <v>29</v>
      </c>
      <c r="AC27" s="91">
        <v>30</v>
      </c>
      <c r="AD27" s="91">
        <v>33</v>
      </c>
      <c r="AE27" s="111">
        <v>33</v>
      </c>
      <c r="AF27" s="91">
        <v>33</v>
      </c>
      <c r="AG27" s="91">
        <v>33</v>
      </c>
      <c r="AH27" s="91">
        <v>33</v>
      </c>
      <c r="AI27" s="91">
        <v>33</v>
      </c>
      <c r="AJ27" s="91">
        <v>33</v>
      </c>
      <c r="AK27" s="91">
        <v>33</v>
      </c>
      <c r="AL27" s="109">
        <v>34</v>
      </c>
      <c r="AM27" s="91">
        <v>35</v>
      </c>
      <c r="AN27" s="91">
        <v>35</v>
      </c>
      <c r="AO27" s="91">
        <v>35</v>
      </c>
      <c r="AP27" s="91">
        <v>35</v>
      </c>
      <c r="AQ27" s="91">
        <v>35</v>
      </c>
      <c r="AR27" s="91">
        <v>35</v>
      </c>
      <c r="AS27" s="93">
        <v>35</v>
      </c>
      <c r="AT27" s="91">
        <v>35</v>
      </c>
      <c r="AU27" s="91">
        <v>35</v>
      </c>
      <c r="AV27" s="91">
        <v>35</v>
      </c>
      <c r="AW27" s="91">
        <v>35</v>
      </c>
      <c r="AX27" s="91">
        <v>35</v>
      </c>
      <c r="AY27" s="91">
        <v>35</v>
      </c>
      <c r="AZ27" s="91">
        <v>35</v>
      </c>
      <c r="BA27" s="91">
        <v>35</v>
      </c>
      <c r="BB27" s="91">
        <v>35</v>
      </c>
      <c r="BC27" s="91">
        <v>35</v>
      </c>
    </row>
    <row r="28" spans="1:55" ht="17.399999999999999">
      <c r="A28" s="107">
        <v>1985</v>
      </c>
      <c r="B28" s="105">
        <v>4478151</v>
      </c>
      <c r="R28" s="91">
        <v>26</v>
      </c>
      <c r="S28" s="91">
        <v>26</v>
      </c>
      <c r="T28" s="91">
        <v>27</v>
      </c>
      <c r="U28" s="91">
        <v>27</v>
      </c>
      <c r="V28" s="91">
        <v>28</v>
      </c>
      <c r="W28" s="91">
        <v>28</v>
      </c>
      <c r="X28" s="91">
        <v>30</v>
      </c>
      <c r="Y28" s="91">
        <v>28</v>
      </c>
      <c r="Z28" s="91">
        <v>29</v>
      </c>
      <c r="AA28" s="91">
        <v>29</v>
      </c>
      <c r="AB28" s="91">
        <v>29</v>
      </c>
      <c r="AC28" s="91">
        <v>30</v>
      </c>
      <c r="AD28" s="91">
        <v>33</v>
      </c>
      <c r="AE28" s="111">
        <v>33</v>
      </c>
      <c r="AF28" s="91">
        <v>33</v>
      </c>
      <c r="AG28" s="91">
        <v>33</v>
      </c>
      <c r="AH28" s="91">
        <v>33</v>
      </c>
      <c r="AI28" s="91">
        <v>33</v>
      </c>
      <c r="AJ28" s="91">
        <v>33</v>
      </c>
      <c r="AK28" s="91">
        <v>33</v>
      </c>
      <c r="AL28" s="109">
        <v>34</v>
      </c>
      <c r="AM28" s="91">
        <v>35</v>
      </c>
      <c r="AN28" s="91">
        <v>35</v>
      </c>
      <c r="AO28" s="91">
        <v>35</v>
      </c>
      <c r="AP28" s="91">
        <v>35</v>
      </c>
      <c r="AQ28" s="91">
        <v>35</v>
      </c>
      <c r="AR28" s="91">
        <v>35</v>
      </c>
      <c r="AS28" s="93">
        <v>35</v>
      </c>
      <c r="AT28" s="91">
        <v>35</v>
      </c>
      <c r="AU28" s="91">
        <v>35</v>
      </c>
      <c r="AV28" s="91">
        <v>35</v>
      </c>
      <c r="AW28" s="91">
        <v>35</v>
      </c>
      <c r="AX28" s="91">
        <v>35</v>
      </c>
      <c r="AY28" s="91">
        <v>35</v>
      </c>
      <c r="AZ28" s="91">
        <v>35</v>
      </c>
      <c r="BA28" s="91">
        <v>35</v>
      </c>
      <c r="BB28" s="91">
        <v>35</v>
      </c>
      <c r="BC28" s="91">
        <v>35</v>
      </c>
    </row>
    <row r="29" spans="1:55" ht="17.399999999999999">
      <c r="A29" s="107">
        <v>1986</v>
      </c>
      <c r="B29" s="105">
        <v>1853553</v>
      </c>
      <c r="S29" s="91">
        <v>26</v>
      </c>
      <c r="T29" s="91">
        <v>27</v>
      </c>
      <c r="U29" s="91">
        <v>27</v>
      </c>
      <c r="V29" s="91">
        <v>28</v>
      </c>
      <c r="W29" s="91">
        <v>28</v>
      </c>
      <c r="X29" s="91">
        <v>30</v>
      </c>
      <c r="Y29" s="91">
        <v>28</v>
      </c>
      <c r="Z29" s="91">
        <v>28</v>
      </c>
      <c r="AA29" s="91">
        <v>29</v>
      </c>
      <c r="AB29" s="91">
        <v>29</v>
      </c>
      <c r="AC29" s="91">
        <v>29</v>
      </c>
      <c r="AD29" s="91">
        <v>34</v>
      </c>
      <c r="AE29" s="111">
        <v>34</v>
      </c>
      <c r="AF29" s="91">
        <v>34</v>
      </c>
      <c r="AG29" s="91">
        <v>34</v>
      </c>
      <c r="AH29" s="91">
        <v>33</v>
      </c>
      <c r="AI29" s="91">
        <v>33</v>
      </c>
      <c r="AJ29" s="91">
        <v>33</v>
      </c>
      <c r="AK29" s="91">
        <v>33</v>
      </c>
      <c r="AL29" s="109">
        <v>34</v>
      </c>
      <c r="AM29" s="91">
        <v>35</v>
      </c>
      <c r="AN29" s="91">
        <v>35</v>
      </c>
      <c r="AO29" s="91">
        <v>35</v>
      </c>
      <c r="AP29" s="91">
        <v>35</v>
      </c>
      <c r="AQ29" s="91">
        <v>35</v>
      </c>
      <c r="AR29" s="91">
        <v>35</v>
      </c>
      <c r="AS29" s="93">
        <v>35</v>
      </c>
      <c r="AT29" s="91">
        <v>35</v>
      </c>
      <c r="AU29" s="91">
        <v>35</v>
      </c>
      <c r="AV29" s="91">
        <v>35</v>
      </c>
      <c r="AW29" s="91">
        <v>35</v>
      </c>
      <c r="AX29" s="91">
        <v>35</v>
      </c>
      <c r="AY29" s="91">
        <v>35</v>
      </c>
      <c r="AZ29" s="91">
        <v>35</v>
      </c>
      <c r="BA29" s="91">
        <v>35</v>
      </c>
      <c r="BB29" s="91">
        <v>35</v>
      </c>
      <c r="BC29" s="91">
        <v>35</v>
      </c>
    </row>
    <row r="30" spans="1:55" ht="17.399999999999999">
      <c r="A30" s="107">
        <v>1987</v>
      </c>
      <c r="B30" s="105">
        <v>1134789</v>
      </c>
      <c r="T30" s="91">
        <v>32</v>
      </c>
      <c r="U30" s="91">
        <v>32</v>
      </c>
      <c r="V30" s="91">
        <v>32</v>
      </c>
      <c r="W30" s="91">
        <v>32</v>
      </c>
      <c r="X30" s="91">
        <v>33</v>
      </c>
      <c r="Y30" s="91">
        <v>32</v>
      </c>
      <c r="Z30" s="91">
        <v>28</v>
      </c>
      <c r="AA30" s="91">
        <v>31</v>
      </c>
      <c r="AB30" s="91">
        <v>31</v>
      </c>
      <c r="AC30" s="91">
        <v>31</v>
      </c>
      <c r="AD30" s="91">
        <v>36</v>
      </c>
      <c r="AE30" s="111">
        <v>36</v>
      </c>
      <c r="AF30" s="91">
        <v>36</v>
      </c>
      <c r="AG30" s="91">
        <v>36</v>
      </c>
      <c r="AH30" s="91">
        <v>34</v>
      </c>
      <c r="AI30" s="91">
        <v>34</v>
      </c>
      <c r="AJ30" s="91">
        <v>34</v>
      </c>
      <c r="AK30" s="91">
        <v>34</v>
      </c>
      <c r="AL30" s="91">
        <v>34</v>
      </c>
      <c r="AM30" s="91">
        <v>37</v>
      </c>
      <c r="AN30" s="91">
        <v>37</v>
      </c>
      <c r="AO30" s="91">
        <v>37</v>
      </c>
      <c r="AP30" s="91">
        <v>37</v>
      </c>
      <c r="AQ30" s="91">
        <v>37</v>
      </c>
      <c r="AR30" s="91">
        <v>35</v>
      </c>
      <c r="AS30" s="93">
        <v>35</v>
      </c>
      <c r="AT30" s="91">
        <v>35</v>
      </c>
      <c r="AU30" s="91">
        <v>35</v>
      </c>
      <c r="AV30" s="91">
        <v>35</v>
      </c>
      <c r="AW30" s="91">
        <v>35</v>
      </c>
      <c r="AX30" s="91">
        <v>35</v>
      </c>
      <c r="AY30" s="91">
        <v>35</v>
      </c>
      <c r="AZ30" s="91">
        <v>35</v>
      </c>
      <c r="BA30" s="91">
        <v>35</v>
      </c>
      <c r="BB30" s="91">
        <v>35</v>
      </c>
      <c r="BC30" s="91">
        <v>35</v>
      </c>
    </row>
    <row r="31" spans="1:55" ht="17.399999999999999">
      <c r="A31" s="107">
        <v>1988</v>
      </c>
      <c r="B31" s="110">
        <v>26553</v>
      </c>
      <c r="U31" s="91">
        <v>32</v>
      </c>
      <c r="V31" s="91">
        <v>33</v>
      </c>
      <c r="W31" s="91">
        <v>32</v>
      </c>
      <c r="X31" s="91">
        <v>34</v>
      </c>
      <c r="Y31" s="91">
        <v>32</v>
      </c>
      <c r="Z31" s="91">
        <v>30</v>
      </c>
      <c r="AA31" s="91">
        <v>31</v>
      </c>
      <c r="AB31" s="91">
        <v>31</v>
      </c>
      <c r="AC31" s="91">
        <v>31</v>
      </c>
      <c r="AD31" s="91">
        <v>36</v>
      </c>
      <c r="AE31" s="111">
        <v>36</v>
      </c>
      <c r="AF31" s="91">
        <v>36</v>
      </c>
      <c r="AG31" s="91">
        <v>36</v>
      </c>
      <c r="AH31" s="91">
        <v>34</v>
      </c>
      <c r="AI31" s="91">
        <v>34</v>
      </c>
      <c r="AJ31" s="91">
        <v>34</v>
      </c>
      <c r="AK31" s="91">
        <v>34</v>
      </c>
      <c r="AL31" s="91">
        <v>34</v>
      </c>
      <c r="AM31" s="91">
        <v>37</v>
      </c>
      <c r="AN31" s="91">
        <v>37</v>
      </c>
      <c r="AO31" s="91">
        <v>37</v>
      </c>
      <c r="AP31" s="91">
        <v>37</v>
      </c>
      <c r="AQ31" s="91">
        <v>37</v>
      </c>
      <c r="AR31" s="91">
        <v>34</v>
      </c>
      <c r="AS31" s="93">
        <v>34</v>
      </c>
      <c r="AT31" s="91">
        <v>35</v>
      </c>
      <c r="AU31" s="91">
        <v>35</v>
      </c>
      <c r="AV31" s="91">
        <v>35</v>
      </c>
      <c r="AW31" s="91">
        <v>35</v>
      </c>
      <c r="AX31" s="91">
        <v>35</v>
      </c>
      <c r="AY31" s="91">
        <v>35</v>
      </c>
      <c r="AZ31" s="91">
        <v>35</v>
      </c>
      <c r="BA31" s="91">
        <v>35</v>
      </c>
      <c r="BB31" s="91">
        <v>35</v>
      </c>
      <c r="BC31" s="91">
        <v>35</v>
      </c>
    </row>
    <row r="32" spans="1:55" ht="17.399999999999999">
      <c r="A32" s="107" t="s">
        <v>250</v>
      </c>
      <c r="B32" s="105">
        <v>37966657</v>
      </c>
    </row>
    <row r="33" spans="1:157" ht="17.399999999999999">
      <c r="A33" s="107"/>
      <c r="B33" s="105"/>
    </row>
    <row r="34" spans="1:157" ht="17.399999999999999">
      <c r="A34" s="104" t="s">
        <v>251</v>
      </c>
      <c r="B34" s="105"/>
    </row>
    <row r="35" spans="1:157" ht="17.399999999999999">
      <c r="A35" s="107">
        <v>1981</v>
      </c>
      <c r="B35" s="105">
        <v>13602142</v>
      </c>
      <c r="N35" s="91">
        <v>30</v>
      </c>
      <c r="O35" s="91">
        <v>30</v>
      </c>
      <c r="P35" s="91">
        <v>31</v>
      </c>
      <c r="Q35" s="91">
        <v>29</v>
      </c>
      <c r="R35" s="91">
        <v>29</v>
      </c>
      <c r="S35" s="91">
        <v>29</v>
      </c>
      <c r="T35" s="91">
        <v>32</v>
      </c>
      <c r="U35" s="91">
        <v>32</v>
      </c>
      <c r="V35" s="91">
        <v>32</v>
      </c>
      <c r="W35" s="91">
        <v>32</v>
      </c>
      <c r="X35" s="91">
        <v>33</v>
      </c>
      <c r="Y35" s="91">
        <v>32</v>
      </c>
      <c r="Z35" s="91">
        <v>30</v>
      </c>
      <c r="AA35" s="91">
        <v>31</v>
      </c>
      <c r="AB35" s="91">
        <v>31</v>
      </c>
      <c r="AC35" s="91">
        <v>31</v>
      </c>
      <c r="AD35" s="91">
        <v>36</v>
      </c>
      <c r="AE35" s="91">
        <v>36</v>
      </c>
      <c r="AF35" s="91">
        <v>36</v>
      </c>
      <c r="AG35" s="91">
        <v>36</v>
      </c>
      <c r="AH35" s="91">
        <v>34</v>
      </c>
      <c r="AI35" s="91">
        <v>34</v>
      </c>
      <c r="AJ35" s="91">
        <v>34</v>
      </c>
      <c r="AK35" s="91">
        <v>34</v>
      </c>
      <c r="AL35" s="91">
        <v>34</v>
      </c>
      <c r="AM35" s="91">
        <v>37</v>
      </c>
      <c r="AN35" s="91">
        <v>37</v>
      </c>
      <c r="AO35" s="91">
        <v>37</v>
      </c>
      <c r="AP35" s="91">
        <v>37</v>
      </c>
      <c r="AQ35" s="91">
        <v>37</v>
      </c>
      <c r="AR35" s="91">
        <v>35</v>
      </c>
      <c r="AS35" s="93">
        <v>35</v>
      </c>
      <c r="AT35" s="91">
        <v>35</v>
      </c>
      <c r="AU35" s="91">
        <v>35</v>
      </c>
      <c r="AV35" s="91">
        <v>35</v>
      </c>
      <c r="AW35" s="91">
        <v>35</v>
      </c>
      <c r="AX35" s="91">
        <v>35</v>
      </c>
      <c r="AY35" s="91">
        <v>35</v>
      </c>
      <c r="AZ35" s="91">
        <v>35</v>
      </c>
      <c r="BA35" s="91">
        <v>35</v>
      </c>
      <c r="BB35" s="91">
        <v>35</v>
      </c>
      <c r="BC35" s="91">
        <v>35</v>
      </c>
    </row>
    <row r="36" spans="1:157" ht="17.399999999999999">
      <c r="A36" s="107">
        <v>1982</v>
      </c>
      <c r="B36" s="105">
        <v>0</v>
      </c>
      <c r="O36" s="91">
        <v>31</v>
      </c>
      <c r="P36" s="91">
        <v>29</v>
      </c>
      <c r="Q36" s="91">
        <v>27</v>
      </c>
      <c r="R36" s="91">
        <v>27</v>
      </c>
      <c r="S36" s="91">
        <v>27</v>
      </c>
      <c r="T36" s="91">
        <v>28</v>
      </c>
      <c r="U36" s="91">
        <v>28</v>
      </c>
      <c r="V36" s="91">
        <v>28</v>
      </c>
      <c r="W36" s="91">
        <v>28</v>
      </c>
      <c r="X36" s="91">
        <v>30</v>
      </c>
      <c r="Y36" s="91">
        <v>28</v>
      </c>
      <c r="Z36" s="91">
        <v>31</v>
      </c>
      <c r="AA36" s="91">
        <v>30</v>
      </c>
      <c r="AB36" s="91">
        <v>30</v>
      </c>
      <c r="AC36" s="91">
        <v>30</v>
      </c>
      <c r="AD36" s="91">
        <v>33</v>
      </c>
      <c r="AE36" s="91">
        <v>33</v>
      </c>
      <c r="AF36" s="91">
        <v>33</v>
      </c>
      <c r="AG36" s="91">
        <v>33</v>
      </c>
      <c r="AH36" s="91">
        <v>33</v>
      </c>
      <c r="AI36" s="91">
        <v>33</v>
      </c>
      <c r="AJ36" s="91">
        <v>33</v>
      </c>
      <c r="AK36" s="91">
        <v>33</v>
      </c>
      <c r="AL36" s="91">
        <v>34</v>
      </c>
      <c r="AM36" s="91">
        <v>35</v>
      </c>
      <c r="AN36" s="91">
        <v>35</v>
      </c>
      <c r="AO36" s="91">
        <v>35</v>
      </c>
      <c r="AP36" s="91">
        <v>35</v>
      </c>
      <c r="AQ36" s="91">
        <v>35</v>
      </c>
      <c r="AR36" s="91">
        <v>35</v>
      </c>
      <c r="AS36" s="93">
        <v>35</v>
      </c>
      <c r="AT36" s="91">
        <v>35</v>
      </c>
      <c r="AU36" s="91">
        <v>35</v>
      </c>
      <c r="AV36" s="91">
        <v>35</v>
      </c>
      <c r="AW36" s="91">
        <v>35</v>
      </c>
      <c r="AX36" s="91">
        <v>35</v>
      </c>
      <c r="AY36" s="91">
        <v>35</v>
      </c>
      <c r="AZ36" s="91">
        <v>35</v>
      </c>
      <c r="BA36" s="91">
        <v>35</v>
      </c>
      <c r="BB36" s="91">
        <v>35</v>
      </c>
      <c r="BC36" s="91">
        <v>35</v>
      </c>
    </row>
    <row r="37" spans="1:157" ht="17.399999999999999">
      <c r="A37" s="107">
        <v>1983</v>
      </c>
      <c r="B37" s="105">
        <v>1809427</v>
      </c>
      <c r="P37" s="91">
        <v>30</v>
      </c>
      <c r="Q37" s="91">
        <v>28</v>
      </c>
      <c r="R37" s="91">
        <v>28</v>
      </c>
      <c r="S37" s="91">
        <v>28</v>
      </c>
      <c r="T37" s="91">
        <v>29</v>
      </c>
      <c r="U37" s="91">
        <v>29</v>
      </c>
      <c r="V37" s="91">
        <v>30</v>
      </c>
      <c r="W37" s="91">
        <v>30</v>
      </c>
      <c r="X37" s="91">
        <v>31</v>
      </c>
      <c r="Y37" s="91">
        <v>30</v>
      </c>
      <c r="Z37" s="91">
        <v>29</v>
      </c>
      <c r="AA37" s="91">
        <v>30</v>
      </c>
      <c r="AB37" s="91">
        <v>30</v>
      </c>
      <c r="AC37" s="91">
        <v>30</v>
      </c>
      <c r="AD37" s="91">
        <v>34</v>
      </c>
      <c r="AE37" s="91">
        <v>34</v>
      </c>
      <c r="AF37" s="91">
        <v>34</v>
      </c>
      <c r="AG37" s="91">
        <v>34</v>
      </c>
      <c r="AH37" s="91">
        <v>33</v>
      </c>
      <c r="AI37" s="91">
        <v>33</v>
      </c>
      <c r="AJ37" s="91">
        <v>33</v>
      </c>
      <c r="AK37" s="91">
        <v>33</v>
      </c>
      <c r="AL37" s="91">
        <v>34</v>
      </c>
      <c r="AM37" s="91">
        <v>36</v>
      </c>
      <c r="AN37" s="91">
        <v>36</v>
      </c>
      <c r="AO37" s="91">
        <v>36</v>
      </c>
      <c r="AP37" s="91">
        <v>35</v>
      </c>
      <c r="AQ37" s="91">
        <v>35</v>
      </c>
      <c r="AR37" s="91">
        <v>35</v>
      </c>
      <c r="AS37" s="93">
        <v>35</v>
      </c>
      <c r="AT37" s="91">
        <v>35</v>
      </c>
      <c r="AU37" s="91">
        <v>35</v>
      </c>
      <c r="AV37" s="91">
        <v>35</v>
      </c>
      <c r="AW37" s="91">
        <v>35</v>
      </c>
      <c r="AX37" s="91">
        <v>35</v>
      </c>
      <c r="AY37" s="91">
        <v>35</v>
      </c>
      <c r="AZ37" s="91">
        <v>35</v>
      </c>
      <c r="BA37" s="91">
        <v>35</v>
      </c>
      <c r="BB37" s="91">
        <v>35</v>
      </c>
      <c r="BC37" s="91">
        <v>35</v>
      </c>
    </row>
    <row r="38" spans="1:157" ht="17.399999999999999">
      <c r="A38" s="107">
        <v>1984</v>
      </c>
      <c r="B38" s="105">
        <v>0</v>
      </c>
      <c r="Q38" s="91">
        <v>27</v>
      </c>
      <c r="R38" s="91">
        <v>27</v>
      </c>
      <c r="S38" s="91">
        <v>27</v>
      </c>
      <c r="T38" s="91">
        <v>28</v>
      </c>
      <c r="U38" s="91">
        <v>28</v>
      </c>
      <c r="V38" s="91">
        <v>29</v>
      </c>
      <c r="W38" s="91">
        <v>28</v>
      </c>
      <c r="X38" s="91">
        <v>30</v>
      </c>
      <c r="Y38" s="91">
        <v>29</v>
      </c>
      <c r="Z38" s="91">
        <v>29</v>
      </c>
      <c r="AA38" s="91">
        <v>29</v>
      </c>
      <c r="AB38" s="91">
        <v>29</v>
      </c>
      <c r="AC38" s="91">
        <v>30</v>
      </c>
      <c r="AD38" s="91">
        <v>33</v>
      </c>
      <c r="AE38" s="91">
        <v>33</v>
      </c>
      <c r="AF38" s="91">
        <v>33</v>
      </c>
      <c r="AG38" s="91">
        <v>33</v>
      </c>
      <c r="AH38" s="91">
        <v>33</v>
      </c>
      <c r="AI38" s="91">
        <v>33</v>
      </c>
      <c r="AJ38" s="91">
        <v>33</v>
      </c>
      <c r="AK38" s="91">
        <v>33</v>
      </c>
      <c r="AL38" s="91">
        <v>34</v>
      </c>
      <c r="AM38" s="91">
        <v>35</v>
      </c>
      <c r="AN38" s="91">
        <v>35</v>
      </c>
      <c r="AO38" s="91">
        <v>35</v>
      </c>
      <c r="AP38" s="91">
        <v>35</v>
      </c>
      <c r="AQ38" s="91">
        <v>35</v>
      </c>
      <c r="AR38" s="91">
        <v>35</v>
      </c>
      <c r="AS38" s="93">
        <v>35</v>
      </c>
      <c r="AT38" s="91">
        <v>35</v>
      </c>
      <c r="AU38" s="91">
        <v>35</v>
      </c>
      <c r="AV38" s="91">
        <v>35</v>
      </c>
      <c r="AW38" s="91">
        <v>35</v>
      </c>
      <c r="AX38" s="91">
        <v>35</v>
      </c>
      <c r="AY38" s="91">
        <v>35</v>
      </c>
      <c r="AZ38" s="91">
        <v>35</v>
      </c>
      <c r="BA38" s="91">
        <v>35</v>
      </c>
      <c r="BB38" s="91">
        <v>35</v>
      </c>
      <c r="BC38" s="91">
        <v>35</v>
      </c>
    </row>
    <row r="39" spans="1:157" ht="17.399999999999999">
      <c r="A39" s="107">
        <v>1985</v>
      </c>
      <c r="B39" s="105">
        <v>0</v>
      </c>
      <c r="R39" s="91">
        <v>26</v>
      </c>
      <c r="S39" s="91">
        <v>26</v>
      </c>
      <c r="T39" s="91">
        <v>27</v>
      </c>
      <c r="U39" s="91">
        <v>27</v>
      </c>
      <c r="V39" s="91">
        <v>28</v>
      </c>
      <c r="W39" s="91">
        <v>28</v>
      </c>
      <c r="X39" s="91">
        <v>30</v>
      </c>
      <c r="Y39" s="91">
        <v>28</v>
      </c>
      <c r="Z39" s="91">
        <v>29</v>
      </c>
      <c r="AA39" s="91">
        <v>29</v>
      </c>
      <c r="AB39" s="91">
        <v>29</v>
      </c>
      <c r="AC39" s="91">
        <v>30</v>
      </c>
      <c r="AD39" s="91">
        <v>33</v>
      </c>
      <c r="AE39" s="91">
        <v>33</v>
      </c>
      <c r="AF39" s="91">
        <v>33</v>
      </c>
      <c r="AG39" s="91">
        <v>33</v>
      </c>
      <c r="AH39" s="91">
        <v>33</v>
      </c>
      <c r="AI39" s="91">
        <v>33</v>
      </c>
      <c r="AJ39" s="91">
        <v>33</v>
      </c>
      <c r="AK39" s="91">
        <v>33</v>
      </c>
      <c r="AL39" s="91">
        <v>34</v>
      </c>
      <c r="AM39" s="91">
        <v>35</v>
      </c>
      <c r="AN39" s="91">
        <v>35</v>
      </c>
      <c r="AO39" s="91">
        <v>35</v>
      </c>
      <c r="AP39" s="91">
        <v>35</v>
      </c>
      <c r="AQ39" s="91">
        <v>35</v>
      </c>
      <c r="AR39" s="91">
        <v>35</v>
      </c>
      <c r="AS39" s="93">
        <v>35</v>
      </c>
      <c r="AT39" s="91">
        <v>35</v>
      </c>
      <c r="AU39" s="91">
        <v>35</v>
      </c>
      <c r="AV39" s="91">
        <v>35</v>
      </c>
      <c r="AW39" s="91">
        <v>35</v>
      </c>
      <c r="AX39" s="91">
        <v>35</v>
      </c>
      <c r="AY39" s="91">
        <v>35</v>
      </c>
      <c r="AZ39" s="91">
        <v>35</v>
      </c>
      <c r="BA39" s="91">
        <v>35</v>
      </c>
      <c r="BB39" s="91">
        <v>35</v>
      </c>
      <c r="BC39" s="91">
        <v>35</v>
      </c>
    </row>
    <row r="40" spans="1:157" ht="17.399999999999999">
      <c r="A40" s="107">
        <v>1986</v>
      </c>
      <c r="B40" s="105">
        <v>0</v>
      </c>
      <c r="S40" s="91">
        <v>26</v>
      </c>
      <c r="T40" s="91">
        <v>27</v>
      </c>
      <c r="U40" s="91">
        <v>27</v>
      </c>
      <c r="V40" s="91">
        <v>28</v>
      </c>
      <c r="W40" s="91">
        <v>28</v>
      </c>
      <c r="X40" s="91">
        <v>30</v>
      </c>
      <c r="Y40" s="91">
        <v>28</v>
      </c>
      <c r="Z40" s="91">
        <v>28</v>
      </c>
      <c r="AA40" s="91">
        <v>29</v>
      </c>
      <c r="AB40" s="91">
        <v>29</v>
      </c>
      <c r="AC40" s="91">
        <v>29</v>
      </c>
      <c r="AD40" s="91">
        <v>34</v>
      </c>
      <c r="AE40" s="91">
        <v>34</v>
      </c>
      <c r="AF40" s="91">
        <v>34</v>
      </c>
      <c r="AG40" s="91">
        <v>34</v>
      </c>
      <c r="AH40" s="91">
        <v>33</v>
      </c>
      <c r="AI40" s="91">
        <v>33</v>
      </c>
      <c r="AJ40" s="91">
        <v>33</v>
      </c>
      <c r="AK40" s="91">
        <v>33</v>
      </c>
      <c r="AL40" s="91">
        <v>34</v>
      </c>
      <c r="AM40" s="91">
        <v>35</v>
      </c>
      <c r="AN40" s="91">
        <v>35</v>
      </c>
      <c r="AO40" s="91">
        <v>35</v>
      </c>
      <c r="AP40" s="91">
        <v>35</v>
      </c>
      <c r="AQ40" s="91">
        <v>35</v>
      </c>
      <c r="AR40" s="91">
        <v>35</v>
      </c>
      <c r="AS40" s="93">
        <v>35</v>
      </c>
      <c r="AT40" s="91">
        <v>35</v>
      </c>
      <c r="AU40" s="91">
        <v>35</v>
      </c>
      <c r="AV40" s="91">
        <v>35</v>
      </c>
      <c r="AW40" s="91">
        <v>35</v>
      </c>
      <c r="AX40" s="91">
        <v>35</v>
      </c>
      <c r="AY40" s="91">
        <v>35</v>
      </c>
      <c r="AZ40" s="91">
        <v>35</v>
      </c>
      <c r="BA40" s="91">
        <v>35</v>
      </c>
      <c r="BB40" s="91">
        <v>35</v>
      </c>
      <c r="BC40" s="91">
        <v>35</v>
      </c>
    </row>
    <row r="41" spans="1:157" ht="17.399999999999999">
      <c r="A41" s="107">
        <v>1987</v>
      </c>
      <c r="B41" s="105">
        <v>8546986</v>
      </c>
      <c r="T41" s="91">
        <v>32</v>
      </c>
      <c r="U41" s="91">
        <v>32</v>
      </c>
      <c r="V41" s="91">
        <v>32</v>
      </c>
      <c r="W41" s="91">
        <v>32</v>
      </c>
      <c r="X41" s="91">
        <v>33</v>
      </c>
      <c r="Y41" s="91">
        <v>32</v>
      </c>
      <c r="Z41" s="91">
        <v>28</v>
      </c>
      <c r="AA41" s="91">
        <v>31</v>
      </c>
      <c r="AB41" s="91">
        <v>31</v>
      </c>
      <c r="AC41" s="91">
        <v>31</v>
      </c>
      <c r="AD41" s="91">
        <v>36</v>
      </c>
      <c r="AE41" s="91">
        <v>36</v>
      </c>
      <c r="AF41" s="91">
        <v>36</v>
      </c>
      <c r="AG41" s="91">
        <v>36</v>
      </c>
      <c r="AH41" s="91">
        <v>34</v>
      </c>
      <c r="AI41" s="91">
        <v>34</v>
      </c>
      <c r="AJ41" s="91">
        <v>34</v>
      </c>
      <c r="AK41" s="91">
        <v>34</v>
      </c>
      <c r="AL41" s="91">
        <v>34</v>
      </c>
      <c r="AM41" s="91">
        <v>37</v>
      </c>
      <c r="AN41" s="91">
        <v>37</v>
      </c>
      <c r="AO41" s="91">
        <v>37</v>
      </c>
      <c r="AP41" s="91">
        <v>37</v>
      </c>
      <c r="AQ41" s="91">
        <v>37</v>
      </c>
      <c r="AR41" s="91">
        <v>35</v>
      </c>
      <c r="AS41" s="93">
        <v>35</v>
      </c>
      <c r="AT41" s="91">
        <v>35</v>
      </c>
      <c r="AU41" s="91">
        <v>35</v>
      </c>
      <c r="AV41" s="91">
        <v>35</v>
      </c>
      <c r="AW41" s="91">
        <v>35</v>
      </c>
      <c r="AX41" s="91">
        <v>35</v>
      </c>
      <c r="AY41" s="91">
        <v>35</v>
      </c>
      <c r="AZ41" s="91">
        <v>35</v>
      </c>
      <c r="BA41" s="91">
        <v>35</v>
      </c>
      <c r="BB41" s="91">
        <v>35</v>
      </c>
      <c r="BC41" s="91">
        <v>35</v>
      </c>
    </row>
    <row r="42" spans="1:157" ht="17.399999999999999">
      <c r="A42" s="107">
        <v>1988</v>
      </c>
      <c r="B42" s="110">
        <v>0</v>
      </c>
      <c r="U42" s="91">
        <v>32</v>
      </c>
      <c r="V42" s="91">
        <v>33</v>
      </c>
      <c r="W42" s="91">
        <v>32</v>
      </c>
      <c r="X42" s="91">
        <v>34</v>
      </c>
      <c r="Y42" s="91">
        <v>32</v>
      </c>
      <c r="Z42" s="91">
        <v>30</v>
      </c>
      <c r="AA42" s="91">
        <v>31</v>
      </c>
      <c r="AB42" s="91">
        <v>31</v>
      </c>
      <c r="AC42" s="91">
        <v>31</v>
      </c>
      <c r="AD42" s="91">
        <v>36</v>
      </c>
      <c r="AE42" s="91">
        <v>36</v>
      </c>
      <c r="AF42" s="91">
        <v>36</v>
      </c>
      <c r="AG42" s="91">
        <v>36</v>
      </c>
      <c r="AH42" s="91">
        <v>34</v>
      </c>
      <c r="AI42" s="91">
        <v>34</v>
      </c>
      <c r="AJ42" s="91">
        <v>34</v>
      </c>
      <c r="AK42" s="91">
        <v>34</v>
      </c>
      <c r="AL42" s="91">
        <v>34</v>
      </c>
      <c r="AM42" s="91">
        <v>37</v>
      </c>
      <c r="AN42" s="91">
        <v>37</v>
      </c>
      <c r="AO42" s="91">
        <v>37</v>
      </c>
      <c r="AP42" s="91">
        <v>37</v>
      </c>
      <c r="AQ42" s="91">
        <v>37</v>
      </c>
      <c r="AR42" s="91">
        <v>34</v>
      </c>
      <c r="AS42" s="93">
        <v>34</v>
      </c>
      <c r="AT42" s="91">
        <v>35</v>
      </c>
      <c r="AU42" s="91">
        <v>35</v>
      </c>
      <c r="AV42" s="91">
        <v>35</v>
      </c>
      <c r="AW42" s="91">
        <v>35</v>
      </c>
      <c r="AX42" s="91">
        <v>35</v>
      </c>
      <c r="AY42" s="91">
        <v>35</v>
      </c>
      <c r="AZ42" s="91">
        <v>35</v>
      </c>
      <c r="BA42" s="91">
        <v>35</v>
      </c>
      <c r="BB42" s="91">
        <v>35</v>
      </c>
      <c r="BC42" s="91">
        <v>35</v>
      </c>
    </row>
    <row r="43" spans="1:157" ht="17.399999999999999">
      <c r="A43" s="112" t="s">
        <v>252</v>
      </c>
      <c r="B43" s="105">
        <v>23958555</v>
      </c>
    </row>
    <row r="44" spans="1:157" ht="17.399999999999999">
      <c r="A44" s="112"/>
      <c r="B44" s="105"/>
    </row>
    <row r="45" spans="1:157" ht="17.399999999999999">
      <c r="A45" s="91" t="s">
        <v>17</v>
      </c>
      <c r="B45" s="91">
        <v>67292987</v>
      </c>
    </row>
    <row r="46" spans="1:157" ht="17.399999999999999">
      <c r="BD46" s="94"/>
      <c r="BE46" s="94" t="s">
        <v>253</v>
      </c>
    </row>
    <row r="47" spans="1:157" ht="17.399999999999999">
      <c r="A47" s="113" t="s">
        <v>254</v>
      </c>
      <c r="C47" s="114">
        <v>1971</v>
      </c>
      <c r="D47" s="114">
        <v>1972</v>
      </c>
      <c r="E47" s="114">
        <v>1973</v>
      </c>
      <c r="F47" s="115">
        <v>1974</v>
      </c>
      <c r="G47" s="116">
        <v>1975</v>
      </c>
      <c r="H47" s="116">
        <v>1976</v>
      </c>
      <c r="I47" s="116">
        <v>1977</v>
      </c>
      <c r="J47" s="116">
        <v>1978</v>
      </c>
      <c r="K47" s="116">
        <v>1979</v>
      </c>
      <c r="L47" s="116">
        <v>1980</v>
      </c>
      <c r="M47" s="116">
        <v>1981</v>
      </c>
      <c r="N47" s="116">
        <v>1982</v>
      </c>
      <c r="O47" s="116">
        <v>1983</v>
      </c>
      <c r="P47" s="116">
        <v>1984</v>
      </c>
      <c r="Q47" s="116">
        <v>1985</v>
      </c>
      <c r="R47" s="116">
        <v>1986</v>
      </c>
      <c r="S47" s="116">
        <v>1987</v>
      </c>
      <c r="T47" s="116">
        <v>1988</v>
      </c>
      <c r="U47" s="116">
        <v>1989</v>
      </c>
      <c r="V47" s="116">
        <v>1990</v>
      </c>
      <c r="W47" s="116">
        <v>1991</v>
      </c>
      <c r="X47" s="116">
        <v>1992</v>
      </c>
      <c r="Y47" s="116">
        <v>1993</v>
      </c>
      <c r="Z47" s="116">
        <v>1994</v>
      </c>
      <c r="AA47" s="116">
        <v>1995</v>
      </c>
      <c r="AB47" s="116">
        <v>1996</v>
      </c>
      <c r="AC47" s="116">
        <v>1997</v>
      </c>
      <c r="AD47" s="116">
        <v>1998</v>
      </c>
      <c r="AE47" s="116">
        <v>1999</v>
      </c>
      <c r="AF47" s="116">
        <v>2000</v>
      </c>
      <c r="AG47" s="116">
        <v>2001</v>
      </c>
      <c r="AH47" s="116">
        <v>2002</v>
      </c>
      <c r="AI47" s="116">
        <v>2003</v>
      </c>
      <c r="AJ47" s="116">
        <v>2004</v>
      </c>
      <c r="AK47" s="116">
        <v>2005</v>
      </c>
      <c r="AL47" s="116">
        <v>2006</v>
      </c>
      <c r="AM47" s="116">
        <v>2007</v>
      </c>
      <c r="AN47" s="116">
        <v>2008</v>
      </c>
      <c r="AO47" s="116">
        <v>2009</v>
      </c>
      <c r="AP47" s="116">
        <v>2010</v>
      </c>
      <c r="AQ47" s="116">
        <v>2011</v>
      </c>
      <c r="AR47" s="116">
        <v>2012</v>
      </c>
      <c r="AS47" s="116">
        <v>2013</v>
      </c>
      <c r="AT47" s="116">
        <v>2014</v>
      </c>
      <c r="AU47" s="116">
        <v>2015</v>
      </c>
      <c r="AV47" s="116">
        <v>2016</v>
      </c>
      <c r="AW47" s="116">
        <v>2017</v>
      </c>
      <c r="AX47" s="116">
        <v>2018</v>
      </c>
      <c r="AY47" s="116">
        <v>2019</v>
      </c>
      <c r="AZ47" s="116">
        <v>2020</v>
      </c>
      <c r="BA47" s="116">
        <v>2021</v>
      </c>
      <c r="BB47" s="116">
        <v>2022</v>
      </c>
      <c r="BC47" s="116">
        <v>2023</v>
      </c>
      <c r="BD47" s="115" t="s">
        <v>255</v>
      </c>
      <c r="BE47" s="115" t="s">
        <v>256</v>
      </c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98"/>
      <c r="BS47" s="98"/>
      <c r="BT47" s="98"/>
      <c r="BU47" s="98"/>
      <c r="BV47" s="100"/>
      <c r="BW47" s="98"/>
      <c r="BX47" s="98"/>
      <c r="BY47" s="98"/>
      <c r="BZ47" s="98"/>
      <c r="CA47" s="98"/>
      <c r="CB47" s="98"/>
      <c r="CC47" s="98"/>
      <c r="CD47" s="98"/>
      <c r="CE47" s="98"/>
      <c r="CF47" s="98"/>
      <c r="CG47" s="98"/>
      <c r="CH47" s="98"/>
      <c r="CI47" s="98"/>
      <c r="CJ47" s="98"/>
      <c r="CK47" s="98"/>
      <c r="CL47" s="98"/>
      <c r="CM47" s="98"/>
      <c r="CN47" s="98"/>
      <c r="CO47" s="98"/>
      <c r="CP47" s="98"/>
      <c r="CQ47" s="98"/>
      <c r="CR47" s="98"/>
      <c r="CS47" s="98"/>
      <c r="CT47" s="98"/>
      <c r="CU47" s="98"/>
      <c r="CV47" s="98"/>
      <c r="CW47" s="98"/>
      <c r="CX47" s="98"/>
      <c r="CY47" s="98"/>
      <c r="CZ47" s="98"/>
      <c r="DA47" s="98"/>
      <c r="DB47" s="98"/>
      <c r="DC47" s="98"/>
      <c r="DD47" s="98"/>
      <c r="DE47" s="98"/>
      <c r="DF47" s="98"/>
      <c r="DG47" s="98"/>
      <c r="DH47" s="98"/>
      <c r="DI47" s="98"/>
      <c r="DJ47" s="98"/>
      <c r="DK47" s="98"/>
      <c r="DL47" s="98"/>
      <c r="DM47" s="98"/>
      <c r="DN47" s="98"/>
      <c r="DO47" s="98"/>
      <c r="DP47" s="98"/>
      <c r="DQ47" s="98"/>
      <c r="DR47" s="98"/>
      <c r="DS47" s="98"/>
      <c r="DT47" s="98"/>
      <c r="DU47" s="98"/>
      <c r="DV47" s="98"/>
      <c r="DW47" s="98"/>
      <c r="DX47" s="98"/>
      <c r="DY47" s="98"/>
      <c r="DZ47" s="98"/>
      <c r="EA47" s="98"/>
      <c r="EB47" s="98"/>
      <c r="EC47" s="98"/>
      <c r="ED47" s="98"/>
      <c r="EE47" s="98"/>
      <c r="EF47" s="98"/>
      <c r="EG47" s="98"/>
      <c r="EH47" s="98"/>
      <c r="EI47" s="98"/>
      <c r="EJ47" s="98"/>
      <c r="EK47" s="98"/>
      <c r="EL47" s="98"/>
      <c r="EM47" s="98"/>
      <c r="EN47" s="98"/>
      <c r="EO47" s="98"/>
      <c r="EP47" s="98"/>
      <c r="EQ47" s="98"/>
      <c r="ER47" s="98"/>
      <c r="ES47" s="98"/>
      <c r="ET47" s="98"/>
      <c r="EU47" s="98"/>
      <c r="EV47" s="98"/>
      <c r="EW47" s="98"/>
      <c r="EX47" s="98"/>
      <c r="EY47" s="98"/>
      <c r="EZ47" s="98"/>
      <c r="FA47" s="98"/>
    </row>
    <row r="48" spans="1:157" ht="17.399999999999999">
      <c r="A48" s="104" t="s">
        <v>247</v>
      </c>
      <c r="B48" s="105"/>
    </row>
    <row r="49" spans="1:74" ht="17.399999999999999">
      <c r="A49" s="107">
        <v>1971</v>
      </c>
      <c r="B49" s="105">
        <v>217804</v>
      </c>
      <c r="D49" s="91">
        <v>7510.4827586206893</v>
      </c>
      <c r="E49" s="91">
        <v>7510.4827586206893</v>
      </c>
      <c r="F49" s="91">
        <v>7510.4827586206893</v>
      </c>
      <c r="G49" s="91">
        <v>7510.4827586206893</v>
      </c>
      <c r="H49" s="91">
        <v>7510.4827586206893</v>
      </c>
      <c r="I49" s="91">
        <v>7510.4827586206893</v>
      </c>
      <c r="J49" s="91">
        <v>7510.4827586206893</v>
      </c>
      <c r="K49" s="91">
        <v>7260.1333333333332</v>
      </c>
      <c r="L49" s="91">
        <v>7260.1333333333332</v>
      </c>
      <c r="M49" s="91">
        <v>7025.9354838709678</v>
      </c>
      <c r="N49" s="91">
        <v>7025.9354838709678</v>
      </c>
      <c r="O49" s="91">
        <v>7025.9354838709678</v>
      </c>
      <c r="P49" s="91">
        <v>7510.4827586206893</v>
      </c>
      <c r="Q49" s="91">
        <v>8066.8148148148148</v>
      </c>
      <c r="R49" s="91">
        <v>8066.8148148148148</v>
      </c>
      <c r="S49" s="91">
        <v>8066.8148148148148</v>
      </c>
      <c r="T49" s="91">
        <v>7025.9354838709678</v>
      </c>
      <c r="U49" s="91">
        <v>7025.9354838709678</v>
      </c>
      <c r="V49" s="91">
        <v>7025.9354838709678</v>
      </c>
      <c r="W49" s="91">
        <v>7025.9354838709678</v>
      </c>
      <c r="X49" s="91">
        <v>6806.375</v>
      </c>
      <c r="Y49" s="91">
        <v>7025.9354838709678</v>
      </c>
      <c r="Z49" s="91">
        <v>7025.9354838709678</v>
      </c>
      <c r="AA49" s="91">
        <v>7025.9354838709678</v>
      </c>
      <c r="AB49" s="91">
        <v>7025.9354838709678</v>
      </c>
      <c r="AC49" s="91">
        <v>7025.9354838709678</v>
      </c>
      <c r="AD49" s="91">
        <v>6222.9714285714281</v>
      </c>
      <c r="AE49" s="91">
        <v>6222.9714285714281</v>
      </c>
      <c r="AF49" s="91">
        <v>6222.9714285714281</v>
      </c>
      <c r="AG49" s="91">
        <v>6222.9714285714281</v>
      </c>
      <c r="AH49" s="91">
        <v>2989.9714285714281</v>
      </c>
      <c r="BD49" s="91">
        <v>217804.03112938534</v>
      </c>
      <c r="BE49" s="91">
        <v>217804</v>
      </c>
      <c r="BF49" s="103">
        <v>-3.1129385344684124E-2</v>
      </c>
    </row>
    <row r="50" spans="1:74" ht="17.399999999999999">
      <c r="A50" s="107">
        <v>1972</v>
      </c>
      <c r="B50" s="105">
        <v>425566</v>
      </c>
      <c r="E50" s="91">
        <v>14674.689655172413</v>
      </c>
      <c r="F50" s="91">
        <v>14185.533333333333</v>
      </c>
      <c r="G50" s="91">
        <v>14185.533333333333</v>
      </c>
      <c r="H50" s="91">
        <v>14185.533333333333</v>
      </c>
      <c r="I50" s="91">
        <v>14185.533333333333</v>
      </c>
      <c r="J50" s="91">
        <v>14185.533333333333</v>
      </c>
      <c r="K50" s="91">
        <v>14674.689655172413</v>
      </c>
      <c r="L50" s="91">
        <v>14674.689655172413</v>
      </c>
      <c r="M50" s="91">
        <v>13727.935483870968</v>
      </c>
      <c r="N50" s="91">
        <v>13727.935483870968</v>
      </c>
      <c r="O50" s="91">
        <v>13727.935483870968</v>
      </c>
      <c r="P50" s="91">
        <v>14674.689655172413</v>
      </c>
      <c r="Q50" s="91">
        <v>15761.703703703703</v>
      </c>
      <c r="R50" s="91">
        <v>15761.703703703703</v>
      </c>
      <c r="S50" s="91">
        <v>15761.703703703703</v>
      </c>
      <c r="T50" s="91">
        <v>14674.689655172413</v>
      </c>
      <c r="U50" s="91">
        <v>14674.689655172413</v>
      </c>
      <c r="V50" s="91">
        <v>14674.689655172413</v>
      </c>
      <c r="W50" s="91">
        <v>14674.689655172413</v>
      </c>
      <c r="X50" s="91">
        <v>13727.935483870968</v>
      </c>
      <c r="Y50" s="91">
        <v>14674.689655172413</v>
      </c>
      <c r="Z50" s="91">
        <v>14185.533333333333</v>
      </c>
      <c r="AA50" s="91">
        <v>14185.533333333333</v>
      </c>
      <c r="AB50" s="91">
        <v>14185.533333333333</v>
      </c>
      <c r="AC50" s="91">
        <v>14185.533333333333</v>
      </c>
      <c r="AD50" s="91">
        <v>13298.9375</v>
      </c>
      <c r="AE50" s="91">
        <v>13298.9375</v>
      </c>
      <c r="AF50" s="91">
        <v>13298.9375</v>
      </c>
      <c r="AG50" s="91">
        <v>13298.9375</v>
      </c>
      <c r="AH50" s="91">
        <v>10430.939393939394</v>
      </c>
      <c r="BD50" s="91">
        <v>425565.54933708603</v>
      </c>
      <c r="BE50" s="91">
        <v>425566</v>
      </c>
      <c r="BF50" s="103">
        <v>0.45066291396506131</v>
      </c>
    </row>
    <row r="51" spans="1:74" ht="17.399999999999999">
      <c r="A51" s="107">
        <v>1973</v>
      </c>
      <c r="B51" s="105">
        <v>3401523</v>
      </c>
      <c r="F51" s="91">
        <v>121482.96428571428</v>
      </c>
      <c r="G51" s="91">
        <v>121482.96428571428</v>
      </c>
      <c r="H51" s="91">
        <v>121482.96428571428</v>
      </c>
      <c r="I51" s="91">
        <v>121482.96428571428</v>
      </c>
      <c r="J51" s="91">
        <v>121482.96428571428</v>
      </c>
      <c r="K51" s="91">
        <v>113384.09999999999</v>
      </c>
      <c r="L51" s="91">
        <v>113384.09999999999</v>
      </c>
      <c r="M51" s="91">
        <v>109726.54838709677</v>
      </c>
      <c r="N51" s="91">
        <v>109726.54838709677</v>
      </c>
      <c r="O51" s="91">
        <v>109726.54838709677</v>
      </c>
      <c r="P51" s="91">
        <v>106297.59375</v>
      </c>
      <c r="Q51" s="91">
        <v>113384.09999999999</v>
      </c>
      <c r="R51" s="91">
        <v>113384.09999999999</v>
      </c>
      <c r="S51" s="91">
        <v>113384.09999999999</v>
      </c>
      <c r="T51" s="91">
        <v>106297.59375</v>
      </c>
      <c r="U51" s="91">
        <v>106297.59375</v>
      </c>
      <c r="V51" s="91">
        <v>103076.45454545454</v>
      </c>
      <c r="W51" s="91">
        <v>106297.59375</v>
      </c>
      <c r="X51" s="91">
        <v>100044.79411764706</v>
      </c>
      <c r="Y51" s="91">
        <v>106297.59375</v>
      </c>
      <c r="Z51" s="91">
        <v>109726.54838709677</v>
      </c>
      <c r="AA51" s="91">
        <v>109726.54838709677</v>
      </c>
      <c r="AB51" s="91">
        <v>109726.54838709677</v>
      </c>
      <c r="AC51" s="91">
        <v>109726.54838709677</v>
      </c>
      <c r="AD51" s="91">
        <v>94486.75</v>
      </c>
      <c r="AE51" s="91">
        <v>94486.75</v>
      </c>
      <c r="AF51" s="91">
        <v>94486.75</v>
      </c>
      <c r="AG51" s="91">
        <v>94486.75</v>
      </c>
      <c r="AH51" s="91">
        <v>97186.371428571423</v>
      </c>
      <c r="AI51" s="91">
        <v>97186.371428571423</v>
      </c>
      <c r="AJ51" s="91">
        <v>97186.371428571423</v>
      </c>
      <c r="AK51" s="91">
        <v>54986.371428571423</v>
      </c>
      <c r="BD51" s="91">
        <v>3401522.8632656368</v>
      </c>
      <c r="BE51" s="91">
        <v>3401523</v>
      </c>
      <c r="BF51" s="103">
        <v>0.13673436315730214</v>
      </c>
    </row>
    <row r="52" spans="1:74" ht="17.399999999999999">
      <c r="A52" s="107">
        <v>1974</v>
      </c>
      <c r="B52" s="105">
        <v>1016699</v>
      </c>
      <c r="F52" s="91"/>
      <c r="G52" s="91">
        <v>32796.741935483871</v>
      </c>
      <c r="H52" s="91">
        <v>32796.741935483871</v>
      </c>
      <c r="I52" s="91">
        <v>32796.741935483871</v>
      </c>
      <c r="J52" s="91">
        <v>32796.741935483871</v>
      </c>
      <c r="K52" s="91">
        <v>31771.84375</v>
      </c>
      <c r="L52" s="91">
        <v>30809.060606060608</v>
      </c>
      <c r="M52" s="91">
        <v>29902.911764705881</v>
      </c>
      <c r="N52" s="91">
        <v>29902.911764705881</v>
      </c>
      <c r="O52" s="91">
        <v>29902.911764705881</v>
      </c>
      <c r="P52" s="91">
        <v>30809.060606060608</v>
      </c>
      <c r="Q52" s="91">
        <v>32796.741935483871</v>
      </c>
      <c r="R52" s="91">
        <v>32796.741935483871</v>
      </c>
      <c r="S52" s="91">
        <v>32796.741935483871</v>
      </c>
      <c r="T52" s="91">
        <v>31771.84375</v>
      </c>
      <c r="U52" s="91">
        <v>31771.84375</v>
      </c>
      <c r="V52" s="91">
        <v>31771.84375</v>
      </c>
      <c r="W52" s="91">
        <v>31771.84375</v>
      </c>
      <c r="X52" s="91">
        <v>29902.911764705881</v>
      </c>
      <c r="Y52" s="91">
        <v>31771.84375</v>
      </c>
      <c r="Z52" s="91">
        <v>30809.060606060608</v>
      </c>
      <c r="AA52" s="91">
        <v>30809.060606060608</v>
      </c>
      <c r="AB52" s="91">
        <v>30809.060606060608</v>
      </c>
      <c r="AC52" s="91">
        <v>30809.060606060608</v>
      </c>
      <c r="AD52" s="91">
        <v>28241.638888888887</v>
      </c>
      <c r="AE52" s="91">
        <v>28241.638888888887</v>
      </c>
      <c r="AF52" s="91">
        <v>28241.638888888887</v>
      </c>
      <c r="AG52" s="91">
        <v>28241.638888888887</v>
      </c>
      <c r="AH52" s="91">
        <v>26069.205128205129</v>
      </c>
      <c r="AI52" s="91">
        <v>26069.205128205129</v>
      </c>
      <c r="AJ52" s="91">
        <v>26069.205128205129</v>
      </c>
      <c r="AK52" s="91">
        <v>26069.205128205129</v>
      </c>
      <c r="AL52" s="91">
        <v>25417.475000000002</v>
      </c>
      <c r="AM52" s="91">
        <v>25417.475000000002</v>
      </c>
      <c r="AN52" s="91">
        <v>23946.475000000002</v>
      </c>
      <c r="BD52" s="91">
        <v>1016699.06781195</v>
      </c>
      <c r="BE52" s="91">
        <v>1016699</v>
      </c>
      <c r="BF52" s="103">
        <v>-6.7811949993483722E-2</v>
      </c>
    </row>
    <row r="53" spans="1:74" ht="17.399999999999999">
      <c r="A53" s="107">
        <v>1975</v>
      </c>
      <c r="B53" s="105">
        <v>105056</v>
      </c>
      <c r="F53" s="91"/>
      <c r="H53" s="91">
        <v>3388.9032258064517</v>
      </c>
      <c r="I53" s="91">
        <v>3388.9032258064517</v>
      </c>
      <c r="J53" s="91">
        <v>3388.9032258064517</v>
      </c>
      <c r="K53" s="91">
        <v>3283</v>
      </c>
      <c r="L53" s="91">
        <v>3283</v>
      </c>
      <c r="M53" s="91">
        <v>3183.5151515151515</v>
      </c>
      <c r="N53" s="91">
        <v>3183.5151515151515</v>
      </c>
      <c r="O53" s="91">
        <v>3183.5151515151515</v>
      </c>
      <c r="P53" s="91">
        <v>3283</v>
      </c>
      <c r="Q53" s="91">
        <v>3501.8666666666668</v>
      </c>
      <c r="R53" s="91">
        <v>3501.8666666666668</v>
      </c>
      <c r="S53" s="91">
        <v>3501.8666666666668</v>
      </c>
      <c r="T53" s="91">
        <v>3388.9032258064517</v>
      </c>
      <c r="U53" s="91">
        <v>3388.9032258064517</v>
      </c>
      <c r="V53" s="91">
        <v>3388.9032258064517</v>
      </c>
      <c r="W53" s="91">
        <v>3388.9032258064517</v>
      </c>
      <c r="X53" s="91">
        <v>3183.5151515151515</v>
      </c>
      <c r="Y53" s="91">
        <v>3388.9032258064517</v>
      </c>
      <c r="Z53" s="91">
        <v>3283</v>
      </c>
      <c r="AA53" s="91">
        <v>3283</v>
      </c>
      <c r="AB53" s="91">
        <v>3283</v>
      </c>
      <c r="AC53" s="91">
        <v>3183.5151515151515</v>
      </c>
      <c r="AD53" s="91">
        <v>3001.6</v>
      </c>
      <c r="AE53" s="91">
        <v>3001.6</v>
      </c>
      <c r="AF53" s="91">
        <v>3001.6</v>
      </c>
      <c r="AG53" s="91">
        <v>3001.6</v>
      </c>
      <c r="AH53" s="91">
        <v>2839.3513513513517</v>
      </c>
      <c r="AI53" s="91">
        <v>2839.3513513513517</v>
      </c>
      <c r="AJ53" s="91">
        <v>2839.3513513513517</v>
      </c>
      <c r="AK53" s="91">
        <v>2839.3513513513517</v>
      </c>
      <c r="AL53" s="91">
        <v>2764.6315789473683</v>
      </c>
      <c r="AM53" s="91">
        <v>2693.7435897435898</v>
      </c>
      <c r="AN53" s="91">
        <v>2693.7435897435898</v>
      </c>
      <c r="AO53" s="91">
        <v>308</v>
      </c>
      <c r="BD53" s="91">
        <v>105056.32572786737</v>
      </c>
      <c r="BE53" s="91">
        <v>105056</v>
      </c>
      <c r="BF53" s="103">
        <v>-0.3257278673700057</v>
      </c>
    </row>
    <row r="54" spans="1:74" ht="17.399999999999999">
      <c r="A54" s="107">
        <v>1976</v>
      </c>
      <c r="B54" s="105">
        <v>6398</v>
      </c>
      <c r="F54" s="91"/>
      <c r="I54" s="91">
        <v>206.38709677419354</v>
      </c>
      <c r="J54" s="91">
        <v>206.38709677419354</v>
      </c>
      <c r="K54" s="91">
        <v>213.26666666666665</v>
      </c>
      <c r="L54" s="91">
        <v>213.26666666666665</v>
      </c>
      <c r="M54" s="91">
        <v>213.26666666666665</v>
      </c>
      <c r="N54" s="91">
        <v>213.26666666666665</v>
      </c>
      <c r="O54" s="91">
        <v>213.26666666666665</v>
      </c>
      <c r="P54" s="91">
        <v>206.38709677419354</v>
      </c>
      <c r="Q54" s="91">
        <v>220.62068965517241</v>
      </c>
      <c r="R54" s="91">
        <v>220.62068965517241</v>
      </c>
      <c r="S54" s="91">
        <v>220.62068965517241</v>
      </c>
      <c r="T54" s="91">
        <v>199.9375</v>
      </c>
      <c r="U54" s="91">
        <v>199.9375</v>
      </c>
      <c r="V54" s="91">
        <v>199.9375</v>
      </c>
      <c r="W54" s="91">
        <v>199.9375</v>
      </c>
      <c r="X54" s="91">
        <v>193.87878787878788</v>
      </c>
      <c r="Y54" s="91">
        <v>199.9375</v>
      </c>
      <c r="Z54" s="91">
        <v>213.26666666666665</v>
      </c>
      <c r="AA54" s="91">
        <v>213.26666666666665</v>
      </c>
      <c r="AB54" s="91">
        <v>213.26666666666665</v>
      </c>
      <c r="AC54" s="91">
        <v>213.26666666666665</v>
      </c>
      <c r="AD54" s="91">
        <v>177.7222222222222</v>
      </c>
      <c r="AE54" s="91">
        <v>177.7222222222222</v>
      </c>
      <c r="AF54" s="91">
        <v>177.7222222222222</v>
      </c>
      <c r="AG54" s="91">
        <v>177.7222222222222</v>
      </c>
      <c r="AH54" s="91">
        <v>188.1764705882353</v>
      </c>
      <c r="AI54" s="91">
        <v>188.1764705882353</v>
      </c>
      <c r="AJ54" s="91">
        <v>188.1764705882353</v>
      </c>
      <c r="AK54" s="91">
        <v>188.1764705882353</v>
      </c>
      <c r="AL54" s="91">
        <v>188.1764705882353</v>
      </c>
      <c r="AM54" s="91">
        <v>172.91891891891893</v>
      </c>
      <c r="AN54" s="91">
        <v>172.91891891891893</v>
      </c>
      <c r="AO54" s="91">
        <v>6</v>
      </c>
      <c r="BD54" s="91">
        <v>6397.5987268347899</v>
      </c>
      <c r="BE54" s="91">
        <v>6398</v>
      </c>
      <c r="BF54" s="103">
        <v>0.4012731652101138</v>
      </c>
    </row>
    <row r="55" spans="1:74" ht="17.399999999999999">
      <c r="A55" s="107">
        <v>1977</v>
      </c>
      <c r="B55" s="105">
        <v>191684</v>
      </c>
      <c r="F55" s="91"/>
      <c r="J55" s="91">
        <v>6183.3548387096771</v>
      </c>
      <c r="K55" s="91">
        <v>6389.4666666666662</v>
      </c>
      <c r="L55" s="91">
        <v>6389.4666666666662</v>
      </c>
      <c r="M55" s="91">
        <v>6183.3548387096771</v>
      </c>
      <c r="N55" s="91">
        <v>6183.3548387096771</v>
      </c>
      <c r="O55" s="91">
        <v>6183.3548387096771</v>
      </c>
      <c r="P55" s="91">
        <v>5990.125</v>
      </c>
      <c r="Q55" s="91">
        <v>6389.4666666666662</v>
      </c>
      <c r="R55" s="91">
        <v>6389.4666666666662</v>
      </c>
      <c r="S55" s="91">
        <v>6389.4666666666662</v>
      </c>
      <c r="T55" s="91">
        <v>5990.125</v>
      </c>
      <c r="U55" s="91">
        <v>5990.125</v>
      </c>
      <c r="V55" s="91">
        <v>5990.125</v>
      </c>
      <c r="W55" s="91">
        <v>5990.125</v>
      </c>
      <c r="X55" s="91">
        <v>5808.606060606061</v>
      </c>
      <c r="Y55" s="91">
        <v>5990.125</v>
      </c>
      <c r="Z55" s="91">
        <v>6183.3548387096771</v>
      </c>
      <c r="AA55" s="91">
        <v>6183.3548387096771</v>
      </c>
      <c r="AB55" s="91">
        <v>6183.3548387096771</v>
      </c>
      <c r="AC55" s="91">
        <v>6183.3548387096771</v>
      </c>
      <c r="AD55" s="91">
        <v>5324.5555555555557</v>
      </c>
      <c r="AE55" s="91">
        <v>5324.5555555555557</v>
      </c>
      <c r="AF55" s="91">
        <v>5324.5555555555557</v>
      </c>
      <c r="AG55" s="91">
        <v>5324.5555555555557</v>
      </c>
      <c r="AH55" s="91">
        <v>5476.6857142857143</v>
      </c>
      <c r="AI55" s="91">
        <v>5476.6857142857143</v>
      </c>
      <c r="AJ55" s="91">
        <v>5476.6857142857143</v>
      </c>
      <c r="AK55" s="91">
        <v>5476.6857142857143</v>
      </c>
      <c r="AL55" s="91">
        <v>5476.6857142857143</v>
      </c>
      <c r="AM55" s="91">
        <v>5180.6486486486492</v>
      </c>
      <c r="AN55" s="91">
        <v>5180.6486486486492</v>
      </c>
      <c r="AO55" s="91">
        <v>5180.6486486486492</v>
      </c>
      <c r="AP55" s="91">
        <v>4296.6486486486492</v>
      </c>
      <c r="BD55" s="91">
        <v>191683.77349186214</v>
      </c>
      <c r="BE55" s="91">
        <v>191684</v>
      </c>
      <c r="BF55" s="103">
        <v>0.22650813785730861</v>
      </c>
    </row>
    <row r="56" spans="1:74" ht="17.399999999999999">
      <c r="A56" s="107">
        <v>1978</v>
      </c>
      <c r="B56" s="110">
        <v>3045</v>
      </c>
      <c r="C56" s="117"/>
      <c r="D56" s="117"/>
      <c r="E56" s="117"/>
      <c r="F56" s="117"/>
      <c r="G56" s="117"/>
      <c r="H56" s="117"/>
      <c r="I56" s="117"/>
      <c r="J56" s="117"/>
      <c r="K56" s="117">
        <v>101.5</v>
      </c>
      <c r="L56" s="117">
        <v>105</v>
      </c>
      <c r="M56" s="117">
        <v>98.225806451612897</v>
      </c>
      <c r="N56" s="117">
        <v>98.225806451612897</v>
      </c>
      <c r="O56" s="117">
        <v>98.225806451612897</v>
      </c>
      <c r="P56" s="117">
        <v>101.5</v>
      </c>
      <c r="Q56" s="117">
        <v>108.75</v>
      </c>
      <c r="R56" s="117">
        <v>105</v>
      </c>
      <c r="S56" s="117">
        <v>105</v>
      </c>
      <c r="T56" s="117">
        <v>101.5</v>
      </c>
      <c r="U56" s="117">
        <v>101.5</v>
      </c>
      <c r="V56" s="117">
        <v>98.225806451612897</v>
      </c>
      <c r="W56" s="117">
        <v>101.5</v>
      </c>
      <c r="X56" s="117">
        <v>95.15625</v>
      </c>
      <c r="Y56" s="117">
        <v>101.5</v>
      </c>
      <c r="Z56" s="117">
        <v>101.5</v>
      </c>
      <c r="AA56" s="117">
        <v>101.5</v>
      </c>
      <c r="AB56" s="117">
        <v>101.5</v>
      </c>
      <c r="AC56" s="117">
        <v>101.5</v>
      </c>
      <c r="AD56" s="117">
        <v>89.558823529411768</v>
      </c>
      <c r="AE56" s="117">
        <v>89.558823529411768</v>
      </c>
      <c r="AF56" s="117">
        <v>89.558823529411768</v>
      </c>
      <c r="AG56" s="117">
        <v>89.558823529411768</v>
      </c>
      <c r="AH56" s="117">
        <v>89.558823529411768</v>
      </c>
      <c r="AI56" s="117">
        <v>89.558823529411768</v>
      </c>
      <c r="AJ56" s="117">
        <v>89.558823529411768</v>
      </c>
      <c r="AK56" s="117">
        <v>89.558823529411768</v>
      </c>
      <c r="AL56" s="117">
        <v>89.558823529411768</v>
      </c>
      <c r="AM56" s="117">
        <v>84.583333333333329</v>
      </c>
      <c r="AN56" s="117">
        <v>84.583333333333329</v>
      </c>
      <c r="AO56" s="117">
        <v>84.583333333333329</v>
      </c>
      <c r="AP56" s="117">
        <v>58.583333333333329</v>
      </c>
      <c r="AQ56" s="117"/>
      <c r="AR56" s="117"/>
      <c r="AS56" s="118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>
        <v>3045.172220904491</v>
      </c>
      <c r="BE56" s="117">
        <v>3045</v>
      </c>
      <c r="BF56" s="119">
        <v>-0.17222090449104144</v>
      </c>
    </row>
    <row r="57" spans="1:74" ht="17.399999999999999">
      <c r="A57" s="107" t="s">
        <v>248</v>
      </c>
      <c r="B57" s="105">
        <v>5367775</v>
      </c>
      <c r="C57" s="105">
        <v>0</v>
      </c>
      <c r="D57" s="105">
        <v>7510.4827586206893</v>
      </c>
      <c r="E57" s="105">
        <v>22185.172413793101</v>
      </c>
      <c r="F57" s="105">
        <v>143178.98037766828</v>
      </c>
      <c r="G57" s="105">
        <v>175975.72231315216</v>
      </c>
      <c r="H57" s="105">
        <v>179364.62553895861</v>
      </c>
      <c r="I57" s="105">
        <v>179571.0126357328</v>
      </c>
      <c r="J57" s="105">
        <v>185754.36747444246</v>
      </c>
      <c r="K57" s="105">
        <v>177078.00007183908</v>
      </c>
      <c r="L57" s="105">
        <v>176118.71692789969</v>
      </c>
      <c r="M57" s="105">
        <v>170061.69358288767</v>
      </c>
      <c r="N57" s="105">
        <v>170061.69358288767</v>
      </c>
      <c r="O57" s="105">
        <v>170061.69358288767</v>
      </c>
      <c r="P57" s="105">
        <v>168872.83886662789</v>
      </c>
      <c r="Q57" s="105">
        <v>180230.0644769909</v>
      </c>
      <c r="R57" s="105">
        <v>180226.3144769909</v>
      </c>
      <c r="S57" s="105">
        <v>180226.3144769909</v>
      </c>
      <c r="T57" s="105">
        <v>169450.52836484983</v>
      </c>
      <c r="U57" s="105">
        <v>169450.52836484983</v>
      </c>
      <c r="V57" s="105">
        <v>166226.11496675599</v>
      </c>
      <c r="W57" s="105">
        <v>169450.52836484983</v>
      </c>
      <c r="X57" s="105">
        <v>159763.17261622389</v>
      </c>
      <c r="Y57" s="105">
        <v>169450.52836484983</v>
      </c>
      <c r="Z57" s="105">
        <v>171528.19931573802</v>
      </c>
      <c r="AA57" s="105">
        <v>171528.19931573802</v>
      </c>
      <c r="AB57" s="105">
        <v>171528.19931573802</v>
      </c>
      <c r="AC57" s="105">
        <v>171428.71446725316</v>
      </c>
      <c r="AD57" s="105">
        <v>150843.7344187675</v>
      </c>
      <c r="AE57" s="105">
        <v>150843.7344187675</v>
      </c>
      <c r="AF57" s="105">
        <v>150843.7344187675</v>
      </c>
      <c r="AG57" s="105">
        <v>150843.7344187675</v>
      </c>
      <c r="AH57" s="105">
        <v>145270.25973904206</v>
      </c>
      <c r="AI57" s="105">
        <v>131849.34891653125</v>
      </c>
      <c r="AJ57" s="105">
        <v>131849.34891653125</v>
      </c>
      <c r="AK57" s="105">
        <v>89649.348916531264</v>
      </c>
      <c r="AL57" s="105">
        <v>33936.527587350734</v>
      </c>
      <c r="AM57" s="105">
        <v>33549.369490644494</v>
      </c>
      <c r="AN57" s="105">
        <v>32078.369490644494</v>
      </c>
      <c r="AO57" s="105">
        <v>5579.2319819819822</v>
      </c>
      <c r="AP57" s="105">
        <v>4355.2319819819822</v>
      </c>
      <c r="AQ57" s="105">
        <v>0</v>
      </c>
      <c r="AR57" s="105">
        <v>0</v>
      </c>
      <c r="AS57" s="120">
        <v>0</v>
      </c>
      <c r="AT57" s="105">
        <v>0</v>
      </c>
      <c r="AU57" s="105">
        <v>0</v>
      </c>
      <c r="AV57" s="105">
        <v>0</v>
      </c>
      <c r="AW57" s="105">
        <v>0</v>
      </c>
      <c r="AX57" s="105">
        <v>0</v>
      </c>
      <c r="AY57" s="105">
        <v>0</v>
      </c>
      <c r="AZ57" s="105">
        <v>0</v>
      </c>
      <c r="BA57" s="105">
        <v>0</v>
      </c>
      <c r="BB57" s="105">
        <v>0</v>
      </c>
      <c r="BC57" s="105">
        <v>0</v>
      </c>
      <c r="BD57" s="105">
        <v>5367774.3817115268</v>
      </c>
      <c r="BE57" s="105">
        <v>5367775</v>
      </c>
      <c r="BF57" s="103">
        <v>0.61828847322613001</v>
      </c>
      <c r="BG57" s="105"/>
      <c r="BH57" s="105"/>
      <c r="BI57" s="105"/>
      <c r="BJ57" s="105"/>
      <c r="BK57" s="105"/>
      <c r="BL57" s="105"/>
      <c r="BM57" s="105"/>
      <c r="BN57" s="105"/>
      <c r="BO57" s="105"/>
      <c r="BP57" s="105"/>
      <c r="BQ57" s="105"/>
      <c r="BV57" s="105"/>
    </row>
    <row r="58" spans="1:74" ht="17.399999999999999">
      <c r="A58" s="105"/>
      <c r="B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21" t="s">
        <v>255</v>
      </c>
      <c r="AH58" s="105"/>
      <c r="AI58" s="105"/>
      <c r="AJ58" s="105">
        <v>5168626.3022623919</v>
      </c>
      <c r="AK58" s="105">
        <v>5258275.6511789234</v>
      </c>
      <c r="AL58" s="105">
        <v>5292212.1787662739</v>
      </c>
      <c r="AM58" s="105"/>
      <c r="AN58" s="105"/>
      <c r="AO58" s="105"/>
      <c r="AP58" s="105"/>
      <c r="AQ58" s="105"/>
      <c r="AR58" s="105"/>
      <c r="AS58" s="120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5"/>
      <c r="BV58" s="105"/>
    </row>
    <row r="59" spans="1:74" ht="17.399999999999999">
      <c r="A59" s="107"/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 t="s">
        <v>257</v>
      </c>
      <c r="AH59" s="105"/>
      <c r="AI59" s="105"/>
      <c r="AJ59" s="105">
        <v>199148.6977376081</v>
      </c>
      <c r="AK59" s="105">
        <v>109499.34882107656</v>
      </c>
      <c r="AL59" s="105">
        <v>75562.821233726107</v>
      </c>
      <c r="AM59" s="105"/>
      <c r="AN59" s="105"/>
      <c r="AO59" s="105"/>
      <c r="AP59" s="105"/>
      <c r="AQ59" s="105"/>
      <c r="AR59" s="105"/>
      <c r="AS59" s="120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5"/>
      <c r="BV59" s="105"/>
    </row>
    <row r="60" spans="1:74" ht="17.399999999999999">
      <c r="A60" s="107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20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V60" s="105"/>
    </row>
    <row r="61" spans="1:74" ht="17.399999999999999">
      <c r="A61" s="104" t="s">
        <v>249</v>
      </c>
      <c r="B61" s="105"/>
    </row>
    <row r="62" spans="1:74" ht="17.399999999999999">
      <c r="A62" s="107">
        <v>1975</v>
      </c>
      <c r="B62" s="105">
        <v>941015</v>
      </c>
      <c r="F62" s="91"/>
      <c r="H62" s="91">
        <v>30355.322580645159</v>
      </c>
      <c r="I62" s="91">
        <v>30355.322580645159</v>
      </c>
      <c r="J62" s="91">
        <v>30355.322580645159</v>
      </c>
      <c r="K62" s="91">
        <v>29406.71875</v>
      </c>
      <c r="L62" s="91">
        <v>29406.71875</v>
      </c>
      <c r="M62" s="91">
        <v>28515.60606060606</v>
      </c>
      <c r="N62" s="91">
        <v>28515.60606060606</v>
      </c>
      <c r="O62" s="91">
        <v>28515.60606060606</v>
      </c>
      <c r="P62" s="91">
        <v>29406.71875</v>
      </c>
      <c r="Q62" s="91">
        <v>31367.166666666668</v>
      </c>
      <c r="R62" s="91">
        <v>31367.166666666668</v>
      </c>
      <c r="S62" s="91">
        <v>31367.166666666668</v>
      </c>
      <c r="T62" s="91">
        <v>30355.322580645159</v>
      </c>
      <c r="U62" s="91">
        <v>30355.322580645159</v>
      </c>
      <c r="V62" s="91">
        <v>30355.322580645159</v>
      </c>
      <c r="W62" s="91">
        <v>30355.322580645159</v>
      </c>
      <c r="X62" s="91">
        <v>28515.60606060606</v>
      </c>
      <c r="Y62" s="91">
        <v>30355.322580645159</v>
      </c>
      <c r="Z62" s="91">
        <v>29406.71875</v>
      </c>
      <c r="AA62" s="91">
        <v>29406.71875</v>
      </c>
      <c r="AB62" s="91">
        <v>29406.71875</v>
      </c>
      <c r="AC62" s="91">
        <v>28515.60606060606</v>
      </c>
      <c r="AD62" s="91">
        <v>26886.142857142855</v>
      </c>
      <c r="AE62" s="91">
        <v>26886.142857142855</v>
      </c>
      <c r="AF62" s="91">
        <v>26886.142857142855</v>
      </c>
      <c r="AG62" s="91">
        <v>26886.142857142855</v>
      </c>
      <c r="AH62" s="91">
        <v>25432.83783783784</v>
      </c>
      <c r="AI62" s="91">
        <v>25432.83783783784</v>
      </c>
      <c r="AJ62" s="91">
        <v>25432.83783783784</v>
      </c>
      <c r="AK62" s="91">
        <v>25432.83783783784</v>
      </c>
      <c r="AL62" s="91">
        <v>24763.552631578947</v>
      </c>
      <c r="AM62" s="91">
        <v>24128.589743589742</v>
      </c>
      <c r="AN62" s="91">
        <v>24128.589743589742</v>
      </c>
      <c r="AO62" s="91">
        <v>2756</v>
      </c>
      <c r="BD62" s="106">
        <v>941015.07834687294</v>
      </c>
      <c r="BE62" s="106">
        <v>941015</v>
      </c>
      <c r="BF62" s="122">
        <v>-7.8346872935071588E-2</v>
      </c>
    </row>
    <row r="63" spans="1:74" ht="17.399999999999999">
      <c r="A63" s="107">
        <v>1976</v>
      </c>
      <c r="B63" s="105">
        <v>3123640</v>
      </c>
      <c r="F63" s="91"/>
      <c r="I63" s="91">
        <v>100762.58064516129</v>
      </c>
      <c r="J63" s="91">
        <v>100762.58064516129</v>
      </c>
      <c r="K63" s="91">
        <v>104121.33333333333</v>
      </c>
      <c r="L63" s="91">
        <v>104121.33333333333</v>
      </c>
      <c r="M63" s="91">
        <v>104121.33333333333</v>
      </c>
      <c r="N63" s="91">
        <v>104121.33333333333</v>
      </c>
      <c r="O63" s="91">
        <v>104121.33333333333</v>
      </c>
      <c r="P63" s="91">
        <v>100762.58064516129</v>
      </c>
      <c r="Q63" s="91">
        <v>107711.72413793103</v>
      </c>
      <c r="R63" s="91">
        <v>107711.72413793103</v>
      </c>
      <c r="S63" s="91">
        <v>107711.72413793103</v>
      </c>
      <c r="T63" s="91">
        <v>97613.75</v>
      </c>
      <c r="U63" s="91">
        <v>97613.75</v>
      </c>
      <c r="V63" s="91">
        <v>97613.75</v>
      </c>
      <c r="W63" s="91">
        <v>97613.75</v>
      </c>
      <c r="X63" s="91">
        <v>94655.757575757583</v>
      </c>
      <c r="Y63" s="91">
        <v>97613.75</v>
      </c>
      <c r="Z63" s="91">
        <v>104121.33333333333</v>
      </c>
      <c r="AA63" s="91">
        <v>104121.33333333333</v>
      </c>
      <c r="AB63" s="91">
        <v>104121.33333333333</v>
      </c>
      <c r="AC63" s="91">
        <v>104121.33333333333</v>
      </c>
      <c r="AD63" s="91">
        <v>86767.777777777766</v>
      </c>
      <c r="AE63" s="91">
        <v>86767.777777777766</v>
      </c>
      <c r="AF63" s="91">
        <v>86767.777777777766</v>
      </c>
      <c r="AG63" s="91">
        <v>86767.777777777766</v>
      </c>
      <c r="AH63" s="91">
        <v>91871.76470588235</v>
      </c>
      <c r="AI63" s="91">
        <v>91871.76470588235</v>
      </c>
      <c r="AJ63" s="91">
        <v>91871.76470588235</v>
      </c>
      <c r="AK63" s="91">
        <v>91871.76470588235</v>
      </c>
      <c r="AL63" s="91">
        <v>91871.76470588235</v>
      </c>
      <c r="AM63" s="91">
        <v>84422.702702702707</v>
      </c>
      <c r="AN63" s="91">
        <v>84422.702702702707</v>
      </c>
      <c r="AO63" s="91">
        <v>3125</v>
      </c>
      <c r="BD63" s="106">
        <v>3123639.7619709633</v>
      </c>
      <c r="BE63" s="106">
        <v>3123640</v>
      </c>
      <c r="BF63" s="122">
        <v>0.23802903667092323</v>
      </c>
    </row>
    <row r="64" spans="1:74" ht="17.399999999999999">
      <c r="A64" s="107">
        <v>1977</v>
      </c>
      <c r="B64" s="105">
        <v>4788408</v>
      </c>
      <c r="F64" s="91"/>
      <c r="J64" s="91">
        <v>154464.77419354839</v>
      </c>
      <c r="K64" s="91">
        <v>159613.6</v>
      </c>
      <c r="L64" s="91">
        <v>159613.6</v>
      </c>
      <c r="M64" s="91">
        <v>154464.77419354839</v>
      </c>
      <c r="N64" s="91">
        <v>154464.77419354839</v>
      </c>
      <c r="O64" s="91">
        <v>154464.77419354839</v>
      </c>
      <c r="P64" s="91">
        <v>149637.75</v>
      </c>
      <c r="Q64" s="91">
        <v>159613.6</v>
      </c>
      <c r="R64" s="91">
        <v>159613.6</v>
      </c>
      <c r="S64" s="91">
        <v>159613.6</v>
      </c>
      <c r="T64" s="91">
        <v>149637.75</v>
      </c>
      <c r="U64" s="91">
        <v>149637.75</v>
      </c>
      <c r="V64" s="91">
        <v>149637.75</v>
      </c>
      <c r="W64" s="91">
        <v>149637.75</v>
      </c>
      <c r="X64" s="91">
        <v>145103.27272727274</v>
      </c>
      <c r="Y64" s="91">
        <v>149637.75</v>
      </c>
      <c r="Z64" s="91">
        <v>154464.77419354839</v>
      </c>
      <c r="AA64" s="91">
        <v>154464.77419354839</v>
      </c>
      <c r="AB64" s="91">
        <v>154464.77419354839</v>
      </c>
      <c r="AC64" s="91">
        <v>154464.77419354839</v>
      </c>
      <c r="AD64" s="91">
        <v>133011.33333333331</v>
      </c>
      <c r="AE64" s="91">
        <v>133011.33333333331</v>
      </c>
      <c r="AF64" s="91">
        <v>133011.33333333331</v>
      </c>
      <c r="AG64" s="91">
        <v>133011.33333333331</v>
      </c>
      <c r="AH64" s="91">
        <v>136811.65714285715</v>
      </c>
      <c r="AI64" s="91">
        <v>136811.65714285715</v>
      </c>
      <c r="AJ64" s="91">
        <v>136811.65714285715</v>
      </c>
      <c r="AK64" s="91">
        <v>136811.65714285715</v>
      </c>
      <c r="AL64" s="91">
        <v>136811.65714285715</v>
      </c>
      <c r="AM64" s="91">
        <v>129416.43243243244</v>
      </c>
      <c r="AN64" s="91">
        <v>129416.43243243244</v>
      </c>
      <c r="AO64" s="91">
        <v>129416.43243243244</v>
      </c>
      <c r="AP64" s="91">
        <v>107339.43243243244</v>
      </c>
      <c r="BD64" s="106">
        <v>4788408.3150530113</v>
      </c>
      <c r="BE64" s="106">
        <v>4788408</v>
      </c>
      <c r="BF64" s="122">
        <v>-0.31505301129072905</v>
      </c>
    </row>
    <row r="65" spans="1:74" ht="17.399999999999999">
      <c r="A65" s="107">
        <v>1978</v>
      </c>
      <c r="B65" s="105">
        <v>3658003</v>
      </c>
      <c r="F65" s="91"/>
      <c r="K65" s="91">
        <v>121933.43333333333</v>
      </c>
      <c r="L65" s="91">
        <v>126138.03448275862</v>
      </c>
      <c r="M65" s="91">
        <v>118000.09677419355</v>
      </c>
      <c r="N65" s="91">
        <v>118000.09677419355</v>
      </c>
      <c r="O65" s="91">
        <v>118000.09677419355</v>
      </c>
      <c r="P65" s="91">
        <v>121933.43333333333</v>
      </c>
      <c r="Q65" s="91">
        <v>130642.96428571428</v>
      </c>
      <c r="R65" s="91">
        <v>126138.03448275862</v>
      </c>
      <c r="S65" s="91">
        <v>126138.03448275862</v>
      </c>
      <c r="T65" s="91">
        <v>121933.43333333333</v>
      </c>
      <c r="U65" s="91">
        <v>121933.43333333333</v>
      </c>
      <c r="V65" s="91">
        <v>118000.09677419355</v>
      </c>
      <c r="W65" s="91">
        <v>121933.43333333333</v>
      </c>
      <c r="X65" s="91">
        <v>114312.59375</v>
      </c>
      <c r="Y65" s="91">
        <v>121933.43333333333</v>
      </c>
      <c r="Z65" s="91">
        <v>121933.43333333333</v>
      </c>
      <c r="AA65" s="91">
        <v>121933.43333333333</v>
      </c>
      <c r="AB65" s="91">
        <v>121933.43333333333</v>
      </c>
      <c r="AC65" s="91">
        <v>121933.43333333333</v>
      </c>
      <c r="AD65" s="91">
        <v>107588.32352941176</v>
      </c>
      <c r="AE65" s="91">
        <v>107588.32352941176</v>
      </c>
      <c r="AF65" s="91">
        <v>107588.32352941176</v>
      </c>
      <c r="AG65" s="91">
        <v>107588.32352941176</v>
      </c>
      <c r="AH65" s="91">
        <v>107588.32352941176</v>
      </c>
      <c r="AI65" s="91">
        <v>107588.32352941176</v>
      </c>
      <c r="AJ65" s="91">
        <v>107588.32352941176</v>
      </c>
      <c r="AK65" s="91">
        <v>107588.32352941176</v>
      </c>
      <c r="AL65" s="91">
        <v>107588.32352941176</v>
      </c>
      <c r="AM65" s="91">
        <v>101611.19444444444</v>
      </c>
      <c r="AN65" s="91">
        <v>101611.19444444444</v>
      </c>
      <c r="AO65" s="91">
        <v>101611.19444444444</v>
      </c>
      <c r="AP65" s="91">
        <v>70170.194444444438</v>
      </c>
      <c r="BD65" s="106">
        <v>3658003.0714565795</v>
      </c>
      <c r="BE65" s="106">
        <v>3658003</v>
      </c>
      <c r="BF65" s="122">
        <v>-7.1456579491496086E-2</v>
      </c>
    </row>
    <row r="66" spans="1:74" ht="17.399999999999999">
      <c r="A66" s="107">
        <v>1979</v>
      </c>
      <c r="B66" s="105">
        <v>1279086</v>
      </c>
      <c r="F66" s="91"/>
      <c r="L66" s="91">
        <v>44106.413793103449</v>
      </c>
      <c r="M66" s="91">
        <v>41260.838709677417</v>
      </c>
      <c r="N66" s="91">
        <v>41260.838709677417</v>
      </c>
      <c r="O66" s="91">
        <v>41260.838709677417</v>
      </c>
      <c r="P66" s="91">
        <v>42636.2</v>
      </c>
      <c r="Q66" s="91">
        <v>45681.642857142855</v>
      </c>
      <c r="R66" s="91">
        <v>45681.642857142855</v>
      </c>
      <c r="S66" s="91">
        <v>45681.642857142855</v>
      </c>
      <c r="T66" s="91">
        <v>42636.2</v>
      </c>
      <c r="U66" s="91">
        <v>42636.2</v>
      </c>
      <c r="V66" s="91">
        <v>42636.2</v>
      </c>
      <c r="W66" s="91">
        <v>42636.2</v>
      </c>
      <c r="X66" s="91">
        <v>39971.4375</v>
      </c>
      <c r="Y66" s="91">
        <v>42636.2</v>
      </c>
      <c r="Z66" s="91">
        <v>42636.2</v>
      </c>
      <c r="AA66" s="91">
        <v>42636.2</v>
      </c>
      <c r="AB66" s="91">
        <v>42636.2</v>
      </c>
      <c r="AC66" s="91">
        <v>42636.2</v>
      </c>
      <c r="AD66" s="91">
        <v>37620.176470588238</v>
      </c>
      <c r="AE66" s="91">
        <v>37620.176470588238</v>
      </c>
      <c r="AF66" s="91">
        <v>37620.176470588238</v>
      </c>
      <c r="AG66" s="91">
        <v>37620.176470588238</v>
      </c>
      <c r="AH66" s="91">
        <v>37620.176470588238</v>
      </c>
      <c r="AI66" s="91">
        <v>37620.176470588238</v>
      </c>
      <c r="AJ66" s="91">
        <v>37620.176470588238</v>
      </c>
      <c r="AK66" s="91">
        <v>37620.176470588238</v>
      </c>
      <c r="AL66" s="91">
        <v>37620.176470588238</v>
      </c>
      <c r="AM66" s="91">
        <v>35530.166666666664</v>
      </c>
      <c r="AN66" s="91">
        <v>35530.166666666664</v>
      </c>
      <c r="AO66" s="91">
        <v>35530.166666666664</v>
      </c>
      <c r="AP66" s="91">
        <v>35530.166666666664</v>
      </c>
      <c r="AQ66" s="91">
        <v>27116.166666666664</v>
      </c>
      <c r="BD66" s="106">
        <v>1279085.7175621917</v>
      </c>
      <c r="BE66" s="106">
        <v>1279086</v>
      </c>
      <c r="BF66" s="122">
        <v>0.28243780834600329</v>
      </c>
    </row>
    <row r="67" spans="1:74" ht="17.399999999999999">
      <c r="A67" s="107">
        <v>1980</v>
      </c>
      <c r="B67" s="105">
        <v>801852</v>
      </c>
      <c r="F67" s="91"/>
      <c r="M67" s="91">
        <v>26728.399999999998</v>
      </c>
      <c r="N67" s="91">
        <v>26728.399999999998</v>
      </c>
      <c r="O67" s="91">
        <v>28637.571428571428</v>
      </c>
      <c r="P67" s="91">
        <v>29698.222222222219</v>
      </c>
      <c r="Q67" s="91">
        <v>32074.080000000002</v>
      </c>
      <c r="R67" s="91">
        <v>32074.080000000002</v>
      </c>
      <c r="S67" s="91">
        <v>32074.080000000002</v>
      </c>
      <c r="T67" s="91">
        <v>30840.461538461539</v>
      </c>
      <c r="U67" s="91">
        <v>32074.080000000002</v>
      </c>
      <c r="V67" s="91">
        <v>26728.399999999998</v>
      </c>
      <c r="W67" s="91">
        <v>26728.399999999998</v>
      </c>
      <c r="X67" s="91">
        <v>25866.193548387095</v>
      </c>
      <c r="Y67" s="91">
        <v>26728.399999999998</v>
      </c>
      <c r="Z67" s="91">
        <v>26728.399999999998</v>
      </c>
      <c r="AA67" s="91">
        <v>26728.399999999998</v>
      </c>
      <c r="AB67" s="91">
        <v>26728.399999999998</v>
      </c>
      <c r="AC67" s="91">
        <v>26728.399999999998</v>
      </c>
      <c r="AD67" s="91">
        <v>23583.882352941175</v>
      </c>
      <c r="AE67" s="91">
        <v>23583.882352941175</v>
      </c>
      <c r="AF67" s="91">
        <v>23583.882352941175</v>
      </c>
      <c r="AG67" s="91">
        <v>23583.882352941175</v>
      </c>
      <c r="AH67" s="91">
        <v>23583.882352941175</v>
      </c>
      <c r="AI67" s="91">
        <v>23583.882352941175</v>
      </c>
      <c r="AJ67" s="91">
        <v>23583.882352941175</v>
      </c>
      <c r="AK67" s="91">
        <v>23583.882352941175</v>
      </c>
      <c r="AL67" s="91">
        <v>22910.057142857142</v>
      </c>
      <c r="AM67" s="91">
        <v>22273.666666666664</v>
      </c>
      <c r="AN67" s="91">
        <v>22273.666666666664</v>
      </c>
      <c r="AO67" s="91">
        <v>22273.666666666664</v>
      </c>
      <c r="AP67" s="91">
        <v>22273.666666666664</v>
      </c>
      <c r="AQ67" s="91">
        <v>17281.666666666664</v>
      </c>
      <c r="BD67" s="106">
        <v>801851.8180373623</v>
      </c>
      <c r="BE67" s="106">
        <v>801852</v>
      </c>
      <c r="BF67" s="122">
        <v>0.18196263769641519</v>
      </c>
    </row>
    <row r="68" spans="1:74" ht="17.399999999999999">
      <c r="A68" s="107">
        <v>1981</v>
      </c>
      <c r="B68" s="105">
        <v>6976409</v>
      </c>
      <c r="F68" s="91"/>
      <c r="N68" s="91">
        <v>232546.96666666667</v>
      </c>
      <c r="O68" s="91">
        <v>232546.96666666667</v>
      </c>
      <c r="P68" s="91">
        <v>225045.45161290321</v>
      </c>
      <c r="Q68" s="91">
        <v>240565.8275862069</v>
      </c>
      <c r="R68" s="91">
        <v>240565.8275862069</v>
      </c>
      <c r="S68" s="91">
        <v>240565.8275862069</v>
      </c>
      <c r="T68" s="91">
        <v>218012.78125</v>
      </c>
      <c r="U68" s="91">
        <v>218012.78125</v>
      </c>
      <c r="V68" s="91">
        <v>218012.78125</v>
      </c>
      <c r="W68" s="91">
        <v>218012.78125</v>
      </c>
      <c r="X68" s="91">
        <v>211406.33333333334</v>
      </c>
      <c r="Y68" s="91">
        <v>218012.78125</v>
      </c>
      <c r="Z68" s="91">
        <v>232546.96666666667</v>
      </c>
      <c r="AA68" s="91">
        <v>225045.45161290321</v>
      </c>
      <c r="AB68" s="91">
        <v>225045.45161290321</v>
      </c>
      <c r="AC68" s="91">
        <v>225045.45161290321</v>
      </c>
      <c r="AD68" s="91">
        <v>193789.13888888888</v>
      </c>
      <c r="AE68" s="91">
        <v>193789.13888888888</v>
      </c>
      <c r="AF68" s="91">
        <v>193789.13888888888</v>
      </c>
      <c r="AG68" s="91">
        <v>193789.13888888888</v>
      </c>
      <c r="AH68" s="91">
        <v>205188.5</v>
      </c>
      <c r="AI68" s="91">
        <v>205188.5</v>
      </c>
      <c r="AJ68" s="91">
        <v>205188.5</v>
      </c>
      <c r="AK68" s="91">
        <v>205188.5</v>
      </c>
      <c r="AL68" s="91">
        <v>205188.5</v>
      </c>
      <c r="AM68" s="91">
        <v>188551.59459459462</v>
      </c>
      <c r="AN68" s="91">
        <v>188551.59459459462</v>
      </c>
      <c r="AO68" s="91">
        <v>188551.59459459462</v>
      </c>
      <c r="AP68" s="91">
        <v>188551.59459459462</v>
      </c>
      <c r="AQ68" s="91">
        <v>188551.59459459462</v>
      </c>
      <c r="AR68" s="91">
        <v>199325.97142857141</v>
      </c>
      <c r="AS68" s="93">
        <v>199325.97142857141</v>
      </c>
      <c r="AT68" s="91">
        <v>199325.97142857141</v>
      </c>
      <c r="AU68" s="91">
        <v>13584</v>
      </c>
      <c r="BD68" s="106">
        <v>6976409.3716078121</v>
      </c>
      <c r="BE68" s="106">
        <v>6976409</v>
      </c>
      <c r="BF68" s="122">
        <v>-0.37160781212151051</v>
      </c>
    </row>
    <row r="69" spans="1:74" ht="17.399999999999999">
      <c r="A69" s="107">
        <v>1982</v>
      </c>
      <c r="B69" s="105">
        <v>3589009</v>
      </c>
      <c r="F69" s="91"/>
      <c r="O69" s="91">
        <v>115774.48387096774</v>
      </c>
      <c r="P69" s="91">
        <v>123758.93103448275</v>
      </c>
      <c r="Q69" s="91">
        <v>132926.25925925924</v>
      </c>
      <c r="R69" s="91">
        <v>132926.25925925924</v>
      </c>
      <c r="S69" s="91">
        <v>132926.25925925924</v>
      </c>
      <c r="T69" s="91">
        <v>128178.89285714286</v>
      </c>
      <c r="U69" s="91">
        <v>128178.89285714286</v>
      </c>
      <c r="V69" s="91">
        <v>128178.89285714286</v>
      </c>
      <c r="W69" s="91">
        <v>128178.89285714286</v>
      </c>
      <c r="X69" s="91">
        <v>119633.63333333333</v>
      </c>
      <c r="Y69" s="91">
        <v>128178.89285714286</v>
      </c>
      <c r="Z69" s="91">
        <v>115774.48387096774</v>
      </c>
      <c r="AA69" s="91">
        <v>119633.63333333333</v>
      </c>
      <c r="AB69" s="91">
        <v>119633.63333333333</v>
      </c>
      <c r="AC69" s="91">
        <v>119633.63333333333</v>
      </c>
      <c r="AD69" s="91">
        <v>108757.84848484849</v>
      </c>
      <c r="AE69" s="91">
        <v>108757.84848484849</v>
      </c>
      <c r="AF69" s="91">
        <v>108757.84848484849</v>
      </c>
      <c r="AG69" s="91">
        <v>108757.84848484849</v>
      </c>
      <c r="AH69" s="91">
        <v>108757.84848484849</v>
      </c>
      <c r="AI69" s="91">
        <v>108757.84848484849</v>
      </c>
      <c r="AJ69" s="91">
        <v>108757.84848484849</v>
      </c>
      <c r="AK69" s="91">
        <v>108757.84848484849</v>
      </c>
      <c r="AL69" s="91">
        <v>105559.08823529411</v>
      </c>
      <c r="AM69" s="91">
        <v>102543.11428571428</v>
      </c>
      <c r="AN69" s="91">
        <v>102543.11428571428</v>
      </c>
      <c r="AO69" s="91">
        <v>102543.11428571428</v>
      </c>
      <c r="AP69" s="91">
        <v>102543.11428571428</v>
      </c>
      <c r="AQ69" s="91">
        <v>102543.11428571428</v>
      </c>
      <c r="AR69" s="91">
        <v>102543.11428571428</v>
      </c>
      <c r="AS69" s="93">
        <v>102543.11428571428</v>
      </c>
      <c r="AT69" s="91">
        <v>22070.114285714284</v>
      </c>
      <c r="BD69" s="106">
        <v>3589009.4645730415</v>
      </c>
      <c r="BE69" s="106">
        <v>3589009</v>
      </c>
      <c r="BF69" s="122">
        <v>-0.46457304153591394</v>
      </c>
    </row>
    <row r="70" spans="1:74" ht="17.399999999999999">
      <c r="A70" s="107">
        <v>1983</v>
      </c>
      <c r="B70" s="105">
        <v>1857100</v>
      </c>
      <c r="F70" s="91"/>
      <c r="P70" s="91">
        <v>61903.333333333336</v>
      </c>
      <c r="Q70" s="91">
        <v>66325</v>
      </c>
      <c r="R70" s="91">
        <v>66325</v>
      </c>
      <c r="S70" s="91">
        <v>66325</v>
      </c>
      <c r="T70" s="91">
        <v>64037.931034482761</v>
      </c>
      <c r="U70" s="91">
        <v>64037.931034482761</v>
      </c>
      <c r="V70" s="91">
        <v>61903.333333333336</v>
      </c>
      <c r="W70" s="91">
        <v>61903.333333333336</v>
      </c>
      <c r="X70" s="91">
        <v>59906.451612903227</v>
      </c>
      <c r="Y70" s="91">
        <v>61903.333333333336</v>
      </c>
      <c r="Z70" s="91">
        <v>64037.931034482761</v>
      </c>
      <c r="AA70" s="91">
        <v>61903.333333333336</v>
      </c>
      <c r="AB70" s="91">
        <v>61903.333333333336</v>
      </c>
      <c r="AC70" s="91">
        <v>61903.333333333336</v>
      </c>
      <c r="AD70" s="91">
        <v>54620.588235294119</v>
      </c>
      <c r="AE70" s="91">
        <v>54620.588235294119</v>
      </c>
      <c r="AF70" s="91">
        <v>54620.588235294119</v>
      </c>
      <c r="AG70" s="91">
        <v>54620.588235294119</v>
      </c>
      <c r="AH70" s="91">
        <v>56275.757575757576</v>
      </c>
      <c r="AI70" s="91">
        <v>56275.757575757576</v>
      </c>
      <c r="AJ70" s="91">
        <v>56275.757575757576</v>
      </c>
      <c r="AK70" s="91">
        <v>56275.757575757576</v>
      </c>
      <c r="AL70" s="91">
        <v>54620.588235294119</v>
      </c>
      <c r="AM70" s="91">
        <v>51586.111111111109</v>
      </c>
      <c r="AN70" s="91">
        <v>51586.111111111109</v>
      </c>
      <c r="AO70" s="91">
        <v>51586.111111111109</v>
      </c>
      <c r="AP70" s="91">
        <v>51586.111111111109</v>
      </c>
      <c r="AQ70" s="91">
        <v>51586.111111111109</v>
      </c>
      <c r="AR70" s="91">
        <v>53060</v>
      </c>
      <c r="AS70" s="93">
        <v>53060</v>
      </c>
      <c r="AT70" s="91">
        <v>53060</v>
      </c>
      <c r="AU70" s="91">
        <v>53060</v>
      </c>
      <c r="AV70" s="91">
        <v>4405</v>
      </c>
      <c r="BD70" s="106">
        <v>1857100.105084741</v>
      </c>
      <c r="BE70" s="106">
        <v>1857100</v>
      </c>
      <c r="BF70" s="122">
        <v>-0.10508474102243781</v>
      </c>
    </row>
    <row r="71" spans="1:74" ht="17.399999999999999">
      <c r="A71" s="107">
        <v>1984</v>
      </c>
      <c r="B71" s="105">
        <v>3459089</v>
      </c>
      <c r="F71" s="91"/>
      <c r="Q71" s="91">
        <v>128114.4074074074</v>
      </c>
      <c r="R71" s="91">
        <v>128114.4074074074</v>
      </c>
      <c r="S71" s="91">
        <v>128114.4074074074</v>
      </c>
      <c r="T71" s="91">
        <v>123538.89285714286</v>
      </c>
      <c r="U71" s="91">
        <v>123538.89285714286</v>
      </c>
      <c r="V71" s="91">
        <v>119278.93103448275</v>
      </c>
      <c r="W71" s="91">
        <v>123538.89285714286</v>
      </c>
      <c r="X71" s="91">
        <v>115302.96666666666</v>
      </c>
      <c r="Y71" s="91">
        <v>119278.93103448275</v>
      </c>
      <c r="Z71" s="91">
        <v>119278.93103448275</v>
      </c>
      <c r="AA71" s="91">
        <v>119278.93103448275</v>
      </c>
      <c r="AB71" s="91">
        <v>119278.93103448275</v>
      </c>
      <c r="AC71" s="91">
        <v>115302.96666666666</v>
      </c>
      <c r="AD71" s="91">
        <v>104820.87878787878</v>
      </c>
      <c r="AE71" s="91">
        <v>104820.87878787878</v>
      </c>
      <c r="AF71" s="91">
        <v>104820.87878787878</v>
      </c>
      <c r="AG71" s="91">
        <v>104820.87878787878</v>
      </c>
      <c r="AH71" s="91">
        <v>104820.87878787878</v>
      </c>
      <c r="AI71" s="91">
        <v>104820.87878787878</v>
      </c>
      <c r="AJ71" s="91">
        <v>104820.87878787878</v>
      </c>
      <c r="AK71" s="91">
        <v>104820.87878787878</v>
      </c>
      <c r="AL71" s="91">
        <v>101737.91176470587</v>
      </c>
      <c r="AM71" s="91">
        <v>98831.114285714284</v>
      </c>
      <c r="AN71" s="91">
        <v>98831.114285714284</v>
      </c>
      <c r="AO71" s="91">
        <v>98831.114285714284</v>
      </c>
      <c r="AP71" s="91">
        <v>98831.114285714284</v>
      </c>
      <c r="AQ71" s="91">
        <v>98831.114285714284</v>
      </c>
      <c r="AR71" s="91">
        <v>98831.114285714284</v>
      </c>
      <c r="AS71" s="93">
        <v>98831.114285714284</v>
      </c>
      <c r="AT71" s="91">
        <v>98831.114285714284</v>
      </c>
      <c r="AU71" s="91">
        <v>98831.114285714284</v>
      </c>
      <c r="AV71" s="91">
        <v>47343.544285714284</v>
      </c>
      <c r="BD71" s="106">
        <v>3459089.0042242794</v>
      </c>
      <c r="BE71" s="106">
        <v>3459089</v>
      </c>
      <c r="BF71" s="122">
        <v>-4.2242794297635555E-3</v>
      </c>
    </row>
    <row r="72" spans="1:74" ht="17.399999999999999">
      <c r="A72" s="107">
        <v>1985</v>
      </c>
      <c r="B72" s="105">
        <v>4478151</v>
      </c>
      <c r="F72" s="91"/>
      <c r="R72" s="91">
        <v>172236.57692307694</v>
      </c>
      <c r="S72" s="91">
        <v>172236.57692307694</v>
      </c>
      <c r="T72" s="91">
        <v>165857.44444444444</v>
      </c>
      <c r="U72" s="91">
        <v>165857.44444444444</v>
      </c>
      <c r="V72" s="91">
        <v>159933.96428571429</v>
      </c>
      <c r="W72" s="91">
        <v>159933.96428571429</v>
      </c>
      <c r="X72" s="91">
        <v>149271.70000000001</v>
      </c>
      <c r="Y72" s="91">
        <v>159933.96428571429</v>
      </c>
      <c r="Z72" s="91">
        <v>154419</v>
      </c>
      <c r="AA72" s="91">
        <v>154419</v>
      </c>
      <c r="AB72" s="91">
        <v>154419</v>
      </c>
      <c r="AC72" s="91">
        <v>149271.70000000001</v>
      </c>
      <c r="AD72" s="91">
        <v>135701.54545454547</v>
      </c>
      <c r="AE72" s="91">
        <v>135701.54545454547</v>
      </c>
      <c r="AF72" s="91">
        <v>135701.54545454547</v>
      </c>
      <c r="AG72" s="91">
        <v>135701.54545454547</v>
      </c>
      <c r="AH72" s="91">
        <v>135701.54545454547</v>
      </c>
      <c r="AI72" s="91">
        <v>135701.54545454547</v>
      </c>
      <c r="AJ72" s="91">
        <v>135701.54545454547</v>
      </c>
      <c r="AK72" s="91">
        <v>135701.54545454547</v>
      </c>
      <c r="AL72" s="91">
        <v>131710.32352941178</v>
      </c>
      <c r="AM72" s="91">
        <v>127947.17142857143</v>
      </c>
      <c r="AN72" s="91">
        <v>127947.17142857143</v>
      </c>
      <c r="AO72" s="91">
        <v>127947.17142857143</v>
      </c>
      <c r="AP72" s="91">
        <v>127947.17142857143</v>
      </c>
      <c r="AQ72" s="91">
        <v>127947.17142857143</v>
      </c>
      <c r="AR72" s="91">
        <v>127947.17142857143</v>
      </c>
      <c r="AS72" s="93">
        <v>127947.17142857143</v>
      </c>
      <c r="AT72" s="91">
        <v>127947.17142857143</v>
      </c>
      <c r="AU72" s="91">
        <v>127947.17142857143</v>
      </c>
      <c r="AV72" s="91">
        <v>127947.17142857143</v>
      </c>
      <c r="AW72" s="91">
        <v>63566</v>
      </c>
      <c r="AX72" s="91">
        <v>0</v>
      </c>
      <c r="AY72" s="91">
        <v>0</v>
      </c>
      <c r="AZ72" s="91">
        <v>0</v>
      </c>
      <c r="BA72" s="91">
        <v>0</v>
      </c>
      <c r="BB72" s="91">
        <v>0</v>
      </c>
      <c r="BC72" s="91">
        <v>0</v>
      </c>
      <c r="BD72" s="106">
        <v>4478150.737043675</v>
      </c>
      <c r="BE72" s="106">
        <v>4478151</v>
      </c>
      <c r="BF72" s="122">
        <v>0.26295632496476173</v>
      </c>
    </row>
    <row r="73" spans="1:74" ht="17.399999999999999">
      <c r="A73" s="107">
        <v>1986</v>
      </c>
      <c r="B73" s="105">
        <v>1853553</v>
      </c>
      <c r="F73" s="91"/>
      <c r="S73" s="91">
        <v>71290.5</v>
      </c>
      <c r="T73" s="91">
        <v>68650.111111111109</v>
      </c>
      <c r="U73" s="91">
        <v>68650.111111111109</v>
      </c>
      <c r="V73" s="91">
        <v>66198.32142857142</v>
      </c>
      <c r="W73" s="91">
        <v>66198.32142857142</v>
      </c>
      <c r="X73" s="91">
        <v>61785.1</v>
      </c>
      <c r="Y73" s="91">
        <v>66198.32142857142</v>
      </c>
      <c r="Z73" s="91">
        <v>66198.32142857142</v>
      </c>
      <c r="AA73" s="91">
        <v>63915.620689655174</v>
      </c>
      <c r="AB73" s="91">
        <v>63915.620689655174</v>
      </c>
      <c r="AC73" s="91">
        <v>63915.620689655174</v>
      </c>
      <c r="AD73" s="91">
        <v>54516.26470588235</v>
      </c>
      <c r="AE73" s="91">
        <v>54516.26470588235</v>
      </c>
      <c r="AF73" s="91">
        <v>54516.26470588235</v>
      </c>
      <c r="AG73" s="91">
        <v>54516.26470588235</v>
      </c>
      <c r="AH73" s="91">
        <v>56168.272727272728</v>
      </c>
      <c r="AI73" s="91">
        <v>56168.272727272728</v>
      </c>
      <c r="AJ73" s="91">
        <v>56168.272727272728</v>
      </c>
      <c r="AK73" s="91">
        <v>56168.272727272728</v>
      </c>
      <c r="AL73" s="91">
        <v>54516.26470588235</v>
      </c>
      <c r="AM73" s="91">
        <v>52958.657142857141</v>
      </c>
      <c r="AN73" s="91">
        <v>52958.657142857141</v>
      </c>
      <c r="AO73" s="91">
        <v>52958.657142857141</v>
      </c>
      <c r="AP73" s="91">
        <v>52958.657142857141</v>
      </c>
      <c r="AQ73" s="91">
        <v>52958.657142857141</v>
      </c>
      <c r="AR73" s="91">
        <v>52958.657142857141</v>
      </c>
      <c r="AS73" s="93">
        <v>52958.657142857141</v>
      </c>
      <c r="AT73" s="91">
        <v>52958.657142857141</v>
      </c>
      <c r="AU73" s="91">
        <v>52958.657142857141</v>
      </c>
      <c r="AV73" s="91">
        <v>52958.657142857141</v>
      </c>
      <c r="AW73" s="91">
        <v>52958.657142857141</v>
      </c>
      <c r="AX73" s="91">
        <v>46837</v>
      </c>
      <c r="AY73" s="91">
        <v>0</v>
      </c>
      <c r="AZ73" s="91">
        <v>0</v>
      </c>
      <c r="BA73" s="91">
        <v>0</v>
      </c>
      <c r="BB73" s="91">
        <v>0</v>
      </c>
      <c r="BC73" s="91">
        <v>0</v>
      </c>
      <c r="BD73" s="106">
        <v>1853552.6130154042</v>
      </c>
      <c r="BE73" s="106">
        <v>1853553</v>
      </c>
      <c r="BF73" s="122">
        <v>0.38698459579609334</v>
      </c>
    </row>
    <row r="74" spans="1:74" ht="17.399999999999999">
      <c r="A74" s="107">
        <v>1987</v>
      </c>
      <c r="B74" s="105">
        <v>1134789</v>
      </c>
      <c r="F74" s="91"/>
      <c r="T74" s="91">
        <v>35462.15625</v>
      </c>
      <c r="U74" s="91">
        <v>35462.15625</v>
      </c>
      <c r="V74" s="91">
        <v>35462.15625</v>
      </c>
      <c r="W74" s="91">
        <v>35462.15625</v>
      </c>
      <c r="X74" s="91">
        <v>34387.545454545456</v>
      </c>
      <c r="Y74" s="91">
        <v>35462.15625</v>
      </c>
      <c r="Z74" s="91">
        <v>40528.178571428572</v>
      </c>
      <c r="AA74" s="91">
        <v>36606.096774193546</v>
      </c>
      <c r="AB74" s="91">
        <v>36606.096774193546</v>
      </c>
      <c r="AC74" s="91">
        <v>36606.096774193546</v>
      </c>
      <c r="AD74" s="91">
        <v>31521.916666666664</v>
      </c>
      <c r="AE74" s="91">
        <v>31521.916666666664</v>
      </c>
      <c r="AF74" s="91">
        <v>31521.916666666664</v>
      </c>
      <c r="AG74" s="91">
        <v>31521.916666666664</v>
      </c>
      <c r="AH74" s="91">
        <v>33376.147058823532</v>
      </c>
      <c r="AI74" s="91">
        <v>33376.147058823532</v>
      </c>
      <c r="AJ74" s="91">
        <v>33376.147058823532</v>
      </c>
      <c r="AK74" s="91">
        <v>33376.147058823532</v>
      </c>
      <c r="AL74" s="91">
        <v>33376.147058823532</v>
      </c>
      <c r="AM74" s="91">
        <v>30669.972972972973</v>
      </c>
      <c r="AN74" s="91">
        <v>30669.972972972973</v>
      </c>
      <c r="AO74" s="91">
        <v>30669.972972972973</v>
      </c>
      <c r="AP74" s="91">
        <v>30669.972972972973</v>
      </c>
      <c r="AQ74" s="91">
        <v>30669.972972972973</v>
      </c>
      <c r="AR74" s="91">
        <v>32422.542857142857</v>
      </c>
      <c r="AS74" s="93">
        <v>32422.542857142857</v>
      </c>
      <c r="AT74" s="91">
        <v>32422.542857142857</v>
      </c>
      <c r="AU74" s="91">
        <v>32422.542857142857</v>
      </c>
      <c r="AV74" s="91">
        <v>32422.542857142857</v>
      </c>
      <c r="AW74" s="91">
        <v>32422.542857142857</v>
      </c>
      <c r="AX74" s="91">
        <v>32422.542857142857</v>
      </c>
      <c r="AY74" s="91">
        <v>32422.542857142857</v>
      </c>
      <c r="AZ74" s="91">
        <v>32422.542857142857</v>
      </c>
      <c r="BA74" s="91">
        <v>32422.542857142857</v>
      </c>
      <c r="BB74" s="91">
        <v>2200.5428571428565</v>
      </c>
      <c r="BC74" s="91">
        <v>0</v>
      </c>
      <c r="BD74" s="106">
        <v>1134789.0338527756</v>
      </c>
      <c r="BE74" s="106">
        <v>1134789</v>
      </c>
      <c r="BF74" s="122">
        <v>-3.3852775581181049E-2</v>
      </c>
    </row>
    <row r="75" spans="1:74" ht="17.399999999999999">
      <c r="A75" s="107">
        <v>1988</v>
      </c>
      <c r="B75" s="110">
        <v>26553</v>
      </c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>
        <v>829.78125</v>
      </c>
      <c r="V75" s="117">
        <v>804.63636363636363</v>
      </c>
      <c r="W75" s="117">
        <v>829.78125</v>
      </c>
      <c r="X75" s="117">
        <v>780.97058823529414</v>
      </c>
      <c r="Y75" s="117">
        <v>829.78125</v>
      </c>
      <c r="Z75" s="117">
        <v>885.1</v>
      </c>
      <c r="AA75" s="117">
        <v>856.54838709677415</v>
      </c>
      <c r="AB75" s="117">
        <v>856.54838709677415</v>
      </c>
      <c r="AC75" s="117">
        <v>856.54838709677415</v>
      </c>
      <c r="AD75" s="117">
        <v>737.58333333333326</v>
      </c>
      <c r="AE75" s="117">
        <v>737.58333333333326</v>
      </c>
      <c r="AF75" s="117">
        <v>737.58333333333326</v>
      </c>
      <c r="AG75" s="117">
        <v>737.58333333333326</v>
      </c>
      <c r="AH75" s="117">
        <v>780.97058823529414</v>
      </c>
      <c r="AI75" s="117">
        <v>780.97058823529414</v>
      </c>
      <c r="AJ75" s="117">
        <v>780.97058823529414</v>
      </c>
      <c r="AK75" s="117">
        <v>780.97058823529414</v>
      </c>
      <c r="AL75" s="117">
        <v>780.97058823529414</v>
      </c>
      <c r="AM75" s="117">
        <v>717.64864864864865</v>
      </c>
      <c r="AN75" s="117">
        <v>717.64864864864865</v>
      </c>
      <c r="AO75" s="117">
        <v>717.64864864864865</v>
      </c>
      <c r="AP75" s="117">
        <v>717.64864864864865</v>
      </c>
      <c r="AQ75" s="117">
        <v>717.64864864864865</v>
      </c>
      <c r="AR75" s="117">
        <v>780.97058823529414</v>
      </c>
      <c r="AS75" s="118">
        <v>780.97058823529414</v>
      </c>
      <c r="AT75" s="117">
        <v>758.65714285714284</v>
      </c>
      <c r="AU75" s="117">
        <v>758.65714285714284</v>
      </c>
      <c r="AV75" s="117">
        <v>758.65714285714284</v>
      </c>
      <c r="AW75" s="117">
        <v>758.65714285714284</v>
      </c>
      <c r="AX75" s="117">
        <v>758.65714285714284</v>
      </c>
      <c r="AY75" s="117">
        <v>758.65714285714284</v>
      </c>
      <c r="AZ75" s="117">
        <v>758.65714285714284</v>
      </c>
      <c r="BA75" s="117">
        <v>758.65714285714284</v>
      </c>
      <c r="BB75" s="117">
        <v>758.65714285714284</v>
      </c>
      <c r="BC75" s="117">
        <v>190.26714285714286</v>
      </c>
      <c r="BD75" s="123">
        <v>26553.247985957059</v>
      </c>
      <c r="BE75" s="123">
        <v>26553</v>
      </c>
      <c r="BF75" s="124">
        <v>-0.24798595705942716</v>
      </c>
    </row>
    <row r="76" spans="1:74" ht="17.399999999999999">
      <c r="A76" s="107" t="s">
        <v>250</v>
      </c>
      <c r="B76" s="105">
        <v>37966657</v>
      </c>
      <c r="C76" s="105">
        <v>0</v>
      </c>
      <c r="D76" s="105">
        <v>0</v>
      </c>
      <c r="E76" s="105">
        <v>0</v>
      </c>
      <c r="F76" s="105">
        <v>0</v>
      </c>
      <c r="G76" s="105">
        <v>0</v>
      </c>
      <c r="H76" s="105">
        <v>30355.322580645159</v>
      </c>
      <c r="I76" s="105">
        <v>131117.90322580645</v>
      </c>
      <c r="J76" s="105">
        <v>285582.67741935485</v>
      </c>
      <c r="K76" s="105">
        <v>415075.0854166667</v>
      </c>
      <c r="L76" s="105">
        <v>463386.10035919538</v>
      </c>
      <c r="M76" s="105">
        <v>473091.04907135881</v>
      </c>
      <c r="N76" s="105">
        <v>705638.01573802554</v>
      </c>
      <c r="O76" s="105">
        <v>823321.67103756464</v>
      </c>
      <c r="P76" s="105">
        <v>884782.62093143619</v>
      </c>
      <c r="Q76" s="105">
        <v>1075022.6722003282</v>
      </c>
      <c r="R76" s="105">
        <v>1242754.3193204496</v>
      </c>
      <c r="S76" s="105">
        <v>1314044.8193204496</v>
      </c>
      <c r="T76" s="105">
        <v>1276755.1272567641</v>
      </c>
      <c r="U76" s="105">
        <v>1278818.5269683024</v>
      </c>
      <c r="V76" s="105">
        <v>1254744.5361577198</v>
      </c>
      <c r="W76" s="105">
        <v>1262962.9794258832</v>
      </c>
      <c r="X76" s="105">
        <v>1200899.5621510406</v>
      </c>
      <c r="Y76" s="105">
        <v>1258703.0176032232</v>
      </c>
      <c r="Z76" s="105">
        <v>1272959.7722168153</v>
      </c>
      <c r="AA76" s="105">
        <v>1260949.4747752133</v>
      </c>
      <c r="AB76" s="105">
        <v>1260949.4747752133</v>
      </c>
      <c r="AC76" s="105">
        <v>1250935.0977180032</v>
      </c>
      <c r="AD76" s="105">
        <v>1099923.4008785333</v>
      </c>
      <c r="AE76" s="105">
        <v>1099923.4008785333</v>
      </c>
      <c r="AF76" s="105">
        <v>1099923.4008785333</v>
      </c>
      <c r="AG76" s="105">
        <v>1099923.4008785333</v>
      </c>
      <c r="AH76" s="105">
        <v>1123978.5627168803</v>
      </c>
      <c r="AI76" s="105">
        <v>1123978.5627168803</v>
      </c>
      <c r="AJ76" s="105">
        <v>1123978.5627168803</v>
      </c>
      <c r="AK76" s="105">
        <v>1123978.5627168803</v>
      </c>
      <c r="AL76" s="105">
        <v>1109055.3257408226</v>
      </c>
      <c r="AM76" s="105">
        <v>1051188.1371266874</v>
      </c>
      <c r="AN76" s="105">
        <v>1051188.1371266874</v>
      </c>
      <c r="AO76" s="105">
        <v>948517.84468039486</v>
      </c>
      <c r="AP76" s="105">
        <v>889118.84468039463</v>
      </c>
      <c r="AQ76" s="105">
        <v>698203.21780351782</v>
      </c>
      <c r="AR76" s="105">
        <v>667869.54201680666</v>
      </c>
      <c r="AS76" s="120">
        <v>667869.54201680666</v>
      </c>
      <c r="AT76" s="105">
        <v>587374.22857142845</v>
      </c>
      <c r="AU76" s="105">
        <v>379562.14285714284</v>
      </c>
      <c r="AV76" s="105">
        <v>265835.57285714283</v>
      </c>
      <c r="AW76" s="105">
        <v>149705.85714285716</v>
      </c>
      <c r="AX76" s="105">
        <v>80018.200000000012</v>
      </c>
      <c r="AY76" s="105">
        <v>33181.199999999997</v>
      </c>
      <c r="AZ76" s="105">
        <v>33181.199999999997</v>
      </c>
      <c r="BA76" s="105">
        <v>33181.199999999997</v>
      </c>
      <c r="BB76" s="105">
        <v>2959.1999999999994</v>
      </c>
      <c r="BC76" s="105">
        <v>190.26714285714286</v>
      </c>
      <c r="BD76" s="125">
        <v>37966657.339814663</v>
      </c>
      <c r="BE76" s="125">
        <v>37966657</v>
      </c>
      <c r="BF76" s="122">
        <v>-0.33981466293334961</v>
      </c>
      <c r="BG76" s="105"/>
      <c r="BH76" s="105"/>
      <c r="BI76" s="105"/>
      <c r="BJ76" s="105"/>
      <c r="BK76" s="105"/>
      <c r="BL76" s="105"/>
      <c r="BM76" s="105"/>
      <c r="BN76" s="105"/>
      <c r="BO76" s="105"/>
      <c r="BP76" s="105"/>
      <c r="BQ76" s="105"/>
      <c r="BV76" s="105"/>
    </row>
    <row r="77" spans="1:74" ht="17.399999999999999">
      <c r="A77" s="107"/>
      <c r="B77" s="105"/>
      <c r="AF77" s="121" t="s">
        <v>255</v>
      </c>
      <c r="AH77" s="105"/>
      <c r="AI77" s="105"/>
      <c r="AJ77" s="105">
        <v>28194479.117334232</v>
      </c>
      <c r="AK77" s="105">
        <v>29318457.680051111</v>
      </c>
      <c r="AL77" s="105">
        <v>30427513.005791932</v>
      </c>
    </row>
    <row r="78" spans="1:74" ht="17.399999999999999">
      <c r="A78" s="104" t="s">
        <v>251</v>
      </c>
      <c r="B78" s="105"/>
      <c r="AF78" s="105" t="s">
        <v>257</v>
      </c>
      <c r="AH78" s="105"/>
      <c r="AI78" s="105"/>
      <c r="AJ78" s="91">
        <v>9772177.8826657683</v>
      </c>
      <c r="AK78" s="91">
        <v>8648199.3199488893</v>
      </c>
      <c r="AL78" s="91">
        <v>7539143.9942080677</v>
      </c>
    </row>
    <row r="79" spans="1:74" ht="17.399999999999999">
      <c r="A79" s="107">
        <v>1981</v>
      </c>
      <c r="B79" s="105">
        <v>13602142</v>
      </c>
      <c r="F79" s="91"/>
      <c r="N79" s="91">
        <v>453404.73333333334</v>
      </c>
      <c r="O79" s="91">
        <v>453404.73333333334</v>
      </c>
      <c r="P79" s="91">
        <v>438778.77419354836</v>
      </c>
      <c r="Q79" s="91">
        <v>469039.37931034481</v>
      </c>
      <c r="R79" s="91">
        <v>469039.37931034481</v>
      </c>
      <c r="S79" s="91">
        <v>469039.37931034481</v>
      </c>
      <c r="T79" s="91">
        <v>425066.9375</v>
      </c>
      <c r="U79" s="91">
        <v>425066.9375</v>
      </c>
      <c r="V79" s="91">
        <v>425066.9375</v>
      </c>
      <c r="W79" s="91">
        <v>425066.9375</v>
      </c>
      <c r="X79" s="91">
        <v>412186.12121212122</v>
      </c>
      <c r="Y79" s="91">
        <v>425066.9375</v>
      </c>
      <c r="Z79" s="91">
        <v>453404.73333333334</v>
      </c>
      <c r="AA79" s="91">
        <v>438778.77419354836</v>
      </c>
      <c r="AB79" s="91">
        <v>438778.77419354836</v>
      </c>
      <c r="AC79" s="91">
        <v>438778.77419354836</v>
      </c>
      <c r="AD79" s="91">
        <v>377837.27777777775</v>
      </c>
      <c r="AE79" s="91">
        <v>377837.27777777775</v>
      </c>
      <c r="AF79" s="91">
        <v>377837.27777777775</v>
      </c>
      <c r="AG79" s="91">
        <v>377837.27777777775</v>
      </c>
      <c r="AH79" s="91">
        <v>400063</v>
      </c>
      <c r="AI79" s="91">
        <v>400063</v>
      </c>
      <c r="AJ79" s="91">
        <v>400063</v>
      </c>
      <c r="AK79" s="91">
        <v>400063</v>
      </c>
      <c r="AL79" s="91">
        <v>400063</v>
      </c>
      <c r="AM79" s="91">
        <v>367625.45945945947</v>
      </c>
      <c r="AN79" s="91">
        <v>367625.45945945947</v>
      </c>
      <c r="AO79" s="91">
        <v>367625.45945945947</v>
      </c>
      <c r="AP79" s="91">
        <v>367625.45945945947</v>
      </c>
      <c r="AQ79" s="91">
        <v>367625.45945945947</v>
      </c>
      <c r="AR79" s="91">
        <v>388632.62857142853</v>
      </c>
      <c r="AS79" s="93">
        <v>388632.62857142853</v>
      </c>
      <c r="AT79" s="91">
        <v>388632.62857142853</v>
      </c>
      <c r="AU79" s="91">
        <v>26484</v>
      </c>
      <c r="BD79" s="91">
        <v>13602141.537540043</v>
      </c>
      <c r="BE79" s="91">
        <v>13602142</v>
      </c>
      <c r="BF79" s="103">
        <v>0.46245995722711086</v>
      </c>
    </row>
    <row r="80" spans="1:74" ht="17.399999999999999">
      <c r="A80" s="107">
        <v>1982</v>
      </c>
      <c r="B80" s="105">
        <v>0</v>
      </c>
      <c r="F80" s="91"/>
      <c r="O80" s="91">
        <v>0</v>
      </c>
      <c r="P80" s="91">
        <v>0</v>
      </c>
      <c r="Q80" s="91">
        <v>0</v>
      </c>
      <c r="R80" s="91">
        <v>0</v>
      </c>
      <c r="S80" s="91">
        <v>0</v>
      </c>
      <c r="T80" s="91">
        <v>0</v>
      </c>
      <c r="U80" s="91">
        <v>0</v>
      </c>
      <c r="V80" s="91">
        <v>0</v>
      </c>
      <c r="W80" s="91">
        <v>0</v>
      </c>
      <c r="X80" s="91">
        <v>0</v>
      </c>
      <c r="Y80" s="91">
        <v>0</v>
      </c>
      <c r="Z80" s="91">
        <v>0</v>
      </c>
      <c r="AA80" s="91">
        <v>0</v>
      </c>
      <c r="AB80" s="91">
        <v>0</v>
      </c>
      <c r="AC80" s="91">
        <v>0</v>
      </c>
      <c r="AD80" s="91">
        <v>0</v>
      </c>
      <c r="AE80" s="91">
        <v>0</v>
      </c>
      <c r="AF80" s="91">
        <v>0</v>
      </c>
      <c r="AG80" s="91">
        <v>0</v>
      </c>
      <c r="AH80" s="91">
        <v>0</v>
      </c>
      <c r="AI80" s="91">
        <v>0</v>
      </c>
      <c r="AJ80" s="91">
        <v>0</v>
      </c>
      <c r="AK80" s="91">
        <v>0</v>
      </c>
      <c r="AL80" s="91">
        <v>0</v>
      </c>
      <c r="AM80" s="91">
        <v>0</v>
      </c>
      <c r="AN80" s="91">
        <v>0</v>
      </c>
      <c r="AO80" s="91">
        <v>0</v>
      </c>
      <c r="AP80" s="91">
        <v>0</v>
      </c>
      <c r="AQ80" s="91">
        <v>0</v>
      </c>
      <c r="AR80" s="91">
        <v>0</v>
      </c>
      <c r="AS80" s="93">
        <v>0</v>
      </c>
      <c r="AT80" s="91">
        <v>0</v>
      </c>
      <c r="AU80" s="91">
        <v>0</v>
      </c>
      <c r="BD80" s="91">
        <v>0</v>
      </c>
      <c r="BE80" s="91">
        <v>0</v>
      </c>
      <c r="BF80" s="103">
        <v>0</v>
      </c>
    </row>
    <row r="81" spans="1:75" ht="17.399999999999999">
      <c r="A81" s="107">
        <v>1983</v>
      </c>
      <c r="B81" s="105">
        <v>1809427</v>
      </c>
      <c r="F81" s="91"/>
      <c r="P81" s="91">
        <v>60314.23333333333</v>
      </c>
      <c r="Q81" s="91">
        <v>64622.392857142855</v>
      </c>
      <c r="R81" s="91">
        <v>64622.392857142855</v>
      </c>
      <c r="S81" s="91">
        <v>64622.392857142855</v>
      </c>
      <c r="T81" s="91">
        <v>62394.034482758623</v>
      </c>
      <c r="U81" s="91">
        <v>62394.034482758623</v>
      </c>
      <c r="V81" s="91">
        <v>60314.23333333333</v>
      </c>
      <c r="W81" s="91">
        <v>60314.23333333333</v>
      </c>
      <c r="X81" s="91">
        <v>58368.612903225803</v>
      </c>
      <c r="Y81" s="91">
        <v>60314.23333333333</v>
      </c>
      <c r="Z81" s="91">
        <v>62394.034482758623</v>
      </c>
      <c r="AA81" s="91">
        <v>60314.23333333333</v>
      </c>
      <c r="AB81" s="91">
        <v>60314.23333333333</v>
      </c>
      <c r="AC81" s="91">
        <v>60314.23333333333</v>
      </c>
      <c r="AD81" s="91">
        <v>53218.441176470587</v>
      </c>
      <c r="AE81" s="91">
        <v>53218.441176470587</v>
      </c>
      <c r="AF81" s="91">
        <v>53218.441176470587</v>
      </c>
      <c r="AG81" s="91">
        <v>53218.441176470587</v>
      </c>
      <c r="AH81" s="91">
        <v>54831.121212121216</v>
      </c>
      <c r="AI81" s="91">
        <v>54831.121212121216</v>
      </c>
      <c r="AJ81" s="91">
        <v>54831.121212121216</v>
      </c>
      <c r="AK81" s="91">
        <v>54831.121212121216</v>
      </c>
      <c r="AL81" s="91">
        <v>53218.441176470587</v>
      </c>
      <c r="AM81" s="91">
        <v>50261.861111111109</v>
      </c>
      <c r="AN81" s="91">
        <v>50261.861111111109</v>
      </c>
      <c r="AO81" s="91">
        <v>50261.861111111109</v>
      </c>
      <c r="AP81" s="91">
        <v>51697.914285714287</v>
      </c>
      <c r="AQ81" s="91">
        <v>51697.914285714287</v>
      </c>
      <c r="AR81" s="91">
        <v>51697.914285714287</v>
      </c>
      <c r="AS81" s="93">
        <v>51697.914285714287</v>
      </c>
      <c r="AT81" s="91">
        <v>51697.914285714287</v>
      </c>
      <c r="AU81" s="91">
        <v>51697.914285714287</v>
      </c>
      <c r="AV81" s="91">
        <v>1420</v>
      </c>
      <c r="BD81" s="91">
        <v>1809427.2880347192</v>
      </c>
      <c r="BE81" s="91">
        <v>1809427</v>
      </c>
      <c r="BF81" s="103">
        <v>-0.28803471918217838</v>
      </c>
    </row>
    <row r="82" spans="1:75" ht="17.399999999999999">
      <c r="A82" s="107">
        <v>1984</v>
      </c>
      <c r="B82" s="105">
        <v>0</v>
      </c>
      <c r="F82" s="91"/>
      <c r="Q82" s="91">
        <v>0</v>
      </c>
      <c r="R82" s="91">
        <v>0</v>
      </c>
      <c r="S82" s="91">
        <v>0</v>
      </c>
      <c r="T82" s="91">
        <v>0</v>
      </c>
      <c r="U82" s="91">
        <v>0</v>
      </c>
      <c r="V82" s="91">
        <v>0</v>
      </c>
      <c r="W82" s="91">
        <v>0</v>
      </c>
      <c r="X82" s="91">
        <v>0</v>
      </c>
      <c r="Y82" s="91">
        <v>0</v>
      </c>
      <c r="Z82" s="91">
        <v>0</v>
      </c>
      <c r="AA82" s="91">
        <v>0</v>
      </c>
      <c r="AB82" s="91">
        <v>0</v>
      </c>
      <c r="AC82" s="91">
        <v>0</v>
      </c>
      <c r="AD82" s="91">
        <v>0</v>
      </c>
      <c r="AE82" s="91">
        <v>0</v>
      </c>
      <c r="AF82" s="91">
        <v>0</v>
      </c>
      <c r="AG82" s="91">
        <v>0</v>
      </c>
      <c r="AH82" s="91">
        <v>0</v>
      </c>
      <c r="AI82" s="91">
        <v>0</v>
      </c>
      <c r="AJ82" s="91">
        <v>0</v>
      </c>
      <c r="AK82" s="91">
        <v>0</v>
      </c>
      <c r="AL82" s="91">
        <v>0</v>
      </c>
      <c r="AM82" s="91">
        <v>0</v>
      </c>
      <c r="AN82" s="91">
        <v>0</v>
      </c>
      <c r="AO82" s="91">
        <v>0</v>
      </c>
      <c r="AP82" s="91">
        <v>0</v>
      </c>
      <c r="AQ82" s="91">
        <v>0</v>
      </c>
      <c r="AR82" s="91">
        <v>0</v>
      </c>
      <c r="AS82" s="93">
        <v>0</v>
      </c>
      <c r="AT82" s="91">
        <v>0</v>
      </c>
      <c r="AU82" s="91">
        <v>0</v>
      </c>
      <c r="BD82" s="91">
        <v>0</v>
      </c>
      <c r="BE82" s="91">
        <v>0</v>
      </c>
      <c r="BF82" s="103">
        <v>0</v>
      </c>
    </row>
    <row r="83" spans="1:75" ht="17.399999999999999">
      <c r="A83" s="107">
        <v>1985</v>
      </c>
      <c r="B83" s="105">
        <v>0</v>
      </c>
      <c r="F83" s="91"/>
      <c r="R83" s="91">
        <v>0</v>
      </c>
      <c r="S83" s="91">
        <v>0</v>
      </c>
      <c r="T83" s="91">
        <v>0</v>
      </c>
      <c r="U83" s="91">
        <v>0</v>
      </c>
      <c r="V83" s="91">
        <v>0</v>
      </c>
      <c r="W83" s="91">
        <v>0</v>
      </c>
      <c r="X83" s="91">
        <v>0</v>
      </c>
      <c r="Y83" s="91">
        <v>0</v>
      </c>
      <c r="Z83" s="91">
        <v>0</v>
      </c>
      <c r="AA83" s="91">
        <v>0</v>
      </c>
      <c r="AB83" s="91">
        <v>0</v>
      </c>
      <c r="AC83" s="91">
        <v>0</v>
      </c>
      <c r="AD83" s="91">
        <v>0</v>
      </c>
      <c r="AE83" s="91">
        <v>0</v>
      </c>
      <c r="AF83" s="91">
        <v>0</v>
      </c>
      <c r="AG83" s="91">
        <v>0</v>
      </c>
      <c r="AH83" s="91">
        <v>0</v>
      </c>
      <c r="AI83" s="91">
        <v>0</v>
      </c>
      <c r="AJ83" s="91">
        <v>0</v>
      </c>
      <c r="AK83" s="91">
        <v>0</v>
      </c>
      <c r="AL83" s="91">
        <v>0</v>
      </c>
      <c r="AM83" s="91">
        <v>0</v>
      </c>
      <c r="AN83" s="91">
        <v>0</v>
      </c>
      <c r="AO83" s="91">
        <v>0</v>
      </c>
      <c r="AP83" s="91">
        <v>0</v>
      </c>
      <c r="AQ83" s="91">
        <v>0</v>
      </c>
      <c r="AR83" s="91">
        <v>0</v>
      </c>
      <c r="AS83" s="93">
        <v>0</v>
      </c>
      <c r="AT83" s="91">
        <v>0</v>
      </c>
      <c r="AU83" s="91">
        <v>0</v>
      </c>
      <c r="BD83" s="91">
        <v>0</v>
      </c>
      <c r="BE83" s="91">
        <v>0</v>
      </c>
      <c r="BF83" s="103">
        <v>0</v>
      </c>
    </row>
    <row r="84" spans="1:75" ht="17.399999999999999">
      <c r="A84" s="107">
        <v>1986</v>
      </c>
      <c r="B84" s="105">
        <v>0</v>
      </c>
      <c r="F84" s="91"/>
      <c r="S84" s="91">
        <v>0</v>
      </c>
      <c r="T84" s="91">
        <v>0</v>
      </c>
      <c r="U84" s="91">
        <v>0</v>
      </c>
      <c r="V84" s="91">
        <v>0</v>
      </c>
      <c r="W84" s="91">
        <v>0</v>
      </c>
      <c r="X84" s="91">
        <v>0</v>
      </c>
      <c r="Y84" s="91">
        <v>0</v>
      </c>
      <c r="Z84" s="91">
        <v>0</v>
      </c>
      <c r="AA84" s="91">
        <v>0</v>
      </c>
      <c r="AB84" s="91">
        <v>0</v>
      </c>
      <c r="AC84" s="91">
        <v>0</v>
      </c>
      <c r="AD84" s="91">
        <v>0</v>
      </c>
      <c r="AE84" s="91">
        <v>0</v>
      </c>
      <c r="AF84" s="91">
        <v>0</v>
      </c>
      <c r="AG84" s="91">
        <v>0</v>
      </c>
      <c r="AH84" s="91">
        <v>0</v>
      </c>
      <c r="AI84" s="91">
        <v>0</v>
      </c>
      <c r="AJ84" s="91">
        <v>0</v>
      </c>
      <c r="AK84" s="91">
        <v>0</v>
      </c>
      <c r="AL84" s="91">
        <v>0</v>
      </c>
      <c r="AM84" s="91">
        <v>0</v>
      </c>
      <c r="AN84" s="91">
        <v>0</v>
      </c>
      <c r="AO84" s="91">
        <v>0</v>
      </c>
      <c r="AP84" s="91">
        <v>0</v>
      </c>
      <c r="AQ84" s="91">
        <v>0</v>
      </c>
      <c r="AR84" s="91">
        <v>0</v>
      </c>
      <c r="AS84" s="93">
        <v>0</v>
      </c>
      <c r="AT84" s="91">
        <v>0</v>
      </c>
      <c r="AU84" s="91">
        <v>0</v>
      </c>
      <c r="BD84" s="91">
        <v>0</v>
      </c>
      <c r="BE84" s="91">
        <v>0</v>
      </c>
      <c r="BF84" s="103">
        <v>0</v>
      </c>
    </row>
    <row r="85" spans="1:75" ht="17.399999999999999">
      <c r="A85" s="107">
        <v>1987</v>
      </c>
      <c r="B85" s="105">
        <v>8546986</v>
      </c>
      <c r="F85" s="91"/>
      <c r="T85" s="91">
        <v>267093.3125</v>
      </c>
      <c r="U85" s="91">
        <v>267093.3125</v>
      </c>
      <c r="V85" s="91">
        <v>267093.3125</v>
      </c>
      <c r="W85" s="91">
        <v>267093.3125</v>
      </c>
      <c r="X85" s="91">
        <v>258999.57575757577</v>
      </c>
      <c r="Y85" s="91">
        <v>267093.3125</v>
      </c>
      <c r="Z85" s="91">
        <v>305249.5</v>
      </c>
      <c r="AA85" s="91">
        <v>275709.22580645158</v>
      </c>
      <c r="AB85" s="91">
        <v>275709.22580645158</v>
      </c>
      <c r="AC85" s="91">
        <v>275709.22580645158</v>
      </c>
      <c r="AD85" s="91">
        <v>237416.27777777775</v>
      </c>
      <c r="AE85" s="91">
        <v>237416.27777777775</v>
      </c>
      <c r="AF85" s="91">
        <v>237416.27777777775</v>
      </c>
      <c r="AG85" s="91">
        <v>237416.27777777775</v>
      </c>
      <c r="AH85" s="91">
        <v>251381.94117647057</v>
      </c>
      <c r="AI85" s="91">
        <v>251381.94117647057</v>
      </c>
      <c r="AJ85" s="91">
        <v>251381.94117647057</v>
      </c>
      <c r="AK85" s="91">
        <v>251381.94117647057</v>
      </c>
      <c r="AL85" s="91">
        <v>251381.94117647057</v>
      </c>
      <c r="AM85" s="91">
        <v>230999.62162162163</v>
      </c>
      <c r="AN85" s="91">
        <v>230999.62162162163</v>
      </c>
      <c r="AO85" s="91">
        <v>230999.62162162163</v>
      </c>
      <c r="AP85" s="91">
        <v>230999.62162162163</v>
      </c>
      <c r="AQ85" s="91">
        <v>230999.62162162163</v>
      </c>
      <c r="AR85" s="91">
        <v>244199.6</v>
      </c>
      <c r="AS85" s="93">
        <v>244199.6</v>
      </c>
      <c r="AT85" s="91">
        <v>244199.6</v>
      </c>
      <c r="AU85" s="91">
        <v>244199.6</v>
      </c>
      <c r="AV85" s="91">
        <v>244199.6</v>
      </c>
      <c r="AW85" s="91">
        <v>244199.6</v>
      </c>
      <c r="AX85" s="91">
        <v>244199.6</v>
      </c>
      <c r="AY85" s="91">
        <v>244199.6</v>
      </c>
      <c r="AZ85" s="91">
        <v>244199.6</v>
      </c>
      <c r="BA85" s="91">
        <v>244199.6</v>
      </c>
      <c r="BB85" s="91">
        <v>16573.600000000006</v>
      </c>
      <c r="BC85" s="91">
        <v>0</v>
      </c>
      <c r="BD85" s="91">
        <v>8546985.840778498</v>
      </c>
      <c r="BE85" s="91">
        <v>8546986</v>
      </c>
      <c r="BF85" s="103">
        <v>0.15922150202095509</v>
      </c>
    </row>
    <row r="86" spans="1:75" ht="17.399999999999999">
      <c r="A86" s="107">
        <v>1988</v>
      </c>
      <c r="B86" s="110">
        <v>0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>
        <v>0</v>
      </c>
      <c r="V86" s="117">
        <v>0</v>
      </c>
      <c r="W86" s="117">
        <v>0</v>
      </c>
      <c r="X86" s="117">
        <v>0</v>
      </c>
      <c r="Y86" s="117">
        <v>0</v>
      </c>
      <c r="Z86" s="117">
        <v>0</v>
      </c>
      <c r="AA86" s="117">
        <v>0</v>
      </c>
      <c r="AB86" s="117">
        <v>0</v>
      </c>
      <c r="AC86" s="117">
        <v>0</v>
      </c>
      <c r="AD86" s="117">
        <v>0</v>
      </c>
      <c r="AE86" s="117">
        <v>0</v>
      </c>
      <c r="AF86" s="117">
        <v>0</v>
      </c>
      <c r="AG86" s="117">
        <v>0</v>
      </c>
      <c r="AH86" s="117">
        <v>0</v>
      </c>
      <c r="AI86" s="117">
        <v>0</v>
      </c>
      <c r="AJ86" s="117">
        <v>0</v>
      </c>
      <c r="AK86" s="117">
        <v>0</v>
      </c>
      <c r="AL86" s="117">
        <v>0</v>
      </c>
      <c r="AM86" s="117">
        <v>0</v>
      </c>
      <c r="AN86" s="117">
        <v>0</v>
      </c>
      <c r="AO86" s="117">
        <v>0</v>
      </c>
      <c r="AP86" s="117">
        <v>0</v>
      </c>
      <c r="AQ86" s="117">
        <v>0</v>
      </c>
      <c r="AR86" s="117">
        <v>0</v>
      </c>
      <c r="AS86" s="118">
        <v>0</v>
      </c>
      <c r="AT86" s="117">
        <v>0</v>
      </c>
      <c r="AU86" s="117">
        <v>0</v>
      </c>
      <c r="AV86" s="117"/>
      <c r="AW86" s="117"/>
      <c r="AX86" s="117"/>
      <c r="AY86" s="117"/>
      <c r="AZ86" s="117"/>
      <c r="BA86" s="117"/>
      <c r="BB86" s="117"/>
      <c r="BC86" s="117"/>
      <c r="BD86" s="117">
        <v>0</v>
      </c>
      <c r="BE86" s="117">
        <v>0</v>
      </c>
      <c r="BF86" s="119">
        <v>0</v>
      </c>
    </row>
    <row r="87" spans="1:75" ht="17.399999999999999">
      <c r="A87" s="112" t="s">
        <v>252</v>
      </c>
      <c r="B87" s="105">
        <v>23958555</v>
      </c>
      <c r="C87" s="105">
        <v>0</v>
      </c>
      <c r="D87" s="105">
        <v>0</v>
      </c>
      <c r="E87" s="105">
        <v>0</v>
      </c>
      <c r="F87" s="105">
        <v>0</v>
      </c>
      <c r="G87" s="105">
        <v>0</v>
      </c>
      <c r="H87" s="105">
        <v>0</v>
      </c>
      <c r="I87" s="105">
        <v>0</v>
      </c>
      <c r="J87" s="105">
        <v>0</v>
      </c>
      <c r="K87" s="105">
        <v>0</v>
      </c>
      <c r="L87" s="105">
        <v>0</v>
      </c>
      <c r="M87" s="105">
        <v>0</v>
      </c>
      <c r="N87" s="105">
        <v>453404.73333333334</v>
      </c>
      <c r="O87" s="105">
        <v>453404.73333333334</v>
      </c>
      <c r="P87" s="105">
        <v>499093.0075268817</v>
      </c>
      <c r="Q87" s="105">
        <v>533661.77216748765</v>
      </c>
      <c r="R87" s="105">
        <v>533661.77216748765</v>
      </c>
      <c r="S87" s="105">
        <v>533661.77216748765</v>
      </c>
      <c r="T87" s="105">
        <v>754554.28448275861</v>
      </c>
      <c r="U87" s="105">
        <v>754554.28448275861</v>
      </c>
      <c r="V87" s="105">
        <v>752474.4833333334</v>
      </c>
      <c r="W87" s="105">
        <v>752474.4833333334</v>
      </c>
      <c r="X87" s="105">
        <v>729554.30987292284</v>
      </c>
      <c r="Y87" s="105">
        <v>752474.4833333334</v>
      </c>
      <c r="Z87" s="105">
        <v>821048.26781609189</v>
      </c>
      <c r="AA87" s="105">
        <v>774802.23333333328</v>
      </c>
      <c r="AB87" s="105">
        <v>774802.23333333328</v>
      </c>
      <c r="AC87" s="105">
        <v>774802.23333333328</v>
      </c>
      <c r="AD87" s="105">
        <v>668471.99673202611</v>
      </c>
      <c r="AE87" s="105">
        <v>668471.99673202611</v>
      </c>
      <c r="AF87" s="105">
        <v>668471.99673202611</v>
      </c>
      <c r="AG87" s="105">
        <v>668471.99673202611</v>
      </c>
      <c r="AH87" s="105">
        <v>706276.06238859182</v>
      </c>
      <c r="AI87" s="105">
        <v>706276.06238859182</v>
      </c>
      <c r="AJ87" s="105">
        <v>706276.06238859182</v>
      </c>
      <c r="AK87" s="105">
        <v>706276.06238859182</v>
      </c>
      <c r="AL87" s="105">
        <v>704663.3823529412</v>
      </c>
      <c r="AM87" s="105">
        <v>648886.94219219219</v>
      </c>
      <c r="AN87" s="105">
        <v>648886.94219219219</v>
      </c>
      <c r="AO87" s="105">
        <v>648886.94219219219</v>
      </c>
      <c r="AP87" s="105">
        <v>650322.99536679534</v>
      </c>
      <c r="AQ87" s="105">
        <v>650322.99536679534</v>
      </c>
      <c r="AR87" s="105">
        <v>684530.14285714284</v>
      </c>
      <c r="AS87" s="120">
        <v>684530.14285714284</v>
      </c>
      <c r="AT87" s="105">
        <v>684530.14285714284</v>
      </c>
      <c r="AU87" s="105">
        <v>322381.51428571431</v>
      </c>
      <c r="AV87" s="105">
        <v>245619.6</v>
      </c>
      <c r="AW87" s="105">
        <v>244199.6</v>
      </c>
      <c r="AX87" s="105">
        <v>244199.6</v>
      </c>
      <c r="AY87" s="105">
        <v>244199.6</v>
      </c>
      <c r="AZ87" s="105">
        <v>244199.6</v>
      </c>
      <c r="BA87" s="105">
        <v>244199.6</v>
      </c>
      <c r="BB87" s="105">
        <v>16573.600000000006</v>
      </c>
      <c r="BC87" s="105">
        <v>0</v>
      </c>
      <c r="BD87" s="91">
        <v>23958554.666353259</v>
      </c>
      <c r="BE87" s="105">
        <v>23958555</v>
      </c>
      <c r="BF87" s="103">
        <v>0.3336467407643795</v>
      </c>
      <c r="BG87" s="105"/>
      <c r="BH87" s="105"/>
      <c r="BI87" s="105"/>
      <c r="BJ87" s="105"/>
      <c r="BK87" s="105"/>
      <c r="BL87" s="105"/>
      <c r="BM87" s="105"/>
      <c r="BN87" s="105"/>
      <c r="BO87" s="105"/>
      <c r="BP87" s="105"/>
      <c r="BQ87" s="105"/>
      <c r="BV87" s="105"/>
    </row>
    <row r="88" spans="1:75" ht="17.399999999999999">
      <c r="A88" s="112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21" t="s">
        <v>258</v>
      </c>
      <c r="AG88" s="105"/>
      <c r="AH88" s="105"/>
      <c r="AI88" s="105"/>
      <c r="AJ88" s="105">
        <v>15441145.26144442</v>
      </c>
      <c r="AK88" s="105">
        <v>16147421.323833011</v>
      </c>
      <c r="AL88" s="105">
        <v>16852084.706185952</v>
      </c>
      <c r="AM88" s="105"/>
      <c r="AN88" s="105"/>
      <c r="AO88" s="105"/>
      <c r="AP88" s="105"/>
      <c r="AQ88" s="105"/>
      <c r="AR88" s="105"/>
      <c r="AS88" s="120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91">
        <v>23958554.666353274</v>
      </c>
      <c r="BE88" s="105"/>
      <c r="BG88" s="105"/>
      <c r="BH88" s="105"/>
      <c r="BI88" s="105"/>
      <c r="BJ88" s="105"/>
      <c r="BK88" s="105"/>
      <c r="BL88" s="105"/>
      <c r="BM88" s="105"/>
      <c r="BN88" s="105"/>
      <c r="BO88" s="105"/>
      <c r="BP88" s="105"/>
      <c r="BQ88" s="105"/>
      <c r="BV88" s="105"/>
    </row>
    <row r="89" spans="1:75" ht="17.399999999999999">
      <c r="A89" s="112"/>
      <c r="B89" s="126"/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>
        <v>23958555</v>
      </c>
      <c r="AI89" s="126">
        <v>23958555</v>
      </c>
      <c r="AJ89" s="126"/>
      <c r="AK89" s="126"/>
      <c r="AL89" s="126"/>
      <c r="AM89" s="126"/>
      <c r="AN89" s="126"/>
      <c r="AO89" s="126"/>
      <c r="AP89" s="126"/>
      <c r="AQ89" s="126"/>
      <c r="AR89" s="126"/>
      <c r="AS89" s="127"/>
      <c r="AT89" s="126"/>
      <c r="AU89" s="126"/>
      <c r="AV89" s="126"/>
      <c r="AW89" s="126"/>
      <c r="AX89" s="126"/>
      <c r="AY89" s="126"/>
      <c r="AZ89" s="126"/>
      <c r="BA89" s="126"/>
      <c r="BB89" s="126"/>
      <c r="BC89" s="126"/>
      <c r="BD89" s="117"/>
      <c r="BE89" s="126"/>
      <c r="BF89" s="119"/>
      <c r="BG89" s="105"/>
      <c r="BH89" s="105"/>
      <c r="BI89" s="105"/>
      <c r="BJ89" s="105"/>
      <c r="BK89" s="105"/>
      <c r="BL89" s="105"/>
      <c r="BM89" s="105"/>
      <c r="BN89" s="105"/>
      <c r="BO89" s="105"/>
      <c r="BP89" s="105"/>
      <c r="BQ89" s="105"/>
      <c r="BV89" s="105"/>
    </row>
    <row r="90" spans="1:75" ht="17.399999999999999">
      <c r="A90" s="128" t="s">
        <v>259</v>
      </c>
      <c r="B90" s="105">
        <v>61925212</v>
      </c>
      <c r="C90" s="105">
        <v>0</v>
      </c>
      <c r="D90" s="105">
        <v>0</v>
      </c>
      <c r="E90" s="105">
        <v>0</v>
      </c>
      <c r="F90" s="105">
        <v>0</v>
      </c>
      <c r="G90" s="105">
        <v>0</v>
      </c>
      <c r="H90" s="105">
        <v>30355.322580645159</v>
      </c>
      <c r="I90" s="105">
        <v>131117.90322580645</v>
      </c>
      <c r="J90" s="105">
        <v>285582.67741935485</v>
      </c>
      <c r="K90" s="105">
        <v>415075.0854166667</v>
      </c>
      <c r="L90" s="105">
        <v>463386.10035919538</v>
      </c>
      <c r="M90" s="105">
        <v>473091.04907135881</v>
      </c>
      <c r="N90" s="105">
        <v>1159042.7490713589</v>
      </c>
      <c r="O90" s="105">
        <v>1276726.4043708979</v>
      </c>
      <c r="P90" s="105">
        <v>1383875.6284583178</v>
      </c>
      <c r="Q90" s="105">
        <v>1608684.4443678157</v>
      </c>
      <c r="R90" s="105">
        <v>1776416.0914879371</v>
      </c>
      <c r="S90" s="105">
        <v>1847706.5914879371</v>
      </c>
      <c r="T90" s="105">
        <v>2031309.4117395226</v>
      </c>
      <c r="U90" s="105">
        <v>2033372.8114510612</v>
      </c>
      <c r="V90" s="105">
        <v>2007219.0194910532</v>
      </c>
      <c r="W90" s="105">
        <v>2015437.4627592165</v>
      </c>
      <c r="X90" s="105">
        <v>1930453.8720239634</v>
      </c>
      <c r="Y90" s="105">
        <v>2011177.5009365566</v>
      </c>
      <c r="Z90" s="105">
        <v>2094008.0400329072</v>
      </c>
      <c r="AA90" s="105">
        <v>2035751.7081085467</v>
      </c>
      <c r="AB90" s="105">
        <v>2035751.7081085467</v>
      </c>
      <c r="AC90" s="105">
        <v>2025737.3310513366</v>
      </c>
      <c r="AD90" s="105">
        <v>1768395.3976105594</v>
      </c>
      <c r="AE90" s="105">
        <v>1768395.3976105594</v>
      </c>
      <c r="AF90" s="105">
        <v>1768395.3976105594</v>
      </c>
      <c r="AG90" s="105">
        <v>1768395.3976105594</v>
      </c>
      <c r="AH90" s="105">
        <v>1830254.6251054723</v>
      </c>
      <c r="AI90" s="105">
        <v>1830254.6251054723</v>
      </c>
      <c r="AJ90" s="105">
        <v>1830254.6251054723</v>
      </c>
      <c r="AK90" s="105">
        <v>1830254.6251054723</v>
      </c>
      <c r="AL90" s="105">
        <v>1813718.7080937638</v>
      </c>
      <c r="AM90" s="105">
        <v>1700075.0793188796</v>
      </c>
      <c r="AN90" s="105">
        <v>1700075.0793188796</v>
      </c>
      <c r="AO90" s="105">
        <v>1597404.7868725872</v>
      </c>
      <c r="AP90" s="105">
        <v>1539441.84004719</v>
      </c>
      <c r="AQ90" s="105">
        <v>1348526.2131703133</v>
      </c>
      <c r="AR90" s="105">
        <v>1352399.6848739495</v>
      </c>
      <c r="AS90" s="120">
        <v>1352399.6848739495</v>
      </c>
      <c r="AT90" s="105">
        <v>1271904.3714285712</v>
      </c>
      <c r="AU90" s="105">
        <v>701943.65714285709</v>
      </c>
      <c r="AV90" s="105">
        <v>511455.17285714287</v>
      </c>
      <c r="AW90" s="105">
        <v>393905.45714285714</v>
      </c>
      <c r="AX90" s="105">
        <v>324217.80000000005</v>
      </c>
      <c r="AY90" s="105">
        <v>277380.8</v>
      </c>
      <c r="AZ90" s="105">
        <v>277380.8</v>
      </c>
      <c r="BA90" s="105">
        <v>277380.8</v>
      </c>
      <c r="BB90" s="105">
        <v>19532.800000000007</v>
      </c>
      <c r="BC90" s="105">
        <v>190.26714285714286</v>
      </c>
      <c r="BD90" s="105">
        <v>61925212.006167918</v>
      </c>
      <c r="BE90" s="105">
        <v>61925212</v>
      </c>
      <c r="BF90" s="105">
        <v>-6.167922168970108E-3</v>
      </c>
      <c r="BG90" s="105"/>
      <c r="BH90" s="105"/>
      <c r="BI90" s="105"/>
      <c r="BJ90" s="105"/>
      <c r="BK90" s="105"/>
      <c r="BL90" s="105"/>
      <c r="BM90" s="105"/>
      <c r="BN90" s="105"/>
      <c r="BO90" s="105"/>
      <c r="BP90" s="105"/>
      <c r="BQ90" s="105"/>
      <c r="BV90" s="105"/>
    </row>
    <row r="91" spans="1:75" ht="17.399999999999999">
      <c r="A91" s="112"/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21" t="s">
        <v>255</v>
      </c>
      <c r="AH91" s="105"/>
      <c r="AI91" s="105"/>
      <c r="AJ91" s="105">
        <v>43635624.378778659</v>
      </c>
      <c r="AK91" s="105">
        <v>45465879.003884129</v>
      </c>
      <c r="AL91" s="105">
        <v>47279597.711977892</v>
      </c>
      <c r="AM91" s="105"/>
      <c r="AN91" s="105"/>
      <c r="AO91" s="105"/>
      <c r="AP91" s="105"/>
      <c r="AQ91" s="105"/>
      <c r="AR91" s="105"/>
      <c r="AS91" s="120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  <c r="BD91" s="105"/>
      <c r="BE91" s="105"/>
      <c r="BG91" s="105"/>
      <c r="BH91" s="105"/>
      <c r="BI91" s="105"/>
      <c r="BJ91" s="105"/>
      <c r="BK91" s="105"/>
      <c r="BL91" s="105"/>
      <c r="BM91" s="105"/>
      <c r="BN91" s="105"/>
      <c r="BO91" s="105"/>
      <c r="BP91" s="105"/>
      <c r="BQ91" s="105"/>
      <c r="BV91" s="105"/>
    </row>
    <row r="92" spans="1:75" ht="17.399999999999999">
      <c r="B92" s="117"/>
      <c r="C92" s="117"/>
      <c r="D92" s="117"/>
      <c r="E92" s="117"/>
      <c r="F92" s="123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26" t="s">
        <v>257</v>
      </c>
      <c r="AG92" s="117"/>
      <c r="AH92" s="126">
        <v>61925212</v>
      </c>
      <c r="AI92" s="126">
        <v>61925212</v>
      </c>
      <c r="AJ92" s="117">
        <v>18289587.621221341</v>
      </c>
      <c r="AK92" s="117">
        <v>16459332.996115871</v>
      </c>
      <c r="AL92" s="117">
        <v>14645614.288022108</v>
      </c>
      <c r="AM92" s="117"/>
      <c r="AN92" s="117"/>
      <c r="AO92" s="117"/>
      <c r="AP92" s="117"/>
      <c r="AQ92" s="117"/>
      <c r="AR92" s="117"/>
      <c r="AS92" s="118"/>
      <c r="AT92" s="117"/>
      <c r="AU92" s="117"/>
      <c r="AV92" s="117"/>
      <c r="AW92" s="117"/>
      <c r="AX92" s="117"/>
      <c r="AY92" s="117"/>
      <c r="AZ92" s="117"/>
      <c r="BA92" s="117"/>
      <c r="BB92" s="117"/>
      <c r="BC92" s="117"/>
      <c r="BD92" s="117"/>
      <c r="BE92" s="117"/>
      <c r="BF92" s="119"/>
    </row>
    <row r="93" spans="1:75" ht="18" thickBot="1">
      <c r="A93" s="91" t="s">
        <v>17</v>
      </c>
      <c r="B93" s="129">
        <v>67292987</v>
      </c>
      <c r="C93" s="129">
        <v>0</v>
      </c>
      <c r="D93" s="129">
        <v>7510.4827586206893</v>
      </c>
      <c r="E93" s="129">
        <v>22185.172413793101</v>
      </c>
      <c r="F93" s="129">
        <v>143178.98037766828</v>
      </c>
      <c r="G93" s="129">
        <v>175975.72231315216</v>
      </c>
      <c r="H93" s="129">
        <v>209719.94811960377</v>
      </c>
      <c r="I93" s="129">
        <v>310688.91586153925</v>
      </c>
      <c r="J93" s="129">
        <v>471337.04489379731</v>
      </c>
      <c r="K93" s="129">
        <v>592153.08548850578</v>
      </c>
      <c r="L93" s="129">
        <v>639504.81728709512</v>
      </c>
      <c r="M93" s="129">
        <v>643152.74265424651</v>
      </c>
      <c r="N93" s="129">
        <v>1329104.4426542467</v>
      </c>
      <c r="O93" s="129">
        <v>1446788.0979537857</v>
      </c>
      <c r="P93" s="129">
        <v>1552748.4673249456</v>
      </c>
      <c r="Q93" s="129">
        <v>1788914.5088448066</v>
      </c>
      <c r="R93" s="129">
        <v>1956642.405964928</v>
      </c>
      <c r="S93" s="129">
        <v>2027932.905964928</v>
      </c>
      <c r="T93" s="129">
        <v>2200759.9401043723</v>
      </c>
      <c r="U93" s="129">
        <v>2202823.3398159109</v>
      </c>
      <c r="V93" s="129">
        <v>2173445.1344578094</v>
      </c>
      <c r="W93" s="129">
        <v>2184887.9911240665</v>
      </c>
      <c r="X93" s="129">
        <v>2090217.0446401872</v>
      </c>
      <c r="Y93" s="129">
        <v>2180628.0293014063</v>
      </c>
      <c r="Z93" s="129">
        <v>2265536.2393486453</v>
      </c>
      <c r="AA93" s="129">
        <v>2207279.9074242846</v>
      </c>
      <c r="AB93" s="129">
        <v>2207279.9074242846</v>
      </c>
      <c r="AC93" s="129">
        <v>2197166.0455185897</v>
      </c>
      <c r="AD93" s="129">
        <v>1919239.1320293269</v>
      </c>
      <c r="AE93" s="129">
        <v>1919239.1320293269</v>
      </c>
      <c r="AF93" s="129">
        <v>1919239.1320293269</v>
      </c>
      <c r="AG93" s="129">
        <v>1919239.1320293269</v>
      </c>
      <c r="AH93" s="129">
        <v>1975524.8848445143</v>
      </c>
      <c r="AI93" s="129">
        <v>1962103.9740220036</v>
      </c>
      <c r="AJ93" s="129">
        <v>1962103.9740220036</v>
      </c>
      <c r="AK93" s="129">
        <v>1919903.9740220036</v>
      </c>
      <c r="AL93" s="129">
        <v>1847655.2356811145</v>
      </c>
      <c r="AM93" s="129">
        <v>1733624.4488095241</v>
      </c>
      <c r="AN93" s="129">
        <v>1732153.4488095241</v>
      </c>
      <c r="AO93" s="129">
        <v>1602984.0188545692</v>
      </c>
      <c r="AP93" s="129">
        <v>1543797.072029172</v>
      </c>
      <c r="AQ93" s="129">
        <v>1348526.2131703133</v>
      </c>
      <c r="AR93" s="129">
        <v>1352399.6848739495</v>
      </c>
      <c r="AS93" s="130">
        <v>1352399.6848739495</v>
      </c>
      <c r="AT93" s="129">
        <v>1271904.3714285712</v>
      </c>
      <c r="AU93" s="129">
        <v>701943.65714285709</v>
      </c>
      <c r="AV93" s="129">
        <v>511455.17285714287</v>
      </c>
      <c r="AW93" s="129">
        <v>393905.45714285714</v>
      </c>
      <c r="AX93" s="129">
        <v>324217.80000000005</v>
      </c>
      <c r="AY93" s="129">
        <v>277380.8</v>
      </c>
      <c r="AZ93" s="129">
        <v>277380.8</v>
      </c>
      <c r="BA93" s="129">
        <v>277380.8</v>
      </c>
      <c r="BB93" s="129">
        <v>19532.800000000007</v>
      </c>
      <c r="BC93" s="129">
        <v>190.26714285714286</v>
      </c>
      <c r="BD93" s="129">
        <v>67292986.387879446</v>
      </c>
      <c r="BE93" s="129">
        <v>67292987</v>
      </c>
      <c r="BF93" s="131">
        <v>0.61212055385112762</v>
      </c>
      <c r="BW93" s="91">
        <v>-1975524.8848445143</v>
      </c>
    </row>
    <row r="94" spans="1:75" ht="18" thickTop="1">
      <c r="AF94" s="121" t="s">
        <v>260</v>
      </c>
      <c r="AJ94" s="105">
        <v>48804250.681041032</v>
      </c>
      <c r="AK94" s="105">
        <v>50724154.655063033</v>
      </c>
      <c r="AL94" s="105">
        <v>52571809.89074415</v>
      </c>
      <c r="AM94" s="105">
        <v>54305434.339553677</v>
      </c>
      <c r="AN94" s="105">
        <v>56037587.788363203</v>
      </c>
      <c r="AO94" s="105">
        <v>57640571.807217769</v>
      </c>
      <c r="AP94" s="105">
        <v>59184368.879246943</v>
      </c>
      <c r="AQ94" s="105">
        <v>60532895.092417255</v>
      </c>
      <c r="AR94" s="105">
        <v>61885294.777291201</v>
      </c>
      <c r="AS94" s="120">
        <v>63237694.462165147</v>
      </c>
      <c r="AT94" s="105">
        <v>64509598.833593719</v>
      </c>
      <c r="AU94" s="105">
        <v>65211542.490736574</v>
      </c>
      <c r="AV94" s="105">
        <v>65722997.663593717</v>
      </c>
      <c r="AW94" s="105">
        <v>66116903.120736577</v>
      </c>
      <c r="AX94" s="105">
        <v>66441120.920736574</v>
      </c>
      <c r="AY94" s="105">
        <v>66718501.720736571</v>
      </c>
      <c r="AZ94" s="105">
        <v>66995882.520736568</v>
      </c>
      <c r="BA94" s="105">
        <v>67273263.320736572</v>
      </c>
      <c r="BB94" s="105">
        <v>67292796.120736569</v>
      </c>
      <c r="BC94" s="105">
        <v>67292986.387879431</v>
      </c>
    </row>
    <row r="95" spans="1:75" ht="17.399999999999999">
      <c r="AF95" s="105" t="s">
        <v>257</v>
      </c>
      <c r="AJ95" s="132">
        <v>18488736.318958968</v>
      </c>
      <c r="AK95" s="132">
        <v>16568832.344936967</v>
      </c>
      <c r="AL95" s="132">
        <v>14721177.10925585</v>
      </c>
      <c r="AM95" s="132">
        <v>12987552.660446323</v>
      </c>
      <c r="AN95" s="133">
        <v>11255400.211636797</v>
      </c>
      <c r="AO95" s="132">
        <v>9652416.1927822307</v>
      </c>
      <c r="AP95" s="134">
        <v>8108616.1207530573</v>
      </c>
      <c r="AQ95" s="132">
        <v>6760081.907582745</v>
      </c>
      <c r="AR95" s="132">
        <v>5407692.2227087989</v>
      </c>
      <c r="AS95" s="135">
        <v>4055292.5378348529</v>
      </c>
      <c r="AT95" s="132">
        <v>2783390.1664062813</v>
      </c>
      <c r="AU95" s="132">
        <v>2081449.5092634261</v>
      </c>
      <c r="AV95" s="135">
        <v>1569998</v>
      </c>
      <c r="AW95" s="132">
        <v>1176083.8792634234</v>
      </c>
      <c r="AX95" s="132">
        <v>851866.07926342636</v>
      </c>
      <c r="AY95" s="132">
        <v>574485.27926342934</v>
      </c>
      <c r="AZ95" s="132">
        <v>297104.47926343232</v>
      </c>
      <c r="BA95" s="132">
        <v>19723.679263427854</v>
      </c>
      <c r="BB95" s="132">
        <v>190.87926343083382</v>
      </c>
      <c r="BC95" s="132">
        <v>0.61212056875228882</v>
      </c>
    </row>
    <row r="97" spans="1:75" ht="18" thickBot="1">
      <c r="AH97" s="91">
        <v>1975524.8848445141</v>
      </c>
      <c r="AI97" s="91">
        <v>1962103.9740220034</v>
      </c>
      <c r="AJ97" s="91">
        <v>1962103.9740220034</v>
      </c>
      <c r="AK97" s="91">
        <v>1919903.9740220034</v>
      </c>
      <c r="AL97" s="136">
        <v>1847655.2356811145</v>
      </c>
      <c r="AM97" s="136">
        <v>1733624.4488095241</v>
      </c>
      <c r="AN97" s="136">
        <v>1732153.4488095241</v>
      </c>
      <c r="AO97" s="136">
        <v>1602984.0188545692</v>
      </c>
      <c r="AP97" s="136">
        <v>1543797.072029172</v>
      </c>
      <c r="AQ97" s="136">
        <v>1348526.2131703133</v>
      </c>
      <c r="AR97" s="136">
        <v>1352399.6848739495</v>
      </c>
      <c r="AS97" s="137">
        <v>1352399.6848739495</v>
      </c>
      <c r="AT97" s="136">
        <v>1271904.3714285712</v>
      </c>
      <c r="AU97" s="136">
        <v>701943.65714285709</v>
      </c>
      <c r="AV97" s="136">
        <v>511455.17285714287</v>
      </c>
      <c r="AW97" s="136">
        <v>393905.45714285714</v>
      </c>
      <c r="AX97" s="136">
        <v>324217.80000000005</v>
      </c>
      <c r="AY97" s="136">
        <v>277380.8</v>
      </c>
      <c r="AZ97" s="136">
        <v>277380.8</v>
      </c>
      <c r="BA97" s="136">
        <v>277380.8</v>
      </c>
      <c r="BB97" s="136">
        <v>19532.800000000007</v>
      </c>
      <c r="BC97" s="136">
        <v>190.26714285714286</v>
      </c>
      <c r="BD97" s="136">
        <v>67292986.387879446</v>
      </c>
      <c r="BE97" s="136">
        <v>67292987</v>
      </c>
      <c r="BF97" s="138">
        <v>0.6121205510571599</v>
      </c>
    </row>
    <row r="99" spans="1:75" ht="17.399999999999999">
      <c r="AI99" s="100">
        <v>2003</v>
      </c>
      <c r="AJ99" s="100">
        <v>2004</v>
      </c>
      <c r="AK99" s="100">
        <v>2005</v>
      </c>
      <c r="AL99" s="100">
        <v>2006</v>
      </c>
      <c r="AM99" s="100">
        <v>2007</v>
      </c>
      <c r="AN99" s="100">
        <v>2008</v>
      </c>
      <c r="AO99" s="100">
        <v>2009</v>
      </c>
      <c r="AP99" s="100">
        <v>2010</v>
      </c>
      <c r="AQ99" s="102">
        <v>2011</v>
      </c>
      <c r="AR99" s="100">
        <v>2012</v>
      </c>
      <c r="AS99" s="102">
        <v>2013</v>
      </c>
      <c r="AT99" s="100">
        <v>2014</v>
      </c>
      <c r="AU99" s="100">
        <v>2015</v>
      </c>
      <c r="AV99" s="100">
        <v>2016</v>
      </c>
      <c r="AW99" s="100">
        <v>2017</v>
      </c>
      <c r="AX99" s="100">
        <v>2018</v>
      </c>
      <c r="AY99" s="100">
        <v>2019</v>
      </c>
      <c r="AZ99" s="100">
        <v>2020</v>
      </c>
      <c r="BA99" s="100">
        <v>2021</v>
      </c>
      <c r="BB99" s="100">
        <v>2022</v>
      </c>
      <c r="BC99" s="100">
        <v>2023</v>
      </c>
      <c r="BD99" s="98"/>
      <c r="BE99" s="98"/>
      <c r="BG99" s="98"/>
      <c r="BH99" s="98"/>
      <c r="BI99" s="98"/>
      <c r="BJ99" s="98"/>
      <c r="BK99" s="98"/>
      <c r="BL99" s="98"/>
      <c r="BM99" s="98"/>
      <c r="BN99" s="98"/>
      <c r="BO99" s="98"/>
      <c r="BP99" s="98"/>
      <c r="BQ99" s="98"/>
      <c r="BR99" s="98"/>
      <c r="BS99" s="98"/>
      <c r="BT99" s="98"/>
      <c r="BU99" s="98"/>
      <c r="BV99" s="100"/>
      <c r="BW99" s="98"/>
    </row>
    <row r="100" spans="1:75" ht="17.399999999999999">
      <c r="AK100" s="91">
        <v>1919903.9740220034</v>
      </c>
      <c r="AL100" s="91">
        <v>1847655</v>
      </c>
      <c r="AM100" s="91">
        <v>1733621</v>
      </c>
      <c r="AN100" s="91">
        <v>1732153</v>
      </c>
      <c r="AO100" s="139">
        <v>1602984</v>
      </c>
      <c r="AP100" s="140">
        <v>1543800</v>
      </c>
      <c r="AQ100" s="140">
        <v>1348534</v>
      </c>
      <c r="AR100" s="140">
        <v>1352388</v>
      </c>
      <c r="AS100" s="140">
        <v>1352398</v>
      </c>
      <c r="AT100" s="140">
        <v>1271904</v>
      </c>
      <c r="AU100" s="140">
        <v>701940</v>
      </c>
      <c r="AV100" s="140">
        <v>255726</v>
      </c>
      <c r="AW100" s="156">
        <f>ROUND(AW97,0)-4</f>
        <v>393901</v>
      </c>
      <c r="AX100" s="156">
        <f>ROUND(AX97/12*'Independant Calc'!Z1,0)</f>
        <v>0</v>
      </c>
    </row>
    <row r="101" spans="1:75" ht="17.399999999999999">
      <c r="AK101" s="91">
        <v>16568832.344936965</v>
      </c>
      <c r="AL101" s="91">
        <v>14721177</v>
      </c>
      <c r="AM101" s="91">
        <v>12987556</v>
      </c>
      <c r="AN101" s="141">
        <v>11255400</v>
      </c>
      <c r="AO101" s="141">
        <v>9652416</v>
      </c>
      <c r="AP101" s="142">
        <v>8108616</v>
      </c>
      <c r="AQ101" s="142">
        <v>6760082</v>
      </c>
      <c r="AR101" s="142">
        <v>5407694</v>
      </c>
      <c r="AS101" s="142">
        <v>4055294</v>
      </c>
      <c r="AT101" s="142">
        <v>2783389</v>
      </c>
      <c r="AU101" s="142">
        <v>2081450</v>
      </c>
      <c r="AV101" s="142">
        <v>1825724</v>
      </c>
      <c r="AW101" s="142">
        <f>ROUND(AV95-AW100,0)</f>
        <v>1176097</v>
      </c>
      <c r="AX101" s="141">
        <v>1176084</v>
      </c>
      <c r="AY101" s="141">
        <v>851866</v>
      </c>
      <c r="AZ101" s="141">
        <v>851866</v>
      </c>
      <c r="BA101" s="141">
        <v>851866</v>
      </c>
      <c r="BB101" s="141">
        <v>574485</v>
      </c>
      <c r="BC101" s="141">
        <v>297104</v>
      </c>
    </row>
    <row r="102" spans="1:75" ht="17.399999999999999">
      <c r="AK102" s="91" t="s">
        <v>261</v>
      </c>
      <c r="AL102" s="91" t="s">
        <v>261</v>
      </c>
      <c r="AM102" s="91" t="s">
        <v>261</v>
      </c>
      <c r="AQ102" s="93"/>
    </row>
    <row r="103" spans="1:75" ht="17.399999999999999">
      <c r="AQ103" s="141"/>
      <c r="AR103" s="141"/>
    </row>
    <row r="104" spans="1:75" ht="17.399999999999999">
      <c r="AM104" s="91">
        <v>1733624.4488095241</v>
      </c>
      <c r="AN104" s="91">
        <v>1732153.4488095241</v>
      </c>
      <c r="AO104" s="91">
        <v>1602984.0188545692</v>
      </c>
      <c r="AP104" s="91">
        <v>1542361.0188545687</v>
      </c>
      <c r="AQ104" s="91">
        <v>1347090.15999571</v>
      </c>
      <c r="AR104" s="91">
        <v>1302692.3266623765</v>
      </c>
      <c r="AS104" s="93">
        <v>1302692.3266623765</v>
      </c>
      <c r="AT104" s="91">
        <v>1222219.3266623765</v>
      </c>
      <c r="AU104" s="91">
        <v>779385.15832260833</v>
      </c>
      <c r="AV104" s="91">
        <v>510972.04721149721</v>
      </c>
      <c r="AW104" s="91">
        <v>393905.45714285714</v>
      </c>
      <c r="AX104" s="91">
        <v>324217.80000000005</v>
      </c>
      <c r="AY104" s="91">
        <v>277380.8</v>
      </c>
      <c r="AZ104" s="91">
        <v>277380.8</v>
      </c>
      <c r="BA104" s="91">
        <v>277380.8</v>
      </c>
      <c r="BB104" s="91">
        <v>19532.800000000007</v>
      </c>
      <c r="BC104" s="91">
        <v>190.26714285714286</v>
      </c>
      <c r="BD104" s="91">
        <v>66026896.071975403</v>
      </c>
      <c r="BE104" s="91">
        <v>67292987</v>
      </c>
      <c r="BF104" s="103">
        <v>1266090.9280245984</v>
      </c>
    </row>
    <row r="105" spans="1:75" ht="17.399999999999999">
      <c r="A105" s="91" t="s">
        <v>262</v>
      </c>
      <c r="B105" s="91">
        <v>67292987</v>
      </c>
      <c r="AM105" s="91">
        <v>0</v>
      </c>
      <c r="AN105" s="91">
        <v>0</v>
      </c>
      <c r="AO105" s="91">
        <v>0</v>
      </c>
      <c r="AP105" s="91">
        <v>-1436.0531746032648</v>
      </c>
      <c r="AQ105" s="91">
        <v>-1436.0531746032648</v>
      </c>
      <c r="AR105" s="91">
        <v>-49707.358211572981</v>
      </c>
      <c r="AS105" s="93">
        <v>-49707.358211572981</v>
      </c>
      <c r="AT105" s="91">
        <v>-49685.044766194653</v>
      </c>
      <c r="AU105" s="91">
        <v>77441.501179751242</v>
      </c>
      <c r="AV105" s="91">
        <v>-483.12564564566128</v>
      </c>
      <c r="AW105" s="91">
        <v>0</v>
      </c>
      <c r="AX105" s="91">
        <v>0</v>
      </c>
      <c r="AY105" s="91">
        <v>0</v>
      </c>
      <c r="AZ105" s="91">
        <v>0</v>
      </c>
      <c r="BA105" s="91">
        <v>0</v>
      </c>
      <c r="BB105" s="91">
        <v>0</v>
      </c>
      <c r="BC105" s="91">
        <v>0</v>
      </c>
      <c r="BD105" s="91">
        <v>-1266090.3159040436</v>
      </c>
      <c r="BE105" s="91">
        <v>0</v>
      </c>
      <c r="BF105" s="103">
        <v>1266090.3159040473</v>
      </c>
    </row>
    <row r="106" spans="1:75" ht="17.399999999999999">
      <c r="A106" s="91" t="s">
        <v>263</v>
      </c>
      <c r="B106" s="91">
        <v>4904927.6044293288</v>
      </c>
    </row>
    <row r="107" spans="1:75" ht="17.399999999999999">
      <c r="A107" s="91" t="s">
        <v>264</v>
      </c>
      <c r="B107" s="91">
        <v>25946521.991900474</v>
      </c>
    </row>
    <row r="108" spans="1:75" ht="17.399999999999999">
      <c r="A108" s="91" t="s">
        <v>265</v>
      </c>
      <c r="B108" s="91">
        <v>14028593.136667237</v>
      </c>
    </row>
    <row r="109" spans="1:75" ht="17.399999999999999">
      <c r="A109" s="91" t="s">
        <v>266</v>
      </c>
      <c r="B109" s="91">
        <v>44880042.732997037</v>
      </c>
    </row>
    <row r="110" spans="1:75" ht="17.399999999999999">
      <c r="A110" s="91" t="s">
        <v>267</v>
      </c>
      <c r="B110" s="91">
        <v>22412944.267002963</v>
      </c>
    </row>
    <row r="112" spans="1:75" ht="34.799999999999997">
      <c r="A112" s="91" t="s">
        <v>268</v>
      </c>
      <c r="B112" s="143" t="s">
        <v>269</v>
      </c>
    </row>
    <row r="113" spans="1:45" ht="17.399999999999999">
      <c r="A113" s="91" t="s">
        <v>270</v>
      </c>
      <c r="B113" s="91">
        <v>34874829</v>
      </c>
      <c r="AQ113" s="91">
        <v>35065729.187209614</v>
      </c>
      <c r="AR113" s="91">
        <v>35733598.729226418</v>
      </c>
      <c r="AS113" s="93">
        <v>858769.72922641784</v>
      </c>
    </row>
    <row r="114" spans="1:45" ht="17.399999999999999">
      <c r="AQ114" s="91">
        <v>2900927.8127903864</v>
      </c>
      <c r="AR114" s="91">
        <v>2233058.2707735822</v>
      </c>
    </row>
    <row r="117" spans="1:45" ht="17.399999999999999">
      <c r="A117" s="91" t="s">
        <v>271</v>
      </c>
      <c r="B117" s="91">
        <v>21468446</v>
      </c>
      <c r="AQ117" s="91">
        <v>20099391.523496125</v>
      </c>
      <c r="AR117" s="91">
        <v>20783921.666353267</v>
      </c>
      <c r="AS117" s="93">
        <v>-684524.33364673331</v>
      </c>
    </row>
    <row r="118" spans="1:45" ht="17.399999999999999">
      <c r="AQ118" s="91">
        <v>3859163.4765038751</v>
      </c>
      <c r="AR118" s="91">
        <v>3174633.3336467333</v>
      </c>
    </row>
  </sheetData>
  <pageMargins left="0.7" right="0.7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15</vt:i4>
      </vt:variant>
    </vt:vector>
  </HeadingPairs>
  <TitlesOfParts>
    <vt:vector size="23" baseType="lpstr">
      <vt:lpstr>Summary</vt:lpstr>
      <vt:lpstr>Independant Calc</vt:lpstr>
      <vt:lpstr>Power Tax PY</vt:lpstr>
      <vt:lpstr>Power Tax CY</vt:lpstr>
      <vt:lpstr>Rpt 51040</vt:lpstr>
      <vt:lpstr>AFUDC</vt:lpstr>
      <vt:lpstr>NDBD NBV AMORT</vt:lpstr>
      <vt:lpstr>ITC Amortization</vt:lpstr>
      <vt:lpstr>CYALLBUTPCFED</vt:lpstr>
      <vt:lpstr>CYALLBUTPCOFFSET</vt:lpstr>
      <vt:lpstr>CYALLBUTPCST</vt:lpstr>
      <vt:lpstr>CYPCFED</vt:lpstr>
      <vt:lpstr>CYPCOFFSET</vt:lpstr>
      <vt:lpstr>CYPCST</vt:lpstr>
      <vt:lpstr>AFUDC!Print_Area</vt:lpstr>
      <vt:lpstr>Summary!Print_Area</vt:lpstr>
      <vt:lpstr>Provision</vt:lpstr>
      <vt:lpstr>PYALLBUTPCFED</vt:lpstr>
      <vt:lpstr>PYALLBUTPCOFFSET</vt:lpstr>
      <vt:lpstr>PYALLBUTPCST</vt:lpstr>
      <vt:lpstr>PYPCFED</vt:lpstr>
      <vt:lpstr>PYPCOFFSET</vt:lpstr>
      <vt:lpstr>PYPCST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2018-04-25T19:54:07Z</dcterms:created>
  <dcterms:modified xsi:type="dcterms:W3CDTF">2018-04-25T19:55:18Z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-1881138399</vt:i4>
  </property>
  <property fmtid="{D5CDD505-2E9C-101B-9397-08002B2CF9AE}" pid="3" name="_NewReviewCycle">
    <vt:lpwstr/>
  </property>
</Properties>
</file>