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1385"/>
  </bookViews>
  <sheets>
    <sheet name=" Grip Projection at 5-31-18" sheetId="1" r:id="rId1"/>
    <sheet name="Grip Projection Filed" sheetId="6" r:id="rId2"/>
    <sheet name="Return-new tax exp factor" sheetId="2" r:id="rId3"/>
    <sheet name="Expansion Factor new tax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3" l="1"/>
  <c r="D44" i="6" l="1"/>
  <c r="E44" i="6" s="1"/>
  <c r="F44" i="6" s="1"/>
  <c r="G44" i="6" s="1"/>
  <c r="H44" i="6" s="1"/>
  <c r="I44" i="6" s="1"/>
  <c r="J44" i="6" s="1"/>
  <c r="K44" i="6" s="1"/>
  <c r="L44" i="6" s="1"/>
  <c r="M44" i="6" s="1"/>
  <c r="N44" i="6" s="1"/>
  <c r="O44" i="6" s="1"/>
  <c r="D42" i="6"/>
  <c r="D23" i="6" s="1"/>
  <c r="D41" i="6"/>
  <c r="D34" i="6"/>
  <c r="E34" i="6" s="1"/>
  <c r="F34" i="6" s="1"/>
  <c r="G34" i="6" s="1"/>
  <c r="H34" i="6" s="1"/>
  <c r="I34" i="6" s="1"/>
  <c r="J34" i="6" s="1"/>
  <c r="K34" i="6" s="1"/>
  <c r="L34" i="6" s="1"/>
  <c r="M34" i="6" s="1"/>
  <c r="N34" i="6" s="1"/>
  <c r="O34" i="6" s="1"/>
  <c r="C21" i="6"/>
  <c r="C24" i="6" s="1"/>
  <c r="J12" i="6"/>
  <c r="J14" i="6" s="1"/>
  <c r="I12" i="6"/>
  <c r="I14" i="6" s="1"/>
  <c r="O11" i="6"/>
  <c r="O12" i="6" s="1"/>
  <c r="O14" i="6" s="1"/>
  <c r="N11" i="6"/>
  <c r="N12" i="6" s="1"/>
  <c r="N14" i="6" s="1"/>
  <c r="M11" i="6"/>
  <c r="M12" i="6" s="1"/>
  <c r="M14" i="6" s="1"/>
  <c r="L11" i="6"/>
  <c r="L12" i="6" s="1"/>
  <c r="L14" i="6" s="1"/>
  <c r="K11" i="6"/>
  <c r="K12" i="6" s="1"/>
  <c r="K14" i="6" s="1"/>
  <c r="J11" i="6"/>
  <c r="I11" i="6"/>
  <c r="H11" i="6"/>
  <c r="H12" i="6" s="1"/>
  <c r="H14" i="6" s="1"/>
  <c r="G11" i="6"/>
  <c r="G12" i="6" s="1"/>
  <c r="G14" i="6" s="1"/>
  <c r="F11" i="6"/>
  <c r="F12" i="6" s="1"/>
  <c r="F14" i="6" s="1"/>
  <c r="E11" i="6"/>
  <c r="E12" i="6" s="1"/>
  <c r="E14" i="6" s="1"/>
  <c r="D11" i="6"/>
  <c r="O10" i="6"/>
  <c r="O13" i="6" s="1"/>
  <c r="G10" i="6"/>
  <c r="G13" i="6" s="1"/>
  <c r="O9" i="6"/>
  <c r="N9" i="6"/>
  <c r="N10" i="6" s="1"/>
  <c r="N13" i="6" s="1"/>
  <c r="M9" i="6"/>
  <c r="M10" i="6" s="1"/>
  <c r="M13" i="6" s="1"/>
  <c r="L9" i="6"/>
  <c r="L10" i="6" s="1"/>
  <c r="L13" i="6" s="1"/>
  <c r="K9" i="6"/>
  <c r="K10" i="6" s="1"/>
  <c r="K13" i="6" s="1"/>
  <c r="J9" i="6"/>
  <c r="J10" i="6" s="1"/>
  <c r="J13" i="6" s="1"/>
  <c r="I9" i="6"/>
  <c r="I10" i="6" s="1"/>
  <c r="I13" i="6" s="1"/>
  <c r="H9" i="6"/>
  <c r="H10" i="6" s="1"/>
  <c r="H13" i="6" s="1"/>
  <c r="G9" i="6"/>
  <c r="F9" i="6"/>
  <c r="F10" i="6" s="1"/>
  <c r="F13" i="6" s="1"/>
  <c r="E9" i="6"/>
  <c r="E10" i="6" s="1"/>
  <c r="E13" i="6" s="1"/>
  <c r="D9" i="6"/>
  <c r="P14" i="6" l="1"/>
  <c r="D18" i="6"/>
  <c r="E18" i="6" s="1"/>
  <c r="F18" i="6" s="1"/>
  <c r="G18" i="6" s="1"/>
  <c r="H18" i="6" s="1"/>
  <c r="I18" i="6" s="1"/>
  <c r="J18" i="6" s="1"/>
  <c r="K18" i="6" s="1"/>
  <c r="L18" i="6" s="1"/>
  <c r="M18" i="6" s="1"/>
  <c r="N18" i="6" s="1"/>
  <c r="O18" i="6" s="1"/>
  <c r="P18" i="6" s="1"/>
  <c r="D12" i="6"/>
  <c r="D14" i="6" s="1"/>
  <c r="D20" i="6" s="1"/>
  <c r="P9" i="6"/>
  <c r="E20" i="6"/>
  <c r="D10" i="6"/>
  <c r="E42" i="6"/>
  <c r="P12" i="6"/>
  <c r="D43" i="6"/>
  <c r="P11" i="6"/>
  <c r="P44" i="6"/>
  <c r="E43" i="6" l="1"/>
  <c r="F43" i="6" s="1"/>
  <c r="G43" i="6" s="1"/>
  <c r="H43" i="6" s="1"/>
  <c r="I43" i="6" s="1"/>
  <c r="J43" i="6" s="1"/>
  <c r="K43" i="6" s="1"/>
  <c r="L43" i="6" s="1"/>
  <c r="M43" i="6" s="1"/>
  <c r="N43" i="6" s="1"/>
  <c r="O43" i="6" s="1"/>
  <c r="D45" i="6"/>
  <c r="D13" i="6"/>
  <c r="P10" i="6"/>
  <c r="F20" i="6"/>
  <c r="F42" i="6"/>
  <c r="D17" i="6"/>
  <c r="E33" i="6"/>
  <c r="F33" i="6" s="1"/>
  <c r="G33" i="6" s="1"/>
  <c r="H33" i="6" s="1"/>
  <c r="I33" i="6" s="1"/>
  <c r="J33" i="6" s="1"/>
  <c r="K33" i="6" s="1"/>
  <c r="L33" i="6" s="1"/>
  <c r="M33" i="6" s="1"/>
  <c r="N33" i="6" s="1"/>
  <c r="O33" i="6" s="1"/>
  <c r="D21" i="6" l="1"/>
  <c r="D24" i="6" s="1"/>
  <c r="E17" i="6"/>
  <c r="D19" i="6"/>
  <c r="P13" i="6"/>
  <c r="G42" i="6"/>
  <c r="G20" i="6"/>
  <c r="P43" i="6"/>
  <c r="H20" i="6" l="1"/>
  <c r="H42" i="6"/>
  <c r="F17" i="6"/>
  <c r="D26" i="6"/>
  <c r="E19" i="6"/>
  <c r="E41" i="6"/>
  <c r="E45" i="6" l="1"/>
  <c r="E23" i="6"/>
  <c r="I20" i="6"/>
  <c r="I42" i="6"/>
  <c r="F19" i="6"/>
  <c r="F41" i="6"/>
  <c r="F45" i="6" s="1"/>
  <c r="G17" i="6"/>
  <c r="D36" i="6"/>
  <c r="D37" i="6"/>
  <c r="E21" i="6"/>
  <c r="F23" i="6" l="1"/>
  <c r="D38" i="6"/>
  <c r="D47" i="6" s="1"/>
  <c r="D54" i="6" s="1"/>
  <c r="G19" i="6"/>
  <c r="G41" i="6"/>
  <c r="G45" i="6" s="1"/>
  <c r="F21" i="6"/>
  <c r="F24" i="6" s="1"/>
  <c r="E24" i="6"/>
  <c r="G21" i="6"/>
  <c r="H17" i="6"/>
  <c r="J20" i="6"/>
  <c r="J42" i="6"/>
  <c r="F26" i="6" l="1"/>
  <c r="E26" i="6"/>
  <c r="H41" i="6"/>
  <c r="H45" i="6" s="1"/>
  <c r="H19" i="6"/>
  <c r="H21" i="6" s="1"/>
  <c r="K42" i="6"/>
  <c r="K20" i="6"/>
  <c r="I17" i="6"/>
  <c r="G23" i="6"/>
  <c r="H23" i="6" s="1"/>
  <c r="J17" i="6" l="1"/>
  <c r="L20" i="6"/>
  <c r="L42" i="6"/>
  <c r="E36" i="6"/>
  <c r="E37" i="6"/>
  <c r="H24" i="6"/>
  <c r="F37" i="6"/>
  <c r="F36" i="6"/>
  <c r="F38" i="6" s="1"/>
  <c r="F47" i="6" s="1"/>
  <c r="I19" i="6"/>
  <c r="I41" i="6"/>
  <c r="I45" i="6" s="1"/>
  <c r="G24" i="6"/>
  <c r="D34" i="1"/>
  <c r="P21" i="3"/>
  <c r="K24" i="3"/>
  <c r="I23" i="6" l="1"/>
  <c r="M20" i="6"/>
  <c r="M42" i="6"/>
  <c r="J19" i="6"/>
  <c r="J41" i="6"/>
  <c r="J45" i="6" s="1"/>
  <c r="H26" i="6"/>
  <c r="G26" i="6"/>
  <c r="K17" i="6"/>
  <c r="J21" i="6"/>
  <c r="E38" i="6"/>
  <c r="E47" i="6" s="1"/>
  <c r="E54" i="6" s="1"/>
  <c r="I21" i="6"/>
  <c r="K28" i="3"/>
  <c r="K30" i="3" s="1"/>
  <c r="I24" i="6" l="1"/>
  <c r="I26" i="6" s="1"/>
  <c r="H36" i="6"/>
  <c r="H37" i="6"/>
  <c r="N20" i="6"/>
  <c r="N42" i="6"/>
  <c r="G37" i="6"/>
  <c r="G36" i="6"/>
  <c r="L17" i="6"/>
  <c r="J23" i="6"/>
  <c r="K23" i="6" s="1"/>
  <c r="K19" i="6"/>
  <c r="K41" i="6"/>
  <c r="K45" i="6" s="1"/>
  <c r="K34" i="3"/>
  <c r="K36" i="3" s="1"/>
  <c r="K38" i="3" s="1"/>
  <c r="D11" i="2" s="1"/>
  <c r="L41" i="6" l="1"/>
  <c r="L45" i="6" s="1"/>
  <c r="L19" i="6"/>
  <c r="L21" i="6" s="1"/>
  <c r="O42" i="6"/>
  <c r="P42" i="6" s="1"/>
  <c r="O20" i="6"/>
  <c r="P20" i="6" s="1"/>
  <c r="G38" i="6"/>
  <c r="G47" i="6" s="1"/>
  <c r="I36" i="6"/>
  <c r="I37" i="6"/>
  <c r="M17" i="6"/>
  <c r="H38" i="6"/>
  <c r="H47" i="6" s="1"/>
  <c r="K21" i="6"/>
  <c r="K24" i="6" s="1"/>
  <c r="J24" i="6"/>
  <c r="L23" i="6" l="1"/>
  <c r="I38" i="6"/>
  <c r="I47" i="6" s="1"/>
  <c r="N17" i="6"/>
  <c r="M19" i="6"/>
  <c r="M21" i="6" s="1"/>
  <c r="M41" i="6"/>
  <c r="M45" i="6" s="1"/>
  <c r="K26" i="6"/>
  <c r="J26" i="6"/>
  <c r="L24" i="6"/>
  <c r="K37" i="6" l="1"/>
  <c r="K36" i="6"/>
  <c r="K38" i="6" s="1"/>
  <c r="K47" i="6" s="1"/>
  <c r="O17" i="6"/>
  <c r="M23" i="6"/>
  <c r="N19" i="6"/>
  <c r="N41" i="6"/>
  <c r="N45" i="6" s="1"/>
  <c r="L26" i="6"/>
  <c r="M24" i="6"/>
  <c r="M26" i="6" s="1"/>
  <c r="J37" i="6"/>
  <c r="J36" i="6"/>
  <c r="D19" i="2"/>
  <c r="D21" i="2" s="1"/>
  <c r="D12" i="2"/>
  <c r="D33" i="1" s="1"/>
  <c r="E33" i="1" s="1"/>
  <c r="F33" i="1" s="1"/>
  <c r="G33" i="1" s="1"/>
  <c r="H33" i="1" s="1"/>
  <c r="I33" i="1" s="1"/>
  <c r="J33" i="1" s="1"/>
  <c r="K33" i="1" s="1"/>
  <c r="L33" i="1" s="1"/>
  <c r="M33" i="1" s="1"/>
  <c r="N33" i="1" s="1"/>
  <c r="O33" i="1" s="1"/>
  <c r="E44" i="1"/>
  <c r="F44" i="1" s="1"/>
  <c r="G44" i="1" s="1"/>
  <c r="H44" i="1" s="1"/>
  <c r="I44" i="1" s="1"/>
  <c r="J44" i="1" s="1"/>
  <c r="K44" i="1" s="1"/>
  <c r="L44" i="1" s="1"/>
  <c r="M44" i="1" s="1"/>
  <c r="N44" i="1" s="1"/>
  <c r="O44" i="1" s="1"/>
  <c r="D44" i="1"/>
  <c r="D41" i="1"/>
  <c r="E34" i="1"/>
  <c r="F34" i="1" s="1"/>
  <c r="G34" i="1" s="1"/>
  <c r="H34" i="1" s="1"/>
  <c r="I34" i="1" s="1"/>
  <c r="J34" i="1" s="1"/>
  <c r="K34" i="1" s="1"/>
  <c r="L34" i="1" s="1"/>
  <c r="M34" i="1" s="1"/>
  <c r="N34" i="1" s="1"/>
  <c r="O34" i="1" s="1"/>
  <c r="C21" i="1"/>
  <c r="O14" i="1"/>
  <c r="K14" i="1"/>
  <c r="G14" i="1"/>
  <c r="L13" i="1"/>
  <c r="O12" i="1"/>
  <c r="M12" i="1"/>
  <c r="M14" i="1" s="1"/>
  <c r="L12" i="1"/>
  <c r="L14" i="1" s="1"/>
  <c r="K12" i="1"/>
  <c r="H12" i="1"/>
  <c r="H14" i="1" s="1"/>
  <c r="G12" i="1"/>
  <c r="D12" i="1"/>
  <c r="O11" i="1"/>
  <c r="N11" i="1"/>
  <c r="N12" i="1" s="1"/>
  <c r="N14" i="1" s="1"/>
  <c r="M11" i="1"/>
  <c r="L11" i="1"/>
  <c r="K11" i="1"/>
  <c r="J11" i="1"/>
  <c r="J12" i="1" s="1"/>
  <c r="J14" i="1" s="1"/>
  <c r="I11" i="1"/>
  <c r="I12" i="1" s="1"/>
  <c r="I14" i="1" s="1"/>
  <c r="H11" i="1"/>
  <c r="G11" i="1"/>
  <c r="F11" i="1"/>
  <c r="F12" i="1" s="1"/>
  <c r="F14" i="1" s="1"/>
  <c r="E11" i="1"/>
  <c r="E12" i="1" s="1"/>
  <c r="E14" i="1" s="1"/>
  <c r="D11" i="1"/>
  <c r="O10" i="1"/>
  <c r="O13" i="1" s="1"/>
  <c r="M10" i="1"/>
  <c r="M13" i="1" s="1"/>
  <c r="J10" i="1"/>
  <c r="J13" i="1" s="1"/>
  <c r="I10" i="1"/>
  <c r="I13" i="1" s="1"/>
  <c r="E10" i="1"/>
  <c r="E13" i="1" s="1"/>
  <c r="O9" i="1"/>
  <c r="N9" i="1"/>
  <c r="N10" i="1" s="1"/>
  <c r="N13" i="1" s="1"/>
  <c r="M9" i="1"/>
  <c r="L9" i="1"/>
  <c r="L10" i="1" s="1"/>
  <c r="K9" i="1"/>
  <c r="K10" i="1" s="1"/>
  <c r="K13" i="1" s="1"/>
  <c r="J9" i="1"/>
  <c r="I9" i="1"/>
  <c r="H9" i="1"/>
  <c r="H10" i="1" s="1"/>
  <c r="H13" i="1" s="1"/>
  <c r="G9" i="1"/>
  <c r="G10" i="1" s="1"/>
  <c r="G13" i="1" s="1"/>
  <c r="F9" i="1"/>
  <c r="F10" i="1" s="1"/>
  <c r="F13" i="1" s="1"/>
  <c r="E9" i="1"/>
  <c r="D9" i="1"/>
  <c r="J38" i="6" l="1"/>
  <c r="J47" i="6" s="1"/>
  <c r="O21" i="6"/>
  <c r="P17" i="6"/>
  <c r="M36" i="6"/>
  <c r="M37" i="6"/>
  <c r="N23" i="6"/>
  <c r="O23" i="6" s="1"/>
  <c r="P23" i="6" s="1"/>
  <c r="O19" i="6"/>
  <c r="P19" i="6" s="1"/>
  <c r="O41" i="6"/>
  <c r="L36" i="6"/>
  <c r="L37" i="6"/>
  <c r="N21" i="6"/>
  <c r="P11" i="1"/>
  <c r="P12" i="1"/>
  <c r="D14" i="1"/>
  <c r="P14" i="1" s="1"/>
  <c r="C24" i="1"/>
  <c r="D18" i="1"/>
  <c r="E18" i="1" s="1"/>
  <c r="F18" i="1" s="1"/>
  <c r="G18" i="1" s="1"/>
  <c r="H18" i="1" s="1"/>
  <c r="I18" i="1" s="1"/>
  <c r="J18" i="1" s="1"/>
  <c r="K18" i="1" s="1"/>
  <c r="L18" i="1" s="1"/>
  <c r="M18" i="1" s="1"/>
  <c r="N18" i="1" s="1"/>
  <c r="O18" i="1" s="1"/>
  <c r="P18" i="1" s="1"/>
  <c r="D42" i="1"/>
  <c r="D20" i="1"/>
  <c r="P44" i="1"/>
  <c r="D17" i="1"/>
  <c r="D10" i="1"/>
  <c r="P9" i="1"/>
  <c r="P21" i="6" l="1"/>
  <c r="P24" i="6"/>
  <c r="O24" i="6"/>
  <c r="O45" i="6"/>
  <c r="P41" i="6"/>
  <c r="P45" i="6" s="1"/>
  <c r="L38" i="6"/>
  <c r="L47" i="6" s="1"/>
  <c r="N24" i="6"/>
  <c r="M38" i="6"/>
  <c r="M47" i="6" s="1"/>
  <c r="E17" i="1"/>
  <c r="D43" i="1"/>
  <c r="D45" i="1" s="1"/>
  <c r="D23" i="1"/>
  <c r="P10" i="1"/>
  <c r="D13" i="1"/>
  <c r="E42" i="1"/>
  <c r="E20" i="1"/>
  <c r="O26" i="6" l="1"/>
  <c r="N26" i="6"/>
  <c r="F42" i="1"/>
  <c r="F20" i="1"/>
  <c r="F17" i="1"/>
  <c r="D19" i="1"/>
  <c r="P13" i="1"/>
  <c r="E43" i="1"/>
  <c r="F43" i="1" s="1"/>
  <c r="G43" i="1" s="1"/>
  <c r="H43" i="1" s="1"/>
  <c r="I43" i="1" s="1"/>
  <c r="J43" i="1" s="1"/>
  <c r="K43" i="1" s="1"/>
  <c r="L43" i="1" s="1"/>
  <c r="M43" i="1" s="1"/>
  <c r="N43" i="1" s="1"/>
  <c r="O43" i="1" s="1"/>
  <c r="N37" i="6" l="1"/>
  <c r="N36" i="6"/>
  <c r="N38" i="6" s="1"/>
  <c r="N47" i="6" s="1"/>
  <c r="O37" i="6"/>
  <c r="O36" i="6"/>
  <c r="P43" i="1"/>
  <c r="G17" i="1"/>
  <c r="E41" i="1"/>
  <c r="E19" i="1"/>
  <c r="D21" i="1"/>
  <c r="D24" i="1" s="1"/>
  <c r="G42" i="1"/>
  <c r="G20" i="1"/>
  <c r="P37" i="6" l="1"/>
  <c r="O38" i="6"/>
  <c r="O47" i="6" s="1"/>
  <c r="P36" i="6"/>
  <c r="F41" i="1"/>
  <c r="F45" i="1" s="1"/>
  <c r="F19" i="1"/>
  <c r="E21" i="1"/>
  <c r="H42" i="1"/>
  <c r="H20" i="1"/>
  <c r="E45" i="1"/>
  <c r="E23" i="1"/>
  <c r="D26" i="1"/>
  <c r="H17" i="1"/>
  <c r="P38" i="6" l="1"/>
  <c r="P47" i="6" s="1"/>
  <c r="I42" i="1"/>
  <c r="I20" i="1"/>
  <c r="F23" i="1"/>
  <c r="I17" i="1"/>
  <c r="E24" i="1"/>
  <c r="D37" i="1"/>
  <c r="D36" i="1"/>
  <c r="G41" i="1"/>
  <c r="G45" i="1" s="1"/>
  <c r="G19" i="1"/>
  <c r="F21" i="1"/>
  <c r="F24" i="1" l="1"/>
  <c r="G23" i="1"/>
  <c r="H19" i="1"/>
  <c r="H41" i="1"/>
  <c r="H45" i="1" s="1"/>
  <c r="G21" i="1"/>
  <c r="F26" i="1"/>
  <c r="E26" i="1"/>
  <c r="H23" i="1"/>
  <c r="J42" i="1"/>
  <c r="J20" i="1"/>
  <c r="D38" i="1"/>
  <c r="D47" i="1" s="1"/>
  <c r="J17" i="1"/>
  <c r="G24" i="1" l="1"/>
  <c r="K17" i="1"/>
  <c r="K42" i="1"/>
  <c r="K20" i="1"/>
  <c r="E37" i="1"/>
  <c r="E36" i="1"/>
  <c r="I41" i="1"/>
  <c r="I45" i="1" s="1"/>
  <c r="I19" i="1"/>
  <c r="H21" i="1"/>
  <c r="H24" i="1" s="1"/>
  <c r="H26" i="1" s="1"/>
  <c r="G26" i="1"/>
  <c r="F37" i="1"/>
  <c r="F36" i="1"/>
  <c r="H37" i="1" l="1"/>
  <c r="H36" i="1"/>
  <c r="F38" i="1"/>
  <c r="F47" i="1" s="1"/>
  <c r="L17" i="1"/>
  <c r="G36" i="1"/>
  <c r="G37" i="1"/>
  <c r="E38" i="1"/>
  <c r="E47" i="1" s="1"/>
  <c r="J41" i="1"/>
  <c r="J45" i="1" s="1"/>
  <c r="J19" i="1"/>
  <c r="I21" i="1"/>
  <c r="L42" i="1"/>
  <c r="L20" i="1"/>
  <c r="I23" i="1"/>
  <c r="G38" i="1" l="1"/>
  <c r="G47" i="1" s="1"/>
  <c r="M42" i="1"/>
  <c r="M20" i="1"/>
  <c r="I24" i="1"/>
  <c r="M17" i="1"/>
  <c r="H38" i="1"/>
  <c r="H47" i="1" s="1"/>
  <c r="J23" i="1"/>
  <c r="K41" i="1"/>
  <c r="K45" i="1" s="1"/>
  <c r="K19" i="1"/>
  <c r="J21" i="1"/>
  <c r="J24" i="1" l="1"/>
  <c r="N17" i="1"/>
  <c r="J26" i="1"/>
  <c r="I26" i="1"/>
  <c r="L19" i="1"/>
  <c r="L41" i="1"/>
  <c r="L45" i="1" s="1"/>
  <c r="K21" i="1"/>
  <c r="K24" i="1" s="1"/>
  <c r="N42" i="1"/>
  <c r="N20" i="1"/>
  <c r="K23" i="1"/>
  <c r="L23" i="1" s="1"/>
  <c r="J37" i="1" l="1"/>
  <c r="J36" i="1"/>
  <c r="K26" i="1"/>
  <c r="O20" i="1"/>
  <c r="P20" i="1" s="1"/>
  <c r="O42" i="1"/>
  <c r="P42" i="1" s="1"/>
  <c r="M41" i="1"/>
  <c r="M45" i="1" s="1"/>
  <c r="M19" i="1"/>
  <c r="L21" i="1"/>
  <c r="L24" i="1" s="1"/>
  <c r="L26" i="1" s="1"/>
  <c r="I37" i="1"/>
  <c r="I36" i="1"/>
  <c r="O17" i="1"/>
  <c r="J38" i="1" l="1"/>
  <c r="J47" i="1" s="1"/>
  <c r="M23" i="1"/>
  <c r="I38" i="1"/>
  <c r="I47" i="1" s="1"/>
  <c r="P17" i="1"/>
  <c r="N41" i="1"/>
  <c r="N45" i="1" s="1"/>
  <c r="N19" i="1"/>
  <c r="M21" i="1"/>
  <c r="M24" i="1" s="1"/>
  <c r="M26" i="1" s="1"/>
  <c r="K36" i="1"/>
  <c r="K37" i="1"/>
  <c r="L37" i="1"/>
  <c r="L36" i="1"/>
  <c r="K38" i="1" l="1"/>
  <c r="K47" i="1" s="1"/>
  <c r="O41" i="1"/>
  <c r="O19" i="1"/>
  <c r="N21" i="1"/>
  <c r="N24" i="1" s="1"/>
  <c r="M37" i="1"/>
  <c r="M36" i="1"/>
  <c r="L38" i="1"/>
  <c r="L47" i="1" s="1"/>
  <c r="N26" i="1"/>
  <c r="N23" i="1"/>
  <c r="O23" i="1" l="1"/>
  <c r="P23" i="1" s="1"/>
  <c r="M38" i="1"/>
  <c r="M47" i="1" s="1"/>
  <c r="P19" i="1"/>
  <c r="P21" i="1" s="1"/>
  <c r="O21" i="1"/>
  <c r="N37" i="1"/>
  <c r="N36" i="1"/>
  <c r="O45" i="1"/>
  <c r="P41" i="1"/>
  <c r="P45" i="1" s="1"/>
  <c r="P24" i="1" l="1"/>
  <c r="N38" i="1"/>
  <c r="N47" i="1" s="1"/>
  <c r="O24" i="1"/>
  <c r="O26" i="1" s="1"/>
  <c r="O36" i="1" l="1"/>
  <c r="O37" i="1"/>
  <c r="P37" i="1" s="1"/>
  <c r="O38" i="1" l="1"/>
  <c r="O47" i="1" s="1"/>
  <c r="P36" i="1"/>
  <c r="P38" i="1" s="1"/>
  <c r="S38" i="1" l="1"/>
  <c r="P47" i="1"/>
  <c r="S47" i="1" s="1"/>
</calcChain>
</file>

<file path=xl/sharedStrings.xml><?xml version="1.0" encoding="utf-8"?>
<sst xmlns="http://schemas.openxmlformats.org/spreadsheetml/2006/main" count="158" uniqueCount="102">
  <si>
    <t>Florida Division of Chesapeake Utilities Corporation</t>
  </si>
  <si>
    <t xml:space="preserve">Gas Reliability Infrastructure Program (GRIP) </t>
  </si>
  <si>
    <t>Calculation of the Projected Revenue Requirements</t>
  </si>
  <si>
    <t>Page 9 of 15</t>
  </si>
  <si>
    <t>Beginning</t>
  </si>
  <si>
    <t>Year End</t>
  </si>
  <si>
    <t>Item</t>
  </si>
  <si>
    <t>Balance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</si>
  <si>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</si>
  <si>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</si>
  <si>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</si>
  <si>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</si>
  <si>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</si>
  <si>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</si>
  <si>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</si>
  <si>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</si>
  <si>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</si>
  <si>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</si>
  <si>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</si>
  <si>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</si>
  <si>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</si>
  <si>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Qualified Investment</t>
  </si>
  <si>
    <t>Qualified Investment - Mains - Current   1070 Activity</t>
  </si>
  <si>
    <t>Qualified Investment - Mains - Closed 1070 Activity to Plant</t>
  </si>
  <si>
    <t>Qualified Investment - Services - Current  1070 Activity</t>
  </si>
  <si>
    <t>Qualified Investment - Services - Closed 1070 Activity to Plant</t>
  </si>
  <si>
    <t>Qualified Investment - Mains - Current  1010 Activity</t>
  </si>
  <si>
    <t>Qualified Investment - Services - Current  1010 Activity</t>
  </si>
  <si>
    <t>Total Qualified Investment - Mains 1070</t>
  </si>
  <si>
    <t>Total Qualified Investment - Services 1070</t>
  </si>
  <si>
    <t>Total Qualified Investment - Mains 1010</t>
  </si>
  <si>
    <t>Total Qualified Investment - Services 1010</t>
  </si>
  <si>
    <t>Total Qualified Investment</t>
  </si>
  <si>
    <t>Less:  Accumulated Depreciation</t>
  </si>
  <si>
    <t>Net Book Value</t>
  </si>
  <si>
    <t>Average Net Qualified Investment</t>
  </si>
  <si>
    <t>Depreciation Rates</t>
  </si>
  <si>
    <t>Approved Depreciation Rate-Mains</t>
  </si>
  <si>
    <t>Approved Depreciation Rate-Services</t>
  </si>
  <si>
    <t>Return on Average Net Qualified Investment</t>
  </si>
  <si>
    <t>Equity - Cost of Capital, inclusive of Income Tax Gross-up</t>
  </si>
  <si>
    <t>Debt - Cost of Capital</t>
  </si>
  <si>
    <t>Equity Component - inclusive of Income Tax Gross-up</t>
  </si>
  <si>
    <t>Debt Component</t>
  </si>
  <si>
    <t>Return Requirement</t>
  </si>
  <si>
    <t>Investment Expenses</t>
  </si>
  <si>
    <t>Depreciation Expense - Mains</t>
  </si>
  <si>
    <t>Depreciation Expense - Services</t>
  </si>
  <si>
    <t>Property Taxes</t>
  </si>
  <si>
    <t>General Public Notice Expense and Customer Notice Expense</t>
  </si>
  <si>
    <t>Total Expense</t>
  </si>
  <si>
    <t>Total Revenue Requirements</t>
  </si>
  <si>
    <t>Calculation of Equity and Debt Returns</t>
  </si>
  <si>
    <t>Page 6 of 15</t>
  </si>
  <si>
    <t>Earnings Surveillance Report - December 31, 2016</t>
  </si>
  <si>
    <t>Equity Cost Rate</t>
  </si>
  <si>
    <t>Weighted Equity Cost Rate</t>
  </si>
  <si>
    <t>Revenue Expansion Factor</t>
  </si>
  <si>
    <t>Weighted Equity Cost Rate , times Revenue Expansion Factor</t>
  </si>
  <si>
    <t>Long Term Debt-CU</t>
  </si>
  <si>
    <t>Short Term Debt</t>
  </si>
  <si>
    <t>Short Term Debt-Refinanced LTD</t>
  </si>
  <si>
    <t>Customer Deposits</t>
  </si>
  <si>
    <t>Tax Credits-Weighted Cost</t>
  </si>
  <si>
    <t>Weighted Debt Cost Rate</t>
  </si>
  <si>
    <t>Overall Weighted Cost Rate</t>
  </si>
  <si>
    <t>REVENUE EXPANSION FACTOR</t>
  </si>
  <si>
    <t>FLORIDA PUBLIC SERVICE COMMISSION</t>
  </si>
  <si>
    <t xml:space="preserve">        EXPLANATION: </t>
  </si>
  <si>
    <t xml:space="preserve">Provide the calculation of the revenue expansion factor for </t>
  </si>
  <si>
    <t>the test year.</t>
  </si>
  <si>
    <t>COMPANY: FLORIDA PUBLIC UTILITIES</t>
  </si>
  <si>
    <t xml:space="preserve">  Consolidated GFG</t>
  </si>
  <si>
    <t>Line</t>
  </si>
  <si>
    <t>No.</t>
  </si>
  <si>
    <t>Description</t>
  </si>
  <si>
    <t>Percent</t>
  </si>
  <si>
    <t xml:space="preserve">SALES </t>
  </si>
  <si>
    <t>UNCOLLECTIBLE</t>
  </si>
  <si>
    <t>RATE</t>
  </si>
  <si>
    <t>Revenue Requirement</t>
  </si>
  <si>
    <t>Gross Receipts Tax Rate</t>
  </si>
  <si>
    <t>Regulatory Assessment Rate</t>
  </si>
  <si>
    <t>Bad Debt Rate</t>
  </si>
  <si>
    <t>Net Before Income Taxes</t>
  </si>
  <si>
    <t>(1) - (2) - (3) - (4)</t>
  </si>
  <si>
    <t>State Income Tax Rate</t>
  </si>
  <si>
    <t>State Income Tax (5) x (6)</t>
  </si>
  <si>
    <t>Net Before Federal Income Tax (5) - (7)</t>
  </si>
  <si>
    <t>Federal Income Tax Rate</t>
  </si>
  <si>
    <t>Federal Income Tax (8) x (9)</t>
  </si>
  <si>
    <t>Revenue Expansion Factor (8) - (10)</t>
  </si>
  <si>
    <t>Net Operating Income Multiplier</t>
  </si>
  <si>
    <t>(100% / Line 11)</t>
  </si>
  <si>
    <t xml:space="preserve">GRIP Projection </t>
  </si>
  <si>
    <t>FILED</t>
  </si>
  <si>
    <t>New Tax Rate</t>
  </si>
  <si>
    <t>January 1, 2018 through December 31, 2018</t>
  </si>
  <si>
    <t>Schedule C-2</t>
  </si>
  <si>
    <t xml:space="preserve">Exhibit_______ </t>
  </si>
  <si>
    <t>Michael Cassel (MC-1)</t>
  </si>
  <si>
    <t>Schedule A-1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</si>
</sst>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%"/>
    <numFmt numFmtId="166" formatCode="0.0000"/>
    <numFmt numFmtId="167" formatCode="_(* #,##0.0000_);_(* \(#,##0.0000\);_(* &quot;-&quot;????_);_(@_)"/>
    <numFmt numFmtId="168" formatCode="0.000%"/>
    <numFmt numFmtId="169" formatCode="#,##0.0000_);\(#,##0.0000\)"/>
    <numFmt numFmtId="170" formatCode="0.000000"/>
    <numFmt numFmtId="171" formatCode="_(* #,##0.0000_);_(* \(#,##0.00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12"/>
      <name val="Arial"/>
      <family val="2"/>
    </font>
    <font>
      <sz val="13"/>
      <name val="Arial"/>
      <family val="2"/>
    </font>
    <font>
      <sz val="11"/>
      <color indexed="8"/>
      <name val="Calibri"/>
      <family val="2"/>
    </font>
    <font>
      <sz val="12"/>
      <name val="Helv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double">
        <color indexed="8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9" fillId="0" borderId="0" applyFont="0" applyFill="0" applyBorder="0" applyAlignment="0" applyProtection="0"/>
    <xf numFmtId="0" fontId="10" fillId="0" borderId="0"/>
    <xf numFmtId="43" fontId="1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164" fontId="0" fillId="0" borderId="0" xfId="2" applyNumberFormat="1" applyFont="1"/>
    <xf numFmtId="0" fontId="3" fillId="0" borderId="0" xfId="0" applyFont="1" applyAlignment="1">
      <alignment horizontal="center"/>
    </xf>
    <xf numFmtId="41" fontId="4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center"/>
    </xf>
    <xf numFmtId="5" fontId="3" fillId="0" borderId="0" xfId="0" applyNumberFormat="1" applyFont="1"/>
    <xf numFmtId="5" fontId="3" fillId="0" borderId="0" xfId="0" applyNumberFormat="1" applyFont="1" applyFill="1"/>
    <xf numFmtId="5" fontId="3" fillId="0" borderId="0" xfId="0" applyNumberFormat="1" applyFont="1" applyBorder="1"/>
    <xf numFmtId="5" fontId="3" fillId="0" borderId="1" xfId="0" applyNumberFormat="1" applyFont="1" applyBorder="1"/>
    <xf numFmtId="5" fontId="3" fillId="0" borderId="2" xfId="0" applyNumberFormat="1" applyFont="1" applyBorder="1"/>
    <xf numFmtId="0" fontId="3" fillId="0" borderId="0" xfId="0" applyFont="1" applyBorder="1"/>
    <xf numFmtId="5" fontId="3" fillId="0" borderId="3" xfId="0" applyNumberFormat="1" applyFont="1" applyBorder="1"/>
    <xf numFmtId="42" fontId="3" fillId="0" borderId="0" xfId="0" applyNumberFormat="1" applyFont="1" applyBorder="1"/>
    <xf numFmtId="10" fontId="3" fillId="0" borderId="0" xfId="0" applyNumberFormat="1" applyFont="1"/>
    <xf numFmtId="165" fontId="3" fillId="0" borderId="0" xfId="3" applyNumberFormat="1" applyFont="1" applyFill="1" applyAlignment="1">
      <alignment horizontal="right"/>
    </xf>
    <xf numFmtId="165" fontId="3" fillId="0" borderId="0" xfId="0" applyNumberFormat="1" applyFont="1"/>
    <xf numFmtId="0" fontId="3" fillId="0" borderId="0" xfId="0" applyFont="1" applyFill="1" applyAlignment="1">
      <alignment horizontal="center"/>
    </xf>
    <xf numFmtId="5" fontId="3" fillId="0" borderId="0" xfId="0" applyNumberFormat="1" applyFont="1" applyFill="1" applyBorder="1"/>
    <xf numFmtId="5" fontId="3" fillId="0" borderId="2" xfId="0" applyNumberFormat="1" applyFont="1" applyFill="1" applyBorder="1"/>
    <xf numFmtId="5" fontId="3" fillId="0" borderId="4" xfId="0" applyNumberFormat="1" applyFont="1" applyFill="1" applyBorder="1"/>
    <xf numFmtId="5" fontId="3" fillId="0" borderId="4" xfId="0" applyNumberFormat="1" applyFont="1" applyBorder="1"/>
    <xf numFmtId="164" fontId="0" fillId="0" borderId="0" xfId="0" applyNumberFormat="1"/>
    <xf numFmtId="10" fontId="3" fillId="0" borderId="0" xfId="0" applyNumberFormat="1" applyFont="1" applyFill="1"/>
    <xf numFmtId="5" fontId="3" fillId="0" borderId="2" xfId="3" applyNumberFormat="1" applyFont="1" applyFill="1" applyBorder="1"/>
    <xf numFmtId="5" fontId="3" fillId="0" borderId="2" xfId="3" applyNumberFormat="1" applyFont="1" applyBorder="1"/>
    <xf numFmtId="5" fontId="3" fillId="0" borderId="1" xfId="0" applyNumberFormat="1" applyFont="1" applyFill="1" applyBorder="1"/>
    <xf numFmtId="41" fontId="3" fillId="0" borderId="0" xfId="0" applyNumberFormat="1" applyFont="1"/>
    <xf numFmtId="0" fontId="0" fillId="0" borderId="0" xfId="0" applyFill="1"/>
    <xf numFmtId="164" fontId="0" fillId="0" borderId="0" xfId="2" applyNumberFormat="1" applyFont="1" applyFill="1"/>
    <xf numFmtId="0" fontId="0" fillId="0" borderId="0" xfId="0" applyFill="1" applyBorder="1" applyAlignment="1">
      <alignment horizontal="center"/>
    </xf>
    <xf numFmtId="42" fontId="0" fillId="0" borderId="0" xfId="0" applyNumberFormat="1" applyBorder="1"/>
    <xf numFmtId="0" fontId="0" fillId="0" borderId="0" xfId="0" applyBorder="1"/>
    <xf numFmtId="5" fontId="0" fillId="0" borderId="0" xfId="0" applyNumberFormat="1" applyFill="1"/>
    <xf numFmtId="7" fontId="0" fillId="0" borderId="0" xfId="0" applyNumberFormat="1" applyFill="1"/>
    <xf numFmtId="0" fontId="0" fillId="0" borderId="0" xfId="0" applyAlignment="1">
      <alignment horizontal="center"/>
    </xf>
    <xf numFmtId="0" fontId="3" fillId="0" borderId="0" xfId="0" applyFont="1" applyFill="1"/>
    <xf numFmtId="167" fontId="3" fillId="0" borderId="0" xfId="0" applyNumberFormat="1" applyFont="1" applyFill="1"/>
    <xf numFmtId="168" fontId="3" fillId="0" borderId="5" xfId="0" applyNumberFormat="1" applyFont="1" applyFill="1" applyBorder="1"/>
    <xf numFmtId="168" fontId="3" fillId="0" borderId="0" xfId="0" applyNumberFormat="1" applyFont="1" applyFill="1"/>
    <xf numFmtId="10" fontId="3" fillId="0" borderId="1" xfId="0" applyNumberFormat="1" applyFont="1" applyFill="1" applyBorder="1"/>
    <xf numFmtId="0" fontId="8" fillId="0" borderId="0" xfId="4" applyNumberFormat="1" applyFont="1" applyAlignment="1"/>
    <xf numFmtId="0" fontId="8" fillId="0" borderId="0" xfId="4" applyNumberFormat="1" applyFont="1" applyAlignment="1" applyProtection="1">
      <protection locked="0"/>
    </xf>
    <xf numFmtId="0" fontId="7" fillId="0" borderId="0" xfId="4" applyNumberFormat="1" applyFont="1"/>
    <xf numFmtId="0" fontId="8" fillId="0" borderId="6" xfId="4" applyNumberFormat="1" applyFont="1" applyBorder="1" applyAlignment="1"/>
    <xf numFmtId="0" fontId="8" fillId="0" borderId="0" xfId="5" applyNumberFormat="1" applyFont="1" applyAlignment="1"/>
    <xf numFmtId="0" fontId="8" fillId="0" borderId="0" xfId="6" applyNumberFormat="1" applyFont="1" applyAlignment="1"/>
    <xf numFmtId="0" fontId="8" fillId="0" borderId="0" xfId="4" applyNumberFormat="1" applyFont="1" applyAlignment="1" applyProtection="1">
      <alignment horizontal="centerContinuous"/>
      <protection locked="0"/>
    </xf>
    <xf numFmtId="0" fontId="8" fillId="0" borderId="6" xfId="4" applyNumberFormat="1" applyFont="1" applyBorder="1" applyAlignment="1" applyProtection="1">
      <protection locked="0"/>
    </xf>
    <xf numFmtId="0" fontId="8" fillId="0" borderId="6" xfId="4" applyNumberFormat="1" applyFont="1" applyFill="1" applyBorder="1" applyAlignment="1" applyProtection="1">
      <protection locked="0"/>
    </xf>
    <xf numFmtId="0" fontId="8" fillId="0" borderId="0" xfId="4" applyNumberFormat="1" applyFont="1" applyAlignment="1" applyProtection="1">
      <alignment horizontal="center"/>
      <protection locked="0"/>
    </xf>
    <xf numFmtId="0" fontId="8" fillId="0" borderId="0" xfId="4" applyNumberFormat="1" applyFont="1" applyFill="1" applyAlignment="1" applyProtection="1">
      <protection locked="0"/>
    </xf>
    <xf numFmtId="165" fontId="7" fillId="0" borderId="0" xfId="7" applyNumberFormat="1" applyFont="1" applyFill="1" applyProtection="1">
      <protection locked="0"/>
    </xf>
    <xf numFmtId="0" fontId="7" fillId="0" borderId="0" xfId="8" applyFont="1" applyFill="1" applyProtection="1">
      <protection locked="0"/>
    </xf>
    <xf numFmtId="169" fontId="7" fillId="0" borderId="0" xfId="8" applyNumberFormat="1" applyFont="1" applyFill="1" applyProtection="1">
      <protection locked="0"/>
    </xf>
    <xf numFmtId="43" fontId="8" fillId="0" borderId="0" xfId="1" applyFont="1" applyFill="1" applyAlignment="1" applyProtection="1">
      <protection locked="0"/>
    </xf>
    <xf numFmtId="43" fontId="8" fillId="0" borderId="0" xfId="1" applyFont="1" applyAlignment="1" applyProtection="1">
      <protection locked="0"/>
    </xf>
    <xf numFmtId="170" fontId="8" fillId="0" borderId="0" xfId="4" applyNumberFormat="1" applyFont="1" applyAlignment="1"/>
    <xf numFmtId="169" fontId="7" fillId="0" borderId="7" xfId="8" applyNumberFormat="1" applyFont="1" applyFill="1" applyBorder="1" applyProtection="1">
      <protection locked="0"/>
    </xf>
    <xf numFmtId="165" fontId="8" fillId="0" borderId="0" xfId="4" applyNumberFormat="1" applyFont="1" applyFill="1" applyAlignment="1" applyProtection="1">
      <protection locked="0"/>
    </xf>
    <xf numFmtId="165" fontId="7" fillId="0" borderId="7" xfId="7" applyNumberFormat="1" applyFont="1" applyFill="1" applyBorder="1" applyProtection="1">
      <protection locked="0"/>
    </xf>
    <xf numFmtId="171" fontId="7" fillId="0" borderId="8" xfId="9" applyNumberFormat="1" applyFont="1" applyFill="1" applyBorder="1" applyProtection="1">
      <protection locked="0"/>
    </xf>
    <xf numFmtId="10" fontId="8" fillId="0" borderId="0" xfId="3" applyNumberFormat="1" applyFont="1" applyFill="1" applyAlignment="1" applyProtection="1">
      <protection locked="0"/>
    </xf>
    <xf numFmtId="166" fontId="12" fillId="0" borderId="0" xfId="10" applyNumberFormat="1" applyFill="1"/>
    <xf numFmtId="164" fontId="0" fillId="0" borderId="0" xfId="2" applyNumberFormat="1" applyFont="1" applyAlignment="1">
      <alignment horizontal="center"/>
    </xf>
  </cellXfs>
  <cellStyles count="11">
    <cellStyle name="Comma" xfId="1" builtinId="3"/>
    <cellStyle name="Comma 2" xfId="9"/>
    <cellStyle name="Currency" xfId="2" builtinId="4"/>
    <cellStyle name="Hyperlink" xfId="10" builtinId="8"/>
    <cellStyle name="Normal" xfId="0" builtinId="0"/>
    <cellStyle name="Normal 2" xfId="5"/>
    <cellStyle name="Normal 3 2" xfId="4"/>
    <cellStyle name="Normal_d-1a" xfId="6"/>
    <cellStyle name="Normal_SCHC58" xfId="8"/>
    <cellStyle name="Percent" xfId="3" builtinId="5"/>
    <cellStyle name="Percent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=@round('Expansion%20Factor%20new%20tax'!K38,4)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abSelected="1" workbookViewId="0">
      <selection activeCell="D32" sqref="D32"/>
    </sheetView>
  </sheetViews>
  <sheetFormatPr defaultRowHeight="15" x14ac:dyDescent="0.25"/>
  <cols>
    <col min="1" max="1" width="12.42578125" customWidth="1"/>
    <col min="2" max="2" width="58.140625" customWidth="1"/>
    <col min="3" max="3" width="13.42578125" customWidth="1"/>
    <col min="4" max="4" width="13.28515625" bestFit="1" customWidth="1"/>
    <col min="5" max="5" width="12.28515625" bestFit="1" customWidth="1"/>
    <col min="6" max="6" width="12.85546875" customWidth="1"/>
    <col min="7" max="7" width="12.5703125" customWidth="1"/>
    <col min="8" max="8" width="12.85546875" customWidth="1"/>
    <col min="9" max="16" width="12.7109375" customWidth="1"/>
    <col min="18" max="18" width="15.28515625" style="3" bestFit="1" customWidth="1"/>
    <col min="19" max="19" width="10" bestFit="1" customWidth="1"/>
  </cols>
  <sheetData>
    <row r="1" spans="1:18" ht="18.75" x14ac:dyDescent="0.3">
      <c r="B1" s="1" t="s">
        <v>0</v>
      </c>
      <c r="O1" s="2"/>
    </row>
    <row r="2" spans="1:18" x14ac:dyDescent="0.25">
      <c r="B2" s="4" t="s">
        <v>1</v>
      </c>
      <c r="O2" s="2"/>
    </row>
    <row r="3" spans="1:18" x14ac:dyDescent="0.25">
      <c r="B3" s="4" t="s">
        <v>2</v>
      </c>
      <c r="O3" s="2"/>
    </row>
    <row r="4" spans="1:18" x14ac:dyDescent="0.25">
      <c r="B4" s="4" t="s">
        <v>97</v>
      </c>
      <c r="O4" s="2"/>
    </row>
    <row r="5" spans="1:18" x14ac:dyDescent="0.25">
      <c r="P5" t="s">
        <v>96</v>
      </c>
    </row>
    <row r="6" spans="1:18" x14ac:dyDescent="0.25">
      <c r="A6" s="5"/>
      <c r="B6" s="6"/>
      <c r="C6" s="4" t="s">
        <v>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4" t="s">
        <v>5</v>
      </c>
      <c r="R6" s="3" t="s">
        <v>94</v>
      </c>
    </row>
    <row r="7" spans="1:18" x14ac:dyDescent="0.25">
      <c r="A7" s="7" t="s">
        <v>6</v>
      </c>
      <c r="B7" s="2"/>
      <c r="C7" s="8" t="s">
        <v>7</v>
      </c>
      <c r="D7" s="8" t="s">
        <v>8</v>
      </c>
      <c r="E7" s="8" t="s">
        <v>9</v>
      </c>
      <c r="F7" s="8" t="s">
        <v>10</v>
      </c>
      <c r="G7" s="8" t="s">
        <v>11</v>
      </c>
      <c r="H7" s="8" t="s">
        <v>12</v>
      </c>
      <c r="I7" s="8" t="s">
        <v>13</v>
      </c>
      <c r="J7" s="8" t="s">
        <v>14</v>
      </c>
      <c r="K7" s="8" t="s">
        <v>15</v>
      </c>
      <c r="L7" s="8" t="s">
        <v>16</v>
      </c>
      <c r="M7" s="8" t="s">
        <v>17</v>
      </c>
      <c r="N7" s="8" t="s">
        <v>18</v>
      </c>
      <c r="O7" s="8" t="s">
        <v>19</v>
      </c>
      <c r="P7" s="8" t="s">
        <v>20</v>
      </c>
      <c r="R7" s="67" t="s">
        <v>95</v>
      </c>
    </row>
    <row r="8" spans="1:18" x14ac:dyDescent="0.25">
      <c r="A8" s="2" t="s">
        <v>21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8" x14ac:dyDescent="0.25">
      <c r="A9" s="2"/>
      <c r="B9" s="2" t="s">
        <v>22</v>
      </c>
      <c r="C9" s="9"/>
      <c r="D9" s="9">
        <f>((10000000*0.33)*0.93)/12</f>
        <v>255750</v>
      </c>
      <c r="E9" s="9">
        <f t="shared" ref="E9:O9" si="0">((10000000*0.33)*0.93)/12</f>
        <v>255750</v>
      </c>
      <c r="F9" s="9">
        <f t="shared" si="0"/>
        <v>255750</v>
      </c>
      <c r="G9" s="9">
        <f t="shared" si="0"/>
        <v>255750</v>
      </c>
      <c r="H9" s="9">
        <f t="shared" si="0"/>
        <v>255750</v>
      </c>
      <c r="I9" s="9">
        <f t="shared" si="0"/>
        <v>255750</v>
      </c>
      <c r="J9" s="9">
        <f t="shared" si="0"/>
        <v>255750</v>
      </c>
      <c r="K9" s="9">
        <f t="shared" si="0"/>
        <v>255750</v>
      </c>
      <c r="L9" s="9">
        <f t="shared" si="0"/>
        <v>255750</v>
      </c>
      <c r="M9" s="9">
        <f t="shared" si="0"/>
        <v>255750</v>
      </c>
      <c r="N9" s="9">
        <f t="shared" si="0"/>
        <v>255750</v>
      </c>
      <c r="O9" s="9">
        <f t="shared" si="0"/>
        <v>255750</v>
      </c>
      <c r="P9" s="9">
        <f t="shared" ref="P9:P14" si="1">SUM(D9:O9)</f>
        <v>3069000</v>
      </c>
      <c r="R9" s="3">
        <v>3069000</v>
      </c>
    </row>
    <row r="10" spans="1:18" x14ac:dyDescent="0.25">
      <c r="A10" s="2"/>
      <c r="B10" s="2" t="s">
        <v>23</v>
      </c>
      <c r="C10" s="9"/>
      <c r="D10" s="10">
        <f>-ROUND(D9*0.95,0)</f>
        <v>-242963</v>
      </c>
      <c r="E10" s="10">
        <f t="shared" ref="E10:O10" si="2">-ROUND(E9*0.95,0)</f>
        <v>-242963</v>
      </c>
      <c r="F10" s="10">
        <f t="shared" si="2"/>
        <v>-242963</v>
      </c>
      <c r="G10" s="10">
        <f t="shared" si="2"/>
        <v>-242963</v>
      </c>
      <c r="H10" s="10">
        <f t="shared" si="2"/>
        <v>-242963</v>
      </c>
      <c r="I10" s="10">
        <f t="shared" si="2"/>
        <v>-242963</v>
      </c>
      <c r="J10" s="10">
        <f t="shared" si="2"/>
        <v>-242963</v>
      </c>
      <c r="K10" s="10">
        <f t="shared" si="2"/>
        <v>-242963</v>
      </c>
      <c r="L10" s="10">
        <f t="shared" si="2"/>
        <v>-242963</v>
      </c>
      <c r="M10" s="10">
        <f t="shared" si="2"/>
        <v>-242963</v>
      </c>
      <c r="N10" s="10">
        <f t="shared" si="2"/>
        <v>-242963</v>
      </c>
      <c r="O10" s="10">
        <f t="shared" si="2"/>
        <v>-242963</v>
      </c>
      <c r="P10" s="9">
        <f t="shared" si="1"/>
        <v>-2915556</v>
      </c>
      <c r="R10" s="3">
        <v>-2915556</v>
      </c>
    </row>
    <row r="11" spans="1:18" x14ac:dyDescent="0.25">
      <c r="A11" s="2"/>
      <c r="B11" s="2" t="s">
        <v>24</v>
      </c>
      <c r="C11" s="11"/>
      <c r="D11" s="9">
        <f>((10000000*0.33)*0.07)/12</f>
        <v>19250.000000000004</v>
      </c>
      <c r="E11" s="9">
        <f t="shared" ref="E11:O11" si="3">((10000000*0.33)*0.07)/12</f>
        <v>19250.000000000004</v>
      </c>
      <c r="F11" s="9">
        <f t="shared" si="3"/>
        <v>19250.000000000004</v>
      </c>
      <c r="G11" s="9">
        <f t="shared" si="3"/>
        <v>19250.000000000004</v>
      </c>
      <c r="H11" s="9">
        <f t="shared" si="3"/>
        <v>19250.000000000004</v>
      </c>
      <c r="I11" s="9">
        <f t="shared" si="3"/>
        <v>19250.000000000004</v>
      </c>
      <c r="J11" s="9">
        <f t="shared" si="3"/>
        <v>19250.000000000004</v>
      </c>
      <c r="K11" s="9">
        <f t="shared" si="3"/>
        <v>19250.000000000004</v>
      </c>
      <c r="L11" s="9">
        <f t="shared" si="3"/>
        <v>19250.000000000004</v>
      </c>
      <c r="M11" s="9">
        <f t="shared" si="3"/>
        <v>19250.000000000004</v>
      </c>
      <c r="N11" s="9">
        <f t="shared" si="3"/>
        <v>19250.000000000004</v>
      </c>
      <c r="O11" s="9">
        <f t="shared" si="3"/>
        <v>19250.000000000004</v>
      </c>
      <c r="P11" s="9">
        <f t="shared" si="1"/>
        <v>231000.00000000003</v>
      </c>
      <c r="R11" s="3">
        <v>231000.00000000003</v>
      </c>
    </row>
    <row r="12" spans="1:18" x14ac:dyDescent="0.25">
      <c r="A12" s="2"/>
      <c r="B12" s="2" t="s">
        <v>25</v>
      </c>
      <c r="C12" s="11"/>
      <c r="D12" s="10">
        <f>-D11</f>
        <v>-19250.000000000004</v>
      </c>
      <c r="E12" s="10">
        <f t="shared" ref="E12:O12" si="4">-E11</f>
        <v>-19250.000000000004</v>
      </c>
      <c r="F12" s="10">
        <f t="shared" si="4"/>
        <v>-19250.000000000004</v>
      </c>
      <c r="G12" s="10">
        <f t="shared" si="4"/>
        <v>-19250.000000000004</v>
      </c>
      <c r="H12" s="10">
        <f t="shared" si="4"/>
        <v>-19250.000000000004</v>
      </c>
      <c r="I12" s="10">
        <f t="shared" si="4"/>
        <v>-19250.000000000004</v>
      </c>
      <c r="J12" s="10">
        <f t="shared" si="4"/>
        <v>-19250.000000000004</v>
      </c>
      <c r="K12" s="10">
        <f t="shared" si="4"/>
        <v>-19250.000000000004</v>
      </c>
      <c r="L12" s="10">
        <f t="shared" si="4"/>
        <v>-19250.000000000004</v>
      </c>
      <c r="M12" s="10">
        <f t="shared" si="4"/>
        <v>-19250.000000000004</v>
      </c>
      <c r="N12" s="10">
        <f t="shared" si="4"/>
        <v>-19250.000000000004</v>
      </c>
      <c r="O12" s="10">
        <f t="shared" si="4"/>
        <v>-19250.000000000004</v>
      </c>
      <c r="P12" s="9">
        <f t="shared" si="1"/>
        <v>-231000.00000000003</v>
      </c>
      <c r="R12" s="3">
        <v>-231000.00000000003</v>
      </c>
    </row>
    <row r="13" spans="1:18" x14ac:dyDescent="0.25">
      <c r="A13" s="2"/>
      <c r="B13" s="2" t="s">
        <v>26</v>
      </c>
      <c r="C13" s="11"/>
      <c r="D13" s="9">
        <f>-D10</f>
        <v>242963</v>
      </c>
      <c r="E13" s="9">
        <f>-E10</f>
        <v>242963</v>
      </c>
      <c r="F13" s="9">
        <f t="shared" ref="F13:O13" si="5">-F10</f>
        <v>242963</v>
      </c>
      <c r="G13" s="9">
        <f t="shared" si="5"/>
        <v>242963</v>
      </c>
      <c r="H13" s="9">
        <f t="shared" si="5"/>
        <v>242963</v>
      </c>
      <c r="I13" s="9">
        <f t="shared" si="5"/>
        <v>242963</v>
      </c>
      <c r="J13" s="9">
        <f t="shared" si="5"/>
        <v>242963</v>
      </c>
      <c r="K13" s="9">
        <f t="shared" si="5"/>
        <v>242963</v>
      </c>
      <c r="L13" s="9">
        <f t="shared" si="5"/>
        <v>242963</v>
      </c>
      <c r="M13" s="9">
        <f t="shared" si="5"/>
        <v>242963</v>
      </c>
      <c r="N13" s="9">
        <f t="shared" si="5"/>
        <v>242963</v>
      </c>
      <c r="O13" s="9">
        <f t="shared" si="5"/>
        <v>242963</v>
      </c>
      <c r="P13" s="9">
        <f t="shared" si="1"/>
        <v>2915556</v>
      </c>
      <c r="R13" s="3">
        <v>2915556</v>
      </c>
    </row>
    <row r="14" spans="1:18" x14ac:dyDescent="0.25">
      <c r="A14" s="2"/>
      <c r="B14" s="2" t="s">
        <v>27</v>
      </c>
      <c r="C14" s="11"/>
      <c r="D14" s="9">
        <f>-D12</f>
        <v>19250.000000000004</v>
      </c>
      <c r="E14" s="9">
        <f>-E12</f>
        <v>19250.000000000004</v>
      </c>
      <c r="F14" s="9">
        <f t="shared" ref="F14:O14" si="6">-F12</f>
        <v>19250.000000000004</v>
      </c>
      <c r="G14" s="9">
        <f t="shared" si="6"/>
        <v>19250.000000000004</v>
      </c>
      <c r="H14" s="9">
        <f t="shared" si="6"/>
        <v>19250.000000000004</v>
      </c>
      <c r="I14" s="9">
        <f t="shared" si="6"/>
        <v>19250.000000000004</v>
      </c>
      <c r="J14" s="9">
        <f t="shared" si="6"/>
        <v>19250.000000000004</v>
      </c>
      <c r="K14" s="9">
        <f t="shared" si="6"/>
        <v>19250.000000000004</v>
      </c>
      <c r="L14" s="9">
        <f t="shared" si="6"/>
        <v>19250.000000000004</v>
      </c>
      <c r="M14" s="9">
        <f t="shared" si="6"/>
        <v>19250.000000000004</v>
      </c>
      <c r="N14" s="9">
        <f t="shared" si="6"/>
        <v>19250.000000000004</v>
      </c>
      <c r="O14" s="9">
        <f t="shared" si="6"/>
        <v>19250.000000000004</v>
      </c>
      <c r="P14" s="9">
        <f t="shared" si="1"/>
        <v>231000.00000000003</v>
      </c>
      <c r="R14" s="3">
        <v>231000.00000000003</v>
      </c>
    </row>
    <row r="15" spans="1:18" x14ac:dyDescent="0.25">
      <c r="A15" s="2"/>
      <c r="B15" s="2"/>
      <c r="C15" s="11"/>
      <c r="D15" s="9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spans="1:18" x14ac:dyDescent="0.25">
      <c r="A16" s="2"/>
      <c r="B16" s="2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8" x14ac:dyDescent="0.25">
      <c r="A17" s="2"/>
      <c r="B17" s="2" t="s">
        <v>28</v>
      </c>
      <c r="C17" s="9">
        <v>389379.07000000263</v>
      </c>
      <c r="D17" s="9">
        <f>C17+D9+D10</f>
        <v>402166.07000000263</v>
      </c>
      <c r="E17" s="9">
        <f t="shared" ref="E17:O17" si="7">D17+E9+E10</f>
        <v>414953.07000000263</v>
      </c>
      <c r="F17" s="9">
        <f t="shared" si="7"/>
        <v>427740.07000000263</v>
      </c>
      <c r="G17" s="9">
        <f t="shared" si="7"/>
        <v>440527.07000000263</v>
      </c>
      <c r="H17" s="9">
        <f t="shared" si="7"/>
        <v>453314.07000000263</v>
      </c>
      <c r="I17" s="9">
        <f t="shared" si="7"/>
        <v>466101.07000000263</v>
      </c>
      <c r="J17" s="9">
        <f t="shared" si="7"/>
        <v>478888.07000000263</v>
      </c>
      <c r="K17" s="9">
        <f t="shared" si="7"/>
        <v>491675.07000000263</v>
      </c>
      <c r="L17" s="9">
        <f t="shared" si="7"/>
        <v>504462.07000000263</v>
      </c>
      <c r="M17" s="9">
        <f t="shared" si="7"/>
        <v>517249.07000000263</v>
      </c>
      <c r="N17" s="9">
        <f t="shared" si="7"/>
        <v>530036.07000000263</v>
      </c>
      <c r="O17" s="9">
        <f t="shared" si="7"/>
        <v>542823.07000000263</v>
      </c>
      <c r="P17" s="9">
        <f>+O17</f>
        <v>542823.07000000263</v>
      </c>
      <c r="R17" s="3">
        <v>542823.07000000263</v>
      </c>
    </row>
    <row r="18" spans="1:18" x14ac:dyDescent="0.25">
      <c r="A18" s="2"/>
      <c r="B18" s="2" t="s">
        <v>29</v>
      </c>
      <c r="C18" s="9">
        <v>20780.169999999955</v>
      </c>
      <c r="D18" s="11">
        <f>C18+D11+D12</f>
        <v>20780.169999999951</v>
      </c>
      <c r="E18" s="11">
        <f t="shared" ref="E18:O18" si="8">D18+E11+E12</f>
        <v>20780.169999999951</v>
      </c>
      <c r="F18" s="11">
        <f t="shared" si="8"/>
        <v>20780.169999999951</v>
      </c>
      <c r="G18" s="11">
        <f t="shared" si="8"/>
        <v>20780.169999999951</v>
      </c>
      <c r="H18" s="11">
        <f t="shared" si="8"/>
        <v>20780.169999999951</v>
      </c>
      <c r="I18" s="11">
        <f t="shared" si="8"/>
        <v>20780.169999999951</v>
      </c>
      <c r="J18" s="11">
        <f t="shared" si="8"/>
        <v>20780.169999999951</v>
      </c>
      <c r="K18" s="11">
        <f t="shared" si="8"/>
        <v>20780.169999999951</v>
      </c>
      <c r="L18" s="11">
        <f t="shared" si="8"/>
        <v>20780.169999999951</v>
      </c>
      <c r="M18" s="11">
        <f t="shared" si="8"/>
        <v>20780.169999999951</v>
      </c>
      <c r="N18" s="11">
        <f t="shared" si="8"/>
        <v>20780.169999999951</v>
      </c>
      <c r="O18" s="11">
        <f t="shared" si="8"/>
        <v>20780.169999999951</v>
      </c>
      <c r="P18" s="9">
        <f>+O18</f>
        <v>20780.169999999951</v>
      </c>
      <c r="R18" s="3">
        <v>20780.169999999951</v>
      </c>
    </row>
    <row r="19" spans="1:18" x14ac:dyDescent="0.25">
      <c r="A19" s="2"/>
      <c r="B19" s="2" t="s">
        <v>30</v>
      </c>
      <c r="C19" s="9">
        <v>23122535.220000003</v>
      </c>
      <c r="D19" s="11">
        <f>C19+D13</f>
        <v>23365498.220000003</v>
      </c>
      <c r="E19" s="11">
        <f t="shared" ref="E19:O20" si="9">D19+E13</f>
        <v>23608461.220000003</v>
      </c>
      <c r="F19" s="11">
        <f t="shared" si="9"/>
        <v>23851424.220000003</v>
      </c>
      <c r="G19" s="11">
        <f t="shared" si="9"/>
        <v>24094387.220000003</v>
      </c>
      <c r="H19" s="11">
        <f t="shared" si="9"/>
        <v>24337350.220000003</v>
      </c>
      <c r="I19" s="11">
        <f t="shared" si="9"/>
        <v>24580313.220000003</v>
      </c>
      <c r="J19" s="11">
        <f t="shared" si="9"/>
        <v>24823276.220000003</v>
      </c>
      <c r="K19" s="11">
        <f t="shared" si="9"/>
        <v>25066239.220000003</v>
      </c>
      <c r="L19" s="11">
        <f t="shared" si="9"/>
        <v>25309202.220000003</v>
      </c>
      <c r="M19" s="11">
        <f t="shared" si="9"/>
        <v>25552165.220000003</v>
      </c>
      <c r="N19" s="11">
        <f t="shared" si="9"/>
        <v>25795128.220000003</v>
      </c>
      <c r="O19" s="11">
        <f t="shared" si="9"/>
        <v>26038091.220000003</v>
      </c>
      <c r="P19" s="9">
        <f>+O19</f>
        <v>26038091.220000003</v>
      </c>
      <c r="R19" s="3">
        <v>26038091.220000003</v>
      </c>
    </row>
    <row r="20" spans="1:18" x14ac:dyDescent="0.25">
      <c r="A20" s="2"/>
      <c r="B20" s="2" t="s">
        <v>31</v>
      </c>
      <c r="C20" s="9">
        <v>2065238.5699999996</v>
      </c>
      <c r="D20" s="11">
        <f>C20+D14</f>
        <v>2084488.5699999996</v>
      </c>
      <c r="E20" s="11">
        <f t="shared" si="9"/>
        <v>2103738.5699999998</v>
      </c>
      <c r="F20" s="11">
        <f t="shared" si="9"/>
        <v>2122988.5699999998</v>
      </c>
      <c r="G20" s="11">
        <f t="shared" si="9"/>
        <v>2142238.5699999998</v>
      </c>
      <c r="H20" s="11">
        <f t="shared" si="9"/>
        <v>2161488.5699999998</v>
      </c>
      <c r="I20" s="11">
        <f t="shared" si="9"/>
        <v>2180738.5699999998</v>
      </c>
      <c r="J20" s="11">
        <f t="shared" si="9"/>
        <v>2199988.5699999998</v>
      </c>
      <c r="K20" s="11">
        <f t="shared" si="9"/>
        <v>2219238.5699999998</v>
      </c>
      <c r="L20" s="11">
        <f t="shared" si="9"/>
        <v>2238488.5699999998</v>
      </c>
      <c r="M20" s="11">
        <f t="shared" si="9"/>
        <v>2257738.5699999998</v>
      </c>
      <c r="N20" s="11">
        <f t="shared" si="9"/>
        <v>2276988.5699999998</v>
      </c>
      <c r="O20" s="11">
        <f t="shared" si="9"/>
        <v>2296238.5699999998</v>
      </c>
      <c r="P20" s="9">
        <f>+O20</f>
        <v>2296238.5699999998</v>
      </c>
      <c r="R20" s="3">
        <v>2296238.5699999998</v>
      </c>
    </row>
    <row r="21" spans="1:18" ht="15.75" thickBot="1" x14ac:dyDescent="0.3">
      <c r="A21" s="2"/>
      <c r="B21" s="2" t="s">
        <v>32</v>
      </c>
      <c r="C21" s="12">
        <f>SUM(C17:C20)</f>
        <v>25597933.030000005</v>
      </c>
      <c r="D21" s="12">
        <f t="shared" ref="D21:P21" si="10">SUM(D17:D20)</f>
        <v>25872933.030000005</v>
      </c>
      <c r="E21" s="12">
        <f t="shared" si="10"/>
        <v>26147933.030000005</v>
      </c>
      <c r="F21" s="12">
        <f t="shared" si="10"/>
        <v>26422933.030000005</v>
      </c>
      <c r="G21" s="12">
        <f t="shared" si="10"/>
        <v>26697933.030000005</v>
      </c>
      <c r="H21" s="12">
        <f t="shared" si="10"/>
        <v>26972933.030000005</v>
      </c>
      <c r="I21" s="12">
        <f t="shared" si="10"/>
        <v>27247933.030000005</v>
      </c>
      <c r="J21" s="12">
        <f t="shared" si="10"/>
        <v>27522933.030000005</v>
      </c>
      <c r="K21" s="12">
        <f t="shared" si="10"/>
        <v>27797933.030000005</v>
      </c>
      <c r="L21" s="12">
        <f t="shared" si="10"/>
        <v>28072933.030000005</v>
      </c>
      <c r="M21" s="12">
        <f t="shared" si="10"/>
        <v>28347933.030000005</v>
      </c>
      <c r="N21" s="12">
        <f t="shared" si="10"/>
        <v>28622933.030000005</v>
      </c>
      <c r="O21" s="12">
        <f t="shared" si="10"/>
        <v>28897933.030000005</v>
      </c>
      <c r="P21" s="12">
        <f t="shared" si="10"/>
        <v>28897933.030000005</v>
      </c>
      <c r="R21" s="3">
        <v>28897933.030000005</v>
      </c>
    </row>
    <row r="22" spans="1:18" ht="15.75" thickTop="1" x14ac:dyDescent="0.25">
      <c r="A22" s="2"/>
      <c r="B22" s="2"/>
      <c r="C22" s="2"/>
      <c r="D22" s="11"/>
      <c r="E22" s="11"/>
      <c r="F22" s="11"/>
      <c r="G22" s="11"/>
      <c r="H22" s="11"/>
      <c r="I22" s="9"/>
      <c r="J22" s="9"/>
      <c r="K22" s="9"/>
      <c r="L22" s="9"/>
      <c r="M22" s="9"/>
      <c r="N22" s="9"/>
      <c r="O22" s="9"/>
      <c r="P22" s="9"/>
    </row>
    <row r="23" spans="1:18" x14ac:dyDescent="0.25">
      <c r="A23" s="2"/>
      <c r="B23" s="2" t="s">
        <v>33</v>
      </c>
      <c r="C23" s="13">
        <v>-1597962</v>
      </c>
      <c r="D23" s="11">
        <f t="shared" ref="D23:O23" si="11">C23-D41-D42</f>
        <v>-1652708</v>
      </c>
      <c r="E23" s="11">
        <f t="shared" si="11"/>
        <v>-1708023</v>
      </c>
      <c r="F23" s="11">
        <f t="shared" si="11"/>
        <v>-1763908</v>
      </c>
      <c r="G23" s="11">
        <f t="shared" si="11"/>
        <v>-1820363</v>
      </c>
      <c r="H23" s="11">
        <f t="shared" si="11"/>
        <v>-1877388</v>
      </c>
      <c r="I23" s="11">
        <f t="shared" si="11"/>
        <v>-1934982</v>
      </c>
      <c r="J23" s="11">
        <f t="shared" si="11"/>
        <v>-1993146</v>
      </c>
      <c r="K23" s="11">
        <f t="shared" si="11"/>
        <v>-2051880</v>
      </c>
      <c r="L23" s="11">
        <f t="shared" si="11"/>
        <v>-2111183</v>
      </c>
      <c r="M23" s="11">
        <f t="shared" si="11"/>
        <v>-2171057</v>
      </c>
      <c r="N23" s="11">
        <f t="shared" si="11"/>
        <v>-2231500</v>
      </c>
      <c r="O23" s="11">
        <f t="shared" si="11"/>
        <v>-2292512</v>
      </c>
      <c r="P23" s="11">
        <f>+O23</f>
        <v>-2292512</v>
      </c>
      <c r="R23" s="3">
        <v>-2292512</v>
      </c>
    </row>
    <row r="24" spans="1:18" ht="15.75" thickBot="1" x14ac:dyDescent="0.3">
      <c r="A24" s="2"/>
      <c r="B24" s="2" t="s">
        <v>34</v>
      </c>
      <c r="C24" s="12">
        <f>C21+C23</f>
        <v>23999971.030000005</v>
      </c>
      <c r="D24" s="12">
        <f>D21+D23</f>
        <v>24220225.030000005</v>
      </c>
      <c r="E24" s="12">
        <f t="shared" ref="E24:O24" si="12">E21+E23</f>
        <v>24439910.030000005</v>
      </c>
      <c r="F24" s="12">
        <f t="shared" si="12"/>
        <v>24659025.030000005</v>
      </c>
      <c r="G24" s="12">
        <f t="shared" si="12"/>
        <v>24877570.030000005</v>
      </c>
      <c r="H24" s="12">
        <f t="shared" si="12"/>
        <v>25095545.030000005</v>
      </c>
      <c r="I24" s="12">
        <f t="shared" si="12"/>
        <v>25312951.030000005</v>
      </c>
      <c r="J24" s="12">
        <f t="shared" si="12"/>
        <v>25529787.030000005</v>
      </c>
      <c r="K24" s="12">
        <f t="shared" si="12"/>
        <v>25746053.030000005</v>
      </c>
      <c r="L24" s="12">
        <f t="shared" si="12"/>
        <v>25961750.030000005</v>
      </c>
      <c r="M24" s="12">
        <f t="shared" si="12"/>
        <v>26176876.030000005</v>
      </c>
      <c r="N24" s="12">
        <f t="shared" si="12"/>
        <v>26391433.030000005</v>
      </c>
      <c r="O24" s="12">
        <f t="shared" si="12"/>
        <v>26605421.030000005</v>
      </c>
      <c r="P24" s="12">
        <f>P21+P23</f>
        <v>26605421.030000005</v>
      </c>
      <c r="R24" s="3">
        <v>26605421.030000005</v>
      </c>
    </row>
    <row r="25" spans="1:18" ht="16.5" thickTop="1" thickBot="1" x14ac:dyDescent="0.3">
      <c r="A25" s="2"/>
      <c r="B25" s="14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</row>
    <row r="26" spans="1:18" ht="16.5" thickTop="1" thickBot="1" x14ac:dyDescent="0.3">
      <c r="A26" s="2"/>
      <c r="B26" s="14" t="s">
        <v>35</v>
      </c>
      <c r="C26" s="11"/>
      <c r="D26" s="15">
        <f>ROUND((+C24+D24)/2,0)</f>
        <v>24110098</v>
      </c>
      <c r="E26" s="15">
        <f t="shared" ref="E26:O26" si="13">ROUND((+D24+E24)/2,0)</f>
        <v>24330068</v>
      </c>
      <c r="F26" s="15">
        <f t="shared" si="13"/>
        <v>24549468</v>
      </c>
      <c r="G26" s="15">
        <f t="shared" si="13"/>
        <v>24768298</v>
      </c>
      <c r="H26" s="15">
        <f t="shared" si="13"/>
        <v>24986558</v>
      </c>
      <c r="I26" s="15">
        <f t="shared" si="13"/>
        <v>25204248</v>
      </c>
      <c r="J26" s="15">
        <f t="shared" si="13"/>
        <v>25421369</v>
      </c>
      <c r="K26" s="15">
        <f t="shared" si="13"/>
        <v>25637920</v>
      </c>
      <c r="L26" s="15">
        <f t="shared" si="13"/>
        <v>25853902</v>
      </c>
      <c r="M26" s="15">
        <f t="shared" si="13"/>
        <v>26069313</v>
      </c>
      <c r="N26" s="15">
        <f t="shared" si="13"/>
        <v>26284155</v>
      </c>
      <c r="O26" s="15">
        <f t="shared" si="13"/>
        <v>26498427</v>
      </c>
      <c r="P26" s="11"/>
    </row>
    <row r="27" spans="1:18" ht="15.75" thickTop="1" x14ac:dyDescent="0.25">
      <c r="A27" s="2"/>
      <c r="B27" s="14"/>
      <c r="C27" s="14"/>
      <c r="D27" s="16"/>
      <c r="E27" s="16"/>
      <c r="F27" s="16"/>
      <c r="G27" s="16"/>
      <c r="H27" s="16"/>
      <c r="I27" s="14"/>
      <c r="J27" s="2"/>
      <c r="K27" s="2"/>
      <c r="L27" s="2"/>
      <c r="M27" s="2"/>
      <c r="N27" s="2"/>
      <c r="O27" s="2"/>
      <c r="P27" s="2"/>
    </row>
    <row r="28" spans="1:18" x14ac:dyDescent="0.25">
      <c r="A28" s="2" t="s">
        <v>36</v>
      </c>
      <c r="B28" s="2"/>
      <c r="C28" s="2"/>
      <c r="D28" s="16"/>
      <c r="E28" s="16"/>
      <c r="F28" s="16"/>
      <c r="G28" s="16"/>
      <c r="H28" s="16"/>
      <c r="I28" s="2"/>
      <c r="J28" s="2"/>
      <c r="K28" s="2"/>
      <c r="L28" s="2"/>
      <c r="M28" s="2"/>
      <c r="N28" s="2"/>
      <c r="O28" s="2"/>
      <c r="P28" s="2"/>
    </row>
    <row r="29" spans="1:18" x14ac:dyDescent="0.25">
      <c r="A29" s="2"/>
      <c r="B29" s="2" t="s">
        <v>37</v>
      </c>
      <c r="C29" s="2"/>
      <c r="D29" s="17">
        <v>2.5999999999999999E-2</v>
      </c>
      <c r="E29" s="17">
        <v>2.5999999999999999E-2</v>
      </c>
      <c r="F29" s="17">
        <v>2.5999999999999999E-2</v>
      </c>
      <c r="G29" s="17">
        <v>2.5999999999999999E-2</v>
      </c>
      <c r="H29" s="17">
        <v>2.5999999999999999E-2</v>
      </c>
      <c r="I29" s="17">
        <v>2.5999999999999999E-2</v>
      </c>
      <c r="J29" s="17">
        <v>2.5999999999999999E-2</v>
      </c>
      <c r="K29" s="17">
        <v>2.5999999999999999E-2</v>
      </c>
      <c r="L29" s="17">
        <v>2.5999999999999999E-2</v>
      </c>
      <c r="M29" s="17">
        <v>2.5999999999999999E-2</v>
      </c>
      <c r="N29" s="17">
        <v>2.5999999999999999E-2</v>
      </c>
      <c r="O29" s="17">
        <v>2.5999999999999999E-2</v>
      </c>
      <c r="P29" s="2"/>
    </row>
    <row r="30" spans="1:18" x14ac:dyDescent="0.25">
      <c r="A30" s="2"/>
      <c r="B30" s="2" t="s">
        <v>38</v>
      </c>
      <c r="C30" s="2"/>
      <c r="D30" s="17">
        <v>2.7E-2</v>
      </c>
      <c r="E30" s="17">
        <v>2.7E-2</v>
      </c>
      <c r="F30" s="17">
        <v>2.7E-2</v>
      </c>
      <c r="G30" s="17">
        <v>2.7E-2</v>
      </c>
      <c r="H30" s="17">
        <v>2.7E-2</v>
      </c>
      <c r="I30" s="17">
        <v>2.7E-2</v>
      </c>
      <c r="J30" s="17">
        <v>2.7E-2</v>
      </c>
      <c r="K30" s="17">
        <v>2.7E-2</v>
      </c>
      <c r="L30" s="17">
        <v>2.7E-2</v>
      </c>
      <c r="M30" s="17">
        <v>2.7E-2</v>
      </c>
      <c r="N30" s="17">
        <v>2.7E-2</v>
      </c>
      <c r="O30" s="17">
        <v>2.7E-2</v>
      </c>
      <c r="P30" s="2"/>
    </row>
    <row r="31" spans="1:18" x14ac:dyDescent="0.25">
      <c r="A31" s="2"/>
      <c r="B31" s="2"/>
      <c r="C31" s="2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2"/>
    </row>
    <row r="32" spans="1:18" x14ac:dyDescent="0.25">
      <c r="A32" s="2" t="s">
        <v>39</v>
      </c>
      <c r="B32" s="2"/>
      <c r="C32" s="2"/>
      <c r="D32" s="4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9" x14ac:dyDescent="0.25">
      <c r="A33" s="2"/>
      <c r="B33" s="2" t="s">
        <v>40</v>
      </c>
      <c r="C33" s="2"/>
      <c r="D33" s="18">
        <f>'Return-new tax exp factor'!D12</f>
        <v>6.157E-2</v>
      </c>
      <c r="E33" s="19">
        <f>D33</f>
        <v>6.157E-2</v>
      </c>
      <c r="F33" s="19">
        <f t="shared" ref="F33:O34" si="14">E33</f>
        <v>6.157E-2</v>
      </c>
      <c r="G33" s="19">
        <f t="shared" si="14"/>
        <v>6.157E-2</v>
      </c>
      <c r="H33" s="19">
        <f t="shared" si="14"/>
        <v>6.157E-2</v>
      </c>
      <c r="I33" s="19">
        <f t="shared" si="14"/>
        <v>6.157E-2</v>
      </c>
      <c r="J33" s="19">
        <f t="shared" si="14"/>
        <v>6.157E-2</v>
      </c>
      <c r="K33" s="19">
        <f t="shared" si="14"/>
        <v>6.157E-2</v>
      </c>
      <c r="L33" s="19">
        <f t="shared" si="14"/>
        <v>6.157E-2</v>
      </c>
      <c r="M33" s="19">
        <f t="shared" si="14"/>
        <v>6.157E-2</v>
      </c>
      <c r="N33" s="19">
        <f t="shared" si="14"/>
        <v>6.157E-2</v>
      </c>
      <c r="O33" s="19">
        <f t="shared" si="14"/>
        <v>6.157E-2</v>
      </c>
      <c r="P33" s="2"/>
    </row>
    <row r="34" spans="1:19" x14ac:dyDescent="0.25">
      <c r="A34" s="2"/>
      <c r="B34" s="2" t="s">
        <v>41</v>
      </c>
      <c r="C34" s="2"/>
      <c r="D34" s="18">
        <f>'Return-new tax exp factor'!D19</f>
        <v>1.0799999999999999E-2</v>
      </c>
      <c r="E34" s="19">
        <f>D34</f>
        <v>1.0799999999999999E-2</v>
      </c>
      <c r="F34" s="19">
        <f t="shared" si="14"/>
        <v>1.0799999999999999E-2</v>
      </c>
      <c r="G34" s="19">
        <f t="shared" si="14"/>
        <v>1.0799999999999999E-2</v>
      </c>
      <c r="H34" s="19">
        <f t="shared" si="14"/>
        <v>1.0799999999999999E-2</v>
      </c>
      <c r="I34" s="19">
        <f t="shared" si="14"/>
        <v>1.0799999999999999E-2</v>
      </c>
      <c r="J34" s="19">
        <f t="shared" si="14"/>
        <v>1.0799999999999999E-2</v>
      </c>
      <c r="K34" s="19">
        <f t="shared" si="14"/>
        <v>1.0799999999999999E-2</v>
      </c>
      <c r="L34" s="19">
        <f t="shared" si="14"/>
        <v>1.0799999999999999E-2</v>
      </c>
      <c r="M34" s="19">
        <f t="shared" si="14"/>
        <v>1.0799999999999999E-2</v>
      </c>
      <c r="N34" s="19">
        <f t="shared" si="14"/>
        <v>1.0799999999999999E-2</v>
      </c>
      <c r="O34" s="19">
        <f t="shared" si="14"/>
        <v>1.0799999999999999E-2</v>
      </c>
      <c r="P34" s="2"/>
    </row>
    <row r="35" spans="1:19" x14ac:dyDescent="0.25">
      <c r="A35" s="2"/>
      <c r="B35" s="2"/>
      <c r="C35" s="2"/>
      <c r="D35" s="2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9" x14ac:dyDescent="0.25">
      <c r="A36" s="2"/>
      <c r="B36" s="2" t="s">
        <v>42</v>
      </c>
      <c r="C36" s="2"/>
      <c r="D36" s="21">
        <f t="shared" ref="D36:O36" si="15">D26*D33/12</f>
        <v>123704.89448833333</v>
      </c>
      <c r="E36" s="11">
        <f t="shared" si="15"/>
        <v>124833.52389666667</v>
      </c>
      <c r="F36" s="11">
        <f t="shared" si="15"/>
        <v>125959.22872999999</v>
      </c>
      <c r="G36" s="11">
        <f t="shared" si="15"/>
        <v>127082.00898833334</v>
      </c>
      <c r="H36" s="11">
        <f t="shared" si="15"/>
        <v>128201.86467166666</v>
      </c>
      <c r="I36" s="11">
        <f t="shared" si="15"/>
        <v>129318.79578</v>
      </c>
      <c r="J36" s="11">
        <f>J26*J33/12</f>
        <v>130432.80744416667</v>
      </c>
      <c r="K36" s="11">
        <f t="shared" si="15"/>
        <v>131543.89453333334</v>
      </c>
      <c r="L36" s="11">
        <f t="shared" si="15"/>
        <v>132652.06217833332</v>
      </c>
      <c r="M36" s="11">
        <f t="shared" si="15"/>
        <v>133757.30011749998</v>
      </c>
      <c r="N36" s="11">
        <f t="shared" si="15"/>
        <v>134859.61861249999</v>
      </c>
      <c r="O36" s="11">
        <f t="shared" si="15"/>
        <v>135959.0125325</v>
      </c>
      <c r="P36" s="9">
        <f>SUM(D36:O36)</f>
        <v>1558305.0119733333</v>
      </c>
      <c r="R36" s="3">
        <v>1917193.5139999997</v>
      </c>
    </row>
    <row r="37" spans="1:19" x14ac:dyDescent="0.25">
      <c r="A37" s="2"/>
      <c r="B37" s="2" t="s">
        <v>43</v>
      </c>
      <c r="C37" s="2"/>
      <c r="D37" s="22">
        <f t="shared" ref="D37:O37" si="16">D26*D34/12</f>
        <v>21699.088199999998</v>
      </c>
      <c r="E37" s="13">
        <f t="shared" si="16"/>
        <v>21897.061199999996</v>
      </c>
      <c r="F37" s="13">
        <f t="shared" si="16"/>
        <v>22094.521199999999</v>
      </c>
      <c r="G37" s="13">
        <f t="shared" si="16"/>
        <v>22291.468199999999</v>
      </c>
      <c r="H37" s="13">
        <f t="shared" si="16"/>
        <v>22487.902199999997</v>
      </c>
      <c r="I37" s="13">
        <f t="shared" si="16"/>
        <v>22683.823199999999</v>
      </c>
      <c r="J37" s="13">
        <f>J26*J34/12</f>
        <v>22879.232099999997</v>
      </c>
      <c r="K37" s="13">
        <f t="shared" si="16"/>
        <v>23074.127999999997</v>
      </c>
      <c r="L37" s="13">
        <f t="shared" si="16"/>
        <v>23268.511799999997</v>
      </c>
      <c r="M37" s="13">
        <f t="shared" si="16"/>
        <v>23462.381699999998</v>
      </c>
      <c r="N37" s="13">
        <f t="shared" si="16"/>
        <v>23655.739499999996</v>
      </c>
      <c r="O37" s="13">
        <f t="shared" si="16"/>
        <v>23848.584299999999</v>
      </c>
      <c r="P37" s="13">
        <f>SUM(D37:O37)</f>
        <v>273342.44160000002</v>
      </c>
      <c r="R37" s="3">
        <v>273342.44160000002</v>
      </c>
    </row>
    <row r="38" spans="1:19" ht="15.75" thickBot="1" x14ac:dyDescent="0.3">
      <c r="A38" s="2"/>
      <c r="B38" s="2" t="s">
        <v>44</v>
      </c>
      <c r="C38" s="2"/>
      <c r="D38" s="23">
        <f>SUM(D36:D37)</f>
        <v>145403.98268833332</v>
      </c>
      <c r="E38" s="24">
        <f t="shared" ref="E38:O38" si="17">SUM(E36:E37)</f>
        <v>146730.58509666665</v>
      </c>
      <c r="F38" s="24">
        <f t="shared" si="17"/>
        <v>148053.74992999999</v>
      </c>
      <c r="G38" s="24">
        <f t="shared" si="17"/>
        <v>149373.47718833335</v>
      </c>
      <c r="H38" s="24">
        <f t="shared" si="17"/>
        <v>150689.76687166665</v>
      </c>
      <c r="I38" s="24">
        <f t="shared" si="17"/>
        <v>152002.61898</v>
      </c>
      <c r="J38" s="24">
        <f t="shared" si="17"/>
        <v>153312.03954416668</v>
      </c>
      <c r="K38" s="24">
        <f t="shared" si="17"/>
        <v>154618.02253333334</v>
      </c>
      <c r="L38" s="24">
        <f t="shared" si="17"/>
        <v>155920.57397833333</v>
      </c>
      <c r="M38" s="24">
        <f t="shared" si="17"/>
        <v>157219.68181749998</v>
      </c>
      <c r="N38" s="24">
        <f t="shared" si="17"/>
        <v>158515.35811249999</v>
      </c>
      <c r="O38" s="24">
        <f t="shared" si="17"/>
        <v>159807.59683249998</v>
      </c>
      <c r="P38" s="12">
        <f>SUM(P36:P37)</f>
        <v>1831647.4535733333</v>
      </c>
      <c r="R38" s="3">
        <v>2190535.9556</v>
      </c>
      <c r="S38" s="25">
        <f>R38-P38</f>
        <v>358888.50202666665</v>
      </c>
    </row>
    <row r="39" spans="1:19" ht="15.75" thickTop="1" x14ac:dyDescent="0.25">
      <c r="A39" s="2"/>
      <c r="B39" s="2"/>
      <c r="C39" s="2"/>
      <c r="D39" s="26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9" x14ac:dyDescent="0.25">
      <c r="A40" s="2" t="s">
        <v>45</v>
      </c>
      <c r="B40" s="2"/>
      <c r="C40" s="2"/>
      <c r="D40" s="26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9" x14ac:dyDescent="0.25">
      <c r="A41" s="2"/>
      <c r="B41" s="2" t="s">
        <v>46</v>
      </c>
      <c r="C41" s="2"/>
      <c r="D41" s="11">
        <f t="shared" ref="D41:O42" si="18">ROUND(AVERAGE(C19)*(D29/12),0)</f>
        <v>50099</v>
      </c>
      <c r="E41" s="11">
        <f t="shared" si="18"/>
        <v>50625</v>
      </c>
      <c r="F41" s="11">
        <f t="shared" si="18"/>
        <v>51152</v>
      </c>
      <c r="G41" s="11">
        <f t="shared" si="18"/>
        <v>51678</v>
      </c>
      <c r="H41" s="11">
        <f t="shared" si="18"/>
        <v>52205</v>
      </c>
      <c r="I41" s="11">
        <f t="shared" si="18"/>
        <v>52731</v>
      </c>
      <c r="J41" s="11">
        <f t="shared" si="18"/>
        <v>53257</v>
      </c>
      <c r="K41" s="11">
        <f t="shared" si="18"/>
        <v>53784</v>
      </c>
      <c r="L41" s="11">
        <f t="shared" si="18"/>
        <v>54310</v>
      </c>
      <c r="M41" s="11">
        <f t="shared" si="18"/>
        <v>54837</v>
      </c>
      <c r="N41" s="11">
        <f t="shared" si="18"/>
        <v>55363</v>
      </c>
      <c r="O41" s="11">
        <f t="shared" si="18"/>
        <v>55889</v>
      </c>
      <c r="P41" s="9">
        <f>SUM(D41:O41)</f>
        <v>635930</v>
      </c>
      <c r="R41" s="3">
        <v>635930</v>
      </c>
    </row>
    <row r="42" spans="1:19" x14ac:dyDescent="0.25">
      <c r="A42" s="2"/>
      <c r="B42" s="2" t="s">
        <v>47</v>
      </c>
      <c r="C42" s="2"/>
      <c r="D42" s="11">
        <f t="shared" si="18"/>
        <v>4647</v>
      </c>
      <c r="E42" s="11">
        <f t="shared" si="18"/>
        <v>4690</v>
      </c>
      <c r="F42" s="11">
        <f t="shared" si="18"/>
        <v>4733</v>
      </c>
      <c r="G42" s="11">
        <f t="shared" si="18"/>
        <v>4777</v>
      </c>
      <c r="H42" s="11">
        <f t="shared" si="18"/>
        <v>4820</v>
      </c>
      <c r="I42" s="11">
        <f t="shared" si="18"/>
        <v>4863</v>
      </c>
      <c r="J42" s="11">
        <f t="shared" si="18"/>
        <v>4907</v>
      </c>
      <c r="K42" s="11">
        <f t="shared" si="18"/>
        <v>4950</v>
      </c>
      <c r="L42" s="11">
        <f t="shared" si="18"/>
        <v>4993</v>
      </c>
      <c r="M42" s="11">
        <f t="shared" si="18"/>
        <v>5037</v>
      </c>
      <c r="N42" s="11">
        <f t="shared" si="18"/>
        <v>5080</v>
      </c>
      <c r="O42" s="11">
        <f t="shared" si="18"/>
        <v>5123</v>
      </c>
      <c r="P42" s="9">
        <f>SUM(D42:O42)</f>
        <v>58620</v>
      </c>
      <c r="R42" s="3">
        <v>58620</v>
      </c>
    </row>
    <row r="43" spans="1:19" x14ac:dyDescent="0.25">
      <c r="A43" s="2"/>
      <c r="B43" s="2" t="s">
        <v>48</v>
      </c>
      <c r="C43" s="2"/>
      <c r="D43" s="21">
        <f>ROUND((C24*0.02)/12,0)</f>
        <v>40000</v>
      </c>
      <c r="E43" s="11">
        <f>D43</f>
        <v>40000</v>
      </c>
      <c r="F43" s="11">
        <f t="shared" ref="F43:O44" si="19">E43</f>
        <v>40000</v>
      </c>
      <c r="G43" s="11">
        <f t="shared" si="19"/>
        <v>40000</v>
      </c>
      <c r="H43" s="11">
        <f t="shared" si="19"/>
        <v>40000</v>
      </c>
      <c r="I43" s="11">
        <f t="shared" si="19"/>
        <v>40000</v>
      </c>
      <c r="J43" s="11">
        <f t="shared" si="19"/>
        <v>40000</v>
      </c>
      <c r="K43" s="11">
        <f t="shared" si="19"/>
        <v>40000</v>
      </c>
      <c r="L43" s="11">
        <f t="shared" si="19"/>
        <v>40000</v>
      </c>
      <c r="M43" s="11">
        <f t="shared" si="19"/>
        <v>40000</v>
      </c>
      <c r="N43" s="11">
        <f t="shared" si="19"/>
        <v>40000</v>
      </c>
      <c r="O43" s="11">
        <f t="shared" si="19"/>
        <v>40000</v>
      </c>
      <c r="P43" s="9">
        <f>SUM(D43:O43)</f>
        <v>480000</v>
      </c>
      <c r="R43" s="3">
        <v>480000</v>
      </c>
    </row>
    <row r="44" spans="1:19" x14ac:dyDescent="0.25">
      <c r="A44" s="2"/>
      <c r="B44" s="2" t="s">
        <v>49</v>
      </c>
      <c r="C44" s="2"/>
      <c r="D44" s="27">
        <f>ROUND(18000/12,0)</f>
        <v>1500</v>
      </c>
      <c r="E44" s="28">
        <f>D44</f>
        <v>1500</v>
      </c>
      <c r="F44" s="28">
        <f t="shared" si="19"/>
        <v>1500</v>
      </c>
      <c r="G44" s="28">
        <f t="shared" si="19"/>
        <v>1500</v>
      </c>
      <c r="H44" s="28">
        <f t="shared" si="19"/>
        <v>1500</v>
      </c>
      <c r="I44" s="28">
        <f t="shared" si="19"/>
        <v>1500</v>
      </c>
      <c r="J44" s="28">
        <f t="shared" si="19"/>
        <v>1500</v>
      </c>
      <c r="K44" s="28">
        <f t="shared" si="19"/>
        <v>1500</v>
      </c>
      <c r="L44" s="28">
        <f t="shared" si="19"/>
        <v>1500</v>
      </c>
      <c r="M44" s="28">
        <f t="shared" si="19"/>
        <v>1500</v>
      </c>
      <c r="N44" s="28">
        <f t="shared" si="19"/>
        <v>1500</v>
      </c>
      <c r="O44" s="28">
        <f>+N44</f>
        <v>1500</v>
      </c>
      <c r="P44" s="13">
        <f>SUM(D44:O44)</f>
        <v>18000</v>
      </c>
      <c r="R44" s="3">
        <v>18000</v>
      </c>
    </row>
    <row r="45" spans="1:19" ht="15.75" thickBot="1" x14ac:dyDescent="0.3">
      <c r="A45" s="2"/>
      <c r="B45" s="2" t="s">
        <v>50</v>
      </c>
      <c r="C45" s="2"/>
      <c r="D45" s="12">
        <f t="shared" ref="D45:P45" si="20">SUM(D41:D44)</f>
        <v>96246</v>
      </c>
      <c r="E45" s="12">
        <f t="shared" si="20"/>
        <v>96815</v>
      </c>
      <c r="F45" s="12">
        <f t="shared" si="20"/>
        <v>97385</v>
      </c>
      <c r="G45" s="12">
        <f t="shared" si="20"/>
        <v>97955</v>
      </c>
      <c r="H45" s="12">
        <f t="shared" si="20"/>
        <v>98525</v>
      </c>
      <c r="I45" s="12">
        <f t="shared" si="20"/>
        <v>99094</v>
      </c>
      <c r="J45" s="29">
        <f t="shared" si="20"/>
        <v>99664</v>
      </c>
      <c r="K45" s="12">
        <f t="shared" si="20"/>
        <v>100234</v>
      </c>
      <c r="L45" s="12">
        <f t="shared" si="20"/>
        <v>100803</v>
      </c>
      <c r="M45" s="12">
        <f t="shared" si="20"/>
        <v>101374</v>
      </c>
      <c r="N45" s="12">
        <f t="shared" si="20"/>
        <v>101943</v>
      </c>
      <c r="O45" s="12">
        <f t="shared" si="20"/>
        <v>102512</v>
      </c>
      <c r="P45" s="24">
        <f t="shared" si="20"/>
        <v>1192550</v>
      </c>
      <c r="R45" s="3">
        <v>1192550</v>
      </c>
    </row>
    <row r="46" spans="1:19" ht="15.75" thickTop="1" x14ac:dyDescent="0.25">
      <c r="A46" s="2"/>
      <c r="B46" s="2"/>
      <c r="C46" s="2"/>
      <c r="D46" s="30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9" ht="15.75" thickBot="1" x14ac:dyDescent="0.3">
      <c r="A47" s="2" t="s">
        <v>51</v>
      </c>
      <c r="B47" s="2"/>
      <c r="C47" s="2"/>
      <c r="D47" s="24">
        <f t="shared" ref="D47:P47" si="21">D38+D45</f>
        <v>241649.98268833332</v>
      </c>
      <c r="E47" s="24">
        <f t="shared" si="21"/>
        <v>243545.58509666665</v>
      </c>
      <c r="F47" s="24">
        <f t="shared" si="21"/>
        <v>245438.74992999999</v>
      </c>
      <c r="G47" s="24">
        <f t="shared" si="21"/>
        <v>247328.47718833335</v>
      </c>
      <c r="H47" s="24">
        <f t="shared" si="21"/>
        <v>249214.76687166665</v>
      </c>
      <c r="I47" s="24">
        <f t="shared" si="21"/>
        <v>251096.61898</v>
      </c>
      <c r="J47" s="24">
        <f t="shared" si="21"/>
        <v>252976.03954416668</v>
      </c>
      <c r="K47" s="24">
        <f t="shared" si="21"/>
        <v>254852.02253333334</v>
      </c>
      <c r="L47" s="24">
        <f t="shared" si="21"/>
        <v>256723.57397833333</v>
      </c>
      <c r="M47" s="24">
        <f t="shared" si="21"/>
        <v>258593.68181749998</v>
      </c>
      <c r="N47" s="24">
        <f t="shared" si="21"/>
        <v>260458.35811249999</v>
      </c>
      <c r="O47" s="24">
        <f t="shared" si="21"/>
        <v>262319.59683249996</v>
      </c>
      <c r="P47" s="24">
        <f t="shared" si="21"/>
        <v>3024197.4535733331</v>
      </c>
      <c r="R47" s="3">
        <v>3383085.9556</v>
      </c>
      <c r="S47" s="25">
        <f>R47-P47</f>
        <v>358888.50202666689</v>
      </c>
    </row>
    <row r="48" spans="1:19" ht="15.75" thickTop="1" x14ac:dyDescent="0.25">
      <c r="A48" s="2"/>
      <c r="B48" s="2"/>
      <c r="C48" s="2"/>
      <c r="D48" s="30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4:18" x14ac:dyDescent="0.25"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</row>
    <row r="50" spans="4:18" s="31" customFormat="1" x14ac:dyDescent="0.25"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R50" s="32"/>
    </row>
    <row r="51" spans="4:18" s="31" customFormat="1" x14ac:dyDescent="0.25">
      <c r="P51" s="33"/>
      <c r="R51" s="32"/>
    </row>
    <row r="52" spans="4:18" x14ac:dyDescent="0.25"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5"/>
      <c r="P52" s="34"/>
    </row>
    <row r="53" spans="4:18" x14ac:dyDescent="0.25"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5"/>
      <c r="P53" s="34"/>
    </row>
    <row r="54" spans="4:18" x14ac:dyDescent="0.25">
      <c r="D54" s="36"/>
      <c r="E54" s="37"/>
      <c r="F54" s="34"/>
      <c r="G54" s="34"/>
      <c r="H54" s="34"/>
      <c r="I54" s="34"/>
      <c r="J54" s="34"/>
      <c r="K54" s="34"/>
      <c r="L54" s="34"/>
      <c r="M54" s="34"/>
      <c r="N54" s="35"/>
      <c r="P54" s="34"/>
    </row>
    <row r="55" spans="4:18" x14ac:dyDescent="0.25">
      <c r="P55" s="35"/>
    </row>
  </sheetData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5"/>
  <sheetViews>
    <sheetView workbookViewId="0">
      <selection activeCell="A34" sqref="A34"/>
    </sheetView>
  </sheetViews>
  <sheetFormatPr defaultRowHeight="15" x14ac:dyDescent="0.25"/>
  <cols>
    <col min="1" max="1" width="7" customWidth="1"/>
    <col min="2" max="2" width="64.5703125" bestFit="1" customWidth="1"/>
    <col min="3" max="14" width="11.5703125" bestFit="1" customWidth="1"/>
    <col min="15" max="15" width="21.140625" bestFit="1" customWidth="1"/>
    <col min="16" max="16" width="11.5703125" bestFit="1" customWidth="1"/>
  </cols>
  <sheetData>
    <row r="1" spans="1:16" ht="18.75" x14ac:dyDescent="0.3">
      <c r="B1" s="1" t="s">
        <v>0</v>
      </c>
      <c r="O1" s="2" t="s">
        <v>98</v>
      </c>
    </row>
    <row r="2" spans="1:16" x14ac:dyDescent="0.25">
      <c r="B2" s="4" t="s">
        <v>1</v>
      </c>
      <c r="O2" s="2" t="s">
        <v>99</v>
      </c>
    </row>
    <row r="3" spans="1:16" x14ac:dyDescent="0.25">
      <c r="B3" s="4" t="s">
        <v>2</v>
      </c>
      <c r="O3" s="2" t="s">
        <v>100</v>
      </c>
    </row>
    <row r="4" spans="1:16" x14ac:dyDescent="0.25">
      <c r="B4" s="4" t="s">
        <v>97</v>
      </c>
      <c r="O4" s="2" t="s">
        <v>3</v>
      </c>
    </row>
    <row r="6" spans="1:16" x14ac:dyDescent="0.25">
      <c r="A6" s="5"/>
      <c r="B6" s="6"/>
      <c r="C6" s="4" t="s">
        <v>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4" t="s">
        <v>5</v>
      </c>
    </row>
    <row r="7" spans="1:16" x14ac:dyDescent="0.25">
      <c r="A7" s="7" t="s">
        <v>6</v>
      </c>
      <c r="B7" s="2"/>
      <c r="C7" s="8" t="s">
        <v>7</v>
      </c>
      <c r="D7" s="8" t="s">
        <v>8</v>
      </c>
      <c r="E7" s="8" t="s">
        <v>9</v>
      </c>
      <c r="F7" s="8" t="s">
        <v>10</v>
      </c>
      <c r="G7" s="8" t="s">
        <v>11</v>
      </c>
      <c r="H7" s="8" t="s">
        <v>12</v>
      </c>
      <c r="I7" s="8" t="s">
        <v>13</v>
      </c>
      <c r="J7" s="8" t="s">
        <v>14</v>
      </c>
      <c r="K7" s="8" t="s">
        <v>15</v>
      </c>
      <c r="L7" s="8" t="s">
        <v>16</v>
      </c>
      <c r="M7" s="8" t="s">
        <v>17</v>
      </c>
      <c r="N7" s="8" t="s">
        <v>18</v>
      </c>
      <c r="O7" s="8" t="s">
        <v>19</v>
      </c>
      <c r="P7" s="8" t="s">
        <v>20</v>
      </c>
    </row>
    <row r="8" spans="1:16" x14ac:dyDescent="0.25">
      <c r="A8" s="2" t="s">
        <v>21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25">
      <c r="A9" s="2"/>
      <c r="B9" s="2" t="s">
        <v>22</v>
      </c>
      <c r="C9" s="9"/>
      <c r="D9" s="9">
        <f>((10000000*0.33)*0.93)/12</f>
        <v>255750</v>
      </c>
      <c r="E9" s="9">
        <f t="shared" ref="E9:O9" si="0">((10000000*0.33)*0.93)/12</f>
        <v>255750</v>
      </c>
      <c r="F9" s="9">
        <f t="shared" si="0"/>
        <v>255750</v>
      </c>
      <c r="G9" s="9">
        <f t="shared" si="0"/>
        <v>255750</v>
      </c>
      <c r="H9" s="9">
        <f t="shared" si="0"/>
        <v>255750</v>
      </c>
      <c r="I9" s="9">
        <f t="shared" si="0"/>
        <v>255750</v>
      </c>
      <c r="J9" s="9">
        <f t="shared" si="0"/>
        <v>255750</v>
      </c>
      <c r="K9" s="9">
        <f t="shared" si="0"/>
        <v>255750</v>
      </c>
      <c r="L9" s="9">
        <f t="shared" si="0"/>
        <v>255750</v>
      </c>
      <c r="M9" s="9">
        <f t="shared" si="0"/>
        <v>255750</v>
      </c>
      <c r="N9" s="9">
        <f t="shared" si="0"/>
        <v>255750</v>
      </c>
      <c r="O9" s="9">
        <f t="shared" si="0"/>
        <v>255750</v>
      </c>
      <c r="P9" s="9">
        <f t="shared" ref="P9:P14" si="1">SUM(D9:O9)</f>
        <v>3069000</v>
      </c>
    </row>
    <row r="10" spans="1:16" x14ac:dyDescent="0.25">
      <c r="A10" s="2"/>
      <c r="B10" s="2" t="s">
        <v>23</v>
      </c>
      <c r="C10" s="9"/>
      <c r="D10" s="10">
        <f>-ROUND(D9*0.95,0)</f>
        <v>-242963</v>
      </c>
      <c r="E10" s="10">
        <f t="shared" ref="E10:O10" si="2">-ROUND(E9*0.95,0)</f>
        <v>-242963</v>
      </c>
      <c r="F10" s="10">
        <f t="shared" si="2"/>
        <v>-242963</v>
      </c>
      <c r="G10" s="10">
        <f t="shared" si="2"/>
        <v>-242963</v>
      </c>
      <c r="H10" s="10">
        <f t="shared" si="2"/>
        <v>-242963</v>
      </c>
      <c r="I10" s="10">
        <f t="shared" si="2"/>
        <v>-242963</v>
      </c>
      <c r="J10" s="10">
        <f t="shared" si="2"/>
        <v>-242963</v>
      </c>
      <c r="K10" s="10">
        <f t="shared" si="2"/>
        <v>-242963</v>
      </c>
      <c r="L10" s="10">
        <f t="shared" si="2"/>
        <v>-242963</v>
      </c>
      <c r="M10" s="10">
        <f t="shared" si="2"/>
        <v>-242963</v>
      </c>
      <c r="N10" s="10">
        <f t="shared" si="2"/>
        <v>-242963</v>
      </c>
      <c r="O10" s="10">
        <f t="shared" si="2"/>
        <v>-242963</v>
      </c>
      <c r="P10" s="9">
        <f t="shared" si="1"/>
        <v>-2915556</v>
      </c>
    </row>
    <row r="11" spans="1:16" x14ac:dyDescent="0.25">
      <c r="A11" s="2"/>
      <c r="B11" s="2" t="s">
        <v>24</v>
      </c>
      <c r="C11" s="11"/>
      <c r="D11" s="9">
        <f>((10000000*0.33)*0.07)/12</f>
        <v>19250.000000000004</v>
      </c>
      <c r="E11" s="9">
        <f t="shared" ref="E11:O11" si="3">((10000000*0.33)*0.07)/12</f>
        <v>19250.000000000004</v>
      </c>
      <c r="F11" s="9">
        <f t="shared" si="3"/>
        <v>19250.000000000004</v>
      </c>
      <c r="G11" s="9">
        <f t="shared" si="3"/>
        <v>19250.000000000004</v>
      </c>
      <c r="H11" s="9">
        <f t="shared" si="3"/>
        <v>19250.000000000004</v>
      </c>
      <c r="I11" s="9">
        <f t="shared" si="3"/>
        <v>19250.000000000004</v>
      </c>
      <c r="J11" s="9">
        <f t="shared" si="3"/>
        <v>19250.000000000004</v>
      </c>
      <c r="K11" s="9">
        <f t="shared" si="3"/>
        <v>19250.000000000004</v>
      </c>
      <c r="L11" s="9">
        <f t="shared" si="3"/>
        <v>19250.000000000004</v>
      </c>
      <c r="M11" s="9">
        <f t="shared" si="3"/>
        <v>19250.000000000004</v>
      </c>
      <c r="N11" s="9">
        <f t="shared" si="3"/>
        <v>19250.000000000004</v>
      </c>
      <c r="O11" s="9">
        <f t="shared" si="3"/>
        <v>19250.000000000004</v>
      </c>
      <c r="P11" s="9">
        <f t="shared" si="1"/>
        <v>231000.00000000003</v>
      </c>
    </row>
    <row r="12" spans="1:16" x14ac:dyDescent="0.25">
      <c r="A12" s="2"/>
      <c r="B12" s="2" t="s">
        <v>25</v>
      </c>
      <c r="C12" s="11"/>
      <c r="D12" s="10">
        <f>-D11</f>
        <v>-19250.000000000004</v>
      </c>
      <c r="E12" s="10">
        <f t="shared" ref="E12:O12" si="4">-E11</f>
        <v>-19250.000000000004</v>
      </c>
      <c r="F12" s="10">
        <f t="shared" si="4"/>
        <v>-19250.000000000004</v>
      </c>
      <c r="G12" s="10">
        <f t="shared" si="4"/>
        <v>-19250.000000000004</v>
      </c>
      <c r="H12" s="10">
        <f t="shared" si="4"/>
        <v>-19250.000000000004</v>
      </c>
      <c r="I12" s="10">
        <f t="shared" si="4"/>
        <v>-19250.000000000004</v>
      </c>
      <c r="J12" s="10">
        <f t="shared" si="4"/>
        <v>-19250.000000000004</v>
      </c>
      <c r="K12" s="10">
        <f t="shared" si="4"/>
        <v>-19250.000000000004</v>
      </c>
      <c r="L12" s="10">
        <f t="shared" si="4"/>
        <v>-19250.000000000004</v>
      </c>
      <c r="M12" s="10">
        <f t="shared" si="4"/>
        <v>-19250.000000000004</v>
      </c>
      <c r="N12" s="10">
        <f t="shared" si="4"/>
        <v>-19250.000000000004</v>
      </c>
      <c r="O12" s="10">
        <f t="shared" si="4"/>
        <v>-19250.000000000004</v>
      </c>
      <c r="P12" s="9">
        <f t="shared" si="1"/>
        <v>-231000.00000000003</v>
      </c>
    </row>
    <row r="13" spans="1:16" x14ac:dyDescent="0.25">
      <c r="A13" s="2"/>
      <c r="B13" s="2" t="s">
        <v>26</v>
      </c>
      <c r="C13" s="11"/>
      <c r="D13" s="9">
        <f>-D10</f>
        <v>242963</v>
      </c>
      <c r="E13" s="9">
        <f>-E10</f>
        <v>242963</v>
      </c>
      <c r="F13" s="9">
        <f t="shared" ref="F13:O13" si="5">-F10</f>
        <v>242963</v>
      </c>
      <c r="G13" s="9">
        <f t="shared" si="5"/>
        <v>242963</v>
      </c>
      <c r="H13" s="9">
        <f t="shared" si="5"/>
        <v>242963</v>
      </c>
      <c r="I13" s="9">
        <f t="shared" si="5"/>
        <v>242963</v>
      </c>
      <c r="J13" s="9">
        <f t="shared" si="5"/>
        <v>242963</v>
      </c>
      <c r="K13" s="9">
        <f t="shared" si="5"/>
        <v>242963</v>
      </c>
      <c r="L13" s="9">
        <f t="shared" si="5"/>
        <v>242963</v>
      </c>
      <c r="M13" s="9">
        <f t="shared" si="5"/>
        <v>242963</v>
      </c>
      <c r="N13" s="9">
        <f t="shared" si="5"/>
        <v>242963</v>
      </c>
      <c r="O13" s="9">
        <f t="shared" si="5"/>
        <v>242963</v>
      </c>
      <c r="P13" s="9">
        <f t="shared" si="1"/>
        <v>2915556</v>
      </c>
    </row>
    <row r="14" spans="1:16" x14ac:dyDescent="0.25">
      <c r="A14" s="2"/>
      <c r="B14" s="2" t="s">
        <v>27</v>
      </c>
      <c r="C14" s="11"/>
      <c r="D14" s="9">
        <f>-D12</f>
        <v>19250.000000000004</v>
      </c>
      <c r="E14" s="9">
        <f>-E12</f>
        <v>19250.000000000004</v>
      </c>
      <c r="F14" s="9">
        <f t="shared" ref="F14:O14" si="6">-F12</f>
        <v>19250.000000000004</v>
      </c>
      <c r="G14" s="9">
        <f t="shared" si="6"/>
        <v>19250.000000000004</v>
      </c>
      <c r="H14" s="9">
        <f t="shared" si="6"/>
        <v>19250.000000000004</v>
      </c>
      <c r="I14" s="9">
        <f t="shared" si="6"/>
        <v>19250.000000000004</v>
      </c>
      <c r="J14" s="9">
        <f t="shared" si="6"/>
        <v>19250.000000000004</v>
      </c>
      <c r="K14" s="9">
        <f t="shared" si="6"/>
        <v>19250.000000000004</v>
      </c>
      <c r="L14" s="9">
        <f t="shared" si="6"/>
        <v>19250.000000000004</v>
      </c>
      <c r="M14" s="9">
        <f t="shared" si="6"/>
        <v>19250.000000000004</v>
      </c>
      <c r="N14" s="9">
        <f t="shared" si="6"/>
        <v>19250.000000000004</v>
      </c>
      <c r="O14" s="9">
        <f t="shared" si="6"/>
        <v>19250.000000000004</v>
      </c>
      <c r="P14" s="9">
        <f t="shared" si="1"/>
        <v>231000.00000000003</v>
      </c>
    </row>
    <row r="15" spans="1:16" x14ac:dyDescent="0.25">
      <c r="A15" s="2"/>
      <c r="B15" s="2"/>
      <c r="C15" s="11"/>
      <c r="D15" s="9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spans="1:16" x14ac:dyDescent="0.25">
      <c r="A16" s="2"/>
      <c r="B16" s="2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5">
      <c r="A17" s="2"/>
      <c r="B17" s="2" t="s">
        <v>28</v>
      </c>
      <c r="C17" s="9">
        <v>389379.07000000263</v>
      </c>
      <c r="D17" s="9">
        <f>C17+D9+D10</f>
        <v>402166.07000000263</v>
      </c>
      <c r="E17" s="9">
        <f t="shared" ref="E17:O17" si="7">D17+E9+E10</f>
        <v>414953.07000000263</v>
      </c>
      <c r="F17" s="9">
        <f t="shared" si="7"/>
        <v>427740.07000000263</v>
      </c>
      <c r="G17" s="9">
        <f t="shared" si="7"/>
        <v>440527.07000000263</v>
      </c>
      <c r="H17" s="9">
        <f t="shared" si="7"/>
        <v>453314.07000000263</v>
      </c>
      <c r="I17" s="9">
        <f t="shared" si="7"/>
        <v>466101.07000000263</v>
      </c>
      <c r="J17" s="9">
        <f t="shared" si="7"/>
        <v>478888.07000000263</v>
      </c>
      <c r="K17" s="9">
        <f t="shared" si="7"/>
        <v>491675.07000000263</v>
      </c>
      <c r="L17" s="9">
        <f t="shared" si="7"/>
        <v>504462.07000000263</v>
      </c>
      <c r="M17" s="9">
        <f t="shared" si="7"/>
        <v>517249.07000000263</v>
      </c>
      <c r="N17" s="9">
        <f t="shared" si="7"/>
        <v>530036.07000000263</v>
      </c>
      <c r="O17" s="9">
        <f t="shared" si="7"/>
        <v>542823.07000000263</v>
      </c>
      <c r="P17" s="9">
        <f>+O17</f>
        <v>542823.07000000263</v>
      </c>
    </row>
    <row r="18" spans="1:16" x14ac:dyDescent="0.25">
      <c r="A18" s="2"/>
      <c r="B18" s="2" t="s">
        <v>29</v>
      </c>
      <c r="C18" s="9">
        <v>20780.169999999955</v>
      </c>
      <c r="D18" s="11">
        <f>C18+D11+D12</f>
        <v>20780.169999999951</v>
      </c>
      <c r="E18" s="11">
        <f t="shared" ref="E18:O18" si="8">D18+E11+E12</f>
        <v>20780.169999999951</v>
      </c>
      <c r="F18" s="11">
        <f t="shared" si="8"/>
        <v>20780.169999999951</v>
      </c>
      <c r="G18" s="11">
        <f t="shared" si="8"/>
        <v>20780.169999999951</v>
      </c>
      <c r="H18" s="11">
        <f t="shared" si="8"/>
        <v>20780.169999999951</v>
      </c>
      <c r="I18" s="11">
        <f t="shared" si="8"/>
        <v>20780.169999999951</v>
      </c>
      <c r="J18" s="11">
        <f t="shared" si="8"/>
        <v>20780.169999999951</v>
      </c>
      <c r="K18" s="11">
        <f t="shared" si="8"/>
        <v>20780.169999999951</v>
      </c>
      <c r="L18" s="11">
        <f t="shared" si="8"/>
        <v>20780.169999999951</v>
      </c>
      <c r="M18" s="11">
        <f t="shared" si="8"/>
        <v>20780.169999999951</v>
      </c>
      <c r="N18" s="11">
        <f t="shared" si="8"/>
        <v>20780.169999999951</v>
      </c>
      <c r="O18" s="11">
        <f t="shared" si="8"/>
        <v>20780.169999999951</v>
      </c>
      <c r="P18" s="9">
        <f>+O18</f>
        <v>20780.169999999951</v>
      </c>
    </row>
    <row r="19" spans="1:16" x14ac:dyDescent="0.25">
      <c r="A19" s="2"/>
      <c r="B19" s="2" t="s">
        <v>30</v>
      </c>
      <c r="C19" s="9">
        <v>23122535.220000003</v>
      </c>
      <c r="D19" s="11">
        <f>C19+D13</f>
        <v>23365498.220000003</v>
      </c>
      <c r="E19" s="11">
        <f t="shared" ref="E19:O20" si="9">D19+E13</f>
        <v>23608461.220000003</v>
      </c>
      <c r="F19" s="11">
        <f t="shared" si="9"/>
        <v>23851424.220000003</v>
      </c>
      <c r="G19" s="11">
        <f t="shared" si="9"/>
        <v>24094387.220000003</v>
      </c>
      <c r="H19" s="11">
        <f t="shared" si="9"/>
        <v>24337350.220000003</v>
      </c>
      <c r="I19" s="11">
        <f t="shared" si="9"/>
        <v>24580313.220000003</v>
      </c>
      <c r="J19" s="11">
        <f t="shared" si="9"/>
        <v>24823276.220000003</v>
      </c>
      <c r="K19" s="11">
        <f t="shared" si="9"/>
        <v>25066239.220000003</v>
      </c>
      <c r="L19" s="11">
        <f t="shared" si="9"/>
        <v>25309202.220000003</v>
      </c>
      <c r="M19" s="11">
        <f t="shared" si="9"/>
        <v>25552165.220000003</v>
      </c>
      <c r="N19" s="11">
        <f t="shared" si="9"/>
        <v>25795128.220000003</v>
      </c>
      <c r="O19" s="11">
        <f t="shared" si="9"/>
        <v>26038091.220000003</v>
      </c>
      <c r="P19" s="9">
        <f>+O19</f>
        <v>26038091.220000003</v>
      </c>
    </row>
    <row r="20" spans="1:16" x14ac:dyDescent="0.25">
      <c r="A20" s="2"/>
      <c r="B20" s="2" t="s">
        <v>31</v>
      </c>
      <c r="C20" s="9">
        <v>2065238.5699999996</v>
      </c>
      <c r="D20" s="11">
        <f>C20+D14</f>
        <v>2084488.5699999996</v>
      </c>
      <c r="E20" s="11">
        <f t="shared" si="9"/>
        <v>2103738.5699999998</v>
      </c>
      <c r="F20" s="11">
        <f t="shared" si="9"/>
        <v>2122988.5699999998</v>
      </c>
      <c r="G20" s="11">
        <f t="shared" si="9"/>
        <v>2142238.5699999998</v>
      </c>
      <c r="H20" s="11">
        <f t="shared" si="9"/>
        <v>2161488.5699999998</v>
      </c>
      <c r="I20" s="11">
        <f t="shared" si="9"/>
        <v>2180738.5699999998</v>
      </c>
      <c r="J20" s="11">
        <f t="shared" si="9"/>
        <v>2199988.5699999998</v>
      </c>
      <c r="K20" s="11">
        <f t="shared" si="9"/>
        <v>2219238.5699999998</v>
      </c>
      <c r="L20" s="11">
        <f t="shared" si="9"/>
        <v>2238488.5699999998</v>
      </c>
      <c r="M20" s="11">
        <f t="shared" si="9"/>
        <v>2257738.5699999998</v>
      </c>
      <c r="N20" s="11">
        <f t="shared" si="9"/>
        <v>2276988.5699999998</v>
      </c>
      <c r="O20" s="11">
        <f t="shared" si="9"/>
        <v>2296238.5699999998</v>
      </c>
      <c r="P20" s="9">
        <f>+O20</f>
        <v>2296238.5699999998</v>
      </c>
    </row>
    <row r="21" spans="1:16" ht="15.75" thickBot="1" x14ac:dyDescent="0.3">
      <c r="A21" s="2"/>
      <c r="B21" s="2" t="s">
        <v>32</v>
      </c>
      <c r="C21" s="12">
        <f>SUM(C17:C20)</f>
        <v>25597933.030000005</v>
      </c>
      <c r="D21" s="12">
        <f t="shared" ref="D21:P21" si="10">SUM(D17:D20)</f>
        <v>25872933.030000005</v>
      </c>
      <c r="E21" s="12">
        <f t="shared" si="10"/>
        <v>26147933.030000005</v>
      </c>
      <c r="F21" s="12">
        <f t="shared" si="10"/>
        <v>26422933.030000005</v>
      </c>
      <c r="G21" s="12">
        <f t="shared" si="10"/>
        <v>26697933.030000005</v>
      </c>
      <c r="H21" s="12">
        <f t="shared" si="10"/>
        <v>26972933.030000005</v>
      </c>
      <c r="I21" s="12">
        <f t="shared" si="10"/>
        <v>27247933.030000005</v>
      </c>
      <c r="J21" s="12">
        <f t="shared" si="10"/>
        <v>27522933.030000005</v>
      </c>
      <c r="K21" s="12">
        <f t="shared" si="10"/>
        <v>27797933.030000005</v>
      </c>
      <c r="L21" s="12">
        <f t="shared" si="10"/>
        <v>28072933.030000005</v>
      </c>
      <c r="M21" s="12">
        <f t="shared" si="10"/>
        <v>28347933.030000005</v>
      </c>
      <c r="N21" s="12">
        <f t="shared" si="10"/>
        <v>28622933.030000005</v>
      </c>
      <c r="O21" s="12">
        <f t="shared" si="10"/>
        <v>28897933.030000005</v>
      </c>
      <c r="P21" s="12">
        <f t="shared" si="10"/>
        <v>28897933.030000005</v>
      </c>
    </row>
    <row r="22" spans="1:16" ht="15.75" thickTop="1" x14ac:dyDescent="0.25">
      <c r="A22" s="2"/>
      <c r="B22" s="2"/>
      <c r="C22" s="2"/>
      <c r="D22" s="11"/>
      <c r="E22" s="11"/>
      <c r="F22" s="11"/>
      <c r="G22" s="11"/>
      <c r="H22" s="11"/>
      <c r="I22" s="9"/>
      <c r="J22" s="9"/>
      <c r="K22" s="9"/>
      <c r="L22" s="9"/>
      <c r="M22" s="9"/>
      <c r="N22" s="9"/>
      <c r="O22" s="9"/>
      <c r="P22" s="9"/>
    </row>
    <row r="23" spans="1:16" x14ac:dyDescent="0.25">
      <c r="A23" s="2"/>
      <c r="B23" s="2" t="s">
        <v>33</v>
      </c>
      <c r="C23" s="13">
        <v>-1597962</v>
      </c>
      <c r="D23" s="11">
        <f t="shared" ref="D23:O23" si="11">C23-D41-D42</f>
        <v>-1652708</v>
      </c>
      <c r="E23" s="11">
        <f t="shared" si="11"/>
        <v>-1708023</v>
      </c>
      <c r="F23" s="11">
        <f t="shared" si="11"/>
        <v>-1763908</v>
      </c>
      <c r="G23" s="11">
        <f t="shared" si="11"/>
        <v>-1820363</v>
      </c>
      <c r="H23" s="11">
        <f t="shared" si="11"/>
        <v>-1877388</v>
      </c>
      <c r="I23" s="11">
        <f t="shared" si="11"/>
        <v>-1934982</v>
      </c>
      <c r="J23" s="11">
        <f t="shared" si="11"/>
        <v>-1993146</v>
      </c>
      <c r="K23" s="11">
        <f t="shared" si="11"/>
        <v>-2051880</v>
      </c>
      <c r="L23" s="11">
        <f t="shared" si="11"/>
        <v>-2111183</v>
      </c>
      <c r="M23" s="11">
        <f t="shared" si="11"/>
        <v>-2171057</v>
      </c>
      <c r="N23" s="11">
        <f t="shared" si="11"/>
        <v>-2231500</v>
      </c>
      <c r="O23" s="11">
        <f t="shared" si="11"/>
        <v>-2292512</v>
      </c>
      <c r="P23" s="11">
        <f>+O23</f>
        <v>-2292512</v>
      </c>
    </row>
    <row r="24" spans="1:16" ht="15.75" thickBot="1" x14ac:dyDescent="0.3">
      <c r="A24" s="2"/>
      <c r="B24" s="2" t="s">
        <v>34</v>
      </c>
      <c r="C24" s="12">
        <f>C21+C23</f>
        <v>23999971.030000005</v>
      </c>
      <c r="D24" s="12">
        <f>D21+D23</f>
        <v>24220225.030000005</v>
      </c>
      <c r="E24" s="12">
        <f t="shared" ref="E24:O24" si="12">E21+E23</f>
        <v>24439910.030000005</v>
      </c>
      <c r="F24" s="12">
        <f t="shared" si="12"/>
        <v>24659025.030000005</v>
      </c>
      <c r="G24" s="12">
        <f t="shared" si="12"/>
        <v>24877570.030000005</v>
      </c>
      <c r="H24" s="12">
        <f t="shared" si="12"/>
        <v>25095545.030000005</v>
      </c>
      <c r="I24" s="12">
        <f t="shared" si="12"/>
        <v>25312951.030000005</v>
      </c>
      <c r="J24" s="12">
        <f t="shared" si="12"/>
        <v>25529787.030000005</v>
      </c>
      <c r="K24" s="12">
        <f t="shared" si="12"/>
        <v>25746053.030000005</v>
      </c>
      <c r="L24" s="12">
        <f t="shared" si="12"/>
        <v>25961750.030000005</v>
      </c>
      <c r="M24" s="12">
        <f t="shared" si="12"/>
        <v>26176876.030000005</v>
      </c>
      <c r="N24" s="12">
        <f t="shared" si="12"/>
        <v>26391433.030000005</v>
      </c>
      <c r="O24" s="12">
        <f t="shared" si="12"/>
        <v>26605421.030000005</v>
      </c>
      <c r="P24" s="12">
        <f>P21+P23</f>
        <v>26605421.030000005</v>
      </c>
    </row>
    <row r="25" spans="1:16" ht="16.5" thickTop="1" thickBot="1" x14ac:dyDescent="0.3">
      <c r="A25" s="2"/>
      <c r="B25" s="14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</row>
    <row r="26" spans="1:16" ht="16.5" thickTop="1" thickBot="1" x14ac:dyDescent="0.3">
      <c r="A26" s="2"/>
      <c r="B26" s="14" t="s">
        <v>35</v>
      </c>
      <c r="C26" s="11"/>
      <c r="D26" s="15">
        <f>ROUND((+C24+D24)/2,0)</f>
        <v>24110098</v>
      </c>
      <c r="E26" s="15">
        <f t="shared" ref="E26:O26" si="13">ROUND((+D24+E24)/2,0)</f>
        <v>24330068</v>
      </c>
      <c r="F26" s="15">
        <f t="shared" si="13"/>
        <v>24549468</v>
      </c>
      <c r="G26" s="15">
        <f t="shared" si="13"/>
        <v>24768298</v>
      </c>
      <c r="H26" s="15">
        <f t="shared" si="13"/>
        <v>24986558</v>
      </c>
      <c r="I26" s="15">
        <f t="shared" si="13"/>
        <v>25204248</v>
      </c>
      <c r="J26" s="15">
        <f t="shared" si="13"/>
        <v>25421369</v>
      </c>
      <c r="K26" s="15">
        <f t="shared" si="13"/>
        <v>25637920</v>
      </c>
      <c r="L26" s="15">
        <f t="shared" si="13"/>
        <v>25853902</v>
      </c>
      <c r="M26" s="15">
        <f t="shared" si="13"/>
        <v>26069313</v>
      </c>
      <c r="N26" s="15">
        <f t="shared" si="13"/>
        <v>26284155</v>
      </c>
      <c r="O26" s="15">
        <f t="shared" si="13"/>
        <v>26498427</v>
      </c>
      <c r="P26" s="11"/>
    </row>
    <row r="27" spans="1:16" ht="15.75" thickTop="1" x14ac:dyDescent="0.25">
      <c r="A27" s="2"/>
      <c r="B27" s="14"/>
      <c r="C27" s="14"/>
      <c r="D27" s="16"/>
      <c r="E27" s="16"/>
      <c r="F27" s="16"/>
      <c r="G27" s="16"/>
      <c r="H27" s="16"/>
      <c r="I27" s="14"/>
      <c r="J27" s="2"/>
      <c r="K27" s="2"/>
      <c r="L27" s="2"/>
      <c r="M27" s="2"/>
      <c r="N27" s="2"/>
      <c r="O27" s="2"/>
      <c r="P27" s="2"/>
    </row>
    <row r="28" spans="1:16" x14ac:dyDescent="0.25">
      <c r="A28" s="2" t="s">
        <v>36</v>
      </c>
      <c r="B28" s="2"/>
      <c r="C28" s="2"/>
      <c r="D28" s="16"/>
      <c r="E28" s="16"/>
      <c r="F28" s="16"/>
      <c r="G28" s="16"/>
      <c r="H28" s="16"/>
      <c r="I28" s="2"/>
      <c r="J28" s="2"/>
      <c r="K28" s="2"/>
      <c r="L28" s="2"/>
      <c r="M28" s="2"/>
      <c r="N28" s="2"/>
      <c r="O28" s="2"/>
      <c r="P28" s="2"/>
    </row>
    <row r="29" spans="1:16" x14ac:dyDescent="0.25">
      <c r="A29" s="2"/>
      <c r="B29" s="2" t="s">
        <v>37</v>
      </c>
      <c r="C29" s="2"/>
      <c r="D29" s="17">
        <v>2.5999999999999999E-2</v>
      </c>
      <c r="E29" s="17">
        <v>2.5999999999999999E-2</v>
      </c>
      <c r="F29" s="17">
        <v>2.5999999999999999E-2</v>
      </c>
      <c r="G29" s="17">
        <v>2.5999999999999999E-2</v>
      </c>
      <c r="H29" s="17">
        <v>2.5999999999999999E-2</v>
      </c>
      <c r="I29" s="17">
        <v>2.5999999999999999E-2</v>
      </c>
      <c r="J29" s="17">
        <v>2.5999999999999999E-2</v>
      </c>
      <c r="K29" s="17">
        <v>2.5999999999999999E-2</v>
      </c>
      <c r="L29" s="17">
        <v>2.5999999999999999E-2</v>
      </c>
      <c r="M29" s="17">
        <v>2.5999999999999999E-2</v>
      </c>
      <c r="N29" s="17">
        <v>2.5999999999999999E-2</v>
      </c>
      <c r="O29" s="17">
        <v>2.5999999999999999E-2</v>
      </c>
      <c r="P29" s="2"/>
    </row>
    <row r="30" spans="1:16" x14ac:dyDescent="0.25">
      <c r="A30" s="2"/>
      <c r="B30" s="2" t="s">
        <v>38</v>
      </c>
      <c r="C30" s="2"/>
      <c r="D30" s="17">
        <v>2.7E-2</v>
      </c>
      <c r="E30" s="17">
        <v>2.7E-2</v>
      </c>
      <c r="F30" s="17">
        <v>2.7E-2</v>
      </c>
      <c r="G30" s="17">
        <v>2.7E-2</v>
      </c>
      <c r="H30" s="17">
        <v>2.7E-2</v>
      </c>
      <c r="I30" s="17">
        <v>2.7E-2</v>
      </c>
      <c r="J30" s="17">
        <v>2.7E-2</v>
      </c>
      <c r="K30" s="17">
        <v>2.7E-2</v>
      </c>
      <c r="L30" s="17">
        <v>2.7E-2</v>
      </c>
      <c r="M30" s="17">
        <v>2.7E-2</v>
      </c>
      <c r="N30" s="17">
        <v>2.7E-2</v>
      </c>
      <c r="O30" s="17">
        <v>2.7E-2</v>
      </c>
      <c r="P30" s="2"/>
    </row>
    <row r="31" spans="1:16" x14ac:dyDescent="0.25">
      <c r="A31" s="2"/>
      <c r="B31" s="2"/>
      <c r="C31" s="2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2"/>
    </row>
    <row r="32" spans="1:16" x14ac:dyDescent="0.25">
      <c r="A32" s="2" t="s">
        <v>39</v>
      </c>
      <c r="B32" s="2"/>
      <c r="C32" s="2"/>
      <c r="D32" s="4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x14ac:dyDescent="0.25">
      <c r="A33" s="2"/>
      <c r="B33" s="2" t="s">
        <v>40</v>
      </c>
      <c r="C33" s="2"/>
      <c r="D33" s="18">
        <v>7.5749999999999998E-2</v>
      </c>
      <c r="E33" s="19">
        <f>D33</f>
        <v>7.5749999999999998E-2</v>
      </c>
      <c r="F33" s="19">
        <f t="shared" ref="F33:O34" si="14">E33</f>
        <v>7.5749999999999998E-2</v>
      </c>
      <c r="G33" s="19">
        <f t="shared" si="14"/>
        <v>7.5749999999999998E-2</v>
      </c>
      <c r="H33" s="19">
        <f t="shared" si="14"/>
        <v>7.5749999999999998E-2</v>
      </c>
      <c r="I33" s="19">
        <f t="shared" si="14"/>
        <v>7.5749999999999998E-2</v>
      </c>
      <c r="J33" s="19">
        <f t="shared" si="14"/>
        <v>7.5749999999999998E-2</v>
      </c>
      <c r="K33" s="19">
        <f t="shared" si="14"/>
        <v>7.5749999999999998E-2</v>
      </c>
      <c r="L33" s="19">
        <f t="shared" si="14"/>
        <v>7.5749999999999998E-2</v>
      </c>
      <c r="M33" s="19">
        <f t="shared" si="14"/>
        <v>7.5749999999999998E-2</v>
      </c>
      <c r="N33" s="19">
        <f t="shared" si="14"/>
        <v>7.5749999999999998E-2</v>
      </c>
      <c r="O33" s="19">
        <f t="shared" si="14"/>
        <v>7.5749999999999998E-2</v>
      </c>
      <c r="P33" s="2"/>
    </row>
    <row r="34" spans="1:16" x14ac:dyDescent="0.25">
      <c r="A34" s="2"/>
      <c r="B34" s="2" t="s">
        <v>41</v>
      </c>
      <c r="C34" s="2"/>
      <c r="D34" s="18">
        <f>'Return-new tax exp factor'!D19</f>
        <v>1.0799999999999999E-2</v>
      </c>
      <c r="E34" s="19">
        <f>D34</f>
        <v>1.0799999999999999E-2</v>
      </c>
      <c r="F34" s="19">
        <f t="shared" si="14"/>
        <v>1.0799999999999999E-2</v>
      </c>
      <c r="G34" s="19">
        <f t="shared" si="14"/>
        <v>1.0799999999999999E-2</v>
      </c>
      <c r="H34" s="19">
        <f t="shared" si="14"/>
        <v>1.0799999999999999E-2</v>
      </c>
      <c r="I34" s="19">
        <f t="shared" si="14"/>
        <v>1.0799999999999999E-2</v>
      </c>
      <c r="J34" s="19">
        <f t="shared" si="14"/>
        <v>1.0799999999999999E-2</v>
      </c>
      <c r="K34" s="19">
        <f t="shared" si="14"/>
        <v>1.0799999999999999E-2</v>
      </c>
      <c r="L34" s="19">
        <f t="shared" si="14"/>
        <v>1.0799999999999999E-2</v>
      </c>
      <c r="M34" s="19">
        <f t="shared" si="14"/>
        <v>1.0799999999999999E-2</v>
      </c>
      <c r="N34" s="19">
        <f t="shared" si="14"/>
        <v>1.0799999999999999E-2</v>
      </c>
      <c r="O34" s="19">
        <f t="shared" si="14"/>
        <v>1.0799999999999999E-2</v>
      </c>
      <c r="P34" s="2"/>
    </row>
    <row r="35" spans="1:16" x14ac:dyDescent="0.25">
      <c r="A35" s="2"/>
      <c r="B35" s="2"/>
      <c r="C35" s="2"/>
      <c r="D35" s="2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x14ac:dyDescent="0.25">
      <c r="A36" s="2"/>
      <c r="B36" s="2" t="s">
        <v>42</v>
      </c>
      <c r="C36" s="2"/>
      <c r="D36" s="21">
        <f t="shared" ref="D36:O36" si="15">D26*D33/12</f>
        <v>152194.993625</v>
      </c>
      <c r="E36" s="11">
        <f t="shared" si="15"/>
        <v>153583.55424999999</v>
      </c>
      <c r="F36" s="11">
        <f t="shared" si="15"/>
        <v>154968.51674999998</v>
      </c>
      <c r="G36" s="11">
        <f t="shared" si="15"/>
        <v>156349.88112499999</v>
      </c>
      <c r="H36" s="11">
        <f t="shared" si="15"/>
        <v>157727.647375</v>
      </c>
      <c r="I36" s="11">
        <f t="shared" si="15"/>
        <v>159101.8155</v>
      </c>
      <c r="J36" s="11">
        <f>J26*J33/12</f>
        <v>160472.39181249999</v>
      </c>
      <c r="K36" s="11">
        <f t="shared" si="15"/>
        <v>161839.37</v>
      </c>
      <c r="L36" s="11">
        <f t="shared" si="15"/>
        <v>163202.756375</v>
      </c>
      <c r="M36" s="11">
        <f t="shared" si="15"/>
        <v>164562.53831249999</v>
      </c>
      <c r="N36" s="11">
        <f t="shared" si="15"/>
        <v>165918.72843749999</v>
      </c>
      <c r="O36" s="11">
        <f t="shared" si="15"/>
        <v>167271.32043749999</v>
      </c>
      <c r="P36" s="9">
        <f>SUM(D36:O36)</f>
        <v>1917193.5139999997</v>
      </c>
    </row>
    <row r="37" spans="1:16" x14ac:dyDescent="0.25">
      <c r="A37" s="2"/>
      <c r="B37" s="2" t="s">
        <v>43</v>
      </c>
      <c r="C37" s="2"/>
      <c r="D37" s="22">
        <f t="shared" ref="D37:O37" si="16">D26*D34/12</f>
        <v>21699.088199999998</v>
      </c>
      <c r="E37" s="13">
        <f t="shared" si="16"/>
        <v>21897.061199999996</v>
      </c>
      <c r="F37" s="13">
        <f t="shared" si="16"/>
        <v>22094.521199999999</v>
      </c>
      <c r="G37" s="13">
        <f t="shared" si="16"/>
        <v>22291.468199999999</v>
      </c>
      <c r="H37" s="13">
        <f t="shared" si="16"/>
        <v>22487.902199999997</v>
      </c>
      <c r="I37" s="13">
        <f t="shared" si="16"/>
        <v>22683.823199999999</v>
      </c>
      <c r="J37" s="13">
        <f>J26*J34/12</f>
        <v>22879.232099999997</v>
      </c>
      <c r="K37" s="13">
        <f t="shared" si="16"/>
        <v>23074.127999999997</v>
      </c>
      <c r="L37" s="13">
        <f t="shared" si="16"/>
        <v>23268.511799999997</v>
      </c>
      <c r="M37" s="13">
        <f t="shared" si="16"/>
        <v>23462.381699999998</v>
      </c>
      <c r="N37" s="13">
        <f t="shared" si="16"/>
        <v>23655.739499999996</v>
      </c>
      <c r="O37" s="13">
        <f t="shared" si="16"/>
        <v>23848.584299999999</v>
      </c>
      <c r="P37" s="13">
        <f>SUM(D37:O37)</f>
        <v>273342.44160000002</v>
      </c>
    </row>
    <row r="38" spans="1:16" ht="15.75" thickBot="1" x14ac:dyDescent="0.3">
      <c r="A38" s="2"/>
      <c r="B38" s="2" t="s">
        <v>44</v>
      </c>
      <c r="C38" s="2"/>
      <c r="D38" s="23">
        <f>SUM(D36:D37)</f>
        <v>173894.081825</v>
      </c>
      <c r="E38" s="24">
        <f t="shared" ref="E38:O38" si="17">SUM(E36:E37)</f>
        <v>175480.61544999998</v>
      </c>
      <c r="F38" s="24">
        <f t="shared" si="17"/>
        <v>177063.03794999997</v>
      </c>
      <c r="G38" s="24">
        <f t="shared" si="17"/>
        <v>178641.34932499999</v>
      </c>
      <c r="H38" s="24">
        <f t="shared" si="17"/>
        <v>180215.54957500001</v>
      </c>
      <c r="I38" s="24">
        <f t="shared" si="17"/>
        <v>181785.63870000001</v>
      </c>
      <c r="J38" s="24">
        <f t="shared" si="17"/>
        <v>183351.62391249998</v>
      </c>
      <c r="K38" s="24">
        <f t="shared" si="17"/>
        <v>184913.49799999999</v>
      </c>
      <c r="L38" s="24">
        <f t="shared" si="17"/>
        <v>186471.268175</v>
      </c>
      <c r="M38" s="24">
        <f t="shared" si="17"/>
        <v>188024.92001249999</v>
      </c>
      <c r="N38" s="24">
        <f t="shared" si="17"/>
        <v>189574.46793749998</v>
      </c>
      <c r="O38" s="24">
        <f t="shared" si="17"/>
        <v>191119.90473749998</v>
      </c>
      <c r="P38" s="12">
        <f>SUM(P36:P37)</f>
        <v>2190535.9556</v>
      </c>
    </row>
    <row r="39" spans="1:16" ht="15.75" thickTop="1" x14ac:dyDescent="0.25">
      <c r="A39" s="2"/>
      <c r="B39" s="2"/>
      <c r="C39" s="2"/>
      <c r="D39" s="26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x14ac:dyDescent="0.25">
      <c r="A40" s="2" t="s">
        <v>45</v>
      </c>
      <c r="B40" s="2"/>
      <c r="C40" s="2"/>
      <c r="D40" s="26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x14ac:dyDescent="0.25">
      <c r="A41" s="2"/>
      <c r="B41" s="2" t="s">
        <v>46</v>
      </c>
      <c r="C41" s="2"/>
      <c r="D41" s="11">
        <f t="shared" ref="D41:O42" si="18">ROUND(AVERAGE(C19)*(D29/12),0)</f>
        <v>50099</v>
      </c>
      <c r="E41" s="11">
        <f t="shared" si="18"/>
        <v>50625</v>
      </c>
      <c r="F41" s="11">
        <f t="shared" si="18"/>
        <v>51152</v>
      </c>
      <c r="G41" s="11">
        <f t="shared" si="18"/>
        <v>51678</v>
      </c>
      <c r="H41" s="11">
        <f t="shared" si="18"/>
        <v>52205</v>
      </c>
      <c r="I41" s="11">
        <f t="shared" si="18"/>
        <v>52731</v>
      </c>
      <c r="J41" s="11">
        <f t="shared" si="18"/>
        <v>53257</v>
      </c>
      <c r="K41" s="11">
        <f t="shared" si="18"/>
        <v>53784</v>
      </c>
      <c r="L41" s="11">
        <f t="shared" si="18"/>
        <v>54310</v>
      </c>
      <c r="M41" s="11">
        <f t="shared" si="18"/>
        <v>54837</v>
      </c>
      <c r="N41" s="11">
        <f t="shared" si="18"/>
        <v>55363</v>
      </c>
      <c r="O41" s="11">
        <f t="shared" si="18"/>
        <v>55889</v>
      </c>
      <c r="P41" s="9">
        <f>SUM(D41:O41)</f>
        <v>635930</v>
      </c>
    </row>
    <row r="42" spans="1:16" x14ac:dyDescent="0.25">
      <c r="A42" s="2"/>
      <c r="B42" s="2" t="s">
        <v>47</v>
      </c>
      <c r="C42" s="2"/>
      <c r="D42" s="11">
        <f t="shared" si="18"/>
        <v>4647</v>
      </c>
      <c r="E42" s="11">
        <f t="shared" si="18"/>
        <v>4690</v>
      </c>
      <c r="F42" s="11">
        <f t="shared" si="18"/>
        <v>4733</v>
      </c>
      <c r="G42" s="11">
        <f t="shared" si="18"/>
        <v>4777</v>
      </c>
      <c r="H42" s="11">
        <f t="shared" si="18"/>
        <v>4820</v>
      </c>
      <c r="I42" s="11">
        <f t="shared" si="18"/>
        <v>4863</v>
      </c>
      <c r="J42" s="11">
        <f t="shared" si="18"/>
        <v>4907</v>
      </c>
      <c r="K42" s="11">
        <f t="shared" si="18"/>
        <v>4950</v>
      </c>
      <c r="L42" s="11">
        <f t="shared" si="18"/>
        <v>4993</v>
      </c>
      <c r="M42" s="11">
        <f t="shared" si="18"/>
        <v>5037</v>
      </c>
      <c r="N42" s="11">
        <f t="shared" si="18"/>
        <v>5080</v>
      </c>
      <c r="O42" s="11">
        <f t="shared" si="18"/>
        <v>5123</v>
      </c>
      <c r="P42" s="9">
        <f>SUM(D42:O42)</f>
        <v>58620</v>
      </c>
    </row>
    <row r="43" spans="1:16" x14ac:dyDescent="0.25">
      <c r="A43" s="2"/>
      <c r="B43" s="2" t="s">
        <v>48</v>
      </c>
      <c r="C43" s="2"/>
      <c r="D43" s="21">
        <f>ROUND((C24*0.02)/12,0)</f>
        <v>40000</v>
      </c>
      <c r="E43" s="11">
        <f>D43</f>
        <v>40000</v>
      </c>
      <c r="F43" s="11">
        <f t="shared" ref="F43:O44" si="19">E43</f>
        <v>40000</v>
      </c>
      <c r="G43" s="11">
        <f t="shared" si="19"/>
        <v>40000</v>
      </c>
      <c r="H43" s="11">
        <f t="shared" si="19"/>
        <v>40000</v>
      </c>
      <c r="I43" s="11">
        <f t="shared" si="19"/>
        <v>40000</v>
      </c>
      <c r="J43" s="11">
        <f t="shared" si="19"/>
        <v>40000</v>
      </c>
      <c r="K43" s="11">
        <f t="shared" si="19"/>
        <v>40000</v>
      </c>
      <c r="L43" s="11">
        <f t="shared" si="19"/>
        <v>40000</v>
      </c>
      <c r="M43" s="11">
        <f t="shared" si="19"/>
        <v>40000</v>
      </c>
      <c r="N43" s="11">
        <f t="shared" si="19"/>
        <v>40000</v>
      </c>
      <c r="O43" s="11">
        <f t="shared" si="19"/>
        <v>40000</v>
      </c>
      <c r="P43" s="9">
        <f>SUM(D43:O43)</f>
        <v>480000</v>
      </c>
    </row>
    <row r="44" spans="1:16" x14ac:dyDescent="0.25">
      <c r="A44" s="2"/>
      <c r="B44" s="2" t="s">
        <v>49</v>
      </c>
      <c r="C44" s="2"/>
      <c r="D44" s="27">
        <f>ROUND(18000/12,0)</f>
        <v>1500</v>
      </c>
      <c r="E44" s="28">
        <f>D44</f>
        <v>1500</v>
      </c>
      <c r="F44" s="28">
        <f t="shared" si="19"/>
        <v>1500</v>
      </c>
      <c r="G44" s="28">
        <f t="shared" si="19"/>
        <v>1500</v>
      </c>
      <c r="H44" s="28">
        <f t="shared" si="19"/>
        <v>1500</v>
      </c>
      <c r="I44" s="28">
        <f t="shared" si="19"/>
        <v>1500</v>
      </c>
      <c r="J44" s="28">
        <f t="shared" si="19"/>
        <v>1500</v>
      </c>
      <c r="K44" s="28">
        <f t="shared" si="19"/>
        <v>1500</v>
      </c>
      <c r="L44" s="28">
        <f t="shared" si="19"/>
        <v>1500</v>
      </c>
      <c r="M44" s="28">
        <f t="shared" si="19"/>
        <v>1500</v>
      </c>
      <c r="N44" s="28">
        <f t="shared" si="19"/>
        <v>1500</v>
      </c>
      <c r="O44" s="28">
        <f>+N44</f>
        <v>1500</v>
      </c>
      <c r="P44" s="13">
        <f>SUM(D44:O44)</f>
        <v>18000</v>
      </c>
    </row>
    <row r="45" spans="1:16" ht="15.75" thickBot="1" x14ac:dyDescent="0.3">
      <c r="A45" s="2"/>
      <c r="B45" s="2" t="s">
        <v>50</v>
      </c>
      <c r="C45" s="2"/>
      <c r="D45" s="12">
        <f t="shared" ref="D45:P45" si="20">SUM(D41:D44)</f>
        <v>96246</v>
      </c>
      <c r="E45" s="12">
        <f t="shared" si="20"/>
        <v>96815</v>
      </c>
      <c r="F45" s="12">
        <f t="shared" si="20"/>
        <v>97385</v>
      </c>
      <c r="G45" s="12">
        <f t="shared" si="20"/>
        <v>97955</v>
      </c>
      <c r="H45" s="12">
        <f t="shared" si="20"/>
        <v>98525</v>
      </c>
      <c r="I45" s="12">
        <f t="shared" si="20"/>
        <v>99094</v>
      </c>
      <c r="J45" s="29">
        <f t="shared" si="20"/>
        <v>99664</v>
      </c>
      <c r="K45" s="12">
        <f t="shared" si="20"/>
        <v>100234</v>
      </c>
      <c r="L45" s="12">
        <f t="shared" si="20"/>
        <v>100803</v>
      </c>
      <c r="M45" s="12">
        <f t="shared" si="20"/>
        <v>101374</v>
      </c>
      <c r="N45" s="12">
        <f t="shared" si="20"/>
        <v>101943</v>
      </c>
      <c r="O45" s="12">
        <f t="shared" si="20"/>
        <v>102512</v>
      </c>
      <c r="P45" s="24">
        <f t="shared" si="20"/>
        <v>1192550</v>
      </c>
    </row>
    <row r="46" spans="1:16" ht="15.75" thickTop="1" x14ac:dyDescent="0.25">
      <c r="A46" s="2"/>
      <c r="B46" s="2"/>
      <c r="C46" s="2"/>
      <c r="D46" s="30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ht="15.75" thickBot="1" x14ac:dyDescent="0.3">
      <c r="A47" s="2" t="s">
        <v>51</v>
      </c>
      <c r="B47" s="2"/>
      <c r="C47" s="2"/>
      <c r="D47" s="24">
        <f t="shared" ref="D47:P47" si="21">D38+D45</f>
        <v>270140.081825</v>
      </c>
      <c r="E47" s="24">
        <f t="shared" si="21"/>
        <v>272295.61544999998</v>
      </c>
      <c r="F47" s="24">
        <f t="shared" si="21"/>
        <v>274448.03794999997</v>
      </c>
      <c r="G47" s="24">
        <f t="shared" si="21"/>
        <v>276596.34932499996</v>
      </c>
      <c r="H47" s="24">
        <f t="shared" si="21"/>
        <v>278740.54957500001</v>
      </c>
      <c r="I47" s="24">
        <f t="shared" si="21"/>
        <v>280879.63870000001</v>
      </c>
      <c r="J47" s="24">
        <f t="shared" si="21"/>
        <v>283015.62391249998</v>
      </c>
      <c r="K47" s="24">
        <f t="shared" si="21"/>
        <v>285147.49800000002</v>
      </c>
      <c r="L47" s="24">
        <f t="shared" si="21"/>
        <v>287274.26817499998</v>
      </c>
      <c r="M47" s="24">
        <f t="shared" si="21"/>
        <v>289398.92001250002</v>
      </c>
      <c r="N47" s="24">
        <f t="shared" si="21"/>
        <v>291517.46793749998</v>
      </c>
      <c r="O47" s="24">
        <f t="shared" si="21"/>
        <v>293631.90473750001</v>
      </c>
      <c r="P47" s="24">
        <f t="shared" si="21"/>
        <v>3383085.9556</v>
      </c>
    </row>
    <row r="48" spans="1:16" ht="15.75" thickTop="1" x14ac:dyDescent="0.25">
      <c r="A48" s="2"/>
      <c r="B48" s="2"/>
      <c r="C48" s="2"/>
      <c r="D48" s="30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7" x14ac:dyDescent="0.25"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</row>
    <row r="50" spans="1:17" x14ac:dyDescent="0.25">
      <c r="A50" s="31"/>
      <c r="B50" s="31"/>
      <c r="C50" s="3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31"/>
    </row>
    <row r="51" spans="1:17" x14ac:dyDescent="0.25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3"/>
      <c r="Q51" s="31"/>
    </row>
    <row r="52" spans="1:17" x14ac:dyDescent="0.25"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5"/>
      <c r="P52" s="34"/>
    </row>
    <row r="53" spans="1:17" x14ac:dyDescent="0.25"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5"/>
      <c r="P53" s="34"/>
    </row>
    <row r="54" spans="1:17" x14ac:dyDescent="0.25">
      <c r="D54" s="36">
        <f>D47</f>
        <v>270140.081825</v>
      </c>
      <c r="E54" s="37">
        <f>E47*0.21</f>
        <v>57182.079244499997</v>
      </c>
      <c r="F54" s="34"/>
      <c r="G54" s="34"/>
      <c r="H54" s="34"/>
      <c r="I54" s="34"/>
      <c r="J54" s="34"/>
      <c r="K54" s="34"/>
      <c r="L54" s="34"/>
      <c r="M54" s="34"/>
      <c r="N54" s="35"/>
      <c r="P54" s="34"/>
    </row>
    <row r="55" spans="1:17" x14ac:dyDescent="0.25">
      <c r="P55" s="35"/>
    </row>
  </sheetData>
  <pageMargins left="0.7" right="0.7" top="0.75" bottom="0.75" header="0.3" footer="0.3"/>
  <pageSetup paperSize="5" scale="6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workbookViewId="0">
      <selection activeCell="E14" sqref="E14"/>
    </sheetView>
  </sheetViews>
  <sheetFormatPr defaultRowHeight="15" x14ac:dyDescent="0.25"/>
  <cols>
    <col min="1" max="1" width="8.28515625" customWidth="1"/>
    <col min="2" max="2" width="64.5703125" bestFit="1" customWidth="1"/>
    <col min="4" max="4" width="7.42578125" bestFit="1" customWidth="1"/>
    <col min="5" max="5" width="21.140625" bestFit="1" customWidth="1"/>
  </cols>
  <sheetData>
    <row r="1" spans="1:7" ht="18.75" x14ac:dyDescent="0.3">
      <c r="B1" s="1" t="s">
        <v>0</v>
      </c>
      <c r="E1" s="2" t="s">
        <v>101</v>
      </c>
    </row>
    <row r="2" spans="1:7" x14ac:dyDescent="0.25">
      <c r="B2" s="4" t="s">
        <v>1</v>
      </c>
      <c r="E2" s="2" t="s">
        <v>99</v>
      </c>
    </row>
    <row r="3" spans="1:7" x14ac:dyDescent="0.25">
      <c r="B3" s="4" t="s">
        <v>52</v>
      </c>
      <c r="E3" s="2" t="s">
        <v>100</v>
      </c>
    </row>
    <row r="4" spans="1:7" x14ac:dyDescent="0.25">
      <c r="B4" s="38"/>
      <c r="E4" s="2" t="s">
        <v>53</v>
      </c>
    </row>
    <row r="5" spans="1:7" x14ac:dyDescent="0.25">
      <c r="A5" s="2"/>
      <c r="B5" s="4"/>
      <c r="C5" s="2"/>
      <c r="D5" s="2"/>
      <c r="E5" s="2"/>
      <c r="F5" s="2"/>
      <c r="G5" s="2"/>
    </row>
    <row r="6" spans="1:7" x14ac:dyDescent="0.25">
      <c r="A6" s="2"/>
      <c r="B6" s="2"/>
      <c r="C6" s="2"/>
      <c r="D6" s="16"/>
      <c r="E6" s="30"/>
      <c r="F6" s="30"/>
      <c r="G6" s="2"/>
    </row>
    <row r="7" spans="1:7" x14ac:dyDescent="0.25">
      <c r="A7" s="2"/>
      <c r="B7" s="2"/>
      <c r="C7" s="2"/>
      <c r="D7" s="16"/>
      <c r="E7" s="30"/>
      <c r="F7" s="30"/>
      <c r="G7" s="2"/>
    </row>
    <row r="8" spans="1:7" x14ac:dyDescent="0.25">
      <c r="A8" s="39" t="s">
        <v>54</v>
      </c>
      <c r="B8" s="39"/>
      <c r="C8" s="39"/>
      <c r="D8" s="39"/>
      <c r="E8" s="39"/>
      <c r="F8" s="39"/>
      <c r="G8" s="39"/>
    </row>
    <row r="9" spans="1:7" x14ac:dyDescent="0.25">
      <c r="A9" s="39"/>
      <c r="B9" s="39" t="s">
        <v>55</v>
      </c>
      <c r="C9" s="39"/>
      <c r="D9" s="26">
        <v>0.108</v>
      </c>
      <c r="E9" s="39"/>
      <c r="F9" s="39"/>
      <c r="G9" s="39"/>
    </row>
    <row r="10" spans="1:7" x14ac:dyDescent="0.25">
      <c r="A10" s="39"/>
      <c r="B10" s="39" t="s">
        <v>56</v>
      </c>
      <c r="C10" s="39"/>
      <c r="D10" s="26">
        <v>4.5900000000000003E-2</v>
      </c>
      <c r="E10" s="39"/>
      <c r="F10" s="39"/>
      <c r="G10" s="39"/>
    </row>
    <row r="11" spans="1:7" x14ac:dyDescent="0.25">
      <c r="A11" s="39"/>
      <c r="B11" s="39" t="s">
        <v>57</v>
      </c>
      <c r="C11" s="39"/>
      <c r="D11" s="66">
        <f>ROUND('Expansion Factor new tax'!K38,4)</f>
        <v>1.3414999999999999</v>
      </c>
      <c r="E11" s="39"/>
      <c r="F11" s="39"/>
      <c r="G11" s="39"/>
    </row>
    <row r="12" spans="1:7" x14ac:dyDescent="0.25">
      <c r="A12" s="40"/>
      <c r="B12" s="39" t="s">
        <v>58</v>
      </c>
      <c r="C12" s="39"/>
      <c r="D12" s="41">
        <f>ROUND(D10*D11,5)</f>
        <v>6.157E-2</v>
      </c>
      <c r="E12" s="39"/>
      <c r="F12" s="39"/>
      <c r="G12" s="39"/>
    </row>
    <row r="13" spans="1:7" x14ac:dyDescent="0.25">
      <c r="A13" s="39"/>
      <c r="B13" s="39"/>
      <c r="C13" s="39"/>
      <c r="D13" s="42"/>
      <c r="E13" s="39"/>
      <c r="F13" s="39"/>
      <c r="G13" s="39"/>
    </row>
    <row r="14" spans="1:7" x14ac:dyDescent="0.25">
      <c r="A14" s="39"/>
      <c r="B14" s="2" t="s">
        <v>59</v>
      </c>
      <c r="C14" s="2"/>
      <c r="D14" s="42">
        <v>7.4999999999999997E-3</v>
      </c>
      <c r="E14" s="39"/>
      <c r="F14" s="39"/>
      <c r="G14" s="39"/>
    </row>
    <row r="15" spans="1:7" x14ac:dyDescent="0.25">
      <c r="A15" s="39"/>
      <c r="B15" s="2" t="s">
        <v>60</v>
      </c>
      <c r="C15" s="2"/>
      <c r="D15" s="42">
        <v>2.8999999999999998E-3</v>
      </c>
      <c r="E15" s="39"/>
      <c r="F15" s="39"/>
      <c r="G15" s="39"/>
    </row>
    <row r="16" spans="1:7" x14ac:dyDescent="0.25">
      <c r="A16" s="39"/>
      <c r="B16" s="2" t="s">
        <v>61</v>
      </c>
      <c r="C16" s="2"/>
      <c r="D16" s="42">
        <v>0</v>
      </c>
      <c r="E16" s="39"/>
      <c r="F16" s="39"/>
      <c r="G16" s="39"/>
    </row>
    <row r="17" spans="1:7" x14ac:dyDescent="0.25">
      <c r="A17" s="39"/>
      <c r="B17" s="2" t="s">
        <v>62</v>
      </c>
      <c r="C17" s="2"/>
      <c r="D17" s="42">
        <v>4.0000000000000002E-4</v>
      </c>
      <c r="E17" s="39"/>
      <c r="F17" s="39"/>
      <c r="G17" s="39"/>
    </row>
    <row r="18" spans="1:7" x14ac:dyDescent="0.25">
      <c r="A18" s="39"/>
      <c r="B18" s="2" t="s">
        <v>63</v>
      </c>
      <c r="C18" s="2"/>
      <c r="D18" s="42">
        <v>0</v>
      </c>
      <c r="E18" s="39"/>
      <c r="F18" s="39"/>
      <c r="G18" s="39"/>
    </row>
    <row r="19" spans="1:7" x14ac:dyDescent="0.25">
      <c r="A19" s="39"/>
      <c r="B19" s="39" t="s">
        <v>64</v>
      </c>
      <c r="C19" s="39"/>
      <c r="D19" s="41">
        <f>SUM(D14:D18)</f>
        <v>1.0799999999999999E-2</v>
      </c>
      <c r="E19" s="39"/>
      <c r="F19" s="39"/>
      <c r="G19" s="39"/>
    </row>
    <row r="20" spans="1:7" x14ac:dyDescent="0.25">
      <c r="A20" s="39"/>
      <c r="B20" s="39"/>
      <c r="C20" s="39"/>
      <c r="D20" s="39"/>
      <c r="E20" s="39"/>
      <c r="F20" s="39"/>
      <c r="G20" s="39"/>
    </row>
    <row r="21" spans="1:7" ht="15.75" thickBot="1" x14ac:dyDescent="0.3">
      <c r="A21" s="39"/>
      <c r="B21" s="39" t="s">
        <v>65</v>
      </c>
      <c r="C21" s="39"/>
      <c r="D21" s="43">
        <f>+D19+D10</f>
        <v>5.67E-2</v>
      </c>
      <c r="E21" s="39"/>
      <c r="F21" s="39"/>
      <c r="G21" s="39"/>
    </row>
    <row r="22" spans="1:7" ht="15.75" thickTop="1" x14ac:dyDescent="0.25">
      <c r="A22" s="39"/>
      <c r="B22" s="39"/>
      <c r="C22" s="39"/>
      <c r="D22" s="39"/>
      <c r="E22" s="39"/>
      <c r="F22" s="39"/>
      <c r="G22" s="39"/>
    </row>
    <row r="23" spans="1:7" x14ac:dyDescent="0.25">
      <c r="A23" s="39"/>
      <c r="B23" s="39"/>
      <c r="C23" s="39"/>
      <c r="D23" s="39"/>
      <c r="E23" s="39"/>
      <c r="F23" s="39"/>
      <c r="G23" s="39"/>
    </row>
    <row r="24" spans="1:7" x14ac:dyDescent="0.25">
      <c r="A24" s="31"/>
      <c r="B24" s="31"/>
      <c r="C24" s="31"/>
      <c r="D24" s="31"/>
      <c r="E24" s="31"/>
      <c r="F24" s="31"/>
      <c r="G24" s="31"/>
    </row>
  </sheetData>
  <hyperlinks>
    <hyperlink ref="D11" r:id="rId1" display="=@round('Expansion Factor new tax'!K38,4)"/>
  </hyperlinks>
  <pageMargins left="0.7" right="0.7" top="0.75" bottom="0.75" header="0.3" footer="0.3"/>
  <pageSetup fitToHeight="0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opLeftCell="A19" workbookViewId="0">
      <selection activeCell="K21" sqref="K21"/>
    </sheetView>
  </sheetViews>
  <sheetFormatPr defaultRowHeight="15" x14ac:dyDescent="0.25"/>
  <cols>
    <col min="11" max="11" width="14.140625" customWidth="1"/>
    <col min="13" max="13" width="18.7109375" customWidth="1"/>
    <col min="15" max="15" width="15.7109375" customWidth="1"/>
    <col min="16" max="16" width="23.85546875" customWidth="1"/>
  </cols>
  <sheetData>
    <row r="1" spans="1:16" ht="16.5" x14ac:dyDescent="0.25">
      <c r="A1" s="44"/>
      <c r="B1" s="45"/>
      <c r="C1" s="44"/>
      <c r="D1" s="44"/>
      <c r="E1" s="45"/>
      <c r="F1" s="45"/>
      <c r="G1" s="45"/>
      <c r="H1" s="45" t="s">
        <v>66</v>
      </c>
      <c r="I1" s="45"/>
      <c r="J1" s="45"/>
      <c r="K1" s="45"/>
      <c r="L1" s="44"/>
      <c r="M1" s="44"/>
      <c r="N1" s="44"/>
      <c r="O1" s="46"/>
      <c r="P1" s="44"/>
    </row>
    <row r="2" spans="1:16" ht="17.25" thickBot="1" x14ac:dyDescent="0.3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6.5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16" ht="16.5" x14ac:dyDescent="0.25">
      <c r="A4" s="44" t="s">
        <v>67</v>
      </c>
      <c r="B4" s="44"/>
      <c r="C4" s="44"/>
      <c r="D4" s="44"/>
      <c r="E4" s="44" t="s">
        <v>68</v>
      </c>
      <c r="F4" s="44"/>
      <c r="G4" s="45" t="s">
        <v>69</v>
      </c>
      <c r="H4" s="45"/>
      <c r="I4" s="45"/>
      <c r="J4" s="45"/>
      <c r="K4" s="45"/>
      <c r="L4" s="44"/>
      <c r="M4" s="44"/>
      <c r="N4" s="44"/>
      <c r="P4" s="44"/>
    </row>
    <row r="5" spans="1:16" ht="16.5" x14ac:dyDescent="0.25">
      <c r="A5" s="44"/>
      <c r="B5" s="44"/>
      <c r="C5" s="44"/>
      <c r="D5" s="44"/>
      <c r="F5" s="45"/>
      <c r="G5" s="45" t="s">
        <v>70</v>
      </c>
      <c r="H5" s="45"/>
      <c r="I5" s="45"/>
      <c r="J5" s="45"/>
      <c r="K5" s="45"/>
      <c r="L5" s="44"/>
      <c r="M5" s="44"/>
      <c r="N5" s="44"/>
      <c r="P5" s="44"/>
    </row>
    <row r="6" spans="1:16" ht="16.5" x14ac:dyDescent="0.25">
      <c r="A6" s="48" t="s">
        <v>71</v>
      </c>
      <c r="B6" s="44"/>
      <c r="C6" s="44"/>
      <c r="D6" s="44"/>
      <c r="E6" s="45"/>
      <c r="F6" s="45"/>
      <c r="G6" s="45"/>
      <c r="H6" s="45"/>
      <c r="I6" s="45"/>
      <c r="J6" s="45"/>
      <c r="K6" s="45"/>
      <c r="L6" s="44"/>
      <c r="M6" s="44"/>
      <c r="N6" s="44"/>
      <c r="P6" s="44"/>
    </row>
    <row r="7" spans="1:16" ht="16.5" x14ac:dyDescent="0.25">
      <c r="A7" s="48" t="s">
        <v>72</v>
      </c>
      <c r="B7" s="44"/>
      <c r="C7" s="44"/>
      <c r="D7" s="44"/>
      <c r="E7" s="45"/>
      <c r="F7" s="45"/>
      <c r="G7" s="45"/>
      <c r="H7" s="45"/>
      <c r="I7" s="45"/>
      <c r="J7" s="45"/>
      <c r="K7" s="45"/>
      <c r="L7" s="44"/>
      <c r="M7" s="44"/>
      <c r="N7" s="44"/>
      <c r="P7" s="44"/>
    </row>
    <row r="8" spans="1:16" ht="16.5" x14ac:dyDescent="0.25">
      <c r="A8" s="49"/>
      <c r="B8" s="44"/>
      <c r="C8" s="44"/>
      <c r="D8" s="44"/>
      <c r="E8" s="45"/>
      <c r="F8" s="45"/>
      <c r="G8" s="45"/>
      <c r="H8" s="45"/>
      <c r="I8" s="45"/>
      <c r="J8" s="45"/>
      <c r="K8" s="45"/>
      <c r="L8" s="44"/>
      <c r="M8" s="44"/>
      <c r="N8" s="44"/>
      <c r="P8" s="44"/>
    </row>
    <row r="9" spans="1:16" ht="17.25" thickBot="1" x14ac:dyDescent="0.3">
      <c r="A9" s="44"/>
      <c r="B9" s="44"/>
      <c r="C9" s="44"/>
      <c r="D9" s="44"/>
      <c r="E9" s="45"/>
      <c r="F9" s="45"/>
      <c r="G9" s="45"/>
      <c r="H9" s="45"/>
      <c r="I9" s="45"/>
      <c r="J9" s="45"/>
      <c r="K9" s="45"/>
      <c r="L9" s="44"/>
      <c r="M9" s="44"/>
      <c r="N9" s="44"/>
      <c r="O9" s="44"/>
      <c r="P9" s="44"/>
    </row>
    <row r="10" spans="1:16" ht="16.5" x14ac:dyDescent="0.25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</row>
    <row r="11" spans="1:16" ht="16.5" x14ac:dyDescent="0.25">
      <c r="A11" s="45" t="s">
        <v>73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4"/>
    </row>
    <row r="12" spans="1:16" ht="16.5" x14ac:dyDescent="0.25">
      <c r="A12" s="45" t="s">
        <v>74</v>
      </c>
      <c r="B12" s="45" t="s">
        <v>75</v>
      </c>
      <c r="D12" s="45"/>
      <c r="E12" s="45"/>
      <c r="F12" s="45"/>
      <c r="G12" s="45"/>
      <c r="H12" s="45"/>
      <c r="I12" s="45"/>
      <c r="J12" s="45"/>
      <c r="K12" s="50" t="s">
        <v>76</v>
      </c>
      <c r="L12" s="45"/>
      <c r="M12" s="45" t="s">
        <v>77</v>
      </c>
      <c r="N12" s="45"/>
      <c r="O12" s="45" t="s">
        <v>78</v>
      </c>
      <c r="P12" s="44"/>
    </row>
    <row r="13" spans="1:16" ht="17.25" thickBot="1" x14ac:dyDescent="0.3">
      <c r="A13" s="44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4" t="s">
        <v>79</v>
      </c>
    </row>
    <row r="14" spans="1:16" ht="16.5" x14ac:dyDescent="0.25">
      <c r="A14" s="47"/>
      <c r="B14" s="51"/>
      <c r="C14" s="51"/>
      <c r="D14" s="51"/>
      <c r="E14" s="51"/>
      <c r="F14" s="51"/>
      <c r="G14" s="51"/>
      <c r="H14" s="52"/>
      <c r="I14" s="52"/>
      <c r="J14" s="52"/>
      <c r="K14" s="52"/>
      <c r="L14" s="52"/>
      <c r="M14" s="52"/>
      <c r="N14" s="52"/>
      <c r="O14" s="51"/>
      <c r="P14" s="47"/>
    </row>
    <row r="15" spans="1:16" ht="16.5" x14ac:dyDescent="0.25">
      <c r="A15" s="53">
        <v>1</v>
      </c>
      <c r="B15" s="45" t="s">
        <v>80</v>
      </c>
      <c r="C15" s="45"/>
      <c r="D15" s="45"/>
      <c r="E15" s="45"/>
      <c r="F15" s="45"/>
      <c r="G15" s="45"/>
      <c r="H15" s="54"/>
      <c r="I15" s="54"/>
      <c r="J15" s="54"/>
      <c r="K15" s="55">
        <v>1</v>
      </c>
      <c r="L15" s="54"/>
      <c r="M15" s="54"/>
      <c r="N15" s="54"/>
      <c r="O15" s="45"/>
      <c r="P15" s="44"/>
    </row>
    <row r="16" spans="1:16" ht="16.5" x14ac:dyDescent="0.25">
      <c r="A16" s="53"/>
      <c r="B16" s="45"/>
      <c r="C16" s="45"/>
      <c r="D16" s="45"/>
      <c r="E16" s="45"/>
      <c r="F16" s="45"/>
      <c r="G16" s="45"/>
      <c r="H16" s="54"/>
      <c r="I16" s="54"/>
      <c r="J16" s="54"/>
      <c r="K16" s="56"/>
      <c r="L16" s="54"/>
      <c r="M16" s="54"/>
      <c r="N16" s="54"/>
      <c r="O16" s="45"/>
      <c r="P16" s="44"/>
    </row>
    <row r="17" spans="1:16" ht="16.5" x14ac:dyDescent="0.25">
      <c r="A17" s="53">
        <v>2</v>
      </c>
      <c r="B17" s="45" t="s">
        <v>81</v>
      </c>
      <c r="C17" s="45"/>
      <c r="D17" s="45"/>
      <c r="E17" s="45"/>
      <c r="F17" s="45"/>
      <c r="G17" s="45"/>
      <c r="H17" s="54"/>
      <c r="I17" s="54"/>
      <c r="J17" s="54"/>
      <c r="K17" s="55">
        <v>0</v>
      </c>
      <c r="L17" s="54"/>
      <c r="M17" s="54"/>
      <c r="N17" s="54"/>
      <c r="O17" s="45"/>
      <c r="P17" s="44"/>
    </row>
    <row r="18" spans="1:16" ht="16.5" x14ac:dyDescent="0.25">
      <c r="A18" s="53"/>
      <c r="B18" s="45"/>
      <c r="C18" s="45"/>
      <c r="D18" s="45"/>
      <c r="E18" s="45"/>
      <c r="F18" s="45"/>
      <c r="G18" s="45"/>
      <c r="H18" s="54"/>
      <c r="I18" s="54"/>
      <c r="J18" s="54"/>
      <c r="K18" s="55"/>
      <c r="L18" s="54"/>
      <c r="M18" s="54"/>
      <c r="N18" s="54"/>
      <c r="O18" s="45"/>
      <c r="P18" s="44"/>
    </row>
    <row r="19" spans="1:16" ht="16.5" x14ac:dyDescent="0.25">
      <c r="A19" s="53">
        <v>3</v>
      </c>
      <c r="B19" s="45" t="s">
        <v>82</v>
      </c>
      <c r="C19" s="45"/>
      <c r="D19" s="45"/>
      <c r="E19" s="45"/>
      <c r="F19" s="45"/>
      <c r="G19" s="45"/>
      <c r="H19" s="54"/>
      <c r="I19" s="54"/>
      <c r="J19" s="54"/>
      <c r="K19" s="55">
        <v>5.0299999999999997E-3</v>
      </c>
      <c r="L19" s="54"/>
      <c r="M19" s="54"/>
      <c r="N19" s="54"/>
      <c r="O19" s="45"/>
      <c r="P19" s="44"/>
    </row>
    <row r="20" spans="1:16" ht="16.5" x14ac:dyDescent="0.25">
      <c r="A20" s="53"/>
      <c r="B20" s="45"/>
      <c r="C20" s="45"/>
      <c r="D20" s="45"/>
      <c r="E20" s="45"/>
      <c r="F20" s="45"/>
      <c r="G20" s="45"/>
      <c r="H20" s="54"/>
      <c r="I20" s="54"/>
      <c r="J20" s="54"/>
      <c r="K20" s="57"/>
      <c r="L20" s="54"/>
      <c r="M20" s="54"/>
      <c r="N20" s="54"/>
      <c r="O20" s="45"/>
      <c r="P20" s="44"/>
    </row>
    <row r="21" spans="1:16" ht="16.5" x14ac:dyDescent="0.25">
      <c r="A21" s="53">
        <v>4</v>
      </c>
      <c r="B21" s="45" t="s">
        <v>83</v>
      </c>
      <c r="C21" s="45"/>
      <c r="D21" s="45"/>
      <c r="E21" s="45"/>
      <c r="F21" s="45"/>
      <c r="G21" s="45"/>
      <c r="H21" s="54"/>
      <c r="I21" s="54"/>
      <c r="J21" s="54"/>
      <c r="K21" s="55">
        <f>+P21</f>
        <v>-3.4997449046215486E-3</v>
      </c>
      <c r="L21" s="54"/>
      <c r="M21" s="58">
        <v>21748728</v>
      </c>
      <c r="N21" s="54"/>
      <c r="O21" s="59">
        <v>-76115</v>
      </c>
      <c r="P21" s="60">
        <f>O21/M21</f>
        <v>-3.4997449046215486E-3</v>
      </c>
    </row>
    <row r="22" spans="1:16" ht="16.5" x14ac:dyDescent="0.25">
      <c r="A22" s="53"/>
      <c r="B22" s="45"/>
      <c r="C22" s="45"/>
      <c r="D22" s="45"/>
      <c r="E22" s="45"/>
      <c r="F22" s="45"/>
      <c r="G22" s="45"/>
      <c r="H22" s="54"/>
      <c r="I22" s="54"/>
      <c r="J22" s="54"/>
      <c r="K22" s="57"/>
      <c r="L22" s="54"/>
      <c r="M22" s="54"/>
      <c r="N22" s="54"/>
      <c r="O22" s="45"/>
      <c r="P22" s="44"/>
    </row>
    <row r="23" spans="1:16" ht="16.5" x14ac:dyDescent="0.25">
      <c r="A23" s="53"/>
      <c r="B23" s="45" t="s">
        <v>84</v>
      </c>
      <c r="C23" s="45"/>
      <c r="D23" s="45"/>
      <c r="E23" s="45"/>
      <c r="F23" s="45"/>
      <c r="G23" s="45"/>
      <c r="H23" s="54"/>
      <c r="I23" s="54"/>
      <c r="J23" s="54"/>
      <c r="K23" s="61"/>
      <c r="L23" s="54"/>
      <c r="M23" s="54"/>
      <c r="N23" s="54"/>
      <c r="O23" s="45"/>
      <c r="P23" s="44"/>
    </row>
    <row r="24" spans="1:16" ht="16.5" x14ac:dyDescent="0.25">
      <c r="A24" s="53">
        <v>5</v>
      </c>
      <c r="B24" s="45" t="s">
        <v>85</v>
      </c>
      <c r="C24" s="45"/>
      <c r="D24" s="45"/>
      <c r="E24" s="45"/>
      <c r="F24" s="45"/>
      <c r="G24" s="45"/>
      <c r="H24" s="54"/>
      <c r="I24" s="54"/>
      <c r="J24" s="54"/>
      <c r="K24" s="55">
        <f>K15-K17-K19-K21</f>
        <v>0.99846974490462159</v>
      </c>
      <c r="L24" s="54"/>
      <c r="M24" s="62"/>
      <c r="N24" s="54"/>
      <c r="O24" s="45"/>
      <c r="P24" s="44"/>
    </row>
    <row r="25" spans="1:16" ht="16.5" x14ac:dyDescent="0.25">
      <c r="A25" s="53"/>
      <c r="B25" s="45"/>
      <c r="C25" s="45"/>
      <c r="D25" s="45"/>
      <c r="E25" s="45"/>
      <c r="F25" s="45"/>
      <c r="G25" s="45"/>
      <c r="H25" s="54"/>
      <c r="I25" s="54"/>
      <c r="J25" s="54"/>
      <c r="K25" s="57"/>
      <c r="L25" s="54"/>
      <c r="M25" s="54"/>
      <c r="N25" s="54"/>
      <c r="O25" s="45"/>
      <c r="P25" s="44"/>
    </row>
    <row r="26" spans="1:16" ht="16.5" x14ac:dyDescent="0.25">
      <c r="A26" s="53">
        <v>6</v>
      </c>
      <c r="B26" s="45" t="s">
        <v>86</v>
      </c>
      <c r="C26" s="45"/>
      <c r="D26" s="45"/>
      <c r="E26" s="45"/>
      <c r="F26" s="45"/>
      <c r="G26" s="45"/>
      <c r="H26" s="54"/>
      <c r="I26" s="54"/>
      <c r="J26" s="54"/>
      <c r="K26" s="55">
        <v>5.5E-2</v>
      </c>
      <c r="L26" s="54"/>
      <c r="M26" s="54"/>
      <c r="N26" s="54"/>
      <c r="O26" s="45"/>
      <c r="P26" s="44"/>
    </row>
    <row r="27" spans="1:16" ht="16.5" x14ac:dyDescent="0.25">
      <c r="A27" s="53"/>
      <c r="B27" s="45"/>
      <c r="C27" s="45"/>
      <c r="D27" s="45"/>
      <c r="E27" s="45"/>
      <c r="F27" s="45"/>
      <c r="G27" s="45"/>
      <c r="H27" s="54"/>
      <c r="I27" s="54"/>
      <c r="J27" s="54"/>
      <c r="K27" s="57"/>
      <c r="L27" s="54"/>
      <c r="M27" s="54"/>
      <c r="N27" s="54"/>
      <c r="O27" s="45"/>
      <c r="P27" s="44"/>
    </row>
    <row r="28" spans="1:16" ht="16.5" x14ac:dyDescent="0.25">
      <c r="A28" s="53">
        <v>7</v>
      </c>
      <c r="B28" s="45" t="s">
        <v>87</v>
      </c>
      <c r="C28" s="45"/>
      <c r="D28" s="45"/>
      <c r="E28" s="45"/>
      <c r="F28" s="45"/>
      <c r="G28" s="45"/>
      <c r="H28" s="54"/>
      <c r="I28" s="54"/>
      <c r="J28" s="54"/>
      <c r="K28" s="55">
        <f>K24*K26</f>
        <v>5.491583596975419E-2</v>
      </c>
      <c r="L28" s="54"/>
      <c r="M28" s="54"/>
      <c r="N28" s="54"/>
      <c r="O28" s="45"/>
      <c r="P28" s="44"/>
    </row>
    <row r="29" spans="1:16" ht="16.5" x14ac:dyDescent="0.25">
      <c r="A29" s="53"/>
      <c r="B29" s="45"/>
      <c r="C29" s="45"/>
      <c r="D29" s="45"/>
      <c r="E29" s="45"/>
      <c r="F29" s="45"/>
      <c r="G29" s="45"/>
      <c r="H29" s="54"/>
      <c r="I29" s="54"/>
      <c r="J29" s="54"/>
      <c r="K29" s="57"/>
      <c r="L29" s="54"/>
      <c r="M29" s="54"/>
      <c r="N29" s="54"/>
      <c r="O29" s="45"/>
      <c r="P29" s="44"/>
    </row>
    <row r="30" spans="1:16" ht="16.5" x14ac:dyDescent="0.25">
      <c r="A30" s="53">
        <v>8</v>
      </c>
      <c r="B30" s="45" t="s">
        <v>88</v>
      </c>
      <c r="C30" s="45"/>
      <c r="D30" s="45"/>
      <c r="E30" s="45"/>
      <c r="F30" s="45"/>
      <c r="G30" s="45"/>
      <c r="H30" s="54"/>
      <c r="I30" s="54"/>
      <c r="J30" s="54"/>
      <c r="K30" s="63">
        <f>K24-K28</f>
        <v>0.94355390893486746</v>
      </c>
      <c r="L30" s="54"/>
      <c r="M30" s="54"/>
      <c r="N30" s="54"/>
      <c r="O30" s="45"/>
      <c r="P30" s="44"/>
    </row>
    <row r="31" spans="1:16" ht="16.5" x14ac:dyDescent="0.25">
      <c r="A31" s="53"/>
      <c r="B31" s="45"/>
      <c r="C31" s="45"/>
      <c r="D31" s="45"/>
      <c r="E31" s="45"/>
      <c r="F31" s="45"/>
      <c r="G31" s="45"/>
      <c r="H31" s="54"/>
      <c r="I31" s="54"/>
      <c r="J31" s="54"/>
      <c r="K31" s="57"/>
      <c r="L31" s="54"/>
      <c r="M31" s="54"/>
      <c r="N31" s="54"/>
      <c r="O31" s="45"/>
      <c r="P31" s="44"/>
    </row>
    <row r="32" spans="1:16" ht="16.5" x14ac:dyDescent="0.25">
      <c r="A32" s="53">
        <v>9</v>
      </c>
      <c r="B32" s="45" t="s">
        <v>89</v>
      </c>
      <c r="C32" s="45"/>
      <c r="D32" s="45"/>
      <c r="E32" s="45"/>
      <c r="F32" s="45"/>
      <c r="G32" s="45"/>
      <c r="H32" s="54"/>
      <c r="I32" s="54"/>
      <c r="J32" s="54"/>
      <c r="K32" s="55">
        <v>0.21</v>
      </c>
      <c r="L32" s="54"/>
      <c r="M32" s="54"/>
      <c r="N32" s="54"/>
      <c r="O32" s="45"/>
      <c r="P32" s="44"/>
    </row>
    <row r="33" spans="1:16" ht="16.5" x14ac:dyDescent="0.25">
      <c r="A33" s="53"/>
      <c r="B33" s="45"/>
      <c r="C33" s="45"/>
      <c r="D33" s="45"/>
      <c r="E33" s="45"/>
      <c r="F33" s="45"/>
      <c r="G33" s="45"/>
      <c r="H33" s="54"/>
      <c r="I33" s="54"/>
      <c r="J33" s="54"/>
      <c r="K33" s="57"/>
      <c r="L33" s="54"/>
      <c r="M33" s="54"/>
      <c r="N33" s="54"/>
      <c r="O33" s="45"/>
      <c r="P33" s="44"/>
    </row>
    <row r="34" spans="1:16" ht="16.5" x14ac:dyDescent="0.25">
      <c r="A34" s="53">
        <v>10</v>
      </c>
      <c r="B34" s="45" t="s">
        <v>90</v>
      </c>
      <c r="C34" s="45"/>
      <c r="D34" s="45"/>
      <c r="E34" s="45"/>
      <c r="F34" s="45"/>
      <c r="G34" s="45"/>
      <c r="H34" s="54"/>
      <c r="I34" s="54"/>
      <c r="J34" s="54"/>
      <c r="K34" s="63">
        <f>K30*K32</f>
        <v>0.19814632087632217</v>
      </c>
      <c r="L34" s="54"/>
      <c r="M34" s="54"/>
      <c r="N34" s="54"/>
      <c r="O34" s="45"/>
      <c r="P34" s="44"/>
    </row>
    <row r="35" spans="1:16" ht="16.5" x14ac:dyDescent="0.25">
      <c r="A35" s="53"/>
      <c r="B35" s="45"/>
      <c r="C35" s="45"/>
      <c r="D35" s="45"/>
      <c r="E35" s="45"/>
      <c r="F35" s="45"/>
      <c r="G35" s="45"/>
      <c r="H35" s="54"/>
      <c r="I35" s="54"/>
      <c r="J35" s="54"/>
      <c r="K35" s="57"/>
      <c r="L35" s="54"/>
      <c r="M35" s="54"/>
      <c r="N35" s="54"/>
      <c r="O35" s="45"/>
      <c r="P35" s="44"/>
    </row>
    <row r="36" spans="1:16" ht="16.5" x14ac:dyDescent="0.25">
      <c r="A36" s="53">
        <v>11</v>
      </c>
      <c r="B36" s="45" t="s">
        <v>91</v>
      </c>
      <c r="C36" s="45"/>
      <c r="D36" s="45"/>
      <c r="E36" s="45"/>
      <c r="F36" s="45"/>
      <c r="G36" s="45"/>
      <c r="H36" s="54"/>
      <c r="I36" s="54"/>
      <c r="J36" s="54"/>
      <c r="K36" s="63">
        <f>K30-K34</f>
        <v>0.74540758805854535</v>
      </c>
      <c r="L36" s="54"/>
      <c r="M36" s="54"/>
      <c r="N36" s="54"/>
      <c r="O36" s="45"/>
      <c r="P36" s="44"/>
    </row>
    <row r="37" spans="1:16" ht="16.5" x14ac:dyDescent="0.25">
      <c r="A37" s="53"/>
      <c r="B37" s="45"/>
      <c r="C37" s="45"/>
      <c r="D37" s="45"/>
      <c r="E37" s="45"/>
      <c r="F37" s="45"/>
      <c r="G37" s="45"/>
      <c r="H37" s="54"/>
      <c r="I37" s="54"/>
      <c r="J37" s="54"/>
      <c r="K37" s="57"/>
      <c r="L37" s="54"/>
      <c r="M37" s="54"/>
      <c r="N37" s="54"/>
      <c r="O37" s="45"/>
      <c r="P37" s="44"/>
    </row>
    <row r="38" spans="1:16" ht="17.25" thickBot="1" x14ac:dyDescent="0.3">
      <c r="A38" s="53">
        <v>12</v>
      </c>
      <c r="B38" s="45" t="s">
        <v>92</v>
      </c>
      <c r="C38" s="45"/>
      <c r="D38" s="45"/>
      <c r="E38" s="45"/>
      <c r="F38" s="45"/>
      <c r="G38" s="45"/>
      <c r="H38" s="54"/>
      <c r="I38" s="54"/>
      <c r="J38" s="54"/>
      <c r="K38" s="64">
        <f>1/K36</f>
        <v>1.3415479209227725</v>
      </c>
      <c r="L38" s="54"/>
      <c r="M38" s="54"/>
      <c r="N38" s="54"/>
      <c r="O38" s="45"/>
      <c r="P38" s="44"/>
    </row>
    <row r="39" spans="1:16" ht="17.25" thickTop="1" x14ac:dyDescent="0.25">
      <c r="A39" s="53">
        <v>25</v>
      </c>
      <c r="B39" s="45" t="s">
        <v>93</v>
      </c>
      <c r="C39" s="45"/>
      <c r="D39" s="45"/>
      <c r="E39" s="45"/>
      <c r="F39" s="45"/>
      <c r="G39" s="45"/>
      <c r="H39" s="54"/>
      <c r="I39" s="54"/>
      <c r="J39" s="54"/>
      <c r="K39" s="54"/>
      <c r="L39" s="54"/>
      <c r="M39" s="54"/>
      <c r="N39" s="54"/>
      <c r="O39" s="45"/>
      <c r="P39" s="44"/>
    </row>
    <row r="40" spans="1:16" ht="16.5" x14ac:dyDescent="0.25">
      <c r="A40" s="53">
        <v>26</v>
      </c>
      <c r="B40" s="45"/>
      <c r="C40" s="45"/>
      <c r="D40" s="45"/>
      <c r="E40" s="45"/>
      <c r="F40" s="45"/>
      <c r="G40" s="45"/>
      <c r="H40" s="54"/>
      <c r="I40" s="54"/>
      <c r="J40" s="54"/>
      <c r="K40" s="54"/>
      <c r="L40" s="54"/>
      <c r="M40" s="54"/>
      <c r="N40" s="54"/>
      <c r="O40" s="45"/>
      <c r="P40" s="44"/>
    </row>
    <row r="41" spans="1:16" ht="16.5" x14ac:dyDescent="0.25">
      <c r="A41" s="45"/>
      <c r="B41" s="45"/>
      <c r="C41" s="45"/>
      <c r="D41" s="45"/>
      <c r="E41" s="45"/>
      <c r="F41" s="45"/>
      <c r="G41" s="45"/>
      <c r="H41" s="54"/>
      <c r="I41" s="54"/>
      <c r="J41" s="54"/>
      <c r="K41" s="65"/>
      <c r="L41" s="54"/>
      <c r="M41" s="54"/>
      <c r="N41" s="54"/>
      <c r="O41" s="45"/>
      <c r="P41" s="44"/>
    </row>
    <row r="42" spans="1:16" ht="16.5" x14ac:dyDescent="0.25">
      <c r="A42" s="45"/>
      <c r="B42" s="45"/>
      <c r="C42" s="45"/>
      <c r="D42" s="45"/>
      <c r="E42" s="45"/>
      <c r="F42" s="45"/>
      <c r="G42" s="45"/>
      <c r="H42" s="54"/>
      <c r="I42" s="54"/>
      <c r="J42" s="54"/>
      <c r="K42" s="65"/>
      <c r="L42" s="54"/>
      <c r="M42" s="54"/>
      <c r="N42" s="54"/>
      <c r="O42" s="45"/>
      <c r="P42" s="4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Grip Projection at 5-31-18</vt:lpstr>
      <vt:lpstr>Grip Projection Filed</vt:lpstr>
      <vt:lpstr>Return-new tax exp factor</vt:lpstr>
      <vt:lpstr>Expansion Factor new tax</vt:lpstr>
    </vt:vector>
  </TitlesOfParts>
  <Company>Chesapeake Utilities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Welch, Kathy</dc:creator>
  <cp:lastModifiedBy>Windows User</cp:lastModifiedBy>
  <cp:lastPrinted>2018-09-25T18:47:45Z</cp:lastPrinted>
  <dcterms:created xsi:type="dcterms:W3CDTF">2018-09-07T13:15:47Z</dcterms:created>
  <dcterms:modified xsi:type="dcterms:W3CDTF">2018-09-25T18:49:12Z</dcterms:modified>
</cp:coreProperties>
</file>