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hidePivotFieldList="1" defaultThemeVersion="164011"/>
  <bookViews>
    <workbookView xWindow="0" yWindow="0" windowWidth="15300" windowHeight="6705"/>
  </bookViews>
  <sheets>
    <sheet name="&lt;1&gt; ADIT Detail" sheetId="2" r:id="rId1"/>
    <sheet name="&lt;2&gt; OTP Code Details" sheetId="4" r:id="rId2"/>
    <sheet name="&lt;3&gt; Reg Asset-Liab w BS offsets" sheetId="3" r:id="rId3"/>
    <sheet name="&lt;4&gt; FAS109 Summary" sheetId="14" r:id="rId4"/>
    <sheet name="&lt;4a&gt; FPL FAS109" sheetId="5" r:id="rId5"/>
    <sheet name="&lt;4b&gt; CBAS FAS109 Entry" sheetId="11" r:id="rId6"/>
    <sheet name="&lt;4c&gt; ICL FAS109 Entry" sheetId="12" r:id="rId7"/>
    <sheet name="&lt;4d&gt; Enersys FAS109 Entry" sheetId="13" r:id="rId8"/>
  </sheets>
  <externalReferences>
    <externalReference r:id="rId9"/>
  </externalReferences>
  <definedNames>
    <definedName name="____n4" localSheetId="5" hidden="1">{"EXCELHLP.HLP!1802";5;10;5;10;13;13;13;8;5;5;10;14;13;13;13;13;5;10;14;13;5;10;1;2;24}</definedName>
    <definedName name="____n4" localSheetId="6" hidden="1">{"EXCELHLP.HLP!1802";5;10;5;10;13;13;13;8;5;5;10;14;13;13;13;13;5;10;14;13;5;10;1;2;24}</definedName>
    <definedName name="____n4" localSheetId="7" hidden="1">{"EXCELHLP.HLP!1802";5;10;5;10;13;13;13;8;5;5;10;14;13;13;13;13;5;10;14;13;5;10;1;2;24}</definedName>
    <definedName name="____n4" hidden="1">{"EXCELHLP.HLP!1802";5;10;5;10;13;13;13;8;5;5;10;14;13;13;13;13;5;10;14;13;5;10;1;2;24}</definedName>
    <definedName name="___n4" localSheetId="5" hidden="1">{"EXCELHLP.HLP!1802";5;10;5;10;13;13;13;8;5;5;10;14;13;13;13;13;5;10;14;13;5;10;1;2;24}</definedName>
    <definedName name="___n4" localSheetId="6" hidden="1">{"EXCELHLP.HLP!1802";5;10;5;10;13;13;13;8;5;5;10;14;13;13;13;13;5;10;14;13;5;10;1;2;24}</definedName>
    <definedName name="___n4" localSheetId="7" hidden="1">{"EXCELHLP.HLP!1802";5;10;5;10;13;13;13;8;5;5;10;14;13;13;13;13;5;10;14;13;5;10;1;2;24}</definedName>
    <definedName name="___n4" hidden="1">{"EXCELHLP.HLP!1802";5;10;5;10;13;13;13;8;5;5;10;14;13;13;13;13;5;10;14;13;5;10;1;2;24}</definedName>
    <definedName name="__n4" localSheetId="5" hidden="1">{"EXCELHLP.HLP!1802";5;10;5;10;13;13;13;8;5;5;10;14;13;13;13;13;5;10;14;13;5;10;1;2;24}</definedName>
    <definedName name="__n4" localSheetId="6" hidden="1">{"EXCELHLP.HLP!1802";5;10;5;10;13;13;13;8;5;5;10;14;13;13;13;13;5;10;14;13;5;10;1;2;24}</definedName>
    <definedName name="__n4" localSheetId="7" hidden="1">{"EXCELHLP.HLP!1802";5;10;5;10;13;13;13;8;5;5;10;14;13;13;13;13;5;10;14;13;5;10;1;2;24}</definedName>
    <definedName name="__n4" hidden="1">{"EXCELHLP.HLP!1802";5;10;5;10;13;13;13;8;5;5;10;14;13;13;13;13;5;10;14;13;5;10;1;2;24}</definedName>
    <definedName name="_ATPRegress_Dlg_Results" localSheetId="5" hidden="1">{2;#N/A;"R13C16:R17C16";#N/A;"R13C14:R17C15";FALSE;FALSE;FALSE;95;#N/A;#N/A;"R13C19";#N/A;FALSE;FALSE;FALSE;FALSE;#N/A;"";#N/A;FALSE;"";"";#N/A;#N/A;#N/A}</definedName>
    <definedName name="_ATPRegress_Dlg_Results" localSheetId="6" hidden="1">{2;#N/A;"R13C16:R17C16";#N/A;"R13C14:R17C15";FALSE;FALSE;FALSE;95;#N/A;#N/A;"R13C19";#N/A;FALSE;FALSE;FALSE;FALSE;#N/A;"";#N/A;FALSE;"";"";#N/A;#N/A;#N/A}</definedName>
    <definedName name="_ATPRegress_Dlg_Results" localSheetId="7" hidden="1">{2;#N/A;"R13C16:R17C16";#N/A;"R13C14:R17C15";FALSE;FALSE;FALSE;95;#N/A;#N/A;"R13C19";#N/A;FALSE;FALSE;FALSE;FALSE;#N/A;"";#N/A;FALSE;"";"";#N/A;#N/A;#N/A}</definedName>
    <definedName name="_ATPRegress_Dlg_Results" hidden="1">{2;#N/A;"R13C16:R17C16";#N/A;"R13C14:R17C15";FALSE;FALSE;FALSE;95;#N/A;#N/A;"R13C19";#N/A;FALSE;FALSE;FALSE;FALSE;#N/A;"";#N/A;FALSE;"";"";#N/A;#N/A;#N/A}</definedName>
    <definedName name="_ATPRegress_Dlg_Types" localSheetId="5" hidden="1">{"EXCELHLP.HLP!1802";5;10;5;10;13;13;13;8;5;5;10;14;13;13;13;13;5;10;14;13;5;10;1;2;24}</definedName>
    <definedName name="_ATPRegress_Dlg_Types" localSheetId="6" hidden="1">{"EXCELHLP.HLP!1802";5;10;5;10;13;13;13;8;5;5;10;14;13;13;13;13;5;10;14;13;5;10;1;2;24}</definedName>
    <definedName name="_ATPRegress_Dlg_Types" localSheetId="7" hidden="1">{"EXCELHLP.HLP!1802";5;10;5;10;13;13;13;8;5;5;10;14;13;13;13;13;5;10;14;13;5;10;1;2;24}</definedName>
    <definedName name="_ATPRegress_Dlg_Types" hidden="1">{"EXCELHLP.HLP!1802";5;10;5;10;13;13;13;8;5;5;10;14;13;13;13;13;5;10;14;13;5;10;1;2;24}</definedName>
    <definedName name="_ATPRegress_Range1" localSheetId="4" hidden="1">'[1]ST Corrections'!#REF!</definedName>
    <definedName name="_ATPRegress_Range1" hidden="1">'[1]ST Corrections'!#REF!</definedName>
    <definedName name="_ATPRegress_Range2" localSheetId="4" hidden="1">'[1]ST Corrections'!#REF!</definedName>
    <definedName name="_ATPRegress_Range2" hidden="1">'[1]ST Corrections'!#REF!</definedName>
    <definedName name="_ATPRegress_Range3" localSheetId="4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0" hidden="1">'&lt;1&gt; ADIT Detail'!$A$7:$K$62</definedName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n4" localSheetId="5" hidden="1">{"EXCELHLP.HLP!1802";5;10;5;10;13;13;13;8;5;5;10;14;13;13;13;13;5;10;14;13;5;10;1;2;24}</definedName>
    <definedName name="_n4" localSheetId="6" hidden="1">{"EXCELHLP.HLP!1802";5;10;5;10;13;13;13;8;5;5;10;14;13;13;13;13;5;10;14;13;5;10;1;2;24}</definedName>
    <definedName name="_n4" localSheetId="7" hidden="1">{"EXCELHLP.HLP!1802";5;10;5;10;13;13;13;8;5;5;10;14;13;13;13;13;5;10;14;13;5;10;1;2;24}</definedName>
    <definedName name="_n4" hidden="1">{"EXCELHLP.HLP!1802";5;10;5;10;13;13;13;8;5;5;10;14;13;13;13;13;5;10;14;13;5;10;1;2;24}</definedName>
    <definedName name="_Order1" hidden="1">255</definedName>
    <definedName name="_Order2" hidden="1">255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hidden="1">#REF!</definedName>
    <definedName name="_Table1_In1" localSheetId="4" hidden="1">#REF!</definedName>
    <definedName name="_Table1_In1" localSheetId="5" hidden="1">#REF!</definedName>
    <definedName name="_Table1_In1" localSheetId="6" hidden="1">#REF!</definedName>
    <definedName name="_Table1_In1" hidden="1">#REF!</definedName>
    <definedName name="_Table1_Out" localSheetId="4" hidden="1">#REF!</definedName>
    <definedName name="_Table1_Out" localSheetId="5" hidden="1">#REF!</definedName>
    <definedName name="_Table1_Out" localSheetId="6" hidden="1">#REF!</definedName>
    <definedName name="_Table1_Out" hidden="1">#REF!</definedName>
    <definedName name="_Table2_In1" localSheetId="4" hidden="1">#REF!</definedName>
    <definedName name="_Table2_In1" localSheetId="5" hidden="1">#REF!</definedName>
    <definedName name="_Table2_In1" hidden="1">#REF!</definedName>
    <definedName name="_Table2_In2" localSheetId="4" hidden="1">#REF!</definedName>
    <definedName name="_Table2_In2" localSheetId="5" hidden="1">#REF!</definedName>
    <definedName name="_Table2_In2" hidden="1">#REF!</definedName>
    <definedName name="_Table2_Out" localSheetId="4" hidden="1">#REF!</definedName>
    <definedName name="_Table2_Out" localSheetId="5" hidden="1">#REF!</definedName>
    <definedName name="_Table2_Out" hidden="1">#REF!</definedName>
    <definedName name="_Table3_In2" localSheetId="4" hidden="1">#REF!</definedName>
    <definedName name="_Table3_In2" localSheetId="5" hidden="1">#REF!</definedName>
    <definedName name="_Table3_In2" hidden="1">#REF!</definedName>
    <definedName name="anscount" hidden="1">1</definedName>
    <definedName name="AS2DocOpenMode" hidden="1">"AS2DocumentEdit"</definedName>
    <definedName name="cost" localSheetId="5" hidden="1">{#N/A,#N/A,FALSE,"T COST";#N/A,#N/A,FALSE,"COST_FH"}</definedName>
    <definedName name="cost" localSheetId="6" hidden="1">{#N/A,#N/A,FALSE,"T COST";#N/A,#N/A,FALSE,"COST_FH"}</definedName>
    <definedName name="cost" localSheetId="7" hidden="1">{#N/A,#N/A,FALSE,"T COST";#N/A,#N/A,FALSE,"COST_FH"}</definedName>
    <definedName name="cost" hidden="1">{#N/A,#N/A,FALSE,"T COST";#N/A,#N/A,FALSE,"COST_FH"}</definedName>
    <definedName name="Cwvu.GREY_ALL." localSheetId="4" hidden="1">#REF!</definedName>
    <definedName name="Cwvu.GREY_ALL." localSheetId="5" hidden="1">#REF!</definedName>
    <definedName name="Cwvu.GREY_ALL." localSheetId="6" hidden="1">#REF!</definedName>
    <definedName name="Cwvu.GREY_ALL." localSheetId="7" hidden="1">#REF!</definedName>
    <definedName name="Cwvu.GREY_ALL." hidden="1">#REF!</definedName>
    <definedName name="nada" localSheetId="5" hidden="1">{2;#N/A;"R13C16:R17C16";#N/A;"R13C14:R17C15";FALSE;FALSE;FALSE;95;#N/A;#N/A;"R13C19";#N/A;FALSE;FALSE;FALSE;FALSE;#N/A;"";#N/A;FALSE;"";"";#N/A;#N/A;#N/A}</definedName>
    <definedName name="nada" localSheetId="6" hidden="1">{2;#N/A;"R13C16:R17C16";#N/A;"R13C14:R17C15";FALSE;FALSE;FALSE;95;#N/A;#N/A;"R13C19";#N/A;FALSE;FALSE;FALSE;FALSE;#N/A;"";#N/A;FALSE;"";"";#N/A;#N/A;#N/A}</definedName>
    <definedName name="nada" localSheetId="7" hidden="1">{2;#N/A;"R13C16:R17C16";#N/A;"R13C14:R17C15";FALSE;FALSE;FALSE;95;#N/A;#N/A;"R13C19";#N/A;FALSE;FALSE;FALSE;FALSE;#N/A;"";#N/A;FALSE;"";"";#N/A;#N/A;#N/A}</definedName>
    <definedName name="nada" hidden="1">{2;#N/A;"R13C16:R17C16";#N/A;"R13C14:R17C15";FALSE;FALSE;FALSE;95;#N/A;#N/A;"R13C19";#N/A;FALSE;FALSE;FALSE;FALSE;#N/A;"";#N/A;FALSE;"";"";#N/A;#N/A;#N/A}</definedName>
    <definedName name="_xlnm.Print_Area" localSheetId="0">'&lt;1&gt; ADIT Detail'!$A$2:$K$62</definedName>
    <definedName name="_xlnm.Print_Area" localSheetId="1">'&lt;2&gt; OTP Code Details'!$A$1:$H$52</definedName>
    <definedName name="_xlnm.Print_Area" localSheetId="4">'&lt;4a&gt; FPL FAS109'!$A$1:$Y$50</definedName>
    <definedName name="_xlnm.Print_Area" localSheetId="5">'&lt;4b&gt; CBAS FAS109 Entry'!$A$1:$X$37</definedName>
    <definedName name="_xlnm.Print_Area" localSheetId="6">'&lt;4c&gt; ICL FAS109 Entry'!$A$1:$X$39</definedName>
    <definedName name="_xlnm.Print_Area" localSheetId="7">'&lt;4d&gt; Enersys FAS109 Entry'!$A$1:$X$37</definedName>
    <definedName name="_xlnm.Print_Titles" localSheetId="0">'&lt;1&gt; ADIT Detail'!$7:$7</definedName>
    <definedName name="SAPBEXdnldView" hidden="1">"4FF00RAMDPJZ88O2AGW5D406R"</definedName>
    <definedName name="SAPBEXhrIndnt" hidden="1">1</definedName>
    <definedName name="SAPBEXrevision" hidden="1">0</definedName>
    <definedName name="SAPBEXsysID" hidden="1">"GP1"</definedName>
    <definedName name="SAPBEXwbID" hidden="1">"4EHVVTWW5NJH9YQ89TMHA90XF"</definedName>
    <definedName name="SAPsysID" hidden="1">"708C5W7SBKP804JT78WJ0JNKI"</definedName>
    <definedName name="SAPwbID" hidden="1">"ARS"</definedName>
    <definedName name="sencount" hidden="1">1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in" hidden="1">2</definedName>
    <definedName name="solver_neg" hidden="1">2</definedName>
    <definedName name="solver_num" hidden="1">1</definedName>
    <definedName name="solver_nwt" hidden="1">1</definedName>
    <definedName name="solver_pre" hidden="1">0.000001</definedName>
    <definedName name="solver_rel1" hidden="1">2</definedName>
    <definedName name="solver_rhs1" hidden="1">17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wrn.3cases." localSheetId="5" hidden="1">{#N/A,"Base",FALSE,"Dividend";#N/A,"Conservative",FALSE,"Dividend";#N/A,"Downside",FALSE,"Dividend"}</definedName>
    <definedName name="wrn.3cases." localSheetId="6" hidden="1">{#N/A,"Base",FALSE,"Dividend";#N/A,"Conservative",FALSE,"Dividend";#N/A,"Downside",FALSE,"Dividend"}</definedName>
    <definedName name="wrn.3cases." localSheetId="7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Accretion." localSheetId="5" hidden="1">{"Accretion",#N/A,FALSE,"Assum"}</definedName>
    <definedName name="wrn.Accretion." localSheetId="6" hidden="1">{"Accretion",#N/A,FALSE,"Assum"}</definedName>
    <definedName name="wrn.Accretion." localSheetId="7" hidden="1">{"Accretion",#N/A,FALSE,"Assum"}</definedName>
    <definedName name="wrn.Accretion." hidden="1">{"Accretion",#N/A,FALSE,"Assum"}</definedName>
    <definedName name="wrn.ALL." localSheetId="5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6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localSheetId="7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ssumptions." localSheetId="5" hidden="1">{"Assumptions",#N/A,FALSE,"Assum"}</definedName>
    <definedName name="wrn.Assumptions." localSheetId="6" hidden="1">{"Assumptions",#N/A,FALSE,"Assum"}</definedName>
    <definedName name="wrn.Assumptions." localSheetId="7" hidden="1">{"Assumptions",#N/A,FALSE,"Assum"}</definedName>
    <definedName name="wrn.Assumptions." hidden="1">{"Assumptions",#N/A,FALSE,"Assum"}</definedName>
    <definedName name="wrn.Component._.Analy." localSheetId="5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6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localSheetId="7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localSheetId="5" hidden="1">{#N/A,#N/A,FALSE,"SUMMARY";#N/A,#N/A,FALSE,"INPUTDATA";#N/A,#N/A,FALSE,"Condenser Performance"}</definedName>
    <definedName name="wrn.Condenser._.Summary." localSheetId="6" hidden="1">{#N/A,#N/A,FALSE,"SUMMARY";#N/A,#N/A,FALSE,"INPUTDATA";#N/A,#N/A,FALSE,"Condenser Performance"}</definedName>
    <definedName name="wrn.Condenser._.Summary." localSheetId="7" hidden="1">{#N/A,#N/A,FALSE,"SUMMARY";#N/A,#N/A,FALSE,"INPUTDATA";#N/A,#N/A,FALSE,"Condenser Performance"}</definedName>
    <definedName name="wrn.Condenser._.Summary." hidden="1">{#N/A,#N/A,FALSE,"SUMMARY";#N/A,#N/A,FALSE,"INPUTDATA";#N/A,#N/A,FALSE,"Condenser Performance"}</definedName>
    <definedName name="wrn.COST." localSheetId="5" hidden="1">{#N/A,#N/A,FALSE,"T COST";#N/A,#N/A,FALSE,"COST_FH"}</definedName>
    <definedName name="wrn.COST." localSheetId="6" hidden="1">{#N/A,#N/A,FALSE,"T COST";#N/A,#N/A,FALSE,"COST_FH"}</definedName>
    <definedName name="wrn.COST." localSheetId="7" hidden="1">{#N/A,#N/A,FALSE,"T COST";#N/A,#N/A,FALSE,"COST_FH"}</definedName>
    <definedName name="wrn.COST." hidden="1">{#N/A,#N/A,FALSE,"T COST";#N/A,#N/A,FALSE,"COST_FH"}</definedName>
    <definedName name="wrn.Engr._.Summary." localSheetId="5" hidden="1">{#N/A,#N/A,FALSE,"INPUTDATA";#N/A,#N/A,FALSE,"SUMMARY";#N/A,#N/A,FALSE,"CTAREP";#N/A,#N/A,FALSE,"CTBREP";#N/A,#N/A,FALSE,"TURBEFF";#N/A,#N/A,FALSE,"Condenser Performance"}</definedName>
    <definedName name="wrn.Engr._.Summary." localSheetId="6" hidden="1">{#N/A,#N/A,FALSE,"INPUTDATA";#N/A,#N/A,FALSE,"SUMMARY";#N/A,#N/A,FALSE,"CTAREP";#N/A,#N/A,FALSE,"CTBREP";#N/A,#N/A,FALSE,"TURBEFF";#N/A,#N/A,FALSE,"Condenser Performance"}</definedName>
    <definedName name="wrn.Engr._.Summary." localSheetId="7" hidden="1">{#N/A,#N/A,FALSE,"INPUTDATA";#N/A,#N/A,FALSE,"SUMMARY";#N/A,#N/A,FALSE,"CTAREP";#N/A,#N/A,FALSE,"CTBREP";#N/A,#N/A,FALSE,"TURBEFF";#N/A,#N/A,FALSE,"Condenser Performance"}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localSheetId="5" hidden="1">{#N/A,#N/A,FALSE,"INPUTDATA";#N/A,#N/A,FALSE,"SUMMARY"}</definedName>
    <definedName name="wrn.Exec._.Summary." localSheetId="6" hidden="1">{#N/A,#N/A,FALSE,"INPUTDATA";#N/A,#N/A,FALSE,"SUMMARY"}</definedName>
    <definedName name="wrn.Exec._.Summary." localSheetId="7" hidden="1">{#N/A,#N/A,FALSE,"INPUTDATA";#N/A,#N/A,FALSE,"SUMMARY"}</definedName>
    <definedName name="wrn.Exec._.Summary." hidden="1">{#N/A,#N/A,FALSE,"INPUTDATA";#N/A,#N/A,FALSE,"SUMMARY"}</definedName>
    <definedName name="wrn.FCB." localSheetId="5" hidden="1">{"FCB_ALL",#N/A,FALSE,"FCB"}</definedName>
    <definedName name="wrn.FCB." localSheetId="6" hidden="1">{"FCB_ALL",#N/A,FALSE,"FCB"}</definedName>
    <definedName name="wrn.FCB." localSheetId="7" hidden="1">{"FCB_ALL",#N/A,FALSE,"FCB"}</definedName>
    <definedName name="wrn.FCB." hidden="1">{"FCB_ALL",#N/A,FALSE,"FCB"}</definedName>
    <definedName name="wrn.fcb2" localSheetId="5" hidden="1">{"FCB_ALL",#N/A,FALSE,"FCB"}</definedName>
    <definedName name="wrn.fcb2" localSheetId="6" hidden="1">{"FCB_ALL",#N/A,FALSE,"FCB"}</definedName>
    <definedName name="wrn.fcb2" localSheetId="7" hidden="1">{"FCB_ALL",#N/A,FALSE,"FCB"}</definedName>
    <definedName name="wrn.fcb2" hidden="1">{"FCB_ALL",#N/A,FALSE,"FCB"}</definedName>
    <definedName name="wrn.print._.graphs." localSheetId="5" hidden="1">{"cap_structure",#N/A,FALSE,"Graph-Mkt Cap";"price",#N/A,FALSE,"Graph-Price";"ebit",#N/A,FALSE,"Graph-EBITDA";"ebitda",#N/A,FALSE,"Graph-EBITDA"}</definedName>
    <definedName name="wrn.print._.graphs." localSheetId="6" hidden="1">{"cap_structure",#N/A,FALSE,"Graph-Mkt Cap";"price",#N/A,FALSE,"Graph-Price";"ebit",#N/A,FALSE,"Graph-EBITDA";"ebitda",#N/A,FALSE,"Graph-EBITDA"}</definedName>
    <definedName name="wrn.print._.graphs." localSheetId="7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5" hidden="1">{"inputs raw data",#N/A,TRUE,"INPUT"}</definedName>
    <definedName name="wrn.print._.raw._.data._.entry." localSheetId="6" hidden="1">{"inputs raw data",#N/A,TRUE,"INPUT"}</definedName>
    <definedName name="wrn.print._.raw._.data._.entry." localSheetId="7" hidden="1">{"inputs raw data",#N/A,TRUE,"INPUT"}</definedName>
    <definedName name="wrn.print._.raw._.data._.entry." hidden="1">{"inputs raw data",#N/A,TRUE,"INPUT"}</definedName>
    <definedName name="wrn.print._.summary._.sheets." localSheetId="5" hidden="1">{"summary1",#N/A,TRUE,"Comps";"summary2",#N/A,TRUE,"Comps";"summary3",#N/A,TRUE,"Comps"}</definedName>
    <definedName name="wrn.print._.summary._.sheets." localSheetId="6" hidden="1">{"summary1",#N/A,TRUE,"Comps";"summary2",#N/A,TRUE,"Comps";"summary3",#N/A,TRUE,"Comps"}</definedName>
    <definedName name="wrn.print._.summary._.sheets." localSheetId="7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.summary._.sheets.2" localSheetId="5" hidden="1">{"summary1",#N/A,TRUE,"Comps";"summary2",#N/A,TRUE,"Comps";"summary3",#N/A,TRUE,"Comps"}</definedName>
    <definedName name="wrn.print._.summary._.sheets.2" localSheetId="6" hidden="1">{"summary1",#N/A,TRUE,"Comps";"summary2",#N/A,TRUE,"Comps";"summary3",#N/A,TRUE,"Comps"}</definedName>
    <definedName name="wrn.print._.summary._.sheets.2" localSheetId="7" hidden="1">{"summary1",#N/A,TRUE,"Comps";"summary2",#N/A,TRUE,"Comps";"summary3",#N/A,TRUE,"Comps"}</definedName>
    <definedName name="wrn.print._.summary._.sheets.2" hidden="1">{"summary1",#N/A,TRUE,"Comps";"summary2",#N/A,TRUE,"Comps";"summary3",#N/A,TRUE,"Comps"}</definedName>
    <definedName name="wrn.Print_Buyer." localSheetId="5" hidden="1">{#N/A,"DR",FALSE,"increm pf";#N/A,"MAMSI",FALSE,"increm pf";#N/A,"MAXI",FALSE,"increm pf";#N/A,"PCAM",FALSE,"increm pf";#N/A,"PHSV",FALSE,"increm pf";#N/A,"SIE",FALSE,"increm pf"}</definedName>
    <definedName name="wrn.Print_Buyer." localSheetId="6" hidden="1">{#N/A,"DR",FALSE,"increm pf";#N/A,"MAMSI",FALSE,"increm pf";#N/A,"MAXI",FALSE,"increm pf";#N/A,"PCAM",FALSE,"increm pf";#N/A,"PHSV",FALSE,"increm pf";#N/A,"SIE",FALSE,"increm pf"}</definedName>
    <definedName name="wrn.Print_Buyer." localSheetId="7" hidden="1">{#N/A,"DR",FALSE,"increm pf";#N/A,"MAMSI",FALSE,"increm pf";#N/A,"MAXI",FALSE,"increm pf";#N/A,"PCAM",FALSE,"increm pf";#N/A,"PHSV",FALSE,"increm pf";#N/A,"SIE",FALSE,"increm pf"}</definedName>
    <definedName name="wrn.Print_Buyer." hidden="1">{#N/A,"DR",FALSE,"increm pf";#N/A,"MAMSI",FALSE,"increm pf";#N/A,"MAXI",FALSE,"increm pf";#N/A,"PCAM",FALSE,"increm pf";#N/A,"PHSV",FALSE,"increm pf";#N/A,"SIE",FALSE,"increm pf"}</definedName>
    <definedName name="wrn.Print_Target." localSheetId="5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6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localSheetId="7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Print_Target." hidden="1">{#N/A,"Foundation Health",FALSE,"increm pf";#N/A,"FHP International",FALSE,"increm pf";#N/A,"Healthsource",FALSE,"increm pf";#N/A,"Humana",FALSE,"increm pf";#N/A,"Oxford Health Plans",FALSE,"increm pf";#N/A,"PacifiCare",FALSE,"increm pf";#N/A,"United HealthCare",FALSE,"increm pf";#N/A,"U.S. Healthcare",FALSE,"increm pf";#N/A,"Value Health",FALSE,"increm pf";#N/A,"WellPoint",FALSE,"increm pf"}</definedName>
    <definedName name="wrn.STAND_ALONE_BOTH." localSheetId="5" hidden="1">{"FCB_ALL",#N/A,FALSE,"FCB";"GREY_ALL",#N/A,FALSE,"GREY"}</definedName>
    <definedName name="wrn.STAND_ALONE_BOTH." localSheetId="6" hidden="1">{"FCB_ALL",#N/A,FALSE,"FCB";"GREY_ALL",#N/A,FALSE,"GREY"}</definedName>
    <definedName name="wrn.STAND_ALONE_BOTH." localSheetId="7" hidden="1">{"FCB_ALL",#N/A,FALSE,"FCB";"GREY_ALL",#N/A,FALSE,"GREY"}</definedName>
    <definedName name="wrn.STAND_ALONE_BOTH." hidden="1">{"FCB_ALL",#N/A,FALSE,"FCB";"GREY_ALL",#N/A,FALSE,"GREY"}</definedName>
    <definedName name="wrn.SUM._.OF._.UNIT._.3." localSheetId="5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6" hidden="1">{#N/A,#N/A,FALSE,"INPUTDATA";#N/A,#N/A,FALSE,"SUMMARY";#N/A,#N/A,FALSE,"CTAREP";#N/A,#N/A,FALSE,"CTBREP";#N/A,#N/A,FALSE,"PMG4ST86";#N/A,#N/A,FALSE,"TURBEFF";#N/A,#N/A,FALSE,"Condenser Performance"}</definedName>
    <definedName name="wrn.SUM._.OF._.UNIT._.3." localSheetId="7" hidden="1">{#N/A,#N/A,FALSE,"INPUTDATA";#N/A,#N/A,FALSE,"SUMMARY";#N/A,#N/A,FALSE,"CTAREP";#N/A,#N/A,FALSE,"CTBREP";#N/A,#N/A,FALSE,"PMG4ST86";#N/A,#N/A,FALSE,"TURBEFF";#N/A,#N/A,FALSE,"Condenser Performance"}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  <definedName name="wvu.inputs._.raw._.data." localSheetId="5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6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localSheetId="7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5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6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localSheetId="7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5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6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localSheetId="7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5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6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localSheetId="7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xxx.detail" localSheetId="5" hidden="1">{"detail305",#N/A,FALSE,"BI-305"}</definedName>
    <definedName name="xxx.detail" localSheetId="6" hidden="1">{"detail305",#N/A,FALSE,"BI-305"}</definedName>
    <definedName name="xxx.detail" localSheetId="7" hidden="1">{"detail305",#N/A,FALSE,"BI-305"}</definedName>
    <definedName name="xxx.detail" hidden="1">{"detail305",#N/A,FALSE,"BI-305"}</definedName>
    <definedName name="xxx.directory" localSheetId="5" hidden="1">{"summary",#N/A,FALSE,"PCR DIRECTORY"}</definedName>
    <definedName name="xxx.directory" localSheetId="6" hidden="1">{"summary",#N/A,FALSE,"PCR DIRECTORY"}</definedName>
    <definedName name="xxx.directory" localSheetId="7" hidden="1">{"summary",#N/A,FALSE,"PCR DIRECTORY"}</definedName>
    <definedName name="xxx.directory" hidden="1">{"summary",#N/A,FALSE,"PCR DIRECTORY"}</definedName>
  </definedNames>
  <calcPr calcId="162913"/>
</workbook>
</file>

<file path=xl/calcChain.xml><?xml version="1.0" encoding="utf-8"?>
<calcChain xmlns="http://schemas.openxmlformats.org/spreadsheetml/2006/main">
  <c r="D28" i="3" l="1"/>
  <c r="D22" i="3"/>
  <c r="D15" i="3"/>
  <c r="H49" i="2" l="1"/>
  <c r="F49" i="2"/>
  <c r="H48" i="2"/>
  <c r="F48" i="2"/>
  <c r="K39" i="14" l="1"/>
  <c r="K26" i="14"/>
  <c r="X46" i="13"/>
  <c r="X43" i="13"/>
  <c r="K36" i="14" s="1"/>
  <c r="X46" i="12"/>
  <c r="X43" i="12" s="1"/>
  <c r="B26" i="13"/>
  <c r="B29" i="13" s="1"/>
  <c r="S17" i="13"/>
  <c r="R43" i="13" s="1"/>
  <c r="U15" i="13"/>
  <c r="T15" i="13"/>
  <c r="Z15" i="13" s="1"/>
  <c r="X15" i="13" s="1"/>
  <c r="C14" i="13"/>
  <c r="B14" i="13"/>
  <c r="S12" i="13"/>
  <c r="R12" i="13"/>
  <c r="R17" i="13" s="1"/>
  <c r="D12" i="13"/>
  <c r="D11" i="13"/>
  <c r="D10" i="13"/>
  <c r="Q9" i="13"/>
  <c r="P9" i="13"/>
  <c r="Z9" i="13" s="1"/>
  <c r="B22" i="12"/>
  <c r="B25" i="12" s="1"/>
  <c r="Z15" i="12"/>
  <c r="W15" i="12" s="1"/>
  <c r="X15" i="12"/>
  <c r="U15" i="12"/>
  <c r="T15" i="12"/>
  <c r="C14" i="12"/>
  <c r="B14" i="12"/>
  <c r="S12" i="12"/>
  <c r="S17" i="12" s="1"/>
  <c r="R12" i="12"/>
  <c r="R17" i="12" s="1"/>
  <c r="D12" i="12"/>
  <c r="D11" i="12"/>
  <c r="D10" i="12"/>
  <c r="Q9" i="12"/>
  <c r="P9" i="12"/>
  <c r="Z9" i="12" s="1"/>
  <c r="B25" i="11"/>
  <c r="B23" i="11"/>
  <c r="B27" i="11" s="1"/>
  <c r="B22" i="11"/>
  <c r="U15" i="11"/>
  <c r="T15" i="11"/>
  <c r="Z15" i="11" s="1"/>
  <c r="C14" i="11"/>
  <c r="B14" i="11"/>
  <c r="U13" i="11"/>
  <c r="T13" i="11"/>
  <c r="S12" i="11"/>
  <c r="S17" i="11" s="1"/>
  <c r="R12" i="11"/>
  <c r="R17" i="11" s="1"/>
  <c r="D12" i="11"/>
  <c r="D11" i="11"/>
  <c r="D10" i="11"/>
  <c r="Q9" i="11"/>
  <c r="P9" i="11"/>
  <c r="Z9" i="11" s="1"/>
  <c r="R42" i="13" l="1"/>
  <c r="E36" i="14"/>
  <c r="X9" i="12"/>
  <c r="W9" i="12"/>
  <c r="S46" i="11"/>
  <c r="R43" i="11"/>
  <c r="E18" i="14" s="1"/>
  <c r="R32" i="11"/>
  <c r="Q38" i="11" s="1"/>
  <c r="P28" i="11" s="1"/>
  <c r="S46" i="12"/>
  <c r="R32" i="12"/>
  <c r="Q38" i="12" s="1"/>
  <c r="R43" i="12"/>
  <c r="E27" i="14" s="1"/>
  <c r="K27" i="14"/>
  <c r="X44" i="12"/>
  <c r="X48" i="12" s="1"/>
  <c r="B23" i="12"/>
  <c r="B27" i="12" s="1"/>
  <c r="X42" i="13"/>
  <c r="K28" i="14"/>
  <c r="K30" i="14"/>
  <c r="D14" i="12"/>
  <c r="Z12" i="12"/>
  <c r="X12" i="12" s="1"/>
  <c r="K10" i="13"/>
  <c r="B27" i="13"/>
  <c r="B31" i="13" s="1"/>
  <c r="S46" i="13"/>
  <c r="R32" i="13"/>
  <c r="Q38" i="13" s="1"/>
  <c r="P28" i="13" s="1"/>
  <c r="Z12" i="13"/>
  <c r="X9" i="11"/>
  <c r="W9" i="11"/>
  <c r="W15" i="11"/>
  <c r="X15" i="11"/>
  <c r="D14" i="11"/>
  <c r="R42" i="11"/>
  <c r="R42" i="12"/>
  <c r="W12" i="12"/>
  <c r="P28" i="12"/>
  <c r="X9" i="13"/>
  <c r="W9" i="13"/>
  <c r="J10" i="12"/>
  <c r="F11" i="12"/>
  <c r="H11" i="12" s="1"/>
  <c r="U10" i="13"/>
  <c r="W46" i="13" s="1"/>
  <c r="K12" i="12"/>
  <c r="Q16" i="12" s="1"/>
  <c r="Q17" i="12" s="1"/>
  <c r="K10" i="12"/>
  <c r="F12" i="12"/>
  <c r="H12" i="12" s="1"/>
  <c r="F10" i="12"/>
  <c r="K12" i="11"/>
  <c r="Q16" i="11" s="1"/>
  <c r="F12" i="11"/>
  <c r="H12" i="11" s="1"/>
  <c r="J12" i="11"/>
  <c r="K10" i="11"/>
  <c r="F12" i="13"/>
  <c r="H12" i="13" s="1"/>
  <c r="J11" i="13"/>
  <c r="K11" i="13"/>
  <c r="U13" i="13" s="1"/>
  <c r="K12" i="13"/>
  <c r="Q16" i="13" s="1"/>
  <c r="Q17" i="13" s="1"/>
  <c r="F11" i="13"/>
  <c r="H11" i="13" s="1"/>
  <c r="J12" i="13"/>
  <c r="W15" i="13"/>
  <c r="K11" i="11"/>
  <c r="Q13" i="11" s="1"/>
  <c r="Z12" i="11"/>
  <c r="J11" i="12"/>
  <c r="F10" i="13"/>
  <c r="F11" i="11"/>
  <c r="H11" i="11" s="1"/>
  <c r="F10" i="11"/>
  <c r="K11" i="12"/>
  <c r="U13" i="12" s="1"/>
  <c r="W46" i="12" s="1"/>
  <c r="J10" i="11"/>
  <c r="J10" i="13"/>
  <c r="D14" i="13"/>
  <c r="J11" i="11"/>
  <c r="J12" i="12"/>
  <c r="D33" i="3"/>
  <c r="D34" i="3" s="1"/>
  <c r="R31" i="13" l="1"/>
  <c r="Q37" i="13" s="1"/>
  <c r="P43" i="13"/>
  <c r="C36" i="14" s="1"/>
  <c r="Q46" i="13"/>
  <c r="W12" i="13"/>
  <c r="X12" i="13"/>
  <c r="K32" i="14"/>
  <c r="S48" i="12"/>
  <c r="S49" i="12" s="1"/>
  <c r="F30" i="14"/>
  <c r="F32" i="14" s="1"/>
  <c r="S48" i="13"/>
  <c r="S49" i="13" s="1"/>
  <c r="F39" i="14"/>
  <c r="F41" i="14" s="1"/>
  <c r="X44" i="13"/>
  <c r="X48" i="13" s="1"/>
  <c r="K35" i="14"/>
  <c r="K37" i="14" s="1"/>
  <c r="K41" i="14" s="1"/>
  <c r="R31" i="12"/>
  <c r="Q37" i="12" s="1"/>
  <c r="P43" i="12"/>
  <c r="Q46" i="12"/>
  <c r="S48" i="11"/>
  <c r="S49" i="11" s="1"/>
  <c r="F21" i="14"/>
  <c r="F23" i="14" s="1"/>
  <c r="R44" i="13"/>
  <c r="R48" i="13" s="1"/>
  <c r="R49" i="13" s="1"/>
  <c r="E35" i="14"/>
  <c r="E37" i="14" s="1"/>
  <c r="E41" i="14" s="1"/>
  <c r="Q17" i="11"/>
  <c r="X46" i="11"/>
  <c r="R44" i="11"/>
  <c r="R48" i="11" s="1"/>
  <c r="R49" i="11" s="1"/>
  <c r="E17" i="14"/>
  <c r="E19" i="14" s="1"/>
  <c r="E23" i="14" s="1"/>
  <c r="J30" i="14"/>
  <c r="W43" i="12"/>
  <c r="R44" i="12"/>
  <c r="R48" i="12" s="1"/>
  <c r="R49" i="12" s="1"/>
  <c r="E26" i="14"/>
  <c r="W43" i="13"/>
  <c r="J39" i="14"/>
  <c r="J14" i="11"/>
  <c r="T10" i="11"/>
  <c r="L10" i="11"/>
  <c r="L12" i="12"/>
  <c r="P16" i="12"/>
  <c r="L11" i="12"/>
  <c r="T13" i="12"/>
  <c r="Z13" i="12" s="1"/>
  <c r="L12" i="11"/>
  <c r="P16" i="11"/>
  <c r="Z16" i="11" s="1"/>
  <c r="U10" i="11"/>
  <c r="K14" i="11"/>
  <c r="T10" i="13"/>
  <c r="J14" i="13"/>
  <c r="L10" i="13"/>
  <c r="F14" i="11"/>
  <c r="H10" i="11"/>
  <c r="H14" i="11" s="1"/>
  <c r="W12" i="11"/>
  <c r="X12" i="11"/>
  <c r="L12" i="13"/>
  <c r="P16" i="13"/>
  <c r="T13" i="13"/>
  <c r="Z13" i="13" s="1"/>
  <c r="L11" i="13"/>
  <c r="F14" i="12"/>
  <c r="H10" i="12"/>
  <c r="H14" i="12" s="1"/>
  <c r="L11" i="11"/>
  <c r="P13" i="11"/>
  <c r="F14" i="13"/>
  <c r="H10" i="13"/>
  <c r="H14" i="13" s="1"/>
  <c r="K14" i="12"/>
  <c r="U10" i="12"/>
  <c r="U17" i="12" s="1"/>
  <c r="U17" i="13"/>
  <c r="K14" i="13"/>
  <c r="T10" i="12"/>
  <c r="J14" i="12"/>
  <c r="L10" i="12"/>
  <c r="Q48" i="12" l="1"/>
  <c r="Q49" i="12" s="1"/>
  <c r="D30" i="14"/>
  <c r="D32" i="14" s="1"/>
  <c r="Q48" i="13"/>
  <c r="Q49" i="13" s="1"/>
  <c r="D39" i="14"/>
  <c r="D41" i="14" s="1"/>
  <c r="C27" i="14"/>
  <c r="K21" i="14"/>
  <c r="X43" i="11"/>
  <c r="K18" i="14" s="1"/>
  <c r="U17" i="11"/>
  <c r="W46" i="11"/>
  <c r="R31" i="11"/>
  <c r="Q37" i="11" s="1"/>
  <c r="Q46" i="11"/>
  <c r="P43" i="11"/>
  <c r="C18" i="14" s="1"/>
  <c r="E28" i="14"/>
  <c r="E32" i="14" s="1"/>
  <c r="R33" i="12"/>
  <c r="Q39" i="12" s="1"/>
  <c r="U46" i="12"/>
  <c r="T43" i="12"/>
  <c r="W42" i="12"/>
  <c r="J27" i="14"/>
  <c r="R33" i="13"/>
  <c r="Q39" i="13" s="1"/>
  <c r="T43" i="13"/>
  <c r="U46" i="13"/>
  <c r="W42" i="13"/>
  <c r="J36" i="14"/>
  <c r="P17" i="13"/>
  <c r="Z16" i="13"/>
  <c r="Z13" i="11"/>
  <c r="P17" i="11"/>
  <c r="L14" i="13"/>
  <c r="X13" i="13"/>
  <c r="W13" i="13"/>
  <c r="X13" i="12"/>
  <c r="W13" i="12"/>
  <c r="Z10" i="11"/>
  <c r="T17" i="11"/>
  <c r="Z10" i="13"/>
  <c r="T17" i="13"/>
  <c r="P29" i="13" s="1"/>
  <c r="X16" i="11"/>
  <c r="W16" i="11"/>
  <c r="P17" i="12"/>
  <c r="P27" i="12" s="1"/>
  <c r="Z16" i="12"/>
  <c r="L14" i="12"/>
  <c r="L14" i="11"/>
  <c r="T17" i="12"/>
  <c r="P29" i="12" s="1"/>
  <c r="Z10" i="12"/>
  <c r="X42" i="11" l="1"/>
  <c r="P42" i="12"/>
  <c r="K17" i="14"/>
  <c r="X44" i="11"/>
  <c r="X48" i="11" s="1"/>
  <c r="R33" i="11"/>
  <c r="Q39" i="11" s="1"/>
  <c r="P29" i="11" s="1"/>
  <c r="T43" i="11"/>
  <c r="G18" i="14" s="1"/>
  <c r="U46" i="11"/>
  <c r="W43" i="11"/>
  <c r="J21" i="14"/>
  <c r="P27" i="11"/>
  <c r="P42" i="11"/>
  <c r="D21" i="14"/>
  <c r="Q48" i="11"/>
  <c r="Q49" i="11" s="1"/>
  <c r="J26" i="14"/>
  <c r="J28" i="14" s="1"/>
  <c r="J32" i="14" s="1"/>
  <c r="W44" i="12"/>
  <c r="W48" i="12" s="1"/>
  <c r="T42" i="12"/>
  <c r="G27" i="14"/>
  <c r="U48" i="12"/>
  <c r="U49" i="12" s="1"/>
  <c r="H30" i="14"/>
  <c r="H32" i="14" s="1"/>
  <c r="P27" i="13"/>
  <c r="P42" i="13"/>
  <c r="U48" i="13"/>
  <c r="U49" i="13" s="1"/>
  <c r="H39" i="14"/>
  <c r="W44" i="13"/>
  <c r="W48" i="13" s="1"/>
  <c r="J35" i="14"/>
  <c r="T42" i="13"/>
  <c r="G36" i="14"/>
  <c r="W10" i="12"/>
  <c r="X10" i="12"/>
  <c r="X10" i="11"/>
  <c r="W10" i="11"/>
  <c r="W13" i="11"/>
  <c r="X13" i="11"/>
  <c r="X16" i="12"/>
  <c r="W16" i="12"/>
  <c r="W10" i="13"/>
  <c r="W17" i="13" s="1"/>
  <c r="X10" i="13"/>
  <c r="X16" i="13"/>
  <c r="W16" i="13"/>
  <c r="W49" i="13" l="1"/>
  <c r="P44" i="12"/>
  <c r="P48" i="12" s="1"/>
  <c r="P49" i="12" s="1"/>
  <c r="C26" i="14"/>
  <c r="C28" i="14" s="1"/>
  <c r="C32" i="14" s="1"/>
  <c r="X17" i="13"/>
  <c r="X49" i="13" s="1"/>
  <c r="J18" i="14"/>
  <c r="W42" i="11"/>
  <c r="U48" i="11"/>
  <c r="U49" i="11" s="1"/>
  <c r="H21" i="14"/>
  <c r="H23" i="14" s="1"/>
  <c r="D23" i="14"/>
  <c r="T42" i="11"/>
  <c r="C17" i="14"/>
  <c r="C19" i="14" s="1"/>
  <c r="C23" i="14" s="1"/>
  <c r="P44" i="11"/>
  <c r="P48" i="11" s="1"/>
  <c r="P49" i="11" s="1"/>
  <c r="K19" i="14"/>
  <c r="K23" i="14" s="1"/>
  <c r="T44" i="12"/>
  <c r="T48" i="12" s="1"/>
  <c r="T49" i="12" s="1"/>
  <c r="G26" i="14"/>
  <c r="G28" i="14" s="1"/>
  <c r="G32" i="14" s="1"/>
  <c r="T44" i="13"/>
  <c r="T48" i="13" s="1"/>
  <c r="T49" i="13" s="1"/>
  <c r="G35" i="14"/>
  <c r="H41" i="14"/>
  <c r="P44" i="13"/>
  <c r="P48" i="13" s="1"/>
  <c r="P49" i="13" s="1"/>
  <c r="C35" i="14"/>
  <c r="J37" i="14"/>
  <c r="J41" i="14" s="1"/>
  <c r="X19" i="13"/>
  <c r="X17" i="12"/>
  <c r="X49" i="12" s="1"/>
  <c r="W17" i="11"/>
  <c r="X17" i="11"/>
  <c r="X49" i="11" s="1"/>
  <c r="W17" i="12"/>
  <c r="X19" i="12" l="1"/>
  <c r="T44" i="11"/>
  <c r="T48" i="11" s="1"/>
  <c r="T49" i="11" s="1"/>
  <c r="G17" i="14"/>
  <c r="G19" i="14" s="1"/>
  <c r="G23" i="14" s="1"/>
  <c r="J17" i="14"/>
  <c r="W44" i="11"/>
  <c r="W48" i="11" s="1"/>
  <c r="W49" i="11" s="1"/>
  <c r="W49" i="12"/>
  <c r="G37" i="14"/>
  <c r="G41" i="14" s="1"/>
  <c r="C37" i="14"/>
  <c r="C41" i="14" s="1"/>
  <c r="X19" i="11"/>
  <c r="J19" i="14" l="1"/>
  <c r="J23" i="14" s="1"/>
  <c r="D52" i="4"/>
  <c r="G51" i="4"/>
  <c r="E51" i="4"/>
  <c r="G50" i="4"/>
  <c r="E50" i="4"/>
  <c r="E52" i="4" l="1"/>
  <c r="G52" i="4"/>
  <c r="H23" i="2" l="1"/>
  <c r="F23" i="2"/>
  <c r="H21" i="2"/>
  <c r="F21" i="2"/>
  <c r="H20" i="2"/>
  <c r="F20" i="2"/>
  <c r="H18" i="2"/>
  <c r="F18" i="2"/>
  <c r="G45" i="4" l="1"/>
  <c r="E45" i="4"/>
  <c r="G44" i="4"/>
  <c r="E44" i="4"/>
  <c r="G41" i="4"/>
  <c r="E41" i="4"/>
  <c r="G40" i="4"/>
  <c r="H19" i="2" s="1"/>
  <c r="E40" i="4"/>
  <c r="F19" i="2" s="1"/>
  <c r="D46" i="4"/>
  <c r="D42" i="4"/>
  <c r="D48" i="4" s="1"/>
  <c r="D37" i="4"/>
  <c r="G36" i="4"/>
  <c r="E36" i="4"/>
  <c r="G35" i="4"/>
  <c r="H44" i="2" s="1"/>
  <c r="E35" i="4"/>
  <c r="F44" i="2" s="1"/>
  <c r="D44" i="5"/>
  <c r="D43" i="5" s="1"/>
  <c r="D45" i="5" s="1"/>
  <c r="F32" i="5"/>
  <c r="U31" i="5"/>
  <c r="V31" i="5"/>
  <c r="E30" i="5"/>
  <c r="T28" i="5" s="1"/>
  <c r="D30" i="5"/>
  <c r="F28" i="5"/>
  <c r="F26" i="5"/>
  <c r="Q25" i="5"/>
  <c r="R25" i="5"/>
  <c r="B21" i="5"/>
  <c r="E20" i="5"/>
  <c r="E19" i="5"/>
  <c r="B15" i="5"/>
  <c r="E14" i="5"/>
  <c r="E13" i="5"/>
  <c r="E9" i="5"/>
  <c r="AD8" i="5"/>
  <c r="AD11" i="5" s="1"/>
  <c r="D20" i="5" s="1"/>
  <c r="D33" i="4"/>
  <c r="G32" i="4"/>
  <c r="E32" i="4"/>
  <c r="G31" i="4"/>
  <c r="H35" i="2" s="1"/>
  <c r="E31" i="4"/>
  <c r="F35" i="2" s="1"/>
  <c r="G28" i="4"/>
  <c r="E28" i="4"/>
  <c r="G27" i="4"/>
  <c r="H34" i="2" s="1"/>
  <c r="E27" i="4"/>
  <c r="F34" i="2" s="1"/>
  <c r="G24" i="4"/>
  <c r="E24" i="4"/>
  <c r="G23" i="4"/>
  <c r="H33" i="2" s="1"/>
  <c r="E23" i="4"/>
  <c r="F33" i="2" s="1"/>
  <c r="G20" i="4"/>
  <c r="H57" i="2" s="1"/>
  <c r="E20" i="4"/>
  <c r="F57" i="2" s="1"/>
  <c r="G19" i="4"/>
  <c r="E19" i="4"/>
  <c r="G18" i="4"/>
  <c r="E18" i="4"/>
  <c r="G15" i="4"/>
  <c r="H56" i="2" s="1"/>
  <c r="E15" i="4"/>
  <c r="F56" i="2" s="1"/>
  <c r="G14" i="4"/>
  <c r="E14" i="4"/>
  <c r="G13" i="4"/>
  <c r="E13" i="4"/>
  <c r="G10" i="4"/>
  <c r="H55" i="2" s="1"/>
  <c r="G9" i="4"/>
  <c r="G8" i="4"/>
  <c r="E10" i="4"/>
  <c r="F55" i="2" s="1"/>
  <c r="E9" i="4"/>
  <c r="E8" i="4"/>
  <c r="D29" i="4"/>
  <c r="D25" i="4"/>
  <c r="D21" i="4"/>
  <c r="D16" i="4"/>
  <c r="F6" i="4"/>
  <c r="D11" i="4"/>
  <c r="D62" i="2"/>
  <c r="H61" i="2"/>
  <c r="F61" i="2"/>
  <c r="H52" i="2"/>
  <c r="F52" i="2"/>
  <c r="H51" i="2"/>
  <c r="F51" i="2"/>
  <c r="H50" i="2"/>
  <c r="F50" i="2"/>
  <c r="H45" i="2"/>
  <c r="F45" i="2"/>
  <c r="H43" i="2"/>
  <c r="F43" i="2"/>
  <c r="H41" i="2"/>
  <c r="F41" i="2"/>
  <c r="H39" i="2"/>
  <c r="F39" i="2"/>
  <c r="H36" i="2"/>
  <c r="F36" i="2"/>
  <c r="H32" i="2"/>
  <c r="F32" i="2"/>
  <c r="H31" i="2"/>
  <c r="F31" i="2"/>
  <c r="H30" i="2"/>
  <c r="F30" i="2"/>
  <c r="H29" i="2"/>
  <c r="F29" i="2"/>
  <c r="H28" i="2"/>
  <c r="F28" i="2"/>
  <c r="H27" i="2"/>
  <c r="F27" i="2"/>
  <c r="H26" i="2"/>
  <c r="F26" i="2"/>
  <c r="H25" i="2"/>
  <c r="F25" i="2"/>
  <c r="H24" i="2"/>
  <c r="F24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9" i="2"/>
  <c r="F9" i="2"/>
  <c r="H8" i="2"/>
  <c r="F8" i="2"/>
  <c r="D45" i="3"/>
  <c r="D38" i="3"/>
  <c r="D39" i="3" s="1"/>
  <c r="G6" i="2"/>
  <c r="G51" i="2" s="1"/>
  <c r="H6" i="4" l="1"/>
  <c r="F50" i="4"/>
  <c r="F51" i="4"/>
  <c r="H51" i="4" s="1"/>
  <c r="E15" i="5"/>
  <c r="T13" i="5" s="1"/>
  <c r="G50" i="2"/>
  <c r="G49" i="2"/>
  <c r="I49" i="2" s="1"/>
  <c r="G48" i="2"/>
  <c r="I48" i="2" s="1"/>
  <c r="G18" i="2"/>
  <c r="I18" i="2" s="1"/>
  <c r="G21" i="2"/>
  <c r="I21" i="2" s="1"/>
  <c r="G23" i="2"/>
  <c r="I23" i="2" s="1"/>
  <c r="G20" i="2"/>
  <c r="I20" i="2" s="1"/>
  <c r="G42" i="4"/>
  <c r="G13" i="2"/>
  <c r="G26" i="2"/>
  <c r="G27" i="2"/>
  <c r="I27" i="2" s="1"/>
  <c r="G45" i="2"/>
  <c r="I45" i="2" s="1"/>
  <c r="E42" i="4"/>
  <c r="G52" i="2"/>
  <c r="G14" i="2"/>
  <c r="F45" i="4"/>
  <c r="H45" i="4" s="1"/>
  <c r="F40" i="4"/>
  <c r="G25" i="4"/>
  <c r="G21" i="4"/>
  <c r="F44" i="4"/>
  <c r="G37" i="4"/>
  <c r="F41" i="4"/>
  <c r="H41" i="4" s="1"/>
  <c r="G46" i="4"/>
  <c r="E46" i="4"/>
  <c r="E48" i="4" s="1"/>
  <c r="F14" i="4"/>
  <c r="H14" i="4" s="1"/>
  <c r="F10" i="4"/>
  <c r="G55" i="2" s="1"/>
  <c r="I55" i="2" s="1"/>
  <c r="F28" i="4"/>
  <c r="H28" i="4" s="1"/>
  <c r="F35" i="4"/>
  <c r="F36" i="4"/>
  <c r="H36" i="4" s="1"/>
  <c r="E37" i="4"/>
  <c r="F13" i="4"/>
  <c r="H13" i="4" s="1"/>
  <c r="F27" i="4"/>
  <c r="F8" i="4"/>
  <c r="H8" i="4" s="1"/>
  <c r="G16" i="4"/>
  <c r="F18" i="4"/>
  <c r="F32" i="4"/>
  <c r="H32" i="4" s="1"/>
  <c r="E25" i="4"/>
  <c r="F9" i="4"/>
  <c r="H9" i="4" s="1"/>
  <c r="F23" i="4"/>
  <c r="G33" i="2" s="1"/>
  <c r="I33" i="2" s="1"/>
  <c r="F19" i="4"/>
  <c r="H19" i="4" s="1"/>
  <c r="F24" i="4"/>
  <c r="F15" i="4"/>
  <c r="F31" i="4"/>
  <c r="F20" i="4"/>
  <c r="AD9" i="5"/>
  <c r="AD13" i="5" s="1"/>
  <c r="H28" i="5" s="1"/>
  <c r="AA25" i="5"/>
  <c r="Y25" i="5" s="1"/>
  <c r="AA31" i="5"/>
  <c r="E34" i="5"/>
  <c r="J28" i="5"/>
  <c r="M26" i="5"/>
  <c r="R9" i="5"/>
  <c r="F20" i="5"/>
  <c r="D34" i="5"/>
  <c r="S28" i="5"/>
  <c r="AA28" i="5" s="1"/>
  <c r="L26" i="5"/>
  <c r="H26" i="5"/>
  <c r="M32" i="5"/>
  <c r="M28" i="5"/>
  <c r="X25" i="5"/>
  <c r="L32" i="5"/>
  <c r="H32" i="5"/>
  <c r="D13" i="5"/>
  <c r="D14" i="5"/>
  <c r="D19" i="5"/>
  <c r="D9" i="5"/>
  <c r="E21" i="5"/>
  <c r="T19" i="5" s="1"/>
  <c r="F29" i="5"/>
  <c r="G33" i="4"/>
  <c r="E33" i="4"/>
  <c r="E29" i="4"/>
  <c r="G11" i="4"/>
  <c r="E11" i="4"/>
  <c r="G29" i="4"/>
  <c r="E21" i="4"/>
  <c r="E16" i="4"/>
  <c r="G15" i="2"/>
  <c r="I15" i="2" s="1"/>
  <c r="G28" i="2"/>
  <c r="G36" i="2"/>
  <c r="G8" i="2"/>
  <c r="G16" i="2"/>
  <c r="G29" i="2"/>
  <c r="I29" i="2" s="1"/>
  <c r="G39" i="2"/>
  <c r="I39" i="2" s="1"/>
  <c r="G9" i="2"/>
  <c r="I9" i="2" s="1"/>
  <c r="G17" i="2"/>
  <c r="I17" i="2" s="1"/>
  <c r="G30" i="2"/>
  <c r="G31" i="2"/>
  <c r="I31" i="2" s="1"/>
  <c r="G41" i="2"/>
  <c r="I41" i="2" s="1"/>
  <c r="G61" i="2"/>
  <c r="I61" i="2" s="1"/>
  <c r="G11" i="2"/>
  <c r="I11" i="2" s="1"/>
  <c r="G24" i="2"/>
  <c r="G32" i="2"/>
  <c r="G43" i="2"/>
  <c r="I43" i="2" s="1"/>
  <c r="G12" i="2"/>
  <c r="I12" i="2" s="1"/>
  <c r="G25" i="2"/>
  <c r="I25" i="2" s="1"/>
  <c r="I6" i="2"/>
  <c r="I13" i="2"/>
  <c r="I51" i="2"/>
  <c r="G48" i="4" l="1"/>
  <c r="T37" i="5"/>
  <c r="S44" i="5" s="1"/>
  <c r="E9" i="14" s="1"/>
  <c r="E45" i="14" s="1"/>
  <c r="F52" i="4"/>
  <c r="H50" i="4"/>
  <c r="H52" i="4" s="1"/>
  <c r="T47" i="5"/>
  <c r="L28" i="5"/>
  <c r="N28" i="5" s="1"/>
  <c r="F42" i="4"/>
  <c r="G19" i="2"/>
  <c r="H10" i="4"/>
  <c r="H11" i="4" s="1"/>
  <c r="F46" i="4"/>
  <c r="F21" i="4"/>
  <c r="F11" i="4"/>
  <c r="F29" i="4"/>
  <c r="G34" i="2"/>
  <c r="H20" i="4"/>
  <c r="G57" i="2"/>
  <c r="I57" i="2" s="1"/>
  <c r="F33" i="4"/>
  <c r="G35" i="2"/>
  <c r="I35" i="2" s="1"/>
  <c r="H40" i="4"/>
  <c r="H42" i="4" s="1"/>
  <c r="H15" i="4"/>
  <c r="H16" i="4" s="1"/>
  <c r="G56" i="2"/>
  <c r="H23" i="4"/>
  <c r="H35" i="4"/>
  <c r="H37" i="4" s="1"/>
  <c r="G44" i="2"/>
  <c r="F25" i="4"/>
  <c r="H44" i="4"/>
  <c r="H46" i="4" s="1"/>
  <c r="F37" i="4"/>
  <c r="H27" i="4"/>
  <c r="H29" i="4" s="1"/>
  <c r="H18" i="4"/>
  <c r="H24" i="4"/>
  <c r="H25" i="4" s="1"/>
  <c r="H31" i="4"/>
  <c r="H33" i="4" s="1"/>
  <c r="F16" i="4"/>
  <c r="Y31" i="5"/>
  <c r="X31" i="5"/>
  <c r="E37" i="5"/>
  <c r="F9" i="5"/>
  <c r="Q9" i="5"/>
  <c r="M20" i="5"/>
  <c r="L20" i="5"/>
  <c r="H20" i="5"/>
  <c r="U26" i="5"/>
  <c r="N26" i="5"/>
  <c r="X28" i="5"/>
  <c r="Y28" i="5"/>
  <c r="V26" i="5"/>
  <c r="D15" i="5"/>
  <c r="S13" i="5" s="1"/>
  <c r="F13" i="5"/>
  <c r="R32" i="5"/>
  <c r="F14" i="5"/>
  <c r="M29" i="5"/>
  <c r="M30" i="5" s="1"/>
  <c r="R29" i="5" s="1"/>
  <c r="L29" i="5"/>
  <c r="H29" i="5"/>
  <c r="F30" i="5"/>
  <c r="F34" i="5" s="1"/>
  <c r="J32" i="5"/>
  <c r="D21" i="5"/>
  <c r="S19" i="5" s="1"/>
  <c r="AA19" i="5" s="1"/>
  <c r="F19" i="5"/>
  <c r="Q32" i="5"/>
  <c r="N32" i="5"/>
  <c r="J26" i="5"/>
  <c r="I8" i="2"/>
  <c r="I14" i="2"/>
  <c r="T49" i="5" l="1"/>
  <c r="F12" i="14"/>
  <c r="F48" i="4"/>
  <c r="H21" i="4"/>
  <c r="H48" i="4"/>
  <c r="AA26" i="5"/>
  <c r="Y26" i="5" s="1"/>
  <c r="AA13" i="5"/>
  <c r="S37" i="5"/>
  <c r="S43" i="5" s="1"/>
  <c r="X26" i="5"/>
  <c r="AA9" i="5"/>
  <c r="J20" i="5"/>
  <c r="H19" i="5"/>
  <c r="F21" i="5"/>
  <c r="M19" i="5"/>
  <c r="L19" i="5"/>
  <c r="M14" i="5"/>
  <c r="L14" i="5"/>
  <c r="H14" i="5"/>
  <c r="H9" i="5"/>
  <c r="L9" i="5"/>
  <c r="M9" i="5"/>
  <c r="AA32" i="5"/>
  <c r="N29" i="5"/>
  <c r="N30" i="5" s="1"/>
  <c r="N34" i="5" s="1"/>
  <c r="N20" i="5"/>
  <c r="F15" i="5"/>
  <c r="M13" i="5"/>
  <c r="H13" i="5"/>
  <c r="L13" i="5"/>
  <c r="L30" i="5"/>
  <c r="Y19" i="5"/>
  <c r="X19" i="5"/>
  <c r="J29" i="5"/>
  <c r="H30" i="5"/>
  <c r="H34" i="5" s="1"/>
  <c r="M34" i="5"/>
  <c r="D37" i="5"/>
  <c r="I16" i="2"/>
  <c r="F14" i="14" l="1"/>
  <c r="F48" i="14"/>
  <c r="F50" i="14" s="1"/>
  <c r="S45" i="5"/>
  <c r="S49" i="5" s="1"/>
  <c r="E8" i="14"/>
  <c r="F37" i="5"/>
  <c r="L21" i="5"/>
  <c r="U20" i="5" s="1"/>
  <c r="N19" i="5"/>
  <c r="N13" i="5"/>
  <c r="L15" i="5"/>
  <c r="U14" i="5" s="1"/>
  <c r="N9" i="5"/>
  <c r="Q10" i="5"/>
  <c r="M21" i="5"/>
  <c r="V20" i="5" s="1"/>
  <c r="H15" i="5"/>
  <c r="J13" i="5"/>
  <c r="J30" i="5"/>
  <c r="J34" i="5" s="1"/>
  <c r="M15" i="5"/>
  <c r="V14" i="5" s="1"/>
  <c r="Y32" i="5"/>
  <c r="X32" i="5"/>
  <c r="J19" i="5"/>
  <c r="H21" i="5"/>
  <c r="Y13" i="5"/>
  <c r="X13" i="5"/>
  <c r="Y9" i="5"/>
  <c r="X9" i="5"/>
  <c r="J9" i="5"/>
  <c r="J14" i="5"/>
  <c r="Q29" i="5"/>
  <c r="AA29" i="5" s="1"/>
  <c r="L34" i="5"/>
  <c r="R10" i="5"/>
  <c r="N14" i="5"/>
  <c r="I19" i="2"/>
  <c r="E10" i="14" l="1"/>
  <c r="E14" i="14" s="1"/>
  <c r="E44" i="14"/>
  <c r="E46" i="14" s="1"/>
  <c r="E50" i="14" s="1"/>
  <c r="R37" i="5"/>
  <c r="Y47" i="5"/>
  <c r="K12" i="14" s="1"/>
  <c r="K48" i="14" s="1"/>
  <c r="H40" i="2" s="1"/>
  <c r="V37" i="5"/>
  <c r="X47" i="5"/>
  <c r="J12" i="14" s="1"/>
  <c r="J48" i="14" s="1"/>
  <c r="H10" i="2" s="1"/>
  <c r="M37" i="5"/>
  <c r="L37" i="5"/>
  <c r="H37" i="5"/>
  <c r="AA10" i="5"/>
  <c r="Q37" i="5"/>
  <c r="N21" i="5"/>
  <c r="X29" i="5"/>
  <c r="Y29" i="5"/>
  <c r="J21" i="5"/>
  <c r="N15" i="5"/>
  <c r="N37" i="5" s="1"/>
  <c r="AA20" i="5"/>
  <c r="U37" i="5"/>
  <c r="AA14" i="5"/>
  <c r="J15" i="5"/>
  <c r="I24" i="2"/>
  <c r="J37" i="5" l="1"/>
  <c r="X44" i="5"/>
  <c r="Y44" i="5"/>
  <c r="K9" i="14" s="1"/>
  <c r="K45" i="14" s="1"/>
  <c r="G40" i="2" s="1"/>
  <c r="U44" i="5"/>
  <c r="G9" i="14" s="1"/>
  <c r="V47" i="5"/>
  <c r="Q44" i="5"/>
  <c r="R47" i="5"/>
  <c r="X10" i="5"/>
  <c r="Y10" i="5"/>
  <c r="Y20" i="5"/>
  <c r="X20" i="5"/>
  <c r="X14" i="5"/>
  <c r="Y14" i="5"/>
  <c r="I26" i="2"/>
  <c r="Q43" i="5" l="1"/>
  <c r="C9" i="14"/>
  <c r="C45" i="14" s="1"/>
  <c r="G45" i="14"/>
  <c r="R49" i="5"/>
  <c r="D12" i="14"/>
  <c r="U43" i="5"/>
  <c r="J9" i="14"/>
  <c r="J45" i="14" s="1"/>
  <c r="G10" i="2" s="1"/>
  <c r="G62" i="2" s="1"/>
  <c r="X43" i="5"/>
  <c r="J8" i="14" s="1"/>
  <c r="V49" i="5"/>
  <c r="H12" i="14"/>
  <c r="H62" i="2"/>
  <c r="Y43" i="5"/>
  <c r="K8" i="14" s="1"/>
  <c r="Y37" i="5"/>
  <c r="X37" i="5"/>
  <c r="Y39" i="5" s="1"/>
  <c r="I28" i="2"/>
  <c r="U45" i="5" l="1"/>
  <c r="U49" i="5" s="1"/>
  <c r="G8" i="14"/>
  <c r="D14" i="14"/>
  <c r="D48" i="14"/>
  <c r="D50" i="14" s="1"/>
  <c r="H14" i="14"/>
  <c r="H48" i="14"/>
  <c r="H50" i="14" s="1"/>
  <c r="K10" i="14"/>
  <c r="K14" i="14" s="1"/>
  <c r="K44" i="14"/>
  <c r="J10" i="14"/>
  <c r="J14" i="14" s="1"/>
  <c r="J44" i="14"/>
  <c r="Q45" i="5"/>
  <c r="Q49" i="5" s="1"/>
  <c r="C8" i="14"/>
  <c r="X45" i="5"/>
  <c r="X49" i="5" s="1"/>
  <c r="Y45" i="5"/>
  <c r="Y49" i="5" s="1"/>
  <c r="I30" i="2"/>
  <c r="C10" i="14" l="1"/>
  <c r="C14" i="14" s="1"/>
  <c r="C44" i="14"/>
  <c r="C46" i="14" s="1"/>
  <c r="C50" i="14" s="1"/>
  <c r="K46" i="14"/>
  <c r="K50" i="14" s="1"/>
  <c r="F40" i="2"/>
  <c r="F62" i="2" s="1"/>
  <c r="F10" i="2"/>
  <c r="J46" i="14"/>
  <c r="J50" i="14" s="1"/>
  <c r="G44" i="14"/>
  <c r="G46" i="14" s="1"/>
  <c r="G50" i="14" s="1"/>
  <c r="G10" i="14"/>
  <c r="G14" i="14" s="1"/>
  <c r="I10" i="2"/>
  <c r="I32" i="2"/>
  <c r="I34" i="2" l="1"/>
  <c r="I36" i="2" l="1"/>
  <c r="I40" i="2" l="1"/>
  <c r="I44" i="2" l="1"/>
  <c r="I50" i="2" l="1"/>
  <c r="I52" i="2" l="1"/>
  <c r="I56" i="2" l="1"/>
  <c r="I62" i="2" l="1"/>
</calcChain>
</file>

<file path=xl/sharedStrings.xml><?xml version="1.0" encoding="utf-8"?>
<sst xmlns="http://schemas.openxmlformats.org/spreadsheetml/2006/main" count="630" uniqueCount="267">
  <si>
    <t>Oth Reg Assets-Tax Audit Defncy Int</t>
  </si>
  <si>
    <t>Oth Reg Assets-Und Recovd Franch Fee</t>
  </si>
  <si>
    <t>Oth Reg Assets-FAS 109</t>
  </si>
  <si>
    <t>Oth Regulatory Assets-EPU Asset Retiremt</t>
  </si>
  <si>
    <t>Oth Regulatory Assets-Fin48 Int St</t>
  </si>
  <si>
    <t>Other Reg Asset: Asset Optimization</t>
  </si>
  <si>
    <t>Other ST Reg Asset: Cedar Bay Tx GrsUp PPA Loss Ca</t>
  </si>
  <si>
    <t>Other ST Reg Asset: Cedar Bay Loss on PPA Capacity</t>
  </si>
  <si>
    <t>Other LT Reg Asset: Cedar Bay Tx GrsUp PPA Loss Ca</t>
  </si>
  <si>
    <t>Other LT Reg Asset: Cedar Bay Loss on PPA Capacity</t>
  </si>
  <si>
    <t>Oth Reg Asset-Storm Rcvry Prop-DF Tx</t>
  </si>
  <si>
    <t>OTHER REG ASSETS:Storm Rcvry Prop-Df Taxes</t>
  </si>
  <si>
    <t>Oth Reg Assets-Strm Rcv-Ov/Un Tx Chg</t>
  </si>
  <si>
    <t>Oth Reg Assets-Turkey PT Liab-ECRC</t>
  </si>
  <si>
    <t>Other ST Reg Asset: Turkey Pt Liab-ECRC</t>
  </si>
  <si>
    <t>Oth Reg Asset-Undrcv Fuel Cost FPSC Fuel</t>
  </si>
  <si>
    <t>Oth Reg Assets-Environ Remediation-ST</t>
  </si>
  <si>
    <t>Oth Reg Assets-Environ Remediation-LT</t>
  </si>
  <si>
    <t>OTH ST REG ASSET: ICL Loss PPA Capacity</t>
  </si>
  <si>
    <t>OTH LT REG ASSET: ICL Loss on PPA Capacity</t>
  </si>
  <si>
    <t>Oth Reg Ast-UndrcvFuelCost-FERC-Fuel</t>
  </si>
  <si>
    <t>Oth Reg Ast-UndrcvFuelCst-FERC/FKEC-Fuel</t>
  </si>
  <si>
    <t>Oth Reg Asset-ConvITC Dpr Loss-EnvRec</t>
  </si>
  <si>
    <t>Oth Reg Asset-ITC Space Coast Deprc Loss</t>
  </si>
  <si>
    <t>Oth Reg Asset-ITC Martin Deprc Loss</t>
  </si>
  <si>
    <t>Oth Reg Assets-Fuel FERC-City of Wachula</t>
  </si>
  <si>
    <t>OTH ST REG ASSET: SJRPP</t>
  </si>
  <si>
    <t>OTH LT REG ASSET: SJRPP</t>
  </si>
  <si>
    <t>Oth Reg Asset-Deferred Nuclear Maintenance</t>
  </si>
  <si>
    <t>Oth Reg Liab-FAS 109</t>
  </si>
  <si>
    <t>Oth Reg Liab-SWAPC ECCR</t>
  </si>
  <si>
    <t>Oth Reg Liab-Asset Retirement Obligation</t>
  </si>
  <si>
    <t>Oth Reg Liab-Tax Audit Refund Interest</t>
  </si>
  <si>
    <t>Oth Reg Liab-Deferred Gain Land Sale</t>
  </si>
  <si>
    <t>Oth Reg Liab-Reg Asst Fee &amp; Franchise</t>
  </si>
  <si>
    <t>Oth Reg Liab-Derivatives</t>
  </si>
  <si>
    <t>Oth Reg Liab-Cost Recovery-ECRC</t>
  </si>
  <si>
    <t>Oth Reg Liab-Trans Nuc Maint Resv</t>
  </si>
  <si>
    <t>Oth Reg Liab-Deferred Clause Revenue</t>
  </si>
  <si>
    <t>Oth Reg Liab-Conv ITC Gross Up</t>
  </si>
  <si>
    <t>Oth Reg Liab-Space Coast</t>
  </si>
  <si>
    <t>Oth Reg Liab-Martin ITC Gross Up</t>
  </si>
  <si>
    <t>Oth Reg Liab-OverRecov Energy Consv</t>
  </si>
  <si>
    <t>Oth Reg Liab-Ovr Recov Capacity Revenue</t>
  </si>
  <si>
    <t>Oth Reg Liab-Over Recov Envionm Recov</t>
  </si>
  <si>
    <t>Oth Reg Liab-Gain Sale Emisson Allow - A08</t>
  </si>
  <si>
    <t>FERC Description</t>
  </si>
  <si>
    <t>Total</t>
  </si>
  <si>
    <t>AMO202: Int Tx Deficiency Above</t>
  </si>
  <si>
    <t>FUL302: Franchise Fee Costs</t>
  </si>
  <si>
    <t>FUL109: EPU Asset Retirements</t>
  </si>
  <si>
    <t>FIN404: FIN48 Interest Receivable-State</t>
  </si>
  <si>
    <t>INC609: Accrued Revenues - Asset Optimization</t>
  </si>
  <si>
    <t>AMO318: Reg Asset - CB Tax GU - Current</t>
  </si>
  <si>
    <t>AMO317: Reg Asset - CB PPA Loss - Current</t>
  </si>
  <si>
    <t>AMO315: Reg Asset - CB Tax GU - L/T</t>
  </si>
  <si>
    <t>AMO314: Reg Asset - CB PPA Loss - L/T</t>
  </si>
  <si>
    <t>AMO320: Reg Asset - PTN Cooling Canals</t>
  </si>
  <si>
    <t>FUL103: Def Fuel Cost FPSC - Current</t>
  </si>
  <si>
    <t>AMO322: Reg Asset - Environmental Remediation</t>
  </si>
  <si>
    <t>AMO321: Reg Asset - ICL - PPA Loss</t>
  </si>
  <si>
    <t>FUL102: Def Fuel Cost FERC</t>
  </si>
  <si>
    <t>REP501: Nuc Maint Reserve</t>
  </si>
  <si>
    <t>AMO312: Reg Liab SWAPC - ECCR</t>
  </si>
  <si>
    <t>AMO201: Tx Refund Int Below</t>
  </si>
  <si>
    <t>FUL301: Def Franchise Fee Rev</t>
  </si>
  <si>
    <t>NUC107: Nuclear Rule Book/Tax - Plant In Service</t>
  </si>
  <si>
    <t>ITC101: Conv ITC Amort &amp; GU</t>
  </si>
  <si>
    <t>ITC105: Martin Solar ITC G/U</t>
  </si>
  <si>
    <t>SAL301: Cap Gain Emiss Allow</t>
  </si>
  <si>
    <t>Federal</t>
  </si>
  <si>
    <t>State</t>
  </si>
  <si>
    <t>Total ADIT</t>
  </si>
  <si>
    <t>Offset w/ Acct 3320000 Other Accrued Liab - Jan 2018 Transaction</t>
  </si>
  <si>
    <t>2620500 ARO ASSET (DP)</t>
  </si>
  <si>
    <t>2652500 ACC. DEPRECIATION: ARO Asset (DP)</t>
  </si>
  <si>
    <t>3602600 OTHER REG LIAB: Asset Retirement Obligation</t>
  </si>
  <si>
    <t>3701020 DISMANTLEMENT RESERVE: ARO Offset</t>
  </si>
  <si>
    <t>3701220 DISMANTLEMENT RESERVE: ARO Reclass</t>
  </si>
  <si>
    <t>3704000 ARO LIABILITY</t>
  </si>
  <si>
    <t>2512146 OTH REG ASSET: Cur-SJRPP</t>
  </si>
  <si>
    <t>2801048 OTH REG ASSET: SJRPP</t>
  </si>
  <si>
    <t>3320000 OTHER ACCRUED LIABILITIES</t>
  </si>
  <si>
    <t>entry amount not balance in acct</t>
  </si>
  <si>
    <t>Offset w/ other balance sheet balances; net zero balance</t>
  </si>
  <si>
    <t>Clause overrecovery - no ADIT</t>
  </si>
  <si>
    <t>Offset w/ Acct 2005100 (173.210) A/R - Unbilled Revenues - no ADIT</t>
  </si>
  <si>
    <t>2500000 CURRENT DERIVATIVE ASSET</t>
  </si>
  <si>
    <t>3401000 CURRENT DERIVATIVE LIABILITY</t>
  </si>
  <si>
    <t>3401300 CURRENT DERIVATIVE LIABILITY: Regulatory</t>
  </si>
  <si>
    <t>3700000 NON CURRENT DERIVATIVE LIABILITY</t>
  </si>
  <si>
    <t>Tax Rates</t>
  </si>
  <si>
    <t>FBOS</t>
  </si>
  <si>
    <t>Tax Rates:</t>
  </si>
  <si>
    <t>FERC Acct</t>
  </si>
  <si>
    <t>SAP Acct</t>
  </si>
  <si>
    <t>Grant Amount</t>
  </si>
  <si>
    <t>Accum Amort of Grant</t>
  </si>
  <si>
    <t>Regulatory Liability</t>
  </si>
  <si>
    <t>3601005</t>
  </si>
  <si>
    <t>3601010</t>
  </si>
  <si>
    <t>3602015</t>
  </si>
  <si>
    <t>2801040</t>
  </si>
  <si>
    <t>3601006</t>
  </si>
  <si>
    <t>3601011</t>
  </si>
  <si>
    <t>3602020</t>
  </si>
  <si>
    <t>2801045</t>
  </si>
  <si>
    <t>3601007</t>
  </si>
  <si>
    <t>3601012</t>
  </si>
  <si>
    <t>3602030</t>
  </si>
  <si>
    <t>2801046</t>
  </si>
  <si>
    <t>Account Description</t>
  </si>
  <si>
    <t>GL Balance</t>
  </si>
  <si>
    <t>total s/b zero; correction to acct 3602600 processed Jan 2018</t>
  </si>
  <si>
    <t>Description</t>
  </si>
  <si>
    <t>ITC104: Space Coast ITC GU</t>
  </si>
  <si>
    <t>Gross Up of Reg Asset</t>
  </si>
  <si>
    <t>ITC102: Conv ITC Depr Loss</t>
  </si>
  <si>
    <t>Regulatory Asset</t>
  </si>
  <si>
    <t>ITC104: Space Coast ITC Depr Loss</t>
  </si>
  <si>
    <t>GL Balance
(Pre-Tax)</t>
  </si>
  <si>
    <t>OTP (TaxStream) Code</t>
  </si>
  <si>
    <t>Florida Power &amp; Light</t>
  </si>
  <si>
    <t>SFAS 109 Effective Tax Rate Adjustments</t>
  </si>
  <si>
    <t>Amount</t>
  </si>
  <si>
    <t>Total Tax</t>
  </si>
  <si>
    <r>
      <t xml:space="preserve">Gross-up   </t>
    </r>
    <r>
      <rPr>
        <b/>
        <sz val="9"/>
        <color rgb="FFFF0000"/>
        <rFont val="Calibri"/>
        <family val="2"/>
        <scheme val="minor"/>
      </rPr>
      <t>[A]</t>
    </r>
  </si>
  <si>
    <t>Net of Tax</t>
  </si>
  <si>
    <t>Total Net Tax</t>
  </si>
  <si>
    <t>Investment Tax Credits (ITC)</t>
  </si>
  <si>
    <t>Reg</t>
  </si>
  <si>
    <t>Federal Tax Rate</t>
  </si>
  <si>
    <t>2707025</t>
  </si>
  <si>
    <t>2707135</t>
  </si>
  <si>
    <t>3600007</t>
  </si>
  <si>
    <t>3600107</t>
  </si>
  <si>
    <t>3600008</t>
  </si>
  <si>
    <t>3600108</t>
  </si>
  <si>
    <t>2801017</t>
  </si>
  <si>
    <t>3602750</t>
  </si>
  <si>
    <t>State Tax Rate</t>
  </si>
  <si>
    <t>Acct 190</t>
  </si>
  <si>
    <t>Acct 282</t>
  </si>
  <si>
    <t>Acct 283</t>
  </si>
  <si>
    <t>Asset</t>
  </si>
  <si>
    <t>Liab</t>
  </si>
  <si>
    <t>Investment Tax Credit</t>
  </si>
  <si>
    <t>Combined Tax Rate</t>
  </si>
  <si>
    <t>Solar ITC Basis Adjustment</t>
  </si>
  <si>
    <t>G/U of ITC</t>
  </si>
  <si>
    <t>Solar ITC Book Depr</t>
  </si>
  <si>
    <t>Fed/FBOS</t>
  </si>
  <si>
    <t>Total Solar ITC</t>
  </si>
  <si>
    <t>ITC Basis Adj &amp; Depr</t>
  </si>
  <si>
    <t>G/U of ITC Basis</t>
  </si>
  <si>
    <t>Gross Up Factor</t>
  </si>
  <si>
    <t>G/U Factor =  (1 minus total tax rate)</t>
  </si>
  <si>
    <t>AFUDC Equity &amp; Depr</t>
  </si>
  <si>
    <t>AFUDC Book Depr (AFD102)</t>
  </si>
  <si>
    <t>G/U of AFUDC Equity</t>
  </si>
  <si>
    <t>AFUDC Equity (AFD103)</t>
  </si>
  <si>
    <t>Total AFUDC</t>
  </si>
  <si>
    <t>G/U of Excess Def Tax</t>
  </si>
  <si>
    <t>TOTAL</t>
  </si>
  <si>
    <t>Excess Deferred Taxes</t>
  </si>
  <si>
    <t>Excess Def Tax - Acct 190</t>
  </si>
  <si>
    <t>Account 190</t>
  </si>
  <si>
    <t>Account 282 - TR 1986</t>
  </si>
  <si>
    <t>Excess Def Tax - Acct 282</t>
  </si>
  <si>
    <t>Account 282 - TR 2017</t>
  </si>
  <si>
    <t>Account 282 - Total</t>
  </si>
  <si>
    <t>Account 283</t>
  </si>
  <si>
    <t>Total Excess Deferred Taxes</t>
  </si>
  <si>
    <t>As of December 2017</t>
  </si>
  <si>
    <r>
      <t xml:space="preserve">FAS109 -  </t>
    </r>
    <r>
      <rPr>
        <b/>
        <sz val="9"/>
        <color rgb="FF0000FF"/>
        <rFont val="Calibri"/>
        <family val="2"/>
        <scheme val="minor"/>
      </rPr>
      <t>BALANCE BASED ON FEDERAL RATE OF 21%</t>
    </r>
  </si>
  <si>
    <r>
      <t xml:space="preserve">BALANCES - </t>
    </r>
    <r>
      <rPr>
        <b/>
        <sz val="9"/>
        <color rgb="FF0000FF"/>
        <rFont val="Calibri"/>
        <family val="2"/>
        <scheme val="minor"/>
      </rPr>
      <t>Based on 21% Federal Rate</t>
    </r>
  </si>
  <si>
    <r>
      <rPr>
        <b/>
        <sz val="9"/>
        <color rgb="FFFF0000"/>
        <rFont val="Calibri"/>
        <family val="2"/>
        <scheme val="minor"/>
      </rPr>
      <t>[A]</t>
    </r>
    <r>
      <rPr>
        <sz val="9"/>
        <color theme="1"/>
        <rFont val="Calibri"/>
        <family val="2"/>
        <scheme val="minor"/>
      </rPr>
      <t xml:space="preserve"> Grossed up amount calculated by dividing the "Total Tax" amount by .74655 (1 minus total tax rate)</t>
    </r>
  </si>
  <si>
    <t>Excess Def Tax - Acct 283</t>
  </si>
  <si>
    <t>Total Federal</t>
  </si>
  <si>
    <t>Florida Power &amp; Light Company</t>
  </si>
  <si>
    <t>ADIT on Regulatory Assets &amp; Liabilities</t>
  </si>
  <si>
    <t>OTHER REG LIAB: Def Gain Land Sales</t>
  </si>
  <si>
    <t xml:space="preserve">AMO301: Gain Disp Prop Abv </t>
  </si>
  <si>
    <t>OTHER REG ASSETS:Extr Pr Loss-Stm Def-Cur Por O/S</t>
  </si>
  <si>
    <t>OTH REG ASSETS: STORM RCVRY PROP</t>
  </si>
  <si>
    <t>OTH REG ASSET-STORM RCVRY CUR PORT-OFSET       </t>
  </si>
  <si>
    <t>STM401: Storm Recovery Property (FPL)</t>
  </si>
  <si>
    <t>STM401: Storm Recovery Property (FREC)</t>
  </si>
  <si>
    <t>Total STM401: Storm Recovery Property</t>
  </si>
  <si>
    <t>Tax follows book; no ADIT</t>
  </si>
  <si>
    <t>OTP Code Breakout</t>
  </si>
  <si>
    <t>Storm Rcvry Prop</t>
  </si>
  <si>
    <t>Storm Rcvry - Offset</t>
  </si>
  <si>
    <t>Over/Und Rcvry Bond </t>
  </si>
  <si>
    <t>Curr-Storm Fd Recvry</t>
  </si>
  <si>
    <t xml:space="preserve">STM407: Storm Recovery Property Current </t>
  </si>
  <si>
    <t>STM 402: Over/Under Recovery - FREC</t>
  </si>
  <si>
    <t>Subtotal FPL Consolidated 9254143</t>
  </si>
  <si>
    <t>TAXCR_ST_190</t>
  </si>
  <si>
    <t>TAXCR_ST_282</t>
  </si>
  <si>
    <t>TAXCR_ST_283</t>
  </si>
  <si>
    <t>Account 282</t>
  </si>
  <si>
    <t>TaxStream Input</t>
  </si>
  <si>
    <t>Cedar Bay - CC # 1504</t>
  </si>
  <si>
    <r>
      <t xml:space="preserve">FAS109 -  </t>
    </r>
    <r>
      <rPr>
        <b/>
        <sz val="9"/>
        <color rgb="FF0000FF"/>
        <rFont val="Calibri"/>
        <family val="2"/>
        <scheme val="minor"/>
      </rPr>
      <t>ENTRY</t>
    </r>
  </si>
  <si>
    <t>Calculation</t>
  </si>
  <si>
    <t>Reg Asset</t>
  </si>
  <si>
    <t>Reg Liab</t>
  </si>
  <si>
    <r>
      <t xml:space="preserve">Grossed-up   </t>
    </r>
    <r>
      <rPr>
        <b/>
        <sz val="9"/>
        <color rgb="FFFF0000"/>
        <rFont val="Calibri"/>
        <family val="2"/>
        <scheme val="minor"/>
      </rPr>
      <t>[A]</t>
    </r>
  </si>
  <si>
    <t>Tax</t>
  </si>
  <si>
    <t>Acct 182.310</t>
  </si>
  <si>
    <t>Acct 254.100</t>
  </si>
  <si>
    <t>(Balance Sheet Only)</t>
  </si>
  <si>
    <t>Gross Up Factor (1 minus total tax rate)</t>
  </si>
  <si>
    <t xml:space="preserve">TAXCR_190 </t>
  </si>
  <si>
    <t xml:space="preserve">TAXCR_282 </t>
  </si>
  <si>
    <t xml:space="preserve">TAXCR_283 </t>
  </si>
  <si>
    <t>TaxStream Generated</t>
  </si>
  <si>
    <t>TAXCR_190_FBOS</t>
  </si>
  <si>
    <t>TAXCR_282 _FBOS</t>
  </si>
  <si>
    <t>TAXCR_283_FBOS</t>
  </si>
  <si>
    <t>Indiantown Cogeneration - CC# 1508</t>
  </si>
  <si>
    <t>FPL Services LLC - CC#1511</t>
  </si>
  <si>
    <t>Total FPL</t>
  </si>
  <si>
    <t>Total CBAS</t>
  </si>
  <si>
    <t>Total ICL</t>
  </si>
  <si>
    <t>Total Enersys</t>
  </si>
  <si>
    <t>Grand Total FPL Consolidated</t>
  </si>
  <si>
    <t>See "&lt;5&gt; FAS109 Summary" Tab</t>
  </si>
  <si>
    <r>
      <t xml:space="preserve">Included with STM401: Storm Recovery Property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</si>
  <si>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STM407: Storm Recovery Property Current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</si>
  <si>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ITC102: Conv ITC Depr Loss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</si>
  <si>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ITC104: Space Coast ITC Depr Loss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</si>
  <si>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ITC106: Martin ITC Depr Loss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</si>
  <si>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AMO301: Gain Disp Prop Abv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</si>
  <si>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ITC101: Conv ITC Amort &amp; GU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</si>
  <si>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ITC103: Space Coast ITC GU - </t>
    </r>
    <r>
      <rPr>
        <sz val="8"/>
        <color rgb="FFFF0000"/>
        <rFont val="Arial"/>
        <family val="2"/>
      </rPr>
      <t>See "&lt;3&gt; OTP Code Details" Tab</t>
    </r>
  </si>
  <si>
    <r>
      <t xml:space="preserve">Included with ITC105: Martin Solar ITC G/U - </t>
    </r>
    <r>
      <rPr>
        <sz val="8"/>
        <color rgb="FFFF0000"/>
        <rFont val="Arial"/>
        <family val="2"/>
      </rPr>
      <t>See "&lt;3&gt; OTP Code Details" Tab</t>
    </r>
  </si>
  <si>
    <r>
      <t xml:space="preserve">Offset w/ other balance sheet balances;FPL zero balance; </t>
    </r>
    <r>
      <rPr>
        <sz val="8"/>
        <color rgb="FFFF0000"/>
        <rFont val="Arial"/>
        <family val="2"/>
      </rPr>
      <t>See "&lt;4&gt; Reg Asset-Liab w BS offsets" Tab</t>
    </r>
    <r>
      <rPr>
        <sz val="8"/>
        <color theme="1"/>
        <rFont val="Arial"/>
        <family val="2"/>
      </rPr>
      <t xml:space="preserve">; </t>
    </r>
  </si>
  <si>
    <t xml:space="preserve">Grand Total </t>
  </si>
  <si>
    <t>Oth Reg Liab-Nuclear Cost Recov-Long Term</t>
  </si>
  <si>
    <t>Oth Reg Liab-Nuclear Cost Recovery-Current Liab</t>
  </si>
  <si>
    <t>NUC106: Nuclear Rule Book/Tax Basis</t>
  </si>
  <si>
    <t>Subtotal FPL - ARO w/ offsets</t>
  </si>
  <si>
    <t>Subtotal CBAS - ARO w/ offsets</t>
  </si>
  <si>
    <t>net zero</t>
  </si>
  <si>
    <t>Subtotal ICL - ARO w/ offsets</t>
  </si>
  <si>
    <t>FPL ARO</t>
  </si>
  <si>
    <t>Cedar Bay ARO</t>
  </si>
  <si>
    <t>Indiantown ARO</t>
  </si>
  <si>
    <t>Tab "&lt;4b&gt; CBAS FAS109 Entry"</t>
  </si>
  <si>
    <t>Tab "&lt;4c&gt; ICL FAS109 Entry"</t>
  </si>
  <si>
    <t>Tab "&lt;4d&gt; Enersys FAS109 Entry"</t>
  </si>
  <si>
    <t>Tab "&lt;4a&gt; FPL FAS109 "</t>
  </si>
  <si>
    <t>Regulatory Assets/Liabilities with no ADIT - Due to offsets in other Balance Sheet Accounts for net book/tax diff of zero</t>
  </si>
  <si>
    <t>Docket No. 20180046-EI</t>
  </si>
  <si>
    <t>OPC's Second Set of Interrogatories</t>
  </si>
  <si>
    <t>Interrogatory No. 14</t>
  </si>
  <si>
    <t>Attachment No. 2</t>
  </si>
  <si>
    <t>Tab 1 of 8</t>
  </si>
  <si>
    <t>Tab 2 of 8</t>
  </si>
  <si>
    <t>Tab 3 of 8</t>
  </si>
  <si>
    <t>Tab 4 of 8</t>
  </si>
  <si>
    <t>Tab 5 of 8</t>
  </si>
  <si>
    <t>Tab 6 of 8</t>
  </si>
  <si>
    <t>Tab 7 of 8</t>
  </si>
  <si>
    <t>Tab 8 of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</si>
</sst>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0.000%"/>
    <numFmt numFmtId="166" formatCode="0.0000"/>
    <numFmt numFmtId="167" formatCode="0.00000"/>
    <numFmt numFmtId="168" formatCode="0.000000"/>
    <numFmt numFmtId="169" formatCode="_(* #,##0.00_);_(* \(#,##0.00\);_(* &quot;-&quot;_);_(@_)"/>
  </numFmts>
  <fonts count="4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8"/>
      <color rgb="FF0000FF"/>
      <name val="Arial"/>
      <family val="2"/>
    </font>
    <font>
      <sz val="9"/>
      <name val="Arial"/>
      <family val="2"/>
    </font>
    <font>
      <b/>
      <i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u/>
      <sz val="9"/>
      <color rgb="FF0000FF"/>
      <name val="Calibri"/>
      <family val="2"/>
      <scheme val="minor"/>
    </font>
    <font>
      <sz val="10"/>
      <name val="Book Antiqua"/>
      <family val="1"/>
    </font>
    <font>
      <i/>
      <sz val="9"/>
      <color rgb="FF0000FF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14">
    <xf numFmtId="0" fontId="0" fillId="0" borderId="0"/>
    <xf numFmtId="0" fontId="1" fillId="2" borderId="0"/>
    <xf numFmtId="0" fontId="9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15" borderId="0" applyNumberFormat="0" applyBorder="0" applyAlignment="0" applyProtection="0"/>
    <xf numFmtId="0" fontId="10" fillId="23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9" fillId="13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9" fillId="29" borderId="0" applyNumberFormat="0" applyBorder="0" applyAlignment="0" applyProtection="0"/>
    <xf numFmtId="0" fontId="11" fillId="27" borderId="0" applyNumberFormat="0" applyBorder="0" applyAlignment="0" applyProtection="0"/>
    <xf numFmtId="0" fontId="12" fillId="30" borderId="1" applyNumberFormat="0" applyAlignment="0" applyProtection="0"/>
    <xf numFmtId="0" fontId="13" fillId="22" borderId="2" applyNumberFormat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0" fillId="20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28" borderId="1" applyNumberFormat="0" applyAlignment="0" applyProtection="0"/>
    <xf numFmtId="0" fontId="19" fillId="0" borderId="6" applyNumberFormat="0" applyFill="0" applyAlignment="0" applyProtection="0"/>
    <xf numFmtId="0" fontId="19" fillId="28" borderId="0" applyNumberFormat="0" applyBorder="0" applyAlignment="0" applyProtection="0"/>
    <xf numFmtId="0" fontId="1" fillId="27" borderId="1" applyNumberFormat="0" applyFont="0" applyAlignment="0" applyProtection="0"/>
    <xf numFmtId="0" fontId="20" fillId="30" borderId="7" applyNumberFormat="0" applyAlignment="0" applyProtection="0"/>
    <xf numFmtId="4" fontId="2" fillId="34" borderId="1" applyNumberFormat="0" applyProtection="0">
      <alignment vertical="center"/>
    </xf>
    <xf numFmtId="4" fontId="23" fillId="35" borderId="1" applyNumberFormat="0" applyProtection="0">
      <alignment vertical="center"/>
    </xf>
    <xf numFmtId="4" fontId="2" fillId="35" borderId="1" applyNumberFormat="0" applyProtection="0">
      <alignment horizontal="left" vertical="center" indent="1"/>
    </xf>
    <xf numFmtId="0" fontId="6" fillId="34" borderId="8" applyNumberFormat="0" applyProtection="0">
      <alignment horizontal="left" vertical="top" indent="1"/>
    </xf>
    <xf numFmtId="4" fontId="2" fillId="36" borderId="1" applyNumberFormat="0" applyProtection="0">
      <alignment horizontal="left" vertical="center" indent="1"/>
    </xf>
    <xf numFmtId="4" fontId="2" fillId="37" borderId="1" applyNumberFormat="0" applyProtection="0">
      <alignment horizontal="right" vertical="center"/>
    </xf>
    <xf numFmtId="4" fontId="2" fillId="38" borderId="1" applyNumberFormat="0" applyProtection="0">
      <alignment horizontal="right" vertical="center"/>
    </xf>
    <xf numFmtId="4" fontId="2" fillId="39" borderId="9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40" borderId="1" applyNumberFormat="0" applyProtection="0">
      <alignment horizontal="right" vertical="center"/>
    </xf>
    <xf numFmtId="4" fontId="2" fillId="41" borderId="1" applyNumberFormat="0" applyProtection="0">
      <alignment horizontal="right" vertical="center"/>
    </xf>
    <xf numFmtId="4" fontId="2" fillId="7" borderId="1" applyNumberFormat="0" applyProtection="0">
      <alignment horizontal="right" vertical="center"/>
    </xf>
    <xf numFmtId="4" fontId="2" fillId="4" borderId="1" applyNumberFormat="0" applyProtection="0">
      <alignment horizontal="right" vertical="center"/>
    </xf>
    <xf numFmtId="4" fontId="2" fillId="42" borderId="1" applyNumberFormat="0" applyProtection="0">
      <alignment horizontal="right" vertical="center"/>
    </xf>
    <xf numFmtId="4" fontId="2" fillId="43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/>
    </xf>
    <xf numFmtId="4" fontId="5" fillId="8" borderId="9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5" borderId="9" applyNumberFormat="0" applyProtection="0">
      <alignment horizontal="left" vertical="center" indent="1"/>
    </xf>
    <xf numFmtId="4" fontId="2" fillId="3" borderId="9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1" fillId="8" borderId="8" applyNumberFormat="0" applyProtection="0">
      <alignment horizontal="left" vertical="top" indent="1"/>
    </xf>
    <xf numFmtId="0" fontId="2" fillId="44" borderId="1" applyNumberFormat="0" applyProtection="0">
      <alignment horizontal="left" vertical="center" indent="1"/>
    </xf>
    <xf numFmtId="0" fontId="1" fillId="3" borderId="8" applyNumberFormat="0" applyProtection="0">
      <alignment horizontal="left" vertical="top" indent="1"/>
    </xf>
    <xf numFmtId="0" fontId="2" fillId="45" borderId="1" applyNumberFormat="0" applyProtection="0">
      <alignment horizontal="left" vertical="center" indent="1"/>
    </xf>
    <xf numFmtId="0" fontId="1" fillId="45" borderId="8" applyNumberFormat="0" applyProtection="0">
      <alignment horizontal="left" vertical="top" indent="1"/>
    </xf>
    <xf numFmtId="0" fontId="2" fillId="5" borderId="1" applyNumberFormat="0" applyProtection="0">
      <alignment horizontal="left" vertical="center" indent="1"/>
    </xf>
    <xf numFmtId="0" fontId="1" fillId="5" borderId="8" applyNumberFormat="0" applyProtection="0">
      <alignment horizontal="left" vertical="top" indent="1"/>
    </xf>
    <xf numFmtId="0" fontId="1" fillId="46" borderId="10" applyNumberFormat="0">
      <protection locked="0"/>
    </xf>
    <xf numFmtId="0" fontId="3" fillId="8" borderId="11" applyBorder="0"/>
    <xf numFmtId="4" fontId="4" fillId="47" borderId="8" applyNumberFormat="0" applyProtection="0">
      <alignment vertical="center"/>
    </xf>
    <xf numFmtId="4" fontId="23" fillId="48" borderId="12" applyNumberFormat="0" applyProtection="0">
      <alignment vertical="center"/>
    </xf>
    <xf numFmtId="4" fontId="4" fillId="6" borderId="8" applyNumberFormat="0" applyProtection="0">
      <alignment horizontal="left" vertical="center" indent="1"/>
    </xf>
    <xf numFmtId="0" fontId="4" fillId="47" borderId="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23" fillId="49" borderId="1" applyNumberFormat="0" applyProtection="0">
      <alignment horizontal="right" vertical="center"/>
    </xf>
    <xf numFmtId="4" fontId="2" fillId="36" borderId="1" applyNumberFormat="0" applyProtection="0">
      <alignment horizontal="left" vertical="center" indent="1"/>
    </xf>
    <xf numFmtId="0" fontId="4" fillId="3" borderId="8" applyNumberFormat="0" applyProtection="0">
      <alignment horizontal="left" vertical="top" indent="1"/>
    </xf>
    <xf numFmtId="4" fontId="7" fillId="50" borderId="9" applyNumberFormat="0" applyProtection="0">
      <alignment horizontal="left" vertical="center" indent="1"/>
    </xf>
    <xf numFmtId="0" fontId="2" fillId="51" borderId="12"/>
    <xf numFmtId="4" fontId="8" fillId="46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14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2" fillId="2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13" borderId="0" applyNumberFormat="0" applyBorder="0" applyAlignment="0" applyProtection="0"/>
    <xf numFmtId="0" fontId="9" fillId="26" borderId="0" applyNumberFormat="0" applyBorder="0" applyAlignment="0" applyProtection="0"/>
    <xf numFmtId="0" fontId="2" fillId="27" borderId="1" applyNumberFormat="0" applyFont="0" applyAlignment="0" applyProtection="0"/>
    <xf numFmtId="0" fontId="2" fillId="8" borderId="8" applyNumberFormat="0" applyProtection="0">
      <alignment horizontal="left" vertical="top" indent="1"/>
    </xf>
    <xf numFmtId="0" fontId="2" fillId="3" borderId="8" applyNumberFormat="0" applyProtection="0">
      <alignment horizontal="left" vertical="top" indent="1"/>
    </xf>
    <xf numFmtId="0" fontId="2" fillId="45" borderId="8" applyNumberFormat="0" applyProtection="0">
      <alignment horizontal="left" vertical="top" indent="1"/>
    </xf>
    <xf numFmtId="0" fontId="2" fillId="5" borderId="8" applyNumberFormat="0" applyProtection="0">
      <alignment horizontal="left" vertical="top" indent="1"/>
    </xf>
    <xf numFmtId="0" fontId="2" fillId="46" borderId="10" applyNumberFormat="0">
      <protection locked="0"/>
    </xf>
    <xf numFmtId="9" fontId="24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41" fontId="33" fillId="0" borderId="0" applyFont="0" applyFill="0" applyBorder="0" applyAlignment="0" applyProtection="0"/>
    <xf numFmtId="0" fontId="5" fillId="0" borderId="0"/>
    <xf numFmtId="168" fontId="5" fillId="0" borderId="0">
      <alignment horizontal="left" wrapText="1"/>
    </xf>
    <xf numFmtId="168" fontId="5" fillId="0" borderId="0">
      <alignment horizontal="left" wrapText="1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1" fontId="24" fillId="0" borderId="0" applyFont="0" applyFill="0" applyBorder="0" applyAlignment="0" applyProtection="0"/>
    <xf numFmtId="4" fontId="1" fillId="36" borderId="1" applyNumberFormat="0" applyProtection="0">
      <alignment horizontal="left" vertical="center" indent="1"/>
    </xf>
    <xf numFmtId="4" fontId="1" fillId="36" borderId="1" applyNumberFormat="0" applyProtection="0">
      <alignment horizontal="left" vertical="center" indent="1"/>
    </xf>
    <xf numFmtId="4" fontId="1" fillId="34" borderId="1" applyNumberFormat="0" applyProtection="0">
      <alignment vertical="center"/>
    </xf>
  </cellStyleXfs>
  <cellXfs count="179">
    <xf numFmtId="0" fontId="0" fillId="0" borderId="0" xfId="0"/>
    <xf numFmtId="0" fontId="26" fillId="0" borderId="0" xfId="0" applyFont="1" applyAlignment="1">
      <alignment horizontal="center"/>
    </xf>
    <xf numFmtId="37" fontId="26" fillId="0" borderId="0" xfId="0" applyNumberFormat="1" applyFont="1"/>
    <xf numFmtId="0" fontId="26" fillId="0" borderId="0" xfId="0" applyFont="1"/>
    <xf numFmtId="37" fontId="26" fillId="0" borderId="0" xfId="0" applyNumberFormat="1" applyFont="1" applyFill="1"/>
    <xf numFmtId="0" fontId="28" fillId="0" borderId="0" xfId="0" applyFont="1"/>
    <xf numFmtId="0" fontId="30" fillId="0" borderId="0" xfId="0" applyFont="1"/>
    <xf numFmtId="37" fontId="30" fillId="0" borderId="0" xfId="0" applyNumberFormat="1" applyFont="1"/>
    <xf numFmtId="0" fontId="31" fillId="0" borderId="0" xfId="0" applyFont="1"/>
    <xf numFmtId="0" fontId="29" fillId="0" borderId="0" xfId="0" applyNumberFormat="1" applyFont="1" applyFill="1" applyBorder="1" applyAlignment="1">
      <alignment horizontal="center"/>
    </xf>
    <xf numFmtId="49" fontId="29" fillId="0" borderId="0" xfId="0" applyNumberFormat="1" applyFont="1" applyFill="1" applyBorder="1"/>
    <xf numFmtId="0" fontId="30" fillId="0" borderId="0" xfId="0" applyFont="1" applyBorder="1"/>
    <xf numFmtId="37" fontId="30" fillId="0" borderId="0" xfId="0" applyNumberFormat="1" applyFont="1" applyBorder="1"/>
    <xf numFmtId="37" fontId="30" fillId="0" borderId="14" xfId="0" applyNumberFormat="1" applyFont="1" applyBorder="1"/>
    <xf numFmtId="9" fontId="32" fillId="0" borderId="0" xfId="99" applyFont="1" applyAlignment="1">
      <alignment horizontal="center"/>
    </xf>
    <xf numFmtId="165" fontId="32" fillId="0" borderId="0" xfId="99" applyNumberFormat="1" applyFont="1" applyAlignment="1">
      <alignment horizontal="center"/>
    </xf>
    <xf numFmtId="164" fontId="32" fillId="0" borderId="0" xfId="99" applyNumberFormat="1" applyFont="1" applyAlignment="1">
      <alignment horizontal="center"/>
    </xf>
    <xf numFmtId="37" fontId="32" fillId="0" borderId="0" xfId="0" applyNumberFormat="1" applyFont="1" applyAlignment="1">
      <alignment horizontal="right"/>
    </xf>
    <xf numFmtId="0" fontId="31" fillId="0" borderId="0" xfId="0" applyFont="1" applyAlignment="1">
      <alignment horizontal="left" indent="1"/>
    </xf>
    <xf numFmtId="37" fontId="29" fillId="0" borderId="0" xfId="0" applyNumberFormat="1" applyFont="1" applyFill="1" applyBorder="1"/>
    <xf numFmtId="37" fontId="30" fillId="0" borderId="15" xfId="0" applyNumberFormat="1" applyFont="1" applyBorder="1"/>
    <xf numFmtId="37" fontId="27" fillId="52" borderId="17" xfId="0" applyNumberFormat="1" applyFont="1" applyFill="1" applyBorder="1"/>
    <xf numFmtId="0" fontId="26" fillId="52" borderId="17" xfId="0" applyFont="1" applyFill="1" applyBorder="1" applyAlignment="1">
      <alignment horizontal="center"/>
    </xf>
    <xf numFmtId="37" fontId="26" fillId="52" borderId="17" xfId="0" applyNumberFormat="1" applyFont="1" applyFill="1" applyBorder="1"/>
    <xf numFmtId="0" fontId="27" fillId="52" borderId="17" xfId="0" applyFont="1" applyFill="1" applyBorder="1" applyAlignment="1">
      <alignment horizontal="center"/>
    </xf>
    <xf numFmtId="0" fontId="25" fillId="0" borderId="0" xfId="0" applyFont="1"/>
    <xf numFmtId="0" fontId="29" fillId="52" borderId="0" xfId="0" applyNumberFormat="1" applyFont="1" applyFill="1" applyBorder="1" applyAlignment="1">
      <alignment horizontal="center"/>
    </xf>
    <xf numFmtId="49" fontId="29" fillId="52" borderId="0" xfId="0" applyNumberFormat="1" applyFont="1" applyFill="1" applyBorder="1"/>
    <xf numFmtId="37" fontId="29" fillId="52" borderId="0" xfId="0" applyNumberFormat="1" applyFont="1" applyFill="1" applyBorder="1"/>
    <xf numFmtId="37" fontId="30" fillId="52" borderId="0" xfId="0" applyNumberFormat="1" applyFont="1" applyFill="1"/>
    <xf numFmtId="37" fontId="28" fillId="0" borderId="0" xfId="100" quotePrefix="1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0" fillId="52" borderId="0" xfId="0" applyFont="1" applyFill="1"/>
    <xf numFmtId="0" fontId="30" fillId="52" borderId="0" xfId="0" applyFont="1" applyFill="1" applyAlignment="1">
      <alignment horizontal="center"/>
    </xf>
    <xf numFmtId="37" fontId="28" fillId="52" borderId="0" xfId="100" quotePrefix="1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0" fontId="30" fillId="0" borderId="0" xfId="0" applyFont="1" applyFill="1"/>
    <xf numFmtId="37" fontId="30" fillId="0" borderId="0" xfId="0" applyNumberFormat="1" applyFont="1" applyFill="1"/>
    <xf numFmtId="0" fontId="34" fillId="0" borderId="0" xfId="0" applyFont="1" applyAlignment="1">
      <alignment horizontal="left" indent="1"/>
    </xf>
    <xf numFmtId="0" fontId="27" fillId="52" borderId="17" xfId="0" applyFont="1" applyFill="1" applyBorder="1" applyAlignment="1">
      <alignment horizontal="center" wrapText="1"/>
    </xf>
    <xf numFmtId="0" fontId="35" fillId="0" borderId="0" xfId="103" applyFont="1"/>
    <xf numFmtId="0" fontId="30" fillId="0" borderId="0" xfId="103" applyFont="1"/>
    <xf numFmtId="0" fontId="36" fillId="0" borderId="0" xfId="103" quotePrefix="1" applyFont="1"/>
    <xf numFmtId="0" fontId="35" fillId="0" borderId="17" xfId="103" applyFont="1" applyBorder="1" applyAlignment="1">
      <alignment horizontal="center"/>
    </xf>
    <xf numFmtId="37" fontId="30" fillId="0" borderId="0" xfId="103" applyNumberFormat="1" applyFont="1"/>
    <xf numFmtId="0" fontId="38" fillId="0" borderId="0" xfId="103" applyFont="1" applyAlignment="1">
      <alignment horizontal="center"/>
    </xf>
    <xf numFmtId="37" fontId="30" fillId="0" borderId="0" xfId="103" applyNumberFormat="1" applyFont="1" applyBorder="1"/>
    <xf numFmtId="0" fontId="35" fillId="0" borderId="23" xfId="103" applyFont="1" applyBorder="1" applyAlignment="1">
      <alignment horizontal="center"/>
    </xf>
    <xf numFmtId="37" fontId="35" fillId="0" borderId="18" xfId="103" applyNumberFormat="1" applyFont="1" applyBorder="1" applyAlignment="1">
      <alignment horizontal="center"/>
    </xf>
    <xf numFmtId="37" fontId="35" fillId="0" borderId="19" xfId="103" applyNumberFormat="1" applyFont="1" applyBorder="1" applyAlignment="1">
      <alignment horizontal="center"/>
    </xf>
    <xf numFmtId="0" fontId="35" fillId="0" borderId="15" xfId="103" applyFont="1" applyBorder="1" applyAlignment="1">
      <alignment horizontal="center"/>
    </xf>
    <xf numFmtId="0" fontId="35" fillId="0" borderId="18" xfId="103" applyFont="1" applyBorder="1" applyAlignment="1">
      <alignment horizontal="center"/>
    </xf>
    <xf numFmtId="0" fontId="35" fillId="0" borderId="19" xfId="103" applyFont="1" applyBorder="1" applyAlignment="1">
      <alignment horizontal="center"/>
    </xf>
    <xf numFmtId="2" fontId="30" fillId="0" borderId="0" xfId="103" applyNumberFormat="1" applyFont="1"/>
    <xf numFmtId="0" fontId="30" fillId="0" borderId="24" xfId="103" applyFont="1" applyBorder="1"/>
    <xf numFmtId="0" fontId="35" fillId="0" borderId="26" xfId="103" quotePrefix="1" applyFont="1" applyBorder="1" applyAlignment="1">
      <alignment horizontal="center"/>
    </xf>
    <xf numFmtId="0" fontId="35" fillId="0" borderId="27" xfId="103" quotePrefix="1" applyFont="1" applyBorder="1" applyAlignment="1">
      <alignment horizontal="center"/>
    </xf>
    <xf numFmtId="0" fontId="35" fillId="0" borderId="0" xfId="103" applyFont="1" applyAlignment="1">
      <alignment horizontal="center"/>
    </xf>
    <xf numFmtId="0" fontId="30" fillId="53" borderId="0" xfId="103" applyFont="1" applyFill="1"/>
    <xf numFmtId="37" fontId="30" fillId="53" borderId="0" xfId="103" applyNumberFormat="1" applyFont="1" applyFill="1"/>
    <xf numFmtId="0" fontId="35" fillId="0" borderId="25" xfId="103" applyFont="1" applyBorder="1" applyAlignment="1">
      <alignment horizontal="center"/>
    </xf>
    <xf numFmtId="37" fontId="35" fillId="0" borderId="20" xfId="103" applyNumberFormat="1" applyFont="1" applyBorder="1" applyAlignment="1">
      <alignment horizontal="center"/>
    </xf>
    <xf numFmtId="37" fontId="35" fillId="0" borderId="21" xfId="103" applyNumberFormat="1" applyFont="1" applyBorder="1" applyAlignment="1">
      <alignment horizontal="center"/>
    </xf>
    <xf numFmtId="166" fontId="30" fillId="0" borderId="0" xfId="103" applyNumberFormat="1" applyFont="1"/>
    <xf numFmtId="0" fontId="30" fillId="52" borderId="24" xfId="103" applyFont="1" applyFill="1" applyBorder="1"/>
    <xf numFmtId="37" fontId="30" fillId="52" borderId="26" xfId="103" applyNumberFormat="1" applyFont="1" applyFill="1" applyBorder="1"/>
    <xf numFmtId="37" fontId="30" fillId="52" borderId="27" xfId="103" applyNumberFormat="1" applyFont="1" applyFill="1" applyBorder="1"/>
    <xf numFmtId="0" fontId="30" fillId="52" borderId="27" xfId="103" applyFont="1" applyFill="1" applyBorder="1"/>
    <xf numFmtId="0" fontId="30" fillId="52" borderId="0" xfId="103" applyFont="1" applyFill="1" applyBorder="1"/>
    <xf numFmtId="166" fontId="30" fillId="0" borderId="15" xfId="103" applyNumberFormat="1" applyFont="1" applyBorder="1"/>
    <xf numFmtId="0" fontId="31" fillId="52" borderId="24" xfId="103" applyFont="1" applyFill="1" applyBorder="1" applyAlignment="1">
      <alignment horizontal="left" indent="2"/>
    </xf>
    <xf numFmtId="0" fontId="30" fillId="0" borderId="26" xfId="103" applyFont="1" applyBorder="1"/>
    <xf numFmtId="0" fontId="30" fillId="0" borderId="27" xfId="103" applyFont="1" applyBorder="1"/>
    <xf numFmtId="167" fontId="30" fillId="0" borderId="0" xfId="103" applyNumberFormat="1" applyFont="1"/>
    <xf numFmtId="0" fontId="30" fillId="0" borderId="0" xfId="103" applyFont="1" applyAlignment="1">
      <alignment horizontal="center"/>
    </xf>
    <xf numFmtId="37" fontId="30" fillId="0" borderId="14" xfId="103" applyNumberFormat="1" applyFont="1" applyBorder="1"/>
    <xf numFmtId="0" fontId="30" fillId="54" borderId="24" xfId="103" applyFont="1" applyFill="1" applyBorder="1"/>
    <xf numFmtId="0" fontId="30" fillId="54" borderId="26" xfId="103" applyFont="1" applyFill="1" applyBorder="1"/>
    <xf numFmtId="0" fontId="30" fillId="54" borderId="27" xfId="103" applyFont="1" applyFill="1" applyBorder="1"/>
    <xf numFmtId="37" fontId="30" fillId="54" borderId="26" xfId="103" applyNumberFormat="1" applyFont="1" applyFill="1" applyBorder="1"/>
    <xf numFmtId="37" fontId="30" fillId="54" borderId="27" xfId="103" applyNumberFormat="1" applyFont="1" applyFill="1" applyBorder="1"/>
    <xf numFmtId="0" fontId="30" fillId="54" borderId="0" xfId="103" applyFont="1" applyFill="1" applyBorder="1"/>
    <xf numFmtId="0" fontId="31" fillId="54" borderId="24" xfId="103" applyFont="1" applyFill="1" applyBorder="1" applyAlignment="1">
      <alignment horizontal="left" indent="2"/>
    </xf>
    <xf numFmtId="37" fontId="30" fillId="53" borderId="0" xfId="103" applyNumberFormat="1" applyFont="1" applyFill="1" applyBorder="1"/>
    <xf numFmtId="0" fontId="30" fillId="52" borderId="26" xfId="103" applyFont="1" applyFill="1" applyBorder="1"/>
    <xf numFmtId="37" fontId="31" fillId="54" borderId="24" xfId="103" applyNumberFormat="1" applyFont="1" applyFill="1" applyBorder="1" applyAlignment="1">
      <alignment horizontal="left" indent="2"/>
    </xf>
    <xf numFmtId="0" fontId="30" fillId="0" borderId="0" xfId="103" applyFont="1" applyFill="1"/>
    <xf numFmtId="37" fontId="30" fillId="0" borderId="28" xfId="103" applyNumberFormat="1" applyFont="1" applyBorder="1"/>
    <xf numFmtId="37" fontId="30" fillId="0" borderId="29" xfId="103" applyNumberFormat="1" applyFont="1" applyBorder="1"/>
    <xf numFmtId="37" fontId="30" fillId="0" borderId="26" xfId="103" applyNumberFormat="1" applyFont="1" applyBorder="1"/>
    <xf numFmtId="37" fontId="30" fillId="0" borderId="27" xfId="103" applyNumberFormat="1" applyFont="1" applyBorder="1"/>
    <xf numFmtId="37" fontId="35" fillId="0" borderId="30" xfId="103" applyNumberFormat="1" applyFont="1" applyBorder="1"/>
    <xf numFmtId="37" fontId="35" fillId="0" borderId="0" xfId="103" applyNumberFormat="1" applyFont="1"/>
    <xf numFmtId="37" fontId="35" fillId="0" borderId="16" xfId="103" applyNumberFormat="1" applyFont="1" applyBorder="1"/>
    <xf numFmtId="0" fontId="30" fillId="0" borderId="25" xfId="103" applyFont="1" applyBorder="1"/>
    <xf numFmtId="37" fontId="30" fillId="0" borderId="21" xfId="103" applyNumberFormat="1" applyFont="1" applyBorder="1"/>
    <xf numFmtId="0" fontId="30" fillId="0" borderId="23" xfId="103" applyFont="1" applyBorder="1"/>
    <xf numFmtId="0" fontId="30" fillId="0" borderId="0" xfId="103" applyFont="1" applyBorder="1"/>
    <xf numFmtId="0" fontId="30" fillId="0" borderId="18" xfId="103" applyFont="1" applyBorder="1"/>
    <xf numFmtId="0" fontId="30" fillId="0" borderId="19" xfId="103" applyFont="1" applyBorder="1"/>
    <xf numFmtId="0" fontId="30" fillId="0" borderId="24" xfId="103" applyFont="1" applyFill="1" applyBorder="1"/>
    <xf numFmtId="0" fontId="30" fillId="0" borderId="26" xfId="103" applyFont="1" applyFill="1" applyBorder="1"/>
    <xf numFmtId="0" fontId="30" fillId="0" borderId="27" xfId="103" applyFont="1" applyFill="1" applyBorder="1"/>
    <xf numFmtId="0" fontId="30" fillId="0" borderId="0" xfId="103" applyFont="1" applyFill="1" applyBorder="1"/>
    <xf numFmtId="0" fontId="30" fillId="0" borderId="0" xfId="103" applyFont="1" applyAlignment="1">
      <alignment horizontal="left" indent="2"/>
    </xf>
    <xf numFmtId="37" fontId="31" fillId="0" borderId="24" xfId="103" applyNumberFormat="1" applyFont="1" applyBorder="1" applyAlignment="1">
      <alignment horizontal="left" indent="2"/>
    </xf>
    <xf numFmtId="37" fontId="31" fillId="52" borderId="24" xfId="103" applyNumberFormat="1" applyFont="1" applyFill="1" applyBorder="1" applyAlignment="1">
      <alignment horizontal="left" indent="2"/>
    </xf>
    <xf numFmtId="0" fontId="31" fillId="0" borderId="0" xfId="103" applyFont="1" applyAlignment="1">
      <alignment horizontal="left" indent="3"/>
    </xf>
    <xf numFmtId="37" fontId="30" fillId="0" borderId="15" xfId="103" applyNumberFormat="1" applyFont="1" applyBorder="1"/>
    <xf numFmtId="37" fontId="30" fillId="54" borderId="0" xfId="103" applyNumberFormat="1" applyFont="1" applyFill="1" applyBorder="1"/>
    <xf numFmtId="0" fontId="30" fillId="0" borderId="20" xfId="103" applyFont="1" applyBorder="1"/>
    <xf numFmtId="0" fontId="30" fillId="0" borderId="21" xfId="103" applyFont="1" applyBorder="1"/>
    <xf numFmtId="0" fontId="30" fillId="0" borderId="22" xfId="103" applyFont="1" applyBorder="1"/>
    <xf numFmtId="37" fontId="35" fillId="0" borderId="14" xfId="103" applyNumberFormat="1" applyFont="1" applyBorder="1"/>
    <xf numFmtId="0" fontId="30" fillId="0" borderId="0" xfId="103" applyFont="1" applyAlignment="1">
      <alignment horizontal="left" indent="1"/>
    </xf>
    <xf numFmtId="0" fontId="27" fillId="0" borderId="0" xfId="0" applyFont="1" applyAlignment="1">
      <alignment horizontal="left"/>
    </xf>
    <xf numFmtId="0" fontId="27" fillId="0" borderId="0" xfId="0" applyFont="1" applyAlignment="1"/>
    <xf numFmtId="0" fontId="26" fillId="0" borderId="0" xfId="0" applyNumberFormat="1" applyFont="1" applyAlignment="1">
      <alignment horizontal="center"/>
    </xf>
    <xf numFmtId="37" fontId="40" fillId="0" borderId="0" xfId="0" applyNumberFormat="1" applyFont="1" applyAlignment="1">
      <alignment horizontal="right"/>
    </xf>
    <xf numFmtId="9" fontId="40" fillId="0" borderId="0" xfId="99" applyFont="1" applyAlignment="1">
      <alignment horizontal="center"/>
    </xf>
    <xf numFmtId="165" fontId="40" fillId="0" borderId="0" xfId="99" applyNumberFormat="1" applyFont="1" applyAlignment="1">
      <alignment horizontal="center"/>
    </xf>
    <xf numFmtId="164" fontId="40" fillId="0" borderId="0" xfId="99" applyNumberFormat="1" applyFont="1" applyAlignment="1">
      <alignment horizontal="center"/>
    </xf>
    <xf numFmtId="0" fontId="35" fillId="52" borderId="17" xfId="0" applyFont="1" applyFill="1" applyBorder="1" applyAlignment="1">
      <alignment horizontal="center"/>
    </xf>
    <xf numFmtId="0" fontId="35" fillId="52" borderId="17" xfId="0" applyFont="1" applyFill="1" applyBorder="1" applyAlignment="1">
      <alignment horizontal="center" wrapText="1"/>
    </xf>
    <xf numFmtId="0" fontId="30" fillId="0" borderId="0" xfId="0" applyNumberFormat="1" applyFont="1" applyAlignment="1">
      <alignment horizontal="center"/>
    </xf>
    <xf numFmtId="0" fontId="41" fillId="0" borderId="0" xfId="0" applyFont="1" applyAlignment="1">
      <alignment horizontal="left" indent="1"/>
    </xf>
    <xf numFmtId="37" fontId="35" fillId="0" borderId="16" xfId="0" applyNumberFormat="1" applyFont="1" applyBorder="1"/>
    <xf numFmtId="0" fontId="35" fillId="0" borderId="0" xfId="103" applyFont="1" applyAlignment="1">
      <alignment horizontal="center"/>
    </xf>
    <xf numFmtId="41" fontId="26" fillId="0" borderId="0" xfId="110" applyFont="1"/>
    <xf numFmtId="0" fontId="26" fillId="0" borderId="0" xfId="0" applyFont="1" applyFill="1" applyAlignment="1">
      <alignment horizontal="center"/>
    </xf>
    <xf numFmtId="0" fontId="26" fillId="0" borderId="0" xfId="0" applyFont="1" applyFill="1"/>
    <xf numFmtId="0" fontId="28" fillId="0" borderId="0" xfId="0" applyFont="1" applyFill="1"/>
    <xf numFmtId="0" fontId="31" fillId="0" borderId="0" xfId="0" applyFont="1" applyBorder="1"/>
    <xf numFmtId="37" fontId="35" fillId="0" borderId="15" xfId="0" applyNumberFormat="1" applyFont="1" applyBorder="1"/>
    <xf numFmtId="0" fontId="41" fillId="0" borderId="0" xfId="0" applyFont="1" applyBorder="1"/>
    <xf numFmtId="37" fontId="28" fillId="0" borderId="0" xfId="103" applyNumberFormat="1" applyFont="1"/>
    <xf numFmtId="0" fontId="37" fillId="0" borderId="31" xfId="103" applyFont="1" applyBorder="1"/>
    <xf numFmtId="0" fontId="37" fillId="0" borderId="34" xfId="103" applyFont="1" applyBorder="1"/>
    <xf numFmtId="0" fontId="28" fillId="0" borderId="34" xfId="103" applyFont="1" applyBorder="1"/>
    <xf numFmtId="0" fontId="35" fillId="0" borderId="22" xfId="103" applyFont="1" applyBorder="1" applyAlignment="1">
      <alignment horizontal="center"/>
    </xf>
    <xf numFmtId="0" fontId="30" fillId="54" borderId="0" xfId="103" applyFont="1" applyFill="1"/>
    <xf numFmtId="37" fontId="30" fillId="0" borderId="0" xfId="103" applyNumberFormat="1" applyFont="1" applyFill="1" applyBorder="1"/>
    <xf numFmtId="37" fontId="30" fillId="54" borderId="0" xfId="103" applyNumberFormat="1" applyFont="1" applyFill="1"/>
    <xf numFmtId="37" fontId="30" fillId="0" borderId="26" xfId="103" applyNumberFormat="1" applyFont="1" applyFill="1" applyBorder="1"/>
    <xf numFmtId="37" fontId="30" fillId="0" borderId="27" xfId="103" applyNumberFormat="1" applyFont="1" applyFill="1" applyBorder="1"/>
    <xf numFmtId="0" fontId="30" fillId="52" borderId="0" xfId="103" applyFont="1" applyFill="1"/>
    <xf numFmtId="37" fontId="30" fillId="52" borderId="0" xfId="103" applyNumberFormat="1" applyFont="1" applyFill="1"/>
    <xf numFmtId="37" fontId="30" fillId="0" borderId="24" xfId="103" applyNumberFormat="1" applyFont="1" applyBorder="1"/>
    <xf numFmtId="37" fontId="30" fillId="0" borderId="25" xfId="103" applyNumberFormat="1" applyFont="1" applyBorder="1"/>
    <xf numFmtId="37" fontId="30" fillId="0" borderId="20" xfId="103" applyNumberFormat="1" applyFont="1" applyBorder="1"/>
    <xf numFmtId="167" fontId="30" fillId="0" borderId="15" xfId="103" applyNumberFormat="1" applyFont="1" applyBorder="1"/>
    <xf numFmtId="0" fontId="30" fillId="0" borderId="32" xfId="103" applyFont="1" applyBorder="1"/>
    <xf numFmtId="0" fontId="30" fillId="0" borderId="33" xfId="103" applyFont="1" applyBorder="1"/>
    <xf numFmtId="37" fontId="42" fillId="0" borderId="0" xfId="103" applyNumberFormat="1" applyFont="1" applyFill="1" applyBorder="1" applyAlignment="1">
      <alignment horizontal="center"/>
    </xf>
    <xf numFmtId="37" fontId="42" fillId="0" borderId="35" xfId="103" applyNumberFormat="1" applyFont="1" applyFill="1" applyBorder="1" applyAlignment="1">
      <alignment horizontal="center"/>
    </xf>
    <xf numFmtId="37" fontId="28" fillId="0" borderId="0" xfId="103" applyNumberFormat="1" applyFont="1" applyBorder="1" applyAlignment="1">
      <alignment horizontal="center"/>
    </xf>
    <xf numFmtId="37" fontId="28" fillId="0" borderId="35" xfId="103" applyNumberFormat="1" applyFont="1" applyBorder="1" applyAlignment="1">
      <alignment horizontal="center"/>
    </xf>
    <xf numFmtId="0" fontId="29" fillId="0" borderId="34" xfId="103" applyFont="1" applyBorder="1" applyAlignment="1">
      <alignment horizontal="left" indent="1"/>
    </xf>
    <xf numFmtId="37" fontId="28" fillId="0" borderId="0" xfId="103" applyNumberFormat="1" applyFont="1" applyFill="1" applyBorder="1"/>
    <xf numFmtId="37" fontId="28" fillId="0" borderId="35" xfId="103" applyNumberFormat="1" applyFont="1" applyFill="1" applyBorder="1"/>
    <xf numFmtId="0" fontId="30" fillId="0" borderId="34" xfId="103" applyFont="1" applyBorder="1"/>
    <xf numFmtId="0" fontId="30" fillId="0" borderId="36" xfId="103" applyFont="1" applyBorder="1"/>
    <xf numFmtId="0" fontId="30" fillId="0" borderId="37" xfId="103" applyFont="1" applyBorder="1"/>
    <xf numFmtId="0" fontId="30" fillId="0" borderId="38" xfId="103" applyFont="1" applyBorder="1"/>
    <xf numFmtId="0" fontId="29" fillId="0" borderId="0" xfId="103" applyFont="1" applyAlignment="1">
      <alignment horizontal="left" indent="1"/>
    </xf>
    <xf numFmtId="0" fontId="43" fillId="0" borderId="0" xfId="103" applyFont="1" applyAlignment="1">
      <alignment horizontal="left"/>
    </xf>
    <xf numFmtId="0" fontId="35" fillId="52" borderId="0" xfId="103" applyFont="1" applyFill="1"/>
    <xf numFmtId="37" fontId="35" fillId="52" borderId="14" xfId="103" applyNumberFormat="1" applyFont="1" applyFill="1" applyBorder="1"/>
    <xf numFmtId="169" fontId="26" fillId="0" borderId="0" xfId="110" applyNumberFormat="1" applyFont="1" applyFill="1"/>
    <xf numFmtId="39" fontId="26" fillId="0" borderId="0" xfId="0" applyNumberFormat="1" applyFont="1" applyFill="1"/>
    <xf numFmtId="41" fontId="26" fillId="0" borderId="0" xfId="110" applyFont="1" applyFill="1"/>
    <xf numFmtId="169" fontId="26" fillId="0" borderId="0" xfId="0" applyNumberFormat="1" applyFont="1" applyFill="1"/>
    <xf numFmtId="0" fontId="35" fillId="0" borderId="0" xfId="103" applyFont="1" applyAlignment="1">
      <alignment horizontal="center"/>
    </xf>
    <xf numFmtId="0" fontId="35" fillId="0" borderId="0" xfId="103" applyFont="1" applyAlignment="1">
      <alignment horizontal="center"/>
    </xf>
    <xf numFmtId="0" fontId="35" fillId="0" borderId="0" xfId="0" applyFont="1"/>
    <xf numFmtId="37" fontId="35" fillId="0" borderId="0" xfId="0" applyNumberFormat="1" applyFont="1"/>
    <xf numFmtId="49" fontId="28" fillId="0" borderId="0" xfId="0" applyNumberFormat="1" applyFont="1" applyAlignment="1">
      <alignment vertical="center" wrapText="1"/>
    </xf>
    <xf numFmtId="0" fontId="44" fillId="0" borderId="0" xfId="0" applyFont="1" applyFill="1" applyBorder="1"/>
    <xf numFmtId="0" fontId="35" fillId="0" borderId="0" xfId="103" applyFont="1" applyAlignment="1"/>
  </cellXfs>
  <cellStyles count="114">
    <cellStyle name="_FPL Group TI &amp; PTC v12.04 r1 " xfId="104"/>
    <cellStyle name="_O&amp;M Detail -cc " xfId="105"/>
    <cellStyle name="Accent1 - 20%" xfId="3"/>
    <cellStyle name="Accent1 - 40%" xfId="4"/>
    <cellStyle name="Accent1 - 60%" xfId="5"/>
    <cellStyle name="Accent1 2" xfId="2"/>
    <cellStyle name="Accent1 3" xfId="87"/>
    <cellStyle name="Accent2 - 20%" xfId="7"/>
    <cellStyle name="Accent2 - 40%" xfId="8"/>
    <cellStyle name="Accent2 - 60%" xfId="9"/>
    <cellStyle name="Accent2 2" xfId="6"/>
    <cellStyle name="Accent2 3" xfId="88"/>
    <cellStyle name="Accent3 - 20%" xfId="11"/>
    <cellStyle name="Accent3 - 40%" xfId="12"/>
    <cellStyle name="Accent3 - 60%" xfId="13"/>
    <cellStyle name="Accent3 2" xfId="10"/>
    <cellStyle name="Accent3 3" xfId="89"/>
    <cellStyle name="Accent4 - 20%" xfId="15"/>
    <cellStyle name="Accent4 - 40%" xfId="16"/>
    <cellStyle name="Accent4 - 60%" xfId="17"/>
    <cellStyle name="Accent4 2" xfId="14"/>
    <cellStyle name="Accent4 3" xfId="90"/>
    <cellStyle name="Accent5 - 20%" xfId="19"/>
    <cellStyle name="Accent5 - 40%" xfId="20"/>
    <cellStyle name="Accent5 - 60%" xfId="21"/>
    <cellStyle name="Accent5 2" xfId="18"/>
    <cellStyle name="Accent5 3" xfId="91"/>
    <cellStyle name="Accent6 - 20%" xfId="23"/>
    <cellStyle name="Accent6 - 40%" xfId="24"/>
    <cellStyle name="Accent6 - 60%" xfId="25"/>
    <cellStyle name="Accent6 2" xfId="22"/>
    <cellStyle name="Accent6 3" xfId="92"/>
    <cellStyle name="Bad 2" xfId="26"/>
    <cellStyle name="Calculation 2" xfId="27"/>
    <cellStyle name="Check Cell 2" xfId="28"/>
    <cellStyle name="Comma [0]" xfId="110" builtinId="6"/>
    <cellStyle name="Comma [0] 2" xfId="102"/>
    <cellStyle name="Comma 2" xfId="101"/>
    <cellStyle name="Emphasis 1" xfId="29"/>
    <cellStyle name="Emphasis 2" xfId="30"/>
    <cellStyle name="Emphasis 3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Millares [0]_2AV_M_M " xfId="106"/>
    <cellStyle name="Millares_2AV_M_M " xfId="107"/>
    <cellStyle name="Moneda [0]_2AV_M_M " xfId="108"/>
    <cellStyle name="Moneda_2AV_M_M " xfId="109"/>
    <cellStyle name="Neutral 2" xfId="39"/>
    <cellStyle name="Normal" xfId="0" builtinId="0"/>
    <cellStyle name="Normal 2" xfId="1"/>
    <cellStyle name="Normal 3" xfId="86"/>
    <cellStyle name="Normal 4" xfId="100"/>
    <cellStyle name="Normal 5" xfId="103"/>
    <cellStyle name="Note 2" xfId="40"/>
    <cellStyle name="Note 3" xfId="93"/>
    <cellStyle name="Output 2" xfId="41"/>
    <cellStyle name="Percent" xfId="99" builtinId="5"/>
    <cellStyle name="SAPBEXaggData" xfId="42"/>
    <cellStyle name="SAPBEXaggData 2" xfId="113"/>
    <cellStyle name="SAPBEXaggDataEmph" xfId="43"/>
    <cellStyle name="SAPBEXaggItem" xfId="44"/>
    <cellStyle name="SAPBEXaggItemX" xfId="45"/>
    <cellStyle name="SAPBEXchaText" xfId="46"/>
    <cellStyle name="SAPBEXchaText 2" xfId="111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X" xfId="63"/>
    <cellStyle name="SAPBEXHLevel0X 2" xfId="94"/>
    <cellStyle name="SAPBEXHLevel1" xfId="64"/>
    <cellStyle name="SAPBEXHLevel1X" xfId="65"/>
    <cellStyle name="SAPBEXHLevel1X 2" xfId="95"/>
    <cellStyle name="SAPBEXHLevel2" xfId="66"/>
    <cellStyle name="SAPBEXHLevel2X" xfId="67"/>
    <cellStyle name="SAPBEXHLevel2X 2" xfId="96"/>
    <cellStyle name="SAPBEXHLevel3" xfId="68"/>
    <cellStyle name="SAPBEXHLevel3X" xfId="69"/>
    <cellStyle name="SAPBEXHLevel3X 2" xfId="97"/>
    <cellStyle name="SAPBEXinputData" xfId="70"/>
    <cellStyle name="SAPBEXinputData 2" xfId="98"/>
    <cellStyle name="SAPBEXItemHeader" xfId="71"/>
    <cellStyle name="SAPBEXresData" xfId="72"/>
    <cellStyle name="SAPBEXresDataEmph" xfId="73"/>
    <cellStyle name="SAPBEXresItem" xfId="74"/>
    <cellStyle name="SAPBEXresItemX" xfId="75"/>
    <cellStyle name="SAPBEXstdData" xfId="76"/>
    <cellStyle name="SAPBEXstdDataEmph" xfId="77"/>
    <cellStyle name="SAPBEXstdItem" xfId="78"/>
    <cellStyle name="SAPBEXstdItem 2" xfId="112"/>
    <cellStyle name="SAPBEXstdItemX" xfId="79"/>
    <cellStyle name="SAPBEXtitle" xfId="80"/>
    <cellStyle name="SAPBEXunassignedItem" xfId="81"/>
    <cellStyle name="SAPBEXundefined" xfId="82"/>
    <cellStyle name="Sheet Title" xfId="83"/>
    <cellStyle name="Total 2" xfId="84"/>
    <cellStyle name="Warning Text 2" xfId="85"/>
  </cellStyles>
  <dxfs count="0"/>
  <tableStyles count="0" defaultTableStyle="TableStyleMedium2" defaultPivotStyle="PivotStyleLight16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MBCYC\PMG\performance\UNIT4P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workbookViewId="0"/>
  </sheetViews>
  <sheetFormatPr defaultColWidth="8.7109375" defaultRowHeight="15" customHeight="1" x14ac:dyDescent="0.2"/>
  <cols>
    <col min="1" max="2" width="9.28515625" style="1" customWidth="1"/>
    <col min="3" max="3" width="34.85546875" style="2" bestFit="1" customWidth="1"/>
    <col min="4" max="4" width="11.7109375" style="2" bestFit="1" customWidth="1"/>
    <col min="5" max="5" width="4" style="2" customWidth="1"/>
    <col min="6" max="6" width="11.42578125" style="2" bestFit="1" customWidth="1"/>
    <col min="7" max="7" width="10.28515625" style="2" customWidth="1"/>
    <col min="8" max="8" width="10.28515625" style="3" customWidth="1"/>
    <col min="9" max="9" width="10.85546875" style="3" bestFit="1" customWidth="1"/>
    <col min="10" max="10" width="4" style="3" customWidth="1"/>
    <col min="11" max="11" width="66.5703125" style="3" customWidth="1"/>
    <col min="12" max="12" width="8.7109375" style="130"/>
    <col min="13" max="13" width="14.7109375" style="130" bestFit="1" customWidth="1"/>
    <col min="14" max="14" width="13.5703125" style="130" bestFit="1" customWidth="1"/>
    <col min="15" max="15" width="12.7109375" style="130" bestFit="1" customWidth="1"/>
    <col min="16" max="16" width="15.5703125" style="130" bestFit="1" customWidth="1"/>
    <col min="17" max="16384" width="8.7109375" style="3"/>
  </cols>
  <sheetData>
    <row r="1" spans="1:16" ht="15" customHeight="1" x14ac:dyDescent="0.25">
      <c r="A1" s="177" t="s">
        <v>179</v>
      </c>
    </row>
    <row r="2" spans="1:16" ht="15" customHeight="1" x14ac:dyDescent="0.25">
      <c r="A2" s="177" t="s">
        <v>255</v>
      </c>
      <c r="D2" s="115" t="s">
        <v>179</v>
      </c>
    </row>
    <row r="3" spans="1:16" ht="15" customHeight="1" x14ac:dyDescent="0.25">
      <c r="A3" s="177" t="s">
        <v>256</v>
      </c>
      <c r="D3" s="116" t="s">
        <v>180</v>
      </c>
    </row>
    <row r="4" spans="1:16" ht="15" customHeight="1" x14ac:dyDescent="0.25">
      <c r="A4" s="177" t="s">
        <v>257</v>
      </c>
      <c r="D4" s="115" t="s">
        <v>173</v>
      </c>
    </row>
    <row r="5" spans="1:16" ht="15" customHeight="1" x14ac:dyDescent="0.25">
      <c r="A5" s="177" t="s">
        <v>258</v>
      </c>
      <c r="F5" s="17" t="s">
        <v>93</v>
      </c>
    </row>
    <row r="6" spans="1:16" ht="15" customHeight="1" x14ac:dyDescent="0.25">
      <c r="A6" s="177" t="s">
        <v>259</v>
      </c>
      <c r="C6" s="1"/>
      <c r="E6" s="17"/>
      <c r="F6" s="14">
        <v>0.21</v>
      </c>
      <c r="G6" s="15">
        <f>H6*-F6</f>
        <v>-1.155E-2</v>
      </c>
      <c r="H6" s="16">
        <v>5.5E-2</v>
      </c>
      <c r="I6" s="15">
        <f>SUM(F6:H6)</f>
        <v>0.25345000000000001</v>
      </c>
    </row>
    <row r="7" spans="1:16" ht="30.4" customHeight="1" x14ac:dyDescent="0.2">
      <c r="A7" s="24" t="s">
        <v>94</v>
      </c>
      <c r="B7" s="24" t="s">
        <v>95</v>
      </c>
      <c r="C7" s="24" t="s">
        <v>46</v>
      </c>
      <c r="D7" s="39" t="s">
        <v>120</v>
      </c>
      <c r="E7" s="24"/>
      <c r="F7" s="24" t="s">
        <v>70</v>
      </c>
      <c r="G7" s="24" t="s">
        <v>92</v>
      </c>
      <c r="H7" s="24" t="s">
        <v>71</v>
      </c>
      <c r="I7" s="24" t="s">
        <v>72</v>
      </c>
      <c r="J7" s="24"/>
      <c r="K7" s="24" t="s">
        <v>121</v>
      </c>
    </row>
    <row r="8" spans="1:16" ht="15" customHeight="1" x14ac:dyDescent="0.2">
      <c r="A8" s="117">
        <v>9182301</v>
      </c>
      <c r="B8" s="1">
        <v>2801055</v>
      </c>
      <c r="C8" s="3" t="s">
        <v>0</v>
      </c>
      <c r="D8" s="4">
        <v>1737675.22</v>
      </c>
      <c r="E8" s="4"/>
      <c r="F8" s="2">
        <f>-D8*$F$6</f>
        <v>-364911.79619999998</v>
      </c>
      <c r="G8" s="2">
        <f>-D8*$G$6</f>
        <v>20070.148791</v>
      </c>
      <c r="H8" s="2">
        <f>-D8*$H$6</f>
        <v>-95572.137099999993</v>
      </c>
      <c r="I8" s="2">
        <f>SUM(F8:H8)</f>
        <v>-440413.78450899996</v>
      </c>
      <c r="K8" s="3" t="s">
        <v>48</v>
      </c>
      <c r="M8" s="168"/>
      <c r="N8" s="168"/>
      <c r="O8" s="169"/>
      <c r="P8" s="170"/>
    </row>
    <row r="9" spans="1:16" ht="15" customHeight="1" x14ac:dyDescent="0.2">
      <c r="A9" s="117">
        <v>9182306</v>
      </c>
      <c r="B9" s="1">
        <v>2510700</v>
      </c>
      <c r="C9" s="3" t="s">
        <v>1</v>
      </c>
      <c r="D9" s="4">
        <v>3389160.54</v>
      </c>
      <c r="E9" s="4"/>
      <c r="F9" s="2">
        <f t="shared" ref="F9:F61" si="0">-D9*$F$6</f>
        <v>-711723.71340000001</v>
      </c>
      <c r="G9" s="2">
        <f t="shared" ref="G9:G61" si="1">-D9*$G$6</f>
        <v>39144.804236999997</v>
      </c>
      <c r="H9" s="2">
        <f t="shared" ref="H9:H61" si="2">-D9*$H$6</f>
        <v>-186403.8297</v>
      </c>
      <c r="I9" s="2">
        <f t="shared" ref="I9:I61" si="3">SUM(F9:H9)</f>
        <v>-858982.73886300006</v>
      </c>
      <c r="K9" s="3" t="s">
        <v>49</v>
      </c>
      <c r="M9" s="168"/>
      <c r="N9" s="168"/>
      <c r="O9" s="169"/>
      <c r="P9" s="170"/>
    </row>
    <row r="10" spans="1:16" ht="15" customHeight="1" x14ac:dyDescent="0.2">
      <c r="A10" s="117">
        <v>9182310</v>
      </c>
      <c r="B10" s="1">
        <v>2801017</v>
      </c>
      <c r="C10" s="3" t="s">
        <v>2</v>
      </c>
      <c r="D10" s="4">
        <v>722583577.51999998</v>
      </c>
      <c r="E10" s="4"/>
      <c r="F10" s="4">
        <f>-'&lt;4&gt; FAS109 Summary'!J44</f>
        <v>-665432845.34909999</v>
      </c>
      <c r="G10" s="4">
        <f>-'&lt;4&gt; FAS109 Summary'!J45</f>
        <v>15191965.529999999</v>
      </c>
      <c r="H10" s="4">
        <f>-'&lt;4&gt; FAS109 Summary'!J48</f>
        <v>-72342693</v>
      </c>
      <c r="I10" s="4">
        <f t="shared" si="3"/>
        <v>-722583572.81910002</v>
      </c>
      <c r="J10" s="130"/>
      <c r="K10" s="25" t="s">
        <v>228</v>
      </c>
      <c r="M10" s="168"/>
      <c r="N10" s="4"/>
    </row>
    <row r="11" spans="1:16" ht="15" customHeight="1" x14ac:dyDescent="0.2">
      <c r="A11" s="117">
        <v>9182323</v>
      </c>
      <c r="B11" s="1">
        <v>2801025</v>
      </c>
      <c r="C11" s="3" t="s">
        <v>3</v>
      </c>
      <c r="D11" s="4">
        <v>1008527.26</v>
      </c>
      <c r="E11" s="4"/>
      <c r="F11" s="2">
        <f t="shared" si="0"/>
        <v>-211790.72459999999</v>
      </c>
      <c r="G11" s="2">
        <f t="shared" si="1"/>
        <v>11648.489852999999</v>
      </c>
      <c r="H11" s="2">
        <f t="shared" si="2"/>
        <v>-55468.999300000003</v>
      </c>
      <c r="I11" s="2">
        <f t="shared" si="3"/>
        <v>-255611.23404699998</v>
      </c>
      <c r="K11" s="3" t="s">
        <v>50</v>
      </c>
      <c r="M11" s="168"/>
      <c r="N11" s="168"/>
      <c r="O11" s="169"/>
      <c r="P11" s="170"/>
    </row>
    <row r="12" spans="1:16" ht="15" customHeight="1" x14ac:dyDescent="0.2">
      <c r="A12" s="117">
        <v>9182324</v>
      </c>
      <c r="B12" s="1">
        <v>2801750</v>
      </c>
      <c r="C12" s="3" t="s">
        <v>4</v>
      </c>
      <c r="D12" s="4">
        <v>1358477</v>
      </c>
      <c r="E12" s="4"/>
      <c r="F12" s="2">
        <f t="shared" si="0"/>
        <v>-285280.17</v>
      </c>
      <c r="G12" s="2">
        <f t="shared" si="1"/>
        <v>15690.40935</v>
      </c>
      <c r="H12" s="2">
        <f t="shared" si="2"/>
        <v>-74716.235000000001</v>
      </c>
      <c r="I12" s="2">
        <f t="shared" si="3"/>
        <v>-344305.99565</v>
      </c>
      <c r="K12" s="3" t="s">
        <v>51</v>
      </c>
      <c r="M12" s="168"/>
      <c r="N12" s="168"/>
      <c r="O12" s="169"/>
      <c r="P12" s="170"/>
    </row>
    <row r="13" spans="1:16" ht="15" customHeight="1" x14ac:dyDescent="0.2">
      <c r="A13" s="117">
        <v>9182337</v>
      </c>
      <c r="B13" s="1">
        <v>2512180</v>
      </c>
      <c r="C13" s="3" t="s">
        <v>5</v>
      </c>
      <c r="D13" s="4">
        <v>10101484.960000001</v>
      </c>
      <c r="E13" s="4"/>
      <c r="F13" s="2">
        <f t="shared" si="0"/>
        <v>-2121311.8415999999</v>
      </c>
      <c r="G13" s="2">
        <f t="shared" si="1"/>
        <v>116672.15128800001</v>
      </c>
      <c r="H13" s="2">
        <f t="shared" si="2"/>
        <v>-555581.67280000006</v>
      </c>
      <c r="I13" s="2">
        <f t="shared" si="3"/>
        <v>-2560221.3631119998</v>
      </c>
      <c r="K13" s="3" t="s">
        <v>52</v>
      </c>
      <c r="M13" s="168"/>
      <c r="N13" s="168"/>
      <c r="O13" s="169"/>
      <c r="P13" s="170"/>
    </row>
    <row r="14" spans="1:16" ht="15" customHeight="1" x14ac:dyDescent="0.2">
      <c r="A14" s="117">
        <v>9182343</v>
      </c>
      <c r="B14" s="1">
        <v>2512160</v>
      </c>
      <c r="C14" s="3" t="s">
        <v>6</v>
      </c>
      <c r="D14" s="4">
        <v>35022306</v>
      </c>
      <c r="E14" s="4"/>
      <c r="F14" s="2">
        <f t="shared" si="0"/>
        <v>-7354684.2599999998</v>
      </c>
      <c r="G14" s="2">
        <f t="shared" si="1"/>
        <v>404507.63429999998</v>
      </c>
      <c r="H14" s="2">
        <f t="shared" si="2"/>
        <v>-1926226.83</v>
      </c>
      <c r="I14" s="2">
        <f t="shared" si="3"/>
        <v>-8876403.4556999989</v>
      </c>
      <c r="K14" s="3" t="s">
        <v>53</v>
      </c>
      <c r="M14" s="168"/>
      <c r="N14" s="168"/>
      <c r="O14" s="169"/>
      <c r="P14" s="170"/>
    </row>
    <row r="15" spans="1:16" ht="15" customHeight="1" x14ac:dyDescent="0.2">
      <c r="A15" s="117">
        <v>9182345</v>
      </c>
      <c r="B15" s="1">
        <v>2512140</v>
      </c>
      <c r="C15" s="3" t="s">
        <v>7</v>
      </c>
      <c r="D15" s="4">
        <v>55767857</v>
      </c>
      <c r="E15" s="4"/>
      <c r="F15" s="2">
        <f t="shared" si="0"/>
        <v>-11711249.969999999</v>
      </c>
      <c r="G15" s="2">
        <f t="shared" si="1"/>
        <v>644118.74835000001</v>
      </c>
      <c r="H15" s="2">
        <f t="shared" si="2"/>
        <v>-3067232.1350000002</v>
      </c>
      <c r="I15" s="2">
        <f t="shared" si="3"/>
        <v>-14134363.356649999</v>
      </c>
      <c r="K15" s="3" t="s">
        <v>54</v>
      </c>
      <c r="M15" s="168"/>
      <c r="N15" s="168"/>
      <c r="O15" s="169"/>
      <c r="P15" s="170"/>
    </row>
    <row r="16" spans="1:16" ht="15" customHeight="1" x14ac:dyDescent="0.2">
      <c r="A16" s="117">
        <v>9182347</v>
      </c>
      <c r="B16" s="1">
        <v>2801043</v>
      </c>
      <c r="C16" s="3" t="s">
        <v>8</v>
      </c>
      <c r="D16" s="4">
        <v>210133794</v>
      </c>
      <c r="E16" s="4"/>
      <c r="F16" s="2">
        <f t="shared" si="0"/>
        <v>-44128096.740000002</v>
      </c>
      <c r="G16" s="2">
        <f t="shared" si="1"/>
        <v>2427045.3207</v>
      </c>
      <c r="H16" s="2">
        <f t="shared" si="2"/>
        <v>-11557358.67</v>
      </c>
      <c r="I16" s="2">
        <f t="shared" si="3"/>
        <v>-53258410.089300007</v>
      </c>
      <c r="K16" s="3" t="s">
        <v>55</v>
      </c>
      <c r="M16" s="168"/>
      <c r="N16" s="168"/>
      <c r="O16" s="169"/>
      <c r="P16" s="170"/>
    </row>
    <row r="17" spans="1:16" ht="15" customHeight="1" x14ac:dyDescent="0.2">
      <c r="A17" s="117">
        <v>9182349</v>
      </c>
      <c r="B17" s="1">
        <v>2801041</v>
      </c>
      <c r="C17" s="3" t="s">
        <v>9</v>
      </c>
      <c r="D17" s="4">
        <v>334607191</v>
      </c>
      <c r="E17" s="4"/>
      <c r="F17" s="2">
        <f t="shared" si="0"/>
        <v>-70267510.109999999</v>
      </c>
      <c r="G17" s="2">
        <f t="shared" si="1"/>
        <v>3864713.0560499998</v>
      </c>
      <c r="H17" s="2">
        <f t="shared" si="2"/>
        <v>-18403395.504999999</v>
      </c>
      <c r="I17" s="2">
        <f t="shared" si="3"/>
        <v>-84806192.558949992</v>
      </c>
      <c r="K17" s="3" t="s">
        <v>56</v>
      </c>
      <c r="M17" s="168"/>
      <c r="N17" s="168"/>
      <c r="O17" s="169"/>
      <c r="P17" s="170"/>
    </row>
    <row r="18" spans="1:16" ht="15" customHeight="1" x14ac:dyDescent="0.2">
      <c r="A18" s="117">
        <v>9182351</v>
      </c>
      <c r="B18" s="129">
        <v>2801505</v>
      </c>
      <c r="C18" s="3" t="s">
        <v>191</v>
      </c>
      <c r="D18" s="4">
        <v>112432272.68000001</v>
      </c>
      <c r="E18" s="4"/>
      <c r="F18" s="2">
        <f t="shared" ref="F18" si="4">-D18*$F$6</f>
        <v>-23610777.262800001</v>
      </c>
      <c r="G18" s="2">
        <f t="shared" ref="G18" si="5">-D18*$G$6</f>
        <v>1298592.749454</v>
      </c>
      <c r="H18" s="2">
        <f t="shared" ref="H18" si="6">-D18*$H$6</f>
        <v>-6183774.9974000007</v>
      </c>
      <c r="I18" s="2">
        <f t="shared" ref="I18" si="7">SUM(F18:H18)</f>
        <v>-28495959.510746002</v>
      </c>
      <c r="K18" s="3" t="s">
        <v>229</v>
      </c>
      <c r="M18" s="168"/>
      <c r="N18" s="168"/>
      <c r="O18" s="169"/>
      <c r="P18" s="170"/>
    </row>
    <row r="19" spans="1:16" ht="15" customHeight="1" x14ac:dyDescent="0.2">
      <c r="A19" s="117">
        <v>9182352</v>
      </c>
      <c r="B19" s="129">
        <v>2801510</v>
      </c>
      <c r="C19" s="3" t="s">
        <v>10</v>
      </c>
      <c r="D19" s="4">
        <v>70607650.140000001</v>
      </c>
      <c r="E19" s="4"/>
      <c r="F19" s="2">
        <f>'&lt;2&gt; OTP Code Details'!E40</f>
        <v>-14827606.5294</v>
      </c>
      <c r="G19" s="2">
        <f>'&lt;2&gt; OTP Code Details'!F40</f>
        <v>815518.35911700001</v>
      </c>
      <c r="H19" s="2">
        <f>'&lt;2&gt; OTP Code Details'!G40</f>
        <v>-3883420.7577</v>
      </c>
      <c r="I19" s="2">
        <f t="shared" si="3"/>
        <v>-17895508.927983001</v>
      </c>
      <c r="K19" s="3" t="s">
        <v>229</v>
      </c>
      <c r="M19" s="168"/>
      <c r="N19" s="4"/>
    </row>
    <row r="20" spans="1:16" ht="15" customHeight="1" x14ac:dyDescent="0.2">
      <c r="A20" s="117">
        <v>9182353</v>
      </c>
      <c r="B20" s="129">
        <v>2511100</v>
      </c>
      <c r="C20" s="3" t="s">
        <v>194</v>
      </c>
      <c r="D20" s="4">
        <v>70940952.390000001</v>
      </c>
      <c r="E20" s="4"/>
      <c r="F20" s="2">
        <f t="shared" ref="F20:F23" si="8">-D20*$F$6</f>
        <v>-14897600.0019</v>
      </c>
      <c r="G20" s="2">
        <f t="shared" ref="G20:G23" si="9">-D20*$G$6</f>
        <v>819368.00010449998</v>
      </c>
      <c r="H20" s="2">
        <f t="shared" ref="H20:H23" si="10">-D20*$H$6</f>
        <v>-3901752.3814500002</v>
      </c>
      <c r="I20" s="2">
        <f t="shared" si="3"/>
        <v>-17979984.383245502</v>
      </c>
      <c r="K20" s="130" t="s">
        <v>230</v>
      </c>
      <c r="M20" s="168"/>
      <c r="N20" s="168"/>
      <c r="O20" s="169"/>
      <c r="P20" s="170"/>
    </row>
    <row r="21" spans="1:16" ht="15" customHeight="1" x14ac:dyDescent="0.2">
      <c r="A21" s="117">
        <v>9182354</v>
      </c>
      <c r="B21" s="129">
        <v>2801516</v>
      </c>
      <c r="C21" s="3" t="s">
        <v>192</v>
      </c>
      <c r="D21" s="4">
        <v>-70940952.390000001</v>
      </c>
      <c r="E21" s="4"/>
      <c r="F21" s="2">
        <f t="shared" si="8"/>
        <v>14897600.0019</v>
      </c>
      <c r="G21" s="2">
        <f t="shared" si="9"/>
        <v>-819368.00010449998</v>
      </c>
      <c r="H21" s="2">
        <f t="shared" si="10"/>
        <v>3901752.3814500002</v>
      </c>
      <c r="I21" s="2">
        <f t="shared" si="3"/>
        <v>17979984.383245502</v>
      </c>
      <c r="K21" s="3" t="s">
        <v>229</v>
      </c>
      <c r="M21" s="168"/>
      <c r="N21" s="4"/>
    </row>
    <row r="22" spans="1:16" ht="15" customHeight="1" x14ac:dyDescent="0.2">
      <c r="A22" s="117">
        <v>9182355</v>
      </c>
      <c r="B22" s="129">
        <v>2801520</v>
      </c>
      <c r="C22" s="3" t="s">
        <v>12</v>
      </c>
      <c r="D22" s="4">
        <v>-2483380.67</v>
      </c>
      <c r="E22" s="4"/>
      <c r="H22" s="2"/>
      <c r="I22" s="2"/>
      <c r="K22" s="3" t="s">
        <v>189</v>
      </c>
      <c r="M22" s="168"/>
      <c r="N22" s="4"/>
    </row>
    <row r="23" spans="1:16" ht="15" customHeight="1" x14ac:dyDescent="0.2">
      <c r="A23" s="117">
        <v>9182356</v>
      </c>
      <c r="B23" s="1">
        <v>2801525</v>
      </c>
      <c r="C23" s="3" t="s">
        <v>193</v>
      </c>
      <c r="D23" s="4">
        <v>-4897596.26</v>
      </c>
      <c r="E23" s="4"/>
      <c r="F23" s="2">
        <f t="shared" si="8"/>
        <v>1028495.2145999999</v>
      </c>
      <c r="G23" s="2">
        <f t="shared" si="9"/>
        <v>-56567.236802999993</v>
      </c>
      <c r="H23" s="2">
        <f t="shared" si="10"/>
        <v>269367.79430000001</v>
      </c>
      <c r="I23" s="2">
        <f t="shared" si="3"/>
        <v>1241295.7720969999</v>
      </c>
      <c r="K23" s="131" t="s">
        <v>196</v>
      </c>
      <c r="M23" s="168"/>
      <c r="N23" s="168"/>
      <c r="O23" s="169"/>
      <c r="P23" s="170"/>
    </row>
    <row r="24" spans="1:16" ht="15" customHeight="1" x14ac:dyDescent="0.2">
      <c r="A24" s="117">
        <v>9182357</v>
      </c>
      <c r="B24" s="1">
        <v>2801080</v>
      </c>
      <c r="C24" s="3" t="s">
        <v>13</v>
      </c>
      <c r="D24" s="4">
        <v>80214811</v>
      </c>
      <c r="E24" s="4"/>
      <c r="F24" s="2">
        <f t="shared" si="0"/>
        <v>-16845110.309999999</v>
      </c>
      <c r="G24" s="2">
        <f t="shared" si="1"/>
        <v>926481.06704999995</v>
      </c>
      <c r="H24" s="2">
        <f t="shared" si="2"/>
        <v>-4411814.6050000004</v>
      </c>
      <c r="I24" s="2">
        <f t="shared" si="3"/>
        <v>-20330443.847949997</v>
      </c>
      <c r="K24" s="3" t="s">
        <v>57</v>
      </c>
      <c r="M24" s="168"/>
      <c r="N24" s="168"/>
      <c r="O24" s="169"/>
      <c r="P24" s="170"/>
    </row>
    <row r="25" spans="1:16" ht="15" customHeight="1" x14ac:dyDescent="0.2">
      <c r="A25" s="117">
        <v>9182358</v>
      </c>
      <c r="B25" s="1">
        <v>2512175</v>
      </c>
      <c r="C25" s="3" t="s">
        <v>14</v>
      </c>
      <c r="D25" s="4">
        <v>32207982</v>
      </c>
      <c r="E25" s="4"/>
      <c r="F25" s="2">
        <f t="shared" si="0"/>
        <v>-6763676.2199999997</v>
      </c>
      <c r="G25" s="2">
        <f t="shared" si="1"/>
        <v>372002.19209999999</v>
      </c>
      <c r="H25" s="2">
        <f t="shared" si="2"/>
        <v>-1771439.01</v>
      </c>
      <c r="I25" s="2">
        <f t="shared" si="3"/>
        <v>-8163113.0378999999</v>
      </c>
      <c r="K25" s="3" t="s">
        <v>57</v>
      </c>
      <c r="M25" s="168"/>
      <c r="N25" s="4"/>
    </row>
    <row r="26" spans="1:16" ht="15" customHeight="1" x14ac:dyDescent="0.2">
      <c r="A26" s="117">
        <v>9182361</v>
      </c>
      <c r="B26" s="1">
        <v>2510000</v>
      </c>
      <c r="C26" s="3" t="s">
        <v>15</v>
      </c>
      <c r="D26" s="4">
        <v>6358245.3499999996</v>
      </c>
      <c r="E26" s="4"/>
      <c r="F26" s="2">
        <f t="shared" si="0"/>
        <v>-1335231.5234999999</v>
      </c>
      <c r="G26" s="2">
        <f t="shared" si="1"/>
        <v>73437.733792499988</v>
      </c>
      <c r="H26" s="2">
        <f t="shared" si="2"/>
        <v>-349703.49424999999</v>
      </c>
      <c r="I26" s="2">
        <f t="shared" si="3"/>
        <v>-1611497.2839575</v>
      </c>
      <c r="K26" s="3" t="s">
        <v>58</v>
      </c>
      <c r="M26" s="168"/>
      <c r="N26" s="168"/>
      <c r="O26" s="169"/>
      <c r="P26" s="170"/>
    </row>
    <row r="27" spans="1:16" ht="15" customHeight="1" x14ac:dyDescent="0.2">
      <c r="A27" s="117">
        <v>9182365</v>
      </c>
      <c r="B27" s="1">
        <v>2512176</v>
      </c>
      <c r="C27" s="3" t="s">
        <v>16</v>
      </c>
      <c r="D27" s="4">
        <v>445781</v>
      </c>
      <c r="E27" s="4"/>
      <c r="F27" s="2">
        <f t="shared" si="0"/>
        <v>-93614.01</v>
      </c>
      <c r="G27" s="2">
        <f t="shared" si="1"/>
        <v>5148.7705500000002</v>
      </c>
      <c r="H27" s="2">
        <f t="shared" si="2"/>
        <v>-24517.955000000002</v>
      </c>
      <c r="I27" s="2">
        <f t="shared" si="3"/>
        <v>-112983.19445</v>
      </c>
      <c r="K27" s="3" t="s">
        <v>59</v>
      </c>
      <c r="M27" s="168"/>
      <c r="N27" s="168"/>
      <c r="O27" s="169"/>
      <c r="P27" s="170"/>
    </row>
    <row r="28" spans="1:16" ht="15" customHeight="1" x14ac:dyDescent="0.2">
      <c r="A28" s="117">
        <v>9182366</v>
      </c>
      <c r="B28" s="1">
        <v>2801085</v>
      </c>
      <c r="C28" s="3" t="s">
        <v>17</v>
      </c>
      <c r="D28" s="4">
        <v>241667</v>
      </c>
      <c r="E28" s="4"/>
      <c r="F28" s="2">
        <f t="shared" si="0"/>
        <v>-50750.07</v>
      </c>
      <c r="G28" s="2">
        <f t="shared" si="1"/>
        <v>2791.2538500000001</v>
      </c>
      <c r="H28" s="2">
        <f t="shared" si="2"/>
        <v>-13291.684999999999</v>
      </c>
      <c r="I28" s="2">
        <f t="shared" si="3"/>
        <v>-61250.501149999996</v>
      </c>
      <c r="K28" s="3" t="s">
        <v>59</v>
      </c>
      <c r="M28" s="168"/>
      <c r="N28" s="4"/>
    </row>
    <row r="29" spans="1:16" ht="15" customHeight="1" x14ac:dyDescent="0.2">
      <c r="A29" s="117">
        <v>9182367</v>
      </c>
      <c r="B29" s="1">
        <v>2512145</v>
      </c>
      <c r="C29" s="3" t="s">
        <v>18</v>
      </c>
      <c r="D29" s="4">
        <v>50166666.670000002</v>
      </c>
      <c r="F29" s="2">
        <f t="shared" si="0"/>
        <v>-10535000.000700001</v>
      </c>
      <c r="G29" s="2">
        <f t="shared" si="1"/>
        <v>579425.00003849994</v>
      </c>
      <c r="H29" s="2">
        <f t="shared" si="2"/>
        <v>-2759166.6668500002</v>
      </c>
      <c r="I29" s="2">
        <f t="shared" si="3"/>
        <v>-12714741.6675115</v>
      </c>
      <c r="K29" s="3" t="s">
        <v>60</v>
      </c>
      <c r="M29" s="168"/>
      <c r="N29" s="168"/>
      <c r="O29" s="169"/>
      <c r="P29" s="170"/>
    </row>
    <row r="30" spans="1:16" ht="15" customHeight="1" x14ac:dyDescent="0.2">
      <c r="A30" s="117">
        <v>9182368</v>
      </c>
      <c r="B30" s="1">
        <v>2801047</v>
      </c>
      <c r="C30" s="3" t="s">
        <v>19</v>
      </c>
      <c r="D30" s="4">
        <v>351166666.61000001</v>
      </c>
      <c r="F30" s="2">
        <f t="shared" si="0"/>
        <v>-73744999.988100007</v>
      </c>
      <c r="G30" s="2">
        <f t="shared" si="1"/>
        <v>4055974.9993455</v>
      </c>
      <c r="H30" s="2">
        <f t="shared" si="2"/>
        <v>-19314166.663550001</v>
      </c>
      <c r="I30" s="2">
        <f t="shared" si="3"/>
        <v>-89003191.652304515</v>
      </c>
      <c r="K30" s="3" t="s">
        <v>60</v>
      </c>
      <c r="M30" s="168"/>
      <c r="N30" s="4"/>
    </row>
    <row r="31" spans="1:16" ht="15" customHeight="1" x14ac:dyDescent="0.2">
      <c r="A31" s="117">
        <v>9182370</v>
      </c>
      <c r="B31" s="1">
        <v>2510050</v>
      </c>
      <c r="C31" s="3" t="s">
        <v>20</v>
      </c>
      <c r="D31" s="4">
        <v>25665.21</v>
      </c>
      <c r="F31" s="2">
        <f t="shared" si="0"/>
        <v>-5389.6940999999997</v>
      </c>
      <c r="G31" s="2">
        <f t="shared" si="1"/>
        <v>296.4331755</v>
      </c>
      <c r="H31" s="2">
        <f t="shared" si="2"/>
        <v>-1411.58655</v>
      </c>
      <c r="I31" s="2">
        <f t="shared" si="3"/>
        <v>-6504.8474744999994</v>
      </c>
      <c r="K31" s="3" t="s">
        <v>61</v>
      </c>
      <c r="M31" s="168"/>
      <c r="N31" s="168"/>
      <c r="O31" s="169"/>
      <c r="P31" s="170"/>
    </row>
    <row r="32" spans="1:16" ht="15" customHeight="1" x14ac:dyDescent="0.2">
      <c r="A32" s="117">
        <v>9182371</v>
      </c>
      <c r="B32" s="1">
        <v>2510310</v>
      </c>
      <c r="C32" s="3" t="s">
        <v>21</v>
      </c>
      <c r="D32" s="4">
        <v>4323.68</v>
      </c>
      <c r="F32" s="2">
        <f t="shared" si="0"/>
        <v>-907.97280000000001</v>
      </c>
      <c r="G32" s="2">
        <f t="shared" si="1"/>
        <v>49.938504000000002</v>
      </c>
      <c r="H32" s="2">
        <f t="shared" si="2"/>
        <v>-237.80240000000001</v>
      </c>
      <c r="I32" s="2">
        <f t="shared" si="3"/>
        <v>-1095.8366960000001</v>
      </c>
      <c r="K32" s="3" t="s">
        <v>61</v>
      </c>
      <c r="M32" s="168"/>
      <c r="N32" s="4"/>
    </row>
    <row r="33" spans="1:16" ht="15" customHeight="1" x14ac:dyDescent="0.2">
      <c r="A33" s="117">
        <v>9182373</v>
      </c>
      <c r="B33" s="1">
        <v>2801040</v>
      </c>
      <c r="C33" s="3" t="s">
        <v>22</v>
      </c>
      <c r="D33" s="4">
        <v>10042169</v>
      </c>
      <c r="F33" s="2">
        <f>'&lt;2&gt; OTP Code Details'!E23</f>
        <v>-2108855.4899999998</v>
      </c>
      <c r="G33" s="2">
        <f>'&lt;2&gt; OTP Code Details'!F23</f>
        <v>115987.05194999999</v>
      </c>
      <c r="H33" s="2">
        <f>'&lt;2&gt; OTP Code Details'!G23</f>
        <v>-552319.29500000004</v>
      </c>
      <c r="I33" s="2">
        <f t="shared" si="3"/>
        <v>-2545187.7330499999</v>
      </c>
      <c r="K33" s="3" t="s">
        <v>231</v>
      </c>
      <c r="M33" s="168"/>
      <c r="N33" s="4"/>
    </row>
    <row r="34" spans="1:16" ht="15" customHeight="1" x14ac:dyDescent="0.2">
      <c r="A34" s="117">
        <v>9182374</v>
      </c>
      <c r="B34" s="1">
        <v>2801045</v>
      </c>
      <c r="C34" s="3" t="s">
        <v>23</v>
      </c>
      <c r="D34" s="4">
        <v>4299625</v>
      </c>
      <c r="F34" s="2">
        <f>'&lt;2&gt; OTP Code Details'!E27</f>
        <v>-902921.25</v>
      </c>
      <c r="G34" s="2">
        <f>'&lt;2&gt; OTP Code Details'!F27</f>
        <v>49660.668749999997</v>
      </c>
      <c r="H34" s="2">
        <f>'&lt;2&gt; OTP Code Details'!G27</f>
        <v>-236479.375</v>
      </c>
      <c r="I34" s="2">
        <f t="shared" si="3"/>
        <v>-1089739.95625</v>
      </c>
      <c r="K34" s="3" t="s">
        <v>232</v>
      </c>
      <c r="M34" s="168"/>
      <c r="N34" s="4"/>
    </row>
    <row r="35" spans="1:16" ht="15" customHeight="1" x14ac:dyDescent="0.2">
      <c r="A35" s="117">
        <v>9182375</v>
      </c>
      <c r="B35" s="1">
        <v>2801046</v>
      </c>
      <c r="C35" s="3" t="s">
        <v>24</v>
      </c>
      <c r="D35" s="4">
        <v>29718360</v>
      </c>
      <c r="F35" s="2">
        <f>'&lt;2&gt; OTP Code Details'!E31</f>
        <v>-6240855.5999999996</v>
      </c>
      <c r="G35" s="2">
        <f>'&lt;2&gt; OTP Code Details'!F31</f>
        <v>343247.05799999996</v>
      </c>
      <c r="H35" s="2">
        <f>'&lt;2&gt; OTP Code Details'!G31</f>
        <v>-1634509.8</v>
      </c>
      <c r="I35" s="2">
        <f t="shared" si="3"/>
        <v>-7532118.3419999992</v>
      </c>
      <c r="K35" s="3" t="s">
        <v>233</v>
      </c>
      <c r="M35" s="168"/>
      <c r="N35" s="4"/>
    </row>
    <row r="36" spans="1:16" ht="15" customHeight="1" x14ac:dyDescent="0.2">
      <c r="A36" s="117">
        <v>9182376</v>
      </c>
      <c r="B36" s="1">
        <v>2510055</v>
      </c>
      <c r="C36" s="3" t="s">
        <v>25</v>
      </c>
      <c r="D36" s="4">
        <v>363.28</v>
      </c>
      <c r="F36" s="2">
        <f t="shared" si="0"/>
        <v>-76.288799999999995</v>
      </c>
      <c r="G36" s="2">
        <f t="shared" si="1"/>
        <v>4.1958839999999995</v>
      </c>
      <c r="H36" s="2">
        <f t="shared" si="2"/>
        <v>-19.980399999999999</v>
      </c>
      <c r="I36" s="2">
        <f t="shared" si="3"/>
        <v>-92.073316000000005</v>
      </c>
      <c r="K36" s="3" t="s">
        <v>61</v>
      </c>
      <c r="M36" s="168"/>
      <c r="N36" s="4"/>
    </row>
    <row r="37" spans="1:16" ht="15" customHeight="1" x14ac:dyDescent="0.2">
      <c r="A37" s="117">
        <v>9182378</v>
      </c>
      <c r="B37" s="1">
        <v>2512146</v>
      </c>
      <c r="C37" s="3" t="s">
        <v>26</v>
      </c>
      <c r="D37" s="4">
        <v>23582608</v>
      </c>
      <c r="H37" s="2"/>
      <c r="I37" s="2"/>
      <c r="K37" s="3" t="s">
        <v>73</v>
      </c>
      <c r="M37" s="168"/>
      <c r="N37" s="4"/>
    </row>
    <row r="38" spans="1:16" ht="15" customHeight="1" x14ac:dyDescent="0.2">
      <c r="A38" s="117">
        <v>9182379</v>
      </c>
      <c r="B38" s="1">
        <v>2801048</v>
      </c>
      <c r="C38" s="3" t="s">
        <v>27</v>
      </c>
      <c r="D38" s="4">
        <v>66817392</v>
      </c>
      <c r="H38" s="2"/>
      <c r="I38" s="2"/>
      <c r="K38" s="3" t="s">
        <v>73</v>
      </c>
      <c r="M38" s="168"/>
      <c r="N38" s="4"/>
    </row>
    <row r="39" spans="1:16" ht="15" customHeight="1" x14ac:dyDescent="0.2">
      <c r="A39" s="117">
        <v>9182385</v>
      </c>
      <c r="B39" s="1">
        <v>2801095</v>
      </c>
      <c r="C39" s="3" t="s">
        <v>28</v>
      </c>
      <c r="D39" s="4">
        <v>64567729.719999999</v>
      </c>
      <c r="F39" s="2">
        <f t="shared" si="0"/>
        <v>-13559223.2412</v>
      </c>
      <c r="G39" s="2">
        <f t="shared" si="1"/>
        <v>745757.27826599998</v>
      </c>
      <c r="H39" s="2">
        <f t="shared" si="2"/>
        <v>-3551225.1346</v>
      </c>
      <c r="I39" s="2">
        <f t="shared" si="3"/>
        <v>-16364691.097534001</v>
      </c>
      <c r="K39" s="3" t="s">
        <v>62</v>
      </c>
      <c r="M39" s="168"/>
      <c r="N39" s="168"/>
      <c r="O39" s="169"/>
      <c r="P39" s="170"/>
    </row>
    <row r="40" spans="1:16" ht="15" customHeight="1" x14ac:dyDescent="0.2">
      <c r="A40" s="117">
        <v>9254100</v>
      </c>
      <c r="B40" s="1">
        <v>3602750</v>
      </c>
      <c r="C40" s="3" t="s">
        <v>29</v>
      </c>
      <c r="D40" s="4">
        <v>-4902870833.1999998</v>
      </c>
      <c r="E40" s="4"/>
      <c r="F40" s="4">
        <f>-'&lt;4&gt; FAS109 Summary'!K44</f>
        <v>4682898683.8007002</v>
      </c>
      <c r="G40" s="4">
        <f>-'&lt;4&gt; FAS109 Summary'!K45</f>
        <v>-58473612.120000005</v>
      </c>
      <c r="H40" s="4">
        <f>-'&lt;4&gt; FAS109 Summary'!K48</f>
        <v>278445772</v>
      </c>
      <c r="I40" s="4">
        <f t="shared" si="3"/>
        <v>4902870843.6807003</v>
      </c>
      <c r="K40" s="25" t="s">
        <v>228</v>
      </c>
      <c r="M40" s="168"/>
      <c r="N40" s="4"/>
    </row>
    <row r="41" spans="1:16" ht="15" customHeight="1" x14ac:dyDescent="0.2">
      <c r="A41" s="117">
        <v>9254112</v>
      </c>
      <c r="B41" s="1">
        <v>3602752</v>
      </c>
      <c r="C41" s="3" t="s">
        <v>30</v>
      </c>
      <c r="D41" s="4">
        <v>-46801763.700000003</v>
      </c>
      <c r="F41" s="2">
        <f t="shared" si="0"/>
        <v>9828370.3770000003</v>
      </c>
      <c r="G41" s="2">
        <f t="shared" si="1"/>
        <v>-540560.370735</v>
      </c>
      <c r="H41" s="2">
        <f t="shared" si="2"/>
        <v>2574097.0035000001</v>
      </c>
      <c r="I41" s="2">
        <f t="shared" si="3"/>
        <v>11861907.009764999</v>
      </c>
      <c r="K41" s="3" t="s">
        <v>63</v>
      </c>
      <c r="M41" s="168"/>
      <c r="N41" s="168"/>
      <c r="O41" s="169"/>
      <c r="P41" s="170"/>
    </row>
    <row r="42" spans="1:16" ht="15" customHeight="1" x14ac:dyDescent="0.2">
      <c r="A42" s="117">
        <v>9254143</v>
      </c>
      <c r="B42" s="1">
        <v>3602600</v>
      </c>
      <c r="C42" s="3" t="s">
        <v>31</v>
      </c>
      <c r="D42" s="4">
        <v>-2569489707.1100001</v>
      </c>
      <c r="E42" s="4"/>
      <c r="F42" s="4"/>
      <c r="G42" s="4"/>
      <c r="H42" s="4"/>
      <c r="I42" s="4"/>
      <c r="J42" s="130"/>
      <c r="K42" s="4" t="s">
        <v>238</v>
      </c>
      <c r="M42" s="168"/>
      <c r="N42" s="4"/>
    </row>
    <row r="43" spans="1:16" ht="15" customHeight="1" x14ac:dyDescent="0.2">
      <c r="A43" s="117">
        <v>9254304</v>
      </c>
      <c r="B43" s="1">
        <v>3602110</v>
      </c>
      <c r="C43" s="3" t="s">
        <v>32</v>
      </c>
      <c r="D43" s="4">
        <v>-49560</v>
      </c>
      <c r="F43" s="2">
        <f t="shared" si="0"/>
        <v>10407.6</v>
      </c>
      <c r="G43" s="2">
        <f t="shared" si="1"/>
        <v>-572.41800000000001</v>
      </c>
      <c r="H43" s="2">
        <f t="shared" si="2"/>
        <v>2725.8</v>
      </c>
      <c r="I43" s="2">
        <f t="shared" si="3"/>
        <v>12560.982</v>
      </c>
      <c r="K43" s="3" t="s">
        <v>64</v>
      </c>
      <c r="M43" s="168"/>
      <c r="N43" s="168"/>
      <c r="O43" s="169"/>
      <c r="P43" s="170"/>
    </row>
    <row r="44" spans="1:16" ht="15" customHeight="1" x14ac:dyDescent="0.2">
      <c r="A44" s="117">
        <v>9254306</v>
      </c>
      <c r="B44" s="1">
        <v>3602115</v>
      </c>
      <c r="C44" s="3" t="s">
        <v>33</v>
      </c>
      <c r="D44" s="4">
        <v>-24346315.93</v>
      </c>
      <c r="F44" s="2">
        <f>'&lt;2&gt; OTP Code Details'!E35</f>
        <v>5112726.3453000002</v>
      </c>
      <c r="G44" s="2">
        <f>'&lt;2&gt; OTP Code Details'!F35</f>
        <v>-281199.94899149996</v>
      </c>
      <c r="H44" s="2">
        <f>'&lt;2&gt; OTP Code Details'!G35</f>
        <v>1339047.3761499999</v>
      </c>
      <c r="I44" s="2">
        <f t="shared" si="3"/>
        <v>6170573.7724585002</v>
      </c>
      <c r="K44" s="3" t="s">
        <v>234</v>
      </c>
      <c r="M44" s="168"/>
      <c r="N44" s="4"/>
    </row>
    <row r="45" spans="1:16" ht="15" customHeight="1" x14ac:dyDescent="0.2">
      <c r="A45" s="117">
        <v>9254307</v>
      </c>
      <c r="B45" s="1">
        <v>3327550</v>
      </c>
      <c r="C45" s="3" t="s">
        <v>34</v>
      </c>
      <c r="D45" s="4">
        <v>-7731068.8300000001</v>
      </c>
      <c r="F45" s="2">
        <f t="shared" si="0"/>
        <v>1623524.4542999999</v>
      </c>
      <c r="G45" s="2">
        <f t="shared" si="1"/>
        <v>-89293.8449865</v>
      </c>
      <c r="H45" s="2">
        <f t="shared" si="2"/>
        <v>425208.78565000003</v>
      </c>
      <c r="I45" s="2">
        <f t="shared" si="3"/>
        <v>1959439.3949634999</v>
      </c>
      <c r="K45" s="3" t="s">
        <v>65</v>
      </c>
      <c r="M45" s="168"/>
      <c r="N45" s="168"/>
      <c r="O45" s="169"/>
      <c r="P45" s="170"/>
    </row>
    <row r="46" spans="1:16" ht="15" customHeight="1" x14ac:dyDescent="0.2">
      <c r="A46" s="117">
        <v>9254307</v>
      </c>
      <c r="B46" s="1">
        <v>3327600</v>
      </c>
      <c r="C46" s="3" t="s">
        <v>34</v>
      </c>
      <c r="D46" s="4">
        <v>-76694.960000000006</v>
      </c>
      <c r="H46" s="2"/>
      <c r="I46" s="2"/>
      <c r="K46" s="2" t="s">
        <v>85</v>
      </c>
      <c r="M46" s="168"/>
      <c r="N46" s="4"/>
    </row>
    <row r="47" spans="1:16" ht="15" customHeight="1" x14ac:dyDescent="0.2">
      <c r="A47" s="117">
        <v>9254321</v>
      </c>
      <c r="B47" s="1">
        <v>3401300</v>
      </c>
      <c r="C47" s="3" t="s">
        <v>35</v>
      </c>
      <c r="D47" s="4">
        <v>-258021.26</v>
      </c>
      <c r="H47" s="2"/>
      <c r="I47" s="2"/>
      <c r="K47" s="2" t="s">
        <v>84</v>
      </c>
      <c r="M47" s="168"/>
      <c r="N47" s="4"/>
    </row>
    <row r="48" spans="1:16" ht="15" customHeight="1" x14ac:dyDescent="0.2">
      <c r="A48" s="117">
        <v>9254325</v>
      </c>
      <c r="B48" s="1">
        <v>3602000</v>
      </c>
      <c r="C48" s="3" t="s">
        <v>240</v>
      </c>
      <c r="D48" s="4">
        <v>-395512.82</v>
      </c>
      <c r="F48" s="2">
        <f t="shared" ref="F48:F49" si="11">-D48*$F$6</f>
        <v>83057.692200000005</v>
      </c>
      <c r="G48" s="2">
        <f t="shared" ref="G48:G49" si="12">-D48*$G$6</f>
        <v>-4568.1730710000002</v>
      </c>
      <c r="H48" s="2">
        <f t="shared" ref="H48:H49" si="13">-D48*$H$6</f>
        <v>21753.205099999999</v>
      </c>
      <c r="I48" s="2">
        <f t="shared" ref="I48:I49" si="14">SUM(F48:H48)</f>
        <v>100242.72422900001</v>
      </c>
      <c r="J48" s="130"/>
      <c r="K48" s="4" t="s">
        <v>242</v>
      </c>
      <c r="M48" s="168"/>
      <c r="N48" s="4"/>
    </row>
    <row r="49" spans="1:16" ht="15" customHeight="1" x14ac:dyDescent="0.2">
      <c r="A49" s="117">
        <v>9254326</v>
      </c>
      <c r="B49" s="1">
        <v>2630000</v>
      </c>
      <c r="C49" s="3" t="s">
        <v>241</v>
      </c>
      <c r="D49" s="4">
        <v>-249819931.06</v>
      </c>
      <c r="F49" s="2">
        <f t="shared" si="11"/>
        <v>52462185.522599995</v>
      </c>
      <c r="G49" s="2">
        <f t="shared" si="12"/>
        <v>-2885420.203743</v>
      </c>
      <c r="H49" s="2">
        <f t="shared" si="13"/>
        <v>13740096.2083</v>
      </c>
      <c r="I49" s="2">
        <f t="shared" si="14"/>
        <v>63316861.527156994</v>
      </c>
      <c r="J49" s="130"/>
      <c r="K49" s="4" t="s">
        <v>242</v>
      </c>
      <c r="M49" s="168"/>
      <c r="N49" s="4"/>
    </row>
    <row r="50" spans="1:16" ht="15" customHeight="1" x14ac:dyDescent="0.2">
      <c r="A50" s="117">
        <v>9254338</v>
      </c>
      <c r="B50" s="1">
        <v>2630200</v>
      </c>
      <c r="C50" s="3" t="s">
        <v>36</v>
      </c>
      <c r="D50" s="4">
        <v>-7541981.1399999997</v>
      </c>
      <c r="F50" s="2">
        <f t="shared" si="0"/>
        <v>1583816.0393999999</v>
      </c>
      <c r="G50" s="2">
        <f t="shared" si="1"/>
        <v>-87109.882166999989</v>
      </c>
      <c r="H50" s="2">
        <f t="shared" si="2"/>
        <v>414808.96269999997</v>
      </c>
      <c r="I50" s="2">
        <f t="shared" si="3"/>
        <v>1911515.1199329998</v>
      </c>
      <c r="K50" s="3" t="s">
        <v>66</v>
      </c>
      <c r="M50" s="168"/>
      <c r="N50" s="168"/>
      <c r="O50" s="169"/>
      <c r="P50" s="170"/>
    </row>
    <row r="51" spans="1:16" ht="15" customHeight="1" x14ac:dyDescent="0.2">
      <c r="A51" s="117">
        <v>9254339</v>
      </c>
      <c r="B51" s="1">
        <v>3327910</v>
      </c>
      <c r="C51" s="3" t="s">
        <v>37</v>
      </c>
      <c r="D51" s="4">
        <v>-37532161.189999998</v>
      </c>
      <c r="F51" s="2">
        <f t="shared" si="0"/>
        <v>7881753.8498999989</v>
      </c>
      <c r="G51" s="2">
        <f t="shared" si="1"/>
        <v>-433496.46174449997</v>
      </c>
      <c r="H51" s="2">
        <f t="shared" si="2"/>
        <v>2064268.8654499999</v>
      </c>
      <c r="I51" s="2">
        <f t="shared" si="3"/>
        <v>9512526.253605498</v>
      </c>
      <c r="K51" s="3" t="s">
        <v>62</v>
      </c>
      <c r="M51" s="168"/>
      <c r="N51" s="168"/>
      <c r="O51" s="169"/>
      <c r="P51" s="170"/>
    </row>
    <row r="52" spans="1:16" ht="15" customHeight="1" x14ac:dyDescent="0.2">
      <c r="A52" s="117">
        <v>9254339</v>
      </c>
      <c r="B52" s="1">
        <v>3602190</v>
      </c>
      <c r="C52" s="3" t="s">
        <v>37</v>
      </c>
      <c r="D52" s="4">
        <v>-43616229.549999997</v>
      </c>
      <c r="F52" s="2">
        <f t="shared" si="0"/>
        <v>9159408.2054999992</v>
      </c>
      <c r="G52" s="2">
        <f t="shared" si="1"/>
        <v>-503767.45130249992</v>
      </c>
      <c r="H52" s="2">
        <f t="shared" si="2"/>
        <v>2398892.62525</v>
      </c>
      <c r="I52" s="2">
        <f t="shared" si="3"/>
        <v>11054533.379447499</v>
      </c>
      <c r="K52" s="3" t="s">
        <v>62</v>
      </c>
      <c r="M52" s="168"/>
      <c r="N52" s="4"/>
    </row>
    <row r="53" spans="1:16" ht="15" customHeight="1" x14ac:dyDescent="0.2">
      <c r="A53" s="117">
        <v>9254341</v>
      </c>
      <c r="B53" s="1">
        <v>3327620</v>
      </c>
      <c r="C53" s="3" t="s">
        <v>38</v>
      </c>
      <c r="D53" s="4">
        <v>-165475735</v>
      </c>
      <c r="H53" s="2"/>
      <c r="I53" s="2"/>
      <c r="K53" s="2" t="s">
        <v>86</v>
      </c>
      <c r="M53" s="168"/>
      <c r="N53" s="4"/>
    </row>
    <row r="54" spans="1:16" ht="15" customHeight="1" x14ac:dyDescent="0.2">
      <c r="A54" s="117">
        <v>9254341</v>
      </c>
      <c r="B54" s="1">
        <v>3327621</v>
      </c>
      <c r="C54" s="3" t="s">
        <v>38</v>
      </c>
      <c r="D54" s="4">
        <v>-11250786.039999999</v>
      </c>
      <c r="H54" s="2"/>
      <c r="I54" s="2"/>
      <c r="K54" s="2" t="s">
        <v>86</v>
      </c>
      <c r="M54" s="168"/>
      <c r="N54" s="4"/>
    </row>
    <row r="55" spans="1:16" ht="15" customHeight="1" x14ac:dyDescent="0.2">
      <c r="A55" s="117">
        <v>9254404</v>
      </c>
      <c r="B55" s="1">
        <v>3602015</v>
      </c>
      <c r="C55" s="3" t="s">
        <v>39</v>
      </c>
      <c r="D55" s="4">
        <v>-20084338</v>
      </c>
      <c r="F55" s="2">
        <f>'&lt;2&gt; OTP Code Details'!E10</f>
        <v>4217710.9799999995</v>
      </c>
      <c r="G55" s="2">
        <f>'&lt;2&gt; OTP Code Details'!F10</f>
        <v>-231974.10389999999</v>
      </c>
      <c r="H55" s="2">
        <f>'&lt;2&gt; OTP Code Details'!G10</f>
        <v>1104638.5900000001</v>
      </c>
      <c r="I55" s="2">
        <f t="shared" si="3"/>
        <v>5090375.4660999998</v>
      </c>
      <c r="K55" s="3" t="s">
        <v>235</v>
      </c>
      <c r="M55" s="168"/>
      <c r="N55" s="4"/>
    </row>
    <row r="56" spans="1:16" ht="15" customHeight="1" x14ac:dyDescent="0.2">
      <c r="A56" s="117">
        <v>9254405</v>
      </c>
      <c r="B56" s="1">
        <v>3602020</v>
      </c>
      <c r="C56" s="3" t="s">
        <v>40</v>
      </c>
      <c r="D56" s="4">
        <v>-8599159</v>
      </c>
      <c r="F56" s="2">
        <f>'&lt;2&gt; OTP Code Details'!E15</f>
        <v>1805823.39</v>
      </c>
      <c r="G56" s="2">
        <f>'&lt;2&gt; OTP Code Details'!F15</f>
        <v>-99320.28645</v>
      </c>
      <c r="H56" s="2">
        <f>'&lt;2&gt; OTP Code Details'!G15</f>
        <v>472953.745</v>
      </c>
      <c r="I56" s="2">
        <f t="shared" si="3"/>
        <v>2179456.8485499998</v>
      </c>
      <c r="K56" s="3" t="s">
        <v>236</v>
      </c>
      <c r="M56" s="168"/>
      <c r="N56" s="4"/>
    </row>
    <row r="57" spans="1:16" ht="15" customHeight="1" x14ac:dyDescent="0.2">
      <c r="A57" s="117">
        <v>9254406</v>
      </c>
      <c r="B57" s="1">
        <v>3602030</v>
      </c>
      <c r="C57" s="3" t="s">
        <v>41</v>
      </c>
      <c r="D57" s="4">
        <v>-59436720</v>
      </c>
      <c r="F57" s="2">
        <f>'&lt;2&gt; OTP Code Details'!E20</f>
        <v>12481711.199999999</v>
      </c>
      <c r="G57" s="2">
        <f>'&lt;2&gt; OTP Code Details'!F20</f>
        <v>-686494.11599999992</v>
      </c>
      <c r="H57" s="2">
        <f>'&lt;2&gt; OTP Code Details'!G20</f>
        <v>3269019.6</v>
      </c>
      <c r="I57" s="2">
        <f t="shared" si="3"/>
        <v>15064236.683999998</v>
      </c>
      <c r="K57" s="3" t="s">
        <v>237</v>
      </c>
      <c r="M57" s="168"/>
      <c r="N57" s="4"/>
    </row>
    <row r="58" spans="1:16" ht="15" customHeight="1" x14ac:dyDescent="0.2">
      <c r="A58" s="117">
        <v>9254600</v>
      </c>
      <c r="B58" s="1">
        <v>3327000</v>
      </c>
      <c r="C58" s="3" t="s">
        <v>42</v>
      </c>
      <c r="D58" s="4">
        <v>-22303952.850000001</v>
      </c>
      <c r="H58" s="2"/>
      <c r="I58" s="2"/>
      <c r="K58" s="2" t="s">
        <v>85</v>
      </c>
      <c r="M58" s="168"/>
      <c r="N58" s="4"/>
    </row>
    <row r="59" spans="1:16" ht="15" customHeight="1" x14ac:dyDescent="0.2">
      <c r="A59" s="117">
        <v>9254620</v>
      </c>
      <c r="B59" s="1">
        <v>3327200</v>
      </c>
      <c r="C59" s="3" t="s">
        <v>43</v>
      </c>
      <c r="D59" s="4">
        <v>-3880333.47</v>
      </c>
      <c r="H59" s="2"/>
      <c r="I59" s="2"/>
      <c r="K59" s="2" t="s">
        <v>85</v>
      </c>
      <c r="M59" s="168"/>
      <c r="N59" s="4"/>
    </row>
    <row r="60" spans="1:16" ht="15" customHeight="1" x14ac:dyDescent="0.2">
      <c r="A60" s="117">
        <v>9254640</v>
      </c>
      <c r="B60" s="1">
        <v>3327300</v>
      </c>
      <c r="C60" s="3" t="s">
        <v>44</v>
      </c>
      <c r="D60" s="4">
        <v>-84216856.189999998</v>
      </c>
      <c r="H60" s="2"/>
      <c r="I60" s="2"/>
      <c r="K60" s="2" t="s">
        <v>85</v>
      </c>
      <c r="M60" s="168"/>
      <c r="N60" s="4"/>
    </row>
    <row r="61" spans="1:16" ht="15" customHeight="1" x14ac:dyDescent="0.2">
      <c r="A61" s="117">
        <v>9254900</v>
      </c>
      <c r="B61" s="1">
        <v>3602025</v>
      </c>
      <c r="C61" s="3" t="s">
        <v>45</v>
      </c>
      <c r="D61" s="2">
        <v>-885.27</v>
      </c>
      <c r="F61" s="2">
        <f t="shared" si="0"/>
        <v>185.9067</v>
      </c>
      <c r="G61" s="2">
        <f t="shared" si="1"/>
        <v>-10.224868499999999</v>
      </c>
      <c r="H61" s="2">
        <f t="shared" si="2"/>
        <v>48.68985</v>
      </c>
      <c r="I61" s="2">
        <f t="shared" si="3"/>
        <v>224.37168149999999</v>
      </c>
      <c r="K61" s="3" t="s">
        <v>69</v>
      </c>
      <c r="M61" s="168"/>
      <c r="N61" s="4"/>
    </row>
    <row r="62" spans="1:16" ht="15" customHeight="1" x14ac:dyDescent="0.2">
      <c r="A62" s="22"/>
      <c r="B62" s="22"/>
      <c r="C62" s="22"/>
      <c r="D62" s="21">
        <f>SUM(D8:D61)</f>
        <v>-5994549494.6600018</v>
      </c>
      <c r="E62" s="23"/>
      <c r="F62" s="21">
        <f>SUM(F8:F61)</f>
        <v>3816963460.4519</v>
      </c>
      <c r="G62" s="21">
        <f>SUM(G8:G61)</f>
        <v>-32254015.800016504</v>
      </c>
      <c r="H62" s="21">
        <f>SUM(H8:H61)</f>
        <v>153590551.42864999</v>
      </c>
      <c r="I62" s="21">
        <f>SUM(I8:I61)</f>
        <v>3938299996.0805335</v>
      </c>
      <c r="M62" s="171"/>
    </row>
    <row r="63" spans="1:16" ht="15" customHeight="1" x14ac:dyDescent="0.2">
      <c r="C63" s="3"/>
      <c r="D63" s="128"/>
    </row>
    <row r="64" spans="1:16" ht="15" customHeight="1" x14ac:dyDescent="0.2">
      <c r="C64" s="3"/>
      <c r="D64" s="128"/>
      <c r="M64" s="171"/>
    </row>
    <row r="65" spans="3:11" ht="15" customHeight="1" x14ac:dyDescent="0.2">
      <c r="C65" s="3"/>
      <c r="D65" s="3"/>
      <c r="E65" s="3"/>
    </row>
    <row r="66" spans="3:11" ht="15" customHeight="1" x14ac:dyDescent="0.2">
      <c r="C66" s="3"/>
      <c r="D66" s="3"/>
      <c r="E66" s="3"/>
    </row>
    <row r="67" spans="3:11" ht="15" customHeight="1" x14ac:dyDescent="0.2">
      <c r="C67" s="3"/>
      <c r="D67" s="3"/>
      <c r="E67" s="3"/>
    </row>
    <row r="68" spans="3:11" ht="15" customHeight="1" x14ac:dyDescent="0.2">
      <c r="C68" s="3"/>
      <c r="D68" s="3"/>
      <c r="E68" s="3"/>
    </row>
    <row r="69" spans="3:11" ht="15" customHeight="1" x14ac:dyDescent="0.2">
      <c r="C69" s="3"/>
      <c r="D69" s="3"/>
      <c r="E69" s="3"/>
    </row>
    <row r="70" spans="3:11" ht="15" customHeight="1" x14ac:dyDescent="0.2">
      <c r="C70" s="3"/>
      <c r="D70" s="3"/>
      <c r="E70" s="3"/>
      <c r="K70" s="5"/>
    </row>
    <row r="71" spans="3:11" ht="15" customHeight="1" x14ac:dyDescent="0.2">
      <c r="C71" s="3"/>
      <c r="D71" s="3"/>
      <c r="E71" s="3"/>
    </row>
    <row r="72" spans="3:11" ht="15" customHeight="1" x14ac:dyDescent="0.2">
      <c r="C72" s="3"/>
      <c r="D72" s="3"/>
      <c r="E72" s="3"/>
    </row>
    <row r="73" spans="3:11" ht="15" customHeight="1" x14ac:dyDescent="0.2">
      <c r="C73" s="3"/>
      <c r="D73" s="3"/>
      <c r="E73" s="3"/>
    </row>
    <row r="74" spans="3:11" ht="15" customHeight="1" x14ac:dyDescent="0.2">
      <c r="C74" s="3"/>
      <c r="D74" s="3"/>
      <c r="E74" s="3"/>
    </row>
    <row r="75" spans="3:11" ht="15" customHeight="1" x14ac:dyDescent="0.2">
      <c r="C75" s="3"/>
      <c r="D75" s="3"/>
      <c r="E75" s="3"/>
    </row>
    <row r="76" spans="3:11" ht="15" customHeight="1" x14ac:dyDescent="0.2">
      <c r="C76" s="3"/>
      <c r="D76" s="3"/>
      <c r="E76" s="3"/>
    </row>
    <row r="77" spans="3:11" ht="15" customHeight="1" x14ac:dyDescent="0.2">
      <c r="C77" s="3"/>
      <c r="D77" s="3"/>
      <c r="E77" s="3"/>
    </row>
    <row r="78" spans="3:11" ht="15" customHeight="1" x14ac:dyDescent="0.2">
      <c r="C78" s="3"/>
      <c r="D78" s="3"/>
      <c r="E78" s="3"/>
    </row>
    <row r="79" spans="3:11" ht="15" customHeight="1" x14ac:dyDescent="0.2">
      <c r="C79" s="3"/>
      <c r="D79" s="3"/>
      <c r="E79" s="3"/>
    </row>
    <row r="80" spans="3:11" ht="15" customHeight="1" x14ac:dyDescent="0.2">
      <c r="C80" s="3"/>
      <c r="D80" s="3"/>
      <c r="E80" s="3"/>
    </row>
    <row r="81" spans="3:5" ht="15" customHeight="1" x14ac:dyDescent="0.2">
      <c r="C81" s="3"/>
      <c r="D81" s="3"/>
      <c r="E81" s="3"/>
    </row>
    <row r="82" spans="3:5" ht="15" customHeight="1" x14ac:dyDescent="0.2">
      <c r="C82" s="3"/>
      <c r="D82" s="3"/>
      <c r="E82" s="3"/>
    </row>
    <row r="83" spans="3:5" ht="15" customHeight="1" x14ac:dyDescent="0.2">
      <c r="C83" s="3"/>
      <c r="D83" s="3"/>
      <c r="E83" s="3"/>
    </row>
    <row r="84" spans="3:5" ht="15" customHeight="1" x14ac:dyDescent="0.2">
      <c r="C84" s="3"/>
      <c r="D84" s="3"/>
      <c r="E84" s="3"/>
    </row>
    <row r="85" spans="3:5" ht="15" customHeight="1" x14ac:dyDescent="0.2">
      <c r="C85" s="3"/>
      <c r="D85" s="3"/>
      <c r="E85" s="3"/>
    </row>
    <row r="86" spans="3:5" ht="15" customHeight="1" x14ac:dyDescent="0.2">
      <c r="C86" s="3"/>
      <c r="D86" s="3"/>
      <c r="E86" s="3"/>
    </row>
    <row r="87" spans="3:5" ht="15" customHeight="1" x14ac:dyDescent="0.2">
      <c r="C87" s="3"/>
      <c r="D87" s="3"/>
      <c r="E87" s="3"/>
    </row>
    <row r="88" spans="3:5" ht="15" customHeight="1" x14ac:dyDescent="0.2">
      <c r="C88" s="3"/>
      <c r="D88" s="3"/>
      <c r="E88" s="3"/>
    </row>
    <row r="89" spans="3:5" ht="15" customHeight="1" x14ac:dyDescent="0.2">
      <c r="C89" s="3"/>
      <c r="D89" s="3"/>
      <c r="E89" s="3"/>
    </row>
    <row r="90" spans="3:5" ht="15" customHeight="1" x14ac:dyDescent="0.2">
      <c r="C90" s="3"/>
      <c r="D90" s="3"/>
      <c r="E90" s="3"/>
    </row>
    <row r="91" spans="3:5" ht="15" customHeight="1" x14ac:dyDescent="0.2">
      <c r="C91" s="3"/>
      <c r="D91" s="3"/>
      <c r="E91" s="3"/>
    </row>
    <row r="92" spans="3:5" ht="15" customHeight="1" x14ac:dyDescent="0.2">
      <c r="C92" s="3"/>
      <c r="D92" s="3"/>
      <c r="E92" s="3"/>
    </row>
    <row r="93" spans="3:5" ht="15" customHeight="1" x14ac:dyDescent="0.2">
      <c r="C93" s="3"/>
      <c r="D93" s="3"/>
      <c r="E93" s="3"/>
    </row>
    <row r="94" spans="3:5" ht="15" customHeight="1" x14ac:dyDescent="0.2">
      <c r="C94" s="3"/>
      <c r="D94" s="3"/>
      <c r="E94" s="3"/>
    </row>
    <row r="95" spans="3:5" ht="15" customHeight="1" x14ac:dyDescent="0.2">
      <c r="C95" s="3"/>
      <c r="D95" s="3"/>
      <c r="E95" s="3"/>
    </row>
    <row r="96" spans="3:5" ht="15" customHeight="1" x14ac:dyDescent="0.2">
      <c r="C96" s="3"/>
      <c r="D96" s="3"/>
      <c r="E96" s="3"/>
    </row>
    <row r="97" spans="3:5" ht="15" customHeight="1" x14ac:dyDescent="0.2">
      <c r="C97" s="3"/>
      <c r="D97" s="3"/>
      <c r="E97" s="3"/>
    </row>
    <row r="98" spans="3:5" ht="15" customHeight="1" x14ac:dyDescent="0.2">
      <c r="C98" s="3"/>
      <c r="D98" s="3"/>
      <c r="E98" s="3"/>
    </row>
    <row r="99" spans="3:5" ht="15" customHeight="1" x14ac:dyDescent="0.2">
      <c r="C99" s="3"/>
      <c r="D99" s="3"/>
      <c r="E99" s="3"/>
    </row>
    <row r="100" spans="3:5" ht="15" customHeight="1" x14ac:dyDescent="0.2">
      <c r="C100" s="3"/>
      <c r="D100" s="3"/>
      <c r="E100" s="3"/>
    </row>
    <row r="101" spans="3:5" ht="15" customHeight="1" x14ac:dyDescent="0.2">
      <c r="C101" s="3"/>
      <c r="D101" s="3"/>
      <c r="E101" s="3"/>
    </row>
    <row r="102" spans="3:5" ht="15" customHeight="1" x14ac:dyDescent="0.2">
      <c r="C102" s="3"/>
      <c r="D102" s="3"/>
      <c r="E102" s="3"/>
    </row>
    <row r="103" spans="3:5" ht="15" customHeight="1" x14ac:dyDescent="0.2">
      <c r="C103" s="3"/>
      <c r="D103" s="3"/>
      <c r="E103" s="3"/>
    </row>
    <row r="104" spans="3:5" ht="15" customHeight="1" x14ac:dyDescent="0.2">
      <c r="C104" s="3"/>
      <c r="D104" s="3"/>
      <c r="E104" s="3"/>
    </row>
  </sheetData>
  <autoFilter ref="A7:K62"/>
  <pageMargins left="0.5" right="0.2" top="0.5" bottom="0.5" header="0.3" footer="0.3"/>
  <pageSetup paperSize="5" scale="92" orientation="landscape" r:id="rId1"/>
  <ignoredErrors>
    <ignoredError sqref="F24:I39 F11:I17 F19:I19 I10 F50:I61 I40 F41:I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6" sqref="A6"/>
    </sheetView>
  </sheetViews>
  <sheetFormatPr defaultColWidth="8.7109375" defaultRowHeight="15" customHeight="1" x14ac:dyDescent="0.2"/>
  <cols>
    <col min="1" max="1" width="37.85546875" style="6" customWidth="1"/>
    <col min="2" max="3" width="9" style="6" bestFit="1" customWidth="1"/>
    <col min="4" max="4" width="12" style="6" customWidth="1"/>
    <col min="5" max="8" width="11.7109375" style="6" customWidth="1"/>
    <col min="9" max="16384" width="8.7109375" style="6"/>
  </cols>
  <sheetData>
    <row r="1" spans="1:8" ht="15" customHeight="1" x14ac:dyDescent="0.25">
      <c r="A1" s="177" t="s">
        <v>179</v>
      </c>
      <c r="C1" s="115" t="s">
        <v>179</v>
      </c>
    </row>
    <row r="2" spans="1:8" ht="15" customHeight="1" x14ac:dyDescent="0.25">
      <c r="A2" s="177" t="s">
        <v>255</v>
      </c>
      <c r="C2" s="116" t="s">
        <v>180</v>
      </c>
    </row>
    <row r="3" spans="1:8" ht="15" customHeight="1" x14ac:dyDescent="0.25">
      <c r="A3" s="177" t="s">
        <v>256</v>
      </c>
      <c r="C3" s="116" t="s">
        <v>190</v>
      </c>
    </row>
    <row r="4" spans="1:8" ht="15" customHeight="1" x14ac:dyDescent="0.25">
      <c r="A4" s="177" t="s">
        <v>257</v>
      </c>
    </row>
    <row r="5" spans="1:8" ht="15" customHeight="1" x14ac:dyDescent="0.25">
      <c r="A5" s="177" t="s">
        <v>258</v>
      </c>
      <c r="E5" s="118" t="s">
        <v>93</v>
      </c>
      <c r="F5" s="7"/>
    </row>
    <row r="6" spans="1:8" ht="15" customHeight="1" x14ac:dyDescent="0.25">
      <c r="A6" s="177" t="s">
        <v>260</v>
      </c>
      <c r="E6" s="119">
        <v>0.21</v>
      </c>
      <c r="F6" s="120">
        <f>G6*-E6</f>
        <v>-1.155E-2</v>
      </c>
      <c r="G6" s="121">
        <v>5.5E-2</v>
      </c>
      <c r="H6" s="120">
        <f>SUM(E6:G6)</f>
        <v>0.25345000000000001</v>
      </c>
    </row>
    <row r="7" spans="1:8" ht="15" customHeight="1" x14ac:dyDescent="0.2">
      <c r="A7" s="122" t="s">
        <v>114</v>
      </c>
      <c r="B7" s="122" t="s">
        <v>94</v>
      </c>
      <c r="C7" s="122" t="s">
        <v>95</v>
      </c>
      <c r="D7" s="123" t="s">
        <v>120</v>
      </c>
      <c r="E7" s="122" t="s">
        <v>70</v>
      </c>
      <c r="F7" s="122" t="s">
        <v>92</v>
      </c>
      <c r="G7" s="122" t="s">
        <v>71</v>
      </c>
      <c r="H7" s="122" t="s">
        <v>72</v>
      </c>
    </row>
    <row r="8" spans="1:8" ht="15" customHeight="1" x14ac:dyDescent="0.2">
      <c r="A8" s="6" t="s">
        <v>96</v>
      </c>
      <c r="B8" s="35">
        <v>9255302</v>
      </c>
      <c r="C8" s="30" t="s">
        <v>99</v>
      </c>
      <c r="D8" s="37">
        <v>-43943870</v>
      </c>
      <c r="E8" s="7">
        <f>-D8*$E$6</f>
        <v>9228212.6999999993</v>
      </c>
      <c r="F8" s="7">
        <f>-D8*$F$6</f>
        <v>-507551.6985</v>
      </c>
      <c r="G8" s="7">
        <f>-D8*$G$6</f>
        <v>2416912.85</v>
      </c>
      <c r="H8" s="7">
        <f>SUM(E8:G8)</f>
        <v>11137573.851499999</v>
      </c>
    </row>
    <row r="9" spans="1:8" ht="15" customHeight="1" x14ac:dyDescent="0.2">
      <c r="A9" s="6" t="s">
        <v>97</v>
      </c>
      <c r="B9" s="35">
        <v>9255312</v>
      </c>
      <c r="C9" s="30" t="s">
        <v>100</v>
      </c>
      <c r="D9" s="37">
        <v>11962468</v>
      </c>
      <c r="E9" s="7">
        <f>-D9*$E$6</f>
        <v>-2512118.2799999998</v>
      </c>
      <c r="F9" s="7">
        <f>-D9*$F$6</f>
        <v>138166.50539999999</v>
      </c>
      <c r="G9" s="7">
        <f>-D9*$G$6</f>
        <v>-657935.74</v>
      </c>
      <c r="H9" s="7">
        <f t="shared" ref="H9:H10" si="0">SUM(E9:G9)</f>
        <v>-3031887.5145999994</v>
      </c>
    </row>
    <row r="10" spans="1:8" ht="15" customHeight="1" x14ac:dyDescent="0.2">
      <c r="A10" s="32" t="s">
        <v>98</v>
      </c>
      <c r="B10" s="33">
        <v>9254404</v>
      </c>
      <c r="C10" s="34" t="s">
        <v>101</v>
      </c>
      <c r="D10" s="29">
        <v>-20084338</v>
      </c>
      <c r="E10" s="29">
        <f>-D10*$E$6</f>
        <v>4217710.9799999995</v>
      </c>
      <c r="F10" s="29">
        <f>-D10*$F$6</f>
        <v>-231974.10389999999</v>
      </c>
      <c r="G10" s="29">
        <f>-D10*$G$6</f>
        <v>1104638.5900000001</v>
      </c>
      <c r="H10" s="29">
        <f t="shared" si="0"/>
        <v>5090375.4660999998</v>
      </c>
    </row>
    <row r="11" spans="1:8" ht="15" customHeight="1" x14ac:dyDescent="0.2">
      <c r="A11" s="38" t="s">
        <v>67</v>
      </c>
      <c r="B11" s="35"/>
      <c r="D11" s="20">
        <f>SUM(D8:D10)</f>
        <v>-52065740</v>
      </c>
      <c r="E11" s="20">
        <f t="shared" ref="E11:H11" si="1">SUM(E8:E10)</f>
        <v>10933805.399999999</v>
      </c>
      <c r="F11" s="20">
        <f t="shared" si="1"/>
        <v>-601359.29700000002</v>
      </c>
      <c r="G11" s="20">
        <f t="shared" si="1"/>
        <v>2863615.7</v>
      </c>
      <c r="H11" s="20">
        <f t="shared" si="1"/>
        <v>13196061.802999999</v>
      </c>
    </row>
    <row r="12" spans="1:8" ht="15" customHeight="1" x14ac:dyDescent="0.2">
      <c r="B12" s="35"/>
    </row>
    <row r="13" spans="1:8" ht="15" customHeight="1" x14ac:dyDescent="0.2">
      <c r="A13" s="6" t="s">
        <v>96</v>
      </c>
      <c r="B13" s="35">
        <v>9255302</v>
      </c>
      <c r="C13" s="30" t="s">
        <v>103</v>
      </c>
      <c r="D13" s="37">
        <v>-18427907</v>
      </c>
      <c r="E13" s="7">
        <f>-D13*$E$6</f>
        <v>3869860.4699999997</v>
      </c>
      <c r="F13" s="7">
        <f>-D13*$F$6</f>
        <v>-212842.32584999999</v>
      </c>
      <c r="G13" s="7">
        <f>-D13*$G$6</f>
        <v>1013534.885</v>
      </c>
      <c r="H13" s="7">
        <f>SUM(E13:G13)</f>
        <v>4670553.0291499998</v>
      </c>
    </row>
    <row r="14" spans="1:8" ht="15" customHeight="1" x14ac:dyDescent="0.2">
      <c r="A14" s="6" t="s">
        <v>97</v>
      </c>
      <c r="B14" s="35">
        <v>9255312</v>
      </c>
      <c r="C14" s="30" t="s">
        <v>104</v>
      </c>
      <c r="D14" s="37">
        <v>4734982</v>
      </c>
      <c r="E14" s="7">
        <f>-D14*$E$6</f>
        <v>-994346.22</v>
      </c>
      <c r="F14" s="7">
        <f>-D14*$F$6</f>
        <v>54689.042099999999</v>
      </c>
      <c r="G14" s="7">
        <f>-D14*$G$6</f>
        <v>-260424.01</v>
      </c>
      <c r="H14" s="7">
        <f t="shared" ref="H14:H15" si="2">SUM(E14:G14)</f>
        <v>-1200081.1879</v>
      </c>
    </row>
    <row r="15" spans="1:8" ht="15" customHeight="1" x14ac:dyDescent="0.2">
      <c r="A15" s="32" t="s">
        <v>98</v>
      </c>
      <c r="B15" s="33">
        <v>9254405</v>
      </c>
      <c r="C15" s="34" t="s">
        <v>105</v>
      </c>
      <c r="D15" s="29">
        <v>-8599159</v>
      </c>
      <c r="E15" s="29">
        <f>-D15*$E$6</f>
        <v>1805823.39</v>
      </c>
      <c r="F15" s="29">
        <f>-D15*$F$6</f>
        <v>-99320.28645</v>
      </c>
      <c r="G15" s="29">
        <f>-D15*$G$6</f>
        <v>472953.745</v>
      </c>
      <c r="H15" s="29">
        <f t="shared" si="2"/>
        <v>2179456.8485499998</v>
      </c>
    </row>
    <row r="16" spans="1:8" ht="15" customHeight="1" x14ac:dyDescent="0.2">
      <c r="A16" s="38" t="s">
        <v>115</v>
      </c>
      <c r="B16" s="36"/>
      <c r="D16" s="20">
        <f>SUM(D13:D15)</f>
        <v>-22292084</v>
      </c>
      <c r="E16" s="20">
        <f t="shared" ref="E16" si="3">SUM(E13:E15)</f>
        <v>4681337.6399999997</v>
      </c>
      <c r="F16" s="20">
        <f t="shared" ref="F16" si="4">SUM(F13:F15)</f>
        <v>-257473.57020000002</v>
      </c>
      <c r="G16" s="20">
        <f t="shared" ref="G16" si="5">SUM(G13:G15)</f>
        <v>1226064.6200000001</v>
      </c>
      <c r="H16" s="20">
        <f t="shared" ref="H16" si="6">SUM(H13:H15)</f>
        <v>5649928.6897999998</v>
      </c>
    </row>
    <row r="17" spans="1:8" ht="15" customHeight="1" x14ac:dyDescent="0.2">
      <c r="B17" s="36"/>
    </row>
    <row r="18" spans="1:8" ht="15" customHeight="1" x14ac:dyDescent="0.2">
      <c r="A18" s="6" t="s">
        <v>96</v>
      </c>
      <c r="B18" s="35">
        <v>9255302</v>
      </c>
      <c r="C18" s="30" t="s">
        <v>107</v>
      </c>
      <c r="D18" s="37">
        <v>-123767270.00000003</v>
      </c>
      <c r="E18" s="7">
        <f>-D18*$E$6</f>
        <v>25991126.700000007</v>
      </c>
      <c r="F18" s="7">
        <f>-D18*$F$6</f>
        <v>-1429511.9685000002</v>
      </c>
      <c r="G18" s="7">
        <f>-D18*$G$6</f>
        <v>6807199.8500000015</v>
      </c>
      <c r="H18" s="7">
        <f>SUM(E18:G18)</f>
        <v>31368814.581500009</v>
      </c>
    </row>
    <row r="19" spans="1:8" ht="15" customHeight="1" x14ac:dyDescent="0.2">
      <c r="A19" s="6" t="s">
        <v>97</v>
      </c>
      <c r="B19" s="35">
        <v>9255312</v>
      </c>
      <c r="C19" s="30" t="s">
        <v>108</v>
      </c>
      <c r="D19" s="37">
        <v>29123018</v>
      </c>
      <c r="E19" s="7">
        <f>-D19*$E$6</f>
        <v>-6115833.7799999993</v>
      </c>
      <c r="F19" s="7">
        <f>-D19*$F$6</f>
        <v>336370.8579</v>
      </c>
      <c r="G19" s="7">
        <f>-D19*$G$6</f>
        <v>-1601765.99</v>
      </c>
      <c r="H19" s="7">
        <f t="shared" ref="H19:H20" si="7">SUM(E19:G19)</f>
        <v>-7381228.9120999994</v>
      </c>
    </row>
    <row r="20" spans="1:8" ht="15" customHeight="1" x14ac:dyDescent="0.2">
      <c r="A20" s="32" t="s">
        <v>98</v>
      </c>
      <c r="B20" s="33">
        <v>9254406</v>
      </c>
      <c r="C20" s="34" t="s">
        <v>109</v>
      </c>
      <c r="D20" s="29">
        <v>-59436720</v>
      </c>
      <c r="E20" s="29">
        <f>-D20*$E$6</f>
        <v>12481711.199999999</v>
      </c>
      <c r="F20" s="29">
        <f>-D20*$F$6</f>
        <v>-686494.11599999992</v>
      </c>
      <c r="G20" s="29">
        <f>-D20*$G$6</f>
        <v>3269019.6</v>
      </c>
      <c r="H20" s="29">
        <f t="shared" si="7"/>
        <v>15064236.683999998</v>
      </c>
    </row>
    <row r="21" spans="1:8" ht="15" customHeight="1" x14ac:dyDescent="0.2">
      <c r="A21" s="38" t="s">
        <v>68</v>
      </c>
      <c r="D21" s="20">
        <f>SUM(D18:D20)</f>
        <v>-154080972.00000003</v>
      </c>
      <c r="E21" s="20">
        <f t="shared" ref="E21" si="8">SUM(E18:E20)</f>
        <v>32357004.120000008</v>
      </c>
      <c r="F21" s="20">
        <f t="shared" ref="F21" si="9">SUM(F18:F20)</f>
        <v>-1779635.2266000002</v>
      </c>
      <c r="G21" s="20">
        <f t="shared" ref="G21" si="10">SUM(G18:G20)</f>
        <v>8474453.4600000009</v>
      </c>
      <c r="H21" s="20">
        <f t="shared" ref="H21" si="11">SUM(H18:H20)</f>
        <v>39051822.353400007</v>
      </c>
    </row>
    <row r="22" spans="1:8" ht="15" customHeight="1" x14ac:dyDescent="0.2">
      <c r="A22" s="38"/>
      <c r="D22" s="12"/>
      <c r="E22" s="12"/>
      <c r="F22" s="12"/>
      <c r="G22" s="12"/>
      <c r="H22" s="12"/>
    </row>
    <row r="23" spans="1:8" ht="15" customHeight="1" x14ac:dyDescent="0.2">
      <c r="A23" s="32" t="s">
        <v>118</v>
      </c>
      <c r="B23" s="33">
        <v>9182373</v>
      </c>
      <c r="C23" s="34" t="s">
        <v>102</v>
      </c>
      <c r="D23" s="29">
        <v>10042169</v>
      </c>
      <c r="E23" s="29">
        <f>-D23*$E$6</f>
        <v>-2108855.4899999998</v>
      </c>
      <c r="F23" s="29">
        <f>-D23*$F$6</f>
        <v>115987.05194999999</v>
      </c>
      <c r="G23" s="29">
        <f>-D23*$G$6</f>
        <v>-552319.29500000004</v>
      </c>
      <c r="H23" s="29">
        <f t="shared" ref="H23" si="12">SUM(E23:G23)</f>
        <v>-2545187.7330499999</v>
      </c>
    </row>
    <row r="24" spans="1:8" ht="15" customHeight="1" x14ac:dyDescent="0.2">
      <c r="A24" s="6" t="s">
        <v>116</v>
      </c>
      <c r="B24" s="35"/>
      <c r="C24" s="30"/>
      <c r="D24" s="37">
        <v>15990684</v>
      </c>
      <c r="E24" s="7">
        <f>-D24*$E$6</f>
        <v>-3358043.6399999997</v>
      </c>
      <c r="F24" s="7">
        <f>-D24*$F$6</f>
        <v>184692.4002</v>
      </c>
      <c r="G24" s="7">
        <f>-D24*$G$6</f>
        <v>-879487.62</v>
      </c>
      <c r="H24" s="7">
        <f>SUM(E24:G24)</f>
        <v>-4052838.8597999997</v>
      </c>
    </row>
    <row r="25" spans="1:8" ht="15" customHeight="1" x14ac:dyDescent="0.2">
      <c r="A25" s="38" t="s">
        <v>117</v>
      </c>
      <c r="D25" s="20">
        <f>SUM(D23:D24)</f>
        <v>26032853</v>
      </c>
      <c r="E25" s="20">
        <f t="shared" ref="E25:H25" si="13">SUM(E23:E24)</f>
        <v>-5466899.129999999</v>
      </c>
      <c r="F25" s="20">
        <f t="shared" si="13"/>
        <v>300679.45215000003</v>
      </c>
      <c r="G25" s="20">
        <f t="shared" si="13"/>
        <v>-1431806.915</v>
      </c>
      <c r="H25" s="20">
        <f t="shared" si="13"/>
        <v>-6598026.5928499997</v>
      </c>
    </row>
    <row r="26" spans="1:8" ht="15" customHeight="1" x14ac:dyDescent="0.2">
      <c r="A26" s="38"/>
      <c r="D26" s="12"/>
      <c r="E26" s="12"/>
      <c r="F26" s="12"/>
      <c r="G26" s="12"/>
      <c r="H26" s="12"/>
    </row>
    <row r="27" spans="1:8" ht="15" customHeight="1" x14ac:dyDescent="0.2">
      <c r="A27" s="32" t="s">
        <v>118</v>
      </c>
      <c r="B27" s="33">
        <v>9182374</v>
      </c>
      <c r="C27" s="34" t="s">
        <v>106</v>
      </c>
      <c r="D27" s="29">
        <v>4299625</v>
      </c>
      <c r="E27" s="29">
        <f>-D27*$E$6</f>
        <v>-902921.25</v>
      </c>
      <c r="F27" s="29">
        <f>-D27*$F$6</f>
        <v>49660.668749999997</v>
      </c>
      <c r="G27" s="29">
        <f>-D27*$G$6</f>
        <v>-236479.375</v>
      </c>
      <c r="H27" s="29">
        <f t="shared" ref="H27" si="14">SUM(E27:G27)</f>
        <v>-1089739.95625</v>
      </c>
    </row>
    <row r="28" spans="1:8" ht="15" customHeight="1" x14ac:dyDescent="0.2">
      <c r="A28" s="6" t="s">
        <v>116</v>
      </c>
      <c r="B28" s="35"/>
      <c r="C28" s="30"/>
      <c r="D28" s="37">
        <v>6846514</v>
      </c>
      <c r="E28" s="7">
        <f>-D28*$E$6</f>
        <v>-1437767.94</v>
      </c>
      <c r="F28" s="7">
        <f>-D28*$F$6</f>
        <v>79077.236699999994</v>
      </c>
      <c r="G28" s="7">
        <f>-D28*$G$6</f>
        <v>-376558.27</v>
      </c>
      <c r="H28" s="7">
        <f>SUM(E28:G28)</f>
        <v>-1735248.9733</v>
      </c>
    </row>
    <row r="29" spans="1:8" ht="15" customHeight="1" x14ac:dyDescent="0.2">
      <c r="A29" s="38" t="s">
        <v>119</v>
      </c>
      <c r="D29" s="20">
        <f>SUM(D27:D28)</f>
        <v>11146139</v>
      </c>
      <c r="E29" s="20">
        <f t="shared" ref="E29" si="15">SUM(E27:E28)</f>
        <v>-2340689.19</v>
      </c>
      <c r="F29" s="20">
        <f t="shared" ref="F29" si="16">SUM(F27:F28)</f>
        <v>128737.90544999999</v>
      </c>
      <c r="G29" s="20">
        <f t="shared" ref="G29" si="17">SUM(G27:G28)</f>
        <v>-613037.64500000002</v>
      </c>
      <c r="H29" s="20">
        <f t="shared" ref="H29" si="18">SUM(H27:H28)</f>
        <v>-2824988.92955</v>
      </c>
    </row>
    <row r="30" spans="1:8" ht="15" customHeight="1" x14ac:dyDescent="0.2">
      <c r="A30" s="38"/>
      <c r="D30" s="12"/>
      <c r="E30" s="12"/>
      <c r="F30" s="12"/>
      <c r="G30" s="12"/>
      <c r="H30" s="12"/>
    </row>
    <row r="31" spans="1:8" ht="15" customHeight="1" x14ac:dyDescent="0.2">
      <c r="A31" s="32" t="s">
        <v>118</v>
      </c>
      <c r="B31" s="33">
        <v>9182375</v>
      </c>
      <c r="C31" s="34" t="s">
        <v>110</v>
      </c>
      <c r="D31" s="29">
        <v>29718360</v>
      </c>
      <c r="E31" s="29">
        <f>-D31*$E$6</f>
        <v>-6240855.5999999996</v>
      </c>
      <c r="F31" s="29">
        <f>-D31*$F$6</f>
        <v>343247.05799999996</v>
      </c>
      <c r="G31" s="29">
        <f>-D31*$G$6</f>
        <v>-1634509.8</v>
      </c>
      <c r="H31" s="29">
        <f t="shared" ref="H31" si="19">SUM(E31:G31)</f>
        <v>-7532118.3419999992</v>
      </c>
    </row>
    <row r="32" spans="1:8" ht="15" customHeight="1" x14ac:dyDescent="0.2">
      <c r="A32" s="6" t="s">
        <v>116</v>
      </c>
      <c r="B32" s="35"/>
      <c r="C32" s="30"/>
      <c r="D32" s="37">
        <v>47322115</v>
      </c>
      <c r="E32" s="7">
        <f>-D32*$E$6</f>
        <v>-9937644.1500000004</v>
      </c>
      <c r="F32" s="7">
        <f>-D32*$F$6</f>
        <v>546570.42825</v>
      </c>
      <c r="G32" s="7">
        <f>-D32*$G$6</f>
        <v>-2602716.3250000002</v>
      </c>
      <c r="H32" s="7">
        <f>SUM(E32:G32)</f>
        <v>-11993790.046750002</v>
      </c>
    </row>
    <row r="33" spans="1:8" ht="15" customHeight="1" x14ac:dyDescent="0.2">
      <c r="A33" s="38" t="s">
        <v>119</v>
      </c>
      <c r="D33" s="20">
        <f>SUM(D31:D32)</f>
        <v>77040475</v>
      </c>
      <c r="E33" s="20">
        <f t="shared" ref="E33" si="20">SUM(E31:E32)</f>
        <v>-16178499.75</v>
      </c>
      <c r="F33" s="20">
        <f t="shared" ref="F33" si="21">SUM(F31:F32)</f>
        <v>889817.48624999996</v>
      </c>
      <c r="G33" s="20">
        <f t="shared" ref="G33" si="22">SUM(G31:G32)</f>
        <v>-4237226.125</v>
      </c>
      <c r="H33" s="20">
        <f t="shared" ref="H33" si="23">SUM(H31:H32)</f>
        <v>-19525908.388750002</v>
      </c>
    </row>
    <row r="35" spans="1:8" ht="15" customHeight="1" x14ac:dyDescent="0.2">
      <c r="A35" s="6" t="s">
        <v>33</v>
      </c>
      <c r="B35" s="124">
        <v>9254306</v>
      </c>
      <c r="C35" s="31">
        <v>3602115</v>
      </c>
      <c r="D35" s="29">
        <v>-24346315.93</v>
      </c>
      <c r="E35" s="29">
        <f>-D35*$E$6</f>
        <v>5112726.3453000002</v>
      </c>
      <c r="F35" s="29">
        <f>-D35*$F$6</f>
        <v>-281199.94899149996</v>
      </c>
      <c r="G35" s="29">
        <f>-D35*$G$6</f>
        <v>1339047.3761499999</v>
      </c>
      <c r="H35" s="29">
        <f t="shared" ref="H35" si="24">SUM(E35:G35)</f>
        <v>6170573.7724585002</v>
      </c>
    </row>
    <row r="36" spans="1:8" ht="15" customHeight="1" x14ac:dyDescent="0.2">
      <c r="A36" s="6" t="s">
        <v>181</v>
      </c>
      <c r="B36" s="31">
        <v>9256100</v>
      </c>
      <c r="C36" s="31">
        <v>3602180</v>
      </c>
      <c r="D36" s="37">
        <v>-8667343.5800000001</v>
      </c>
      <c r="E36" s="7">
        <f>-D36*$E$6</f>
        <v>1820142.1517999999</v>
      </c>
      <c r="F36" s="7">
        <f>-D36*$F$6</f>
        <v>-100107.81834899999</v>
      </c>
      <c r="G36" s="7">
        <f>-D36*$G$6</f>
        <v>476703.89689999999</v>
      </c>
      <c r="H36" s="7">
        <f>SUM(E36:G36)</f>
        <v>2196738.2303509996</v>
      </c>
    </row>
    <row r="37" spans="1:8" ht="15" customHeight="1" x14ac:dyDescent="0.2">
      <c r="A37" s="38" t="s">
        <v>182</v>
      </c>
      <c r="D37" s="20">
        <f>SUM(D35:D36)</f>
        <v>-33013659.509999998</v>
      </c>
      <c r="E37" s="20">
        <f t="shared" ref="E37" si="25">SUM(E35:E36)</f>
        <v>6932868.4971000003</v>
      </c>
      <c r="F37" s="20">
        <f t="shared" ref="F37" si="26">SUM(F35:F36)</f>
        <v>-381307.76734049997</v>
      </c>
      <c r="G37" s="20">
        <f t="shared" ref="G37" si="27">SUM(G35:G36)</f>
        <v>1815751.27305</v>
      </c>
      <c r="H37" s="20">
        <f t="shared" ref="H37" si="28">SUM(H35:H36)</f>
        <v>8367312.0028095003</v>
      </c>
    </row>
    <row r="40" spans="1:8" ht="15" customHeight="1" x14ac:dyDescent="0.2">
      <c r="A40" s="27" t="s">
        <v>11</v>
      </c>
      <c r="B40" s="26">
        <v>9182352</v>
      </c>
      <c r="C40" s="26">
        <v>2801510</v>
      </c>
      <c r="D40" s="28">
        <v>70607650.140000001</v>
      </c>
      <c r="E40" s="29">
        <f>-D40*$E$6</f>
        <v>-14827606.5294</v>
      </c>
      <c r="F40" s="29">
        <f>-D40*$F$6</f>
        <v>815518.35911700001</v>
      </c>
      <c r="G40" s="29">
        <f>-D40*$G$6</f>
        <v>-3883420.7577</v>
      </c>
      <c r="H40" s="29">
        <f t="shared" ref="H40" si="29">SUM(E40:G40)</f>
        <v>-17895508.927983001</v>
      </c>
    </row>
    <row r="41" spans="1:8" ht="15" customHeight="1" x14ac:dyDescent="0.2">
      <c r="A41" s="10" t="s">
        <v>183</v>
      </c>
      <c r="B41" s="9">
        <v>9182146</v>
      </c>
      <c r="C41" s="9">
        <v>2801530</v>
      </c>
      <c r="D41" s="19">
        <v>-44551033.590000004</v>
      </c>
      <c r="E41" s="7">
        <f>-D41*$E$6</f>
        <v>9355717.0538999997</v>
      </c>
      <c r="F41" s="7">
        <f>-D41*$F$6</f>
        <v>-514564.43796450004</v>
      </c>
      <c r="G41" s="7">
        <f>-D41*$G$6</f>
        <v>2450306.8474500002</v>
      </c>
      <c r="H41" s="7">
        <f>SUM(E41:G41)</f>
        <v>11291459.4633855</v>
      </c>
    </row>
    <row r="42" spans="1:8" ht="15" customHeight="1" x14ac:dyDescent="0.2">
      <c r="A42" s="18" t="s">
        <v>186</v>
      </c>
      <c r="D42" s="20">
        <f>SUM(D40:D41)</f>
        <v>26056616.549999997</v>
      </c>
      <c r="E42" s="20">
        <f t="shared" ref="E42" si="30">SUM(E40:E41)</f>
        <v>-5471889.4755000006</v>
      </c>
      <c r="F42" s="20">
        <f t="shared" ref="F42" si="31">SUM(F40:F41)</f>
        <v>300953.92115249997</v>
      </c>
      <c r="G42" s="20">
        <f t="shared" ref="G42" si="32">SUM(G40:G41)</f>
        <v>-1433113.9102499997</v>
      </c>
      <c r="H42" s="20">
        <f t="shared" ref="H42" si="33">SUM(H40:H41)</f>
        <v>-6604049.4645975009</v>
      </c>
    </row>
    <row r="43" spans="1:8" ht="15" customHeight="1" x14ac:dyDescent="0.2">
      <c r="D43" s="7"/>
    </row>
    <row r="44" spans="1:8" ht="15" customHeight="1" x14ac:dyDescent="0.2">
      <c r="A44" s="27" t="s">
        <v>184</v>
      </c>
      <c r="B44" s="26">
        <v>9182351</v>
      </c>
      <c r="C44" s="26">
        <v>2801505</v>
      </c>
      <c r="D44" s="28">
        <v>112432272.68000001</v>
      </c>
      <c r="E44" s="29">
        <f>-D44*$E$6</f>
        <v>-23610777.262800001</v>
      </c>
      <c r="F44" s="29">
        <f>-D44*$F$6</f>
        <v>1298592.749454</v>
      </c>
      <c r="G44" s="29">
        <f>-D44*$G$6</f>
        <v>-6183774.9974000007</v>
      </c>
      <c r="H44" s="29">
        <f t="shared" ref="H44" si="34">SUM(E44:G44)</f>
        <v>-28495959.510746002</v>
      </c>
    </row>
    <row r="45" spans="1:8" ht="15" customHeight="1" x14ac:dyDescent="0.2">
      <c r="A45" s="27" t="s">
        <v>185</v>
      </c>
      <c r="B45" s="26">
        <v>9182354</v>
      </c>
      <c r="C45" s="26">
        <v>2801516</v>
      </c>
      <c r="D45" s="28">
        <v>-70940952.390000001</v>
      </c>
      <c r="E45" s="29">
        <f>-D45*$E$6</f>
        <v>14897600.0019</v>
      </c>
      <c r="F45" s="29">
        <f>-D45*$F$6</f>
        <v>-819368.00010449998</v>
      </c>
      <c r="G45" s="29">
        <f>-D45*$G$6</f>
        <v>3901752.3814500002</v>
      </c>
      <c r="H45" s="29">
        <f>SUM(E45:G45)</f>
        <v>17979984.383245502</v>
      </c>
    </row>
    <row r="46" spans="1:8" ht="15" customHeight="1" x14ac:dyDescent="0.2">
      <c r="A46" s="18" t="s">
        <v>187</v>
      </c>
      <c r="D46" s="20">
        <f>SUM(D44:D45)</f>
        <v>41491320.290000007</v>
      </c>
      <c r="E46" s="20">
        <f t="shared" ref="E46" si="35">SUM(E44:E45)</f>
        <v>-8713177.2609000001</v>
      </c>
      <c r="F46" s="20">
        <f t="shared" ref="F46" si="36">SUM(F44:F45)</f>
        <v>479224.74934950005</v>
      </c>
      <c r="G46" s="20">
        <f t="shared" ref="G46" si="37">SUM(G44:G45)</f>
        <v>-2282022.6159500005</v>
      </c>
      <c r="H46" s="20">
        <f t="shared" ref="H46" si="38">SUM(H44:H45)</f>
        <v>-10515975.127500501</v>
      </c>
    </row>
    <row r="47" spans="1:8" ht="15" customHeight="1" x14ac:dyDescent="0.2">
      <c r="D47" s="7"/>
    </row>
    <row r="48" spans="1:8" ht="15" customHeight="1" thickBot="1" x14ac:dyDescent="0.25">
      <c r="A48" s="125" t="s">
        <v>188</v>
      </c>
      <c r="D48" s="126">
        <f>D42+D46</f>
        <v>67547936.840000004</v>
      </c>
      <c r="E48" s="126">
        <f>E42+E46</f>
        <v>-14185066.736400001</v>
      </c>
      <c r="F48" s="126">
        <f>F42+F46</f>
        <v>780178.67050200002</v>
      </c>
      <c r="G48" s="126">
        <f>G42+G46</f>
        <v>-3715136.5262000002</v>
      </c>
      <c r="H48" s="126">
        <f>H42+H46</f>
        <v>-17120024.592098001</v>
      </c>
    </row>
    <row r="49" spans="1:8" ht="15" customHeight="1" thickTop="1" x14ac:dyDescent="0.2"/>
    <row r="50" spans="1:8" ht="15" customHeight="1" x14ac:dyDescent="0.2">
      <c r="A50" s="27" t="s">
        <v>194</v>
      </c>
      <c r="B50" s="26">
        <v>9182353</v>
      </c>
      <c r="C50" s="26">
        <v>2511100</v>
      </c>
      <c r="D50" s="28">
        <v>70940952.390000001</v>
      </c>
      <c r="E50" s="29">
        <f>-D50*$E$6</f>
        <v>-14897600.0019</v>
      </c>
      <c r="F50" s="29">
        <f>-D50*$F$6</f>
        <v>819368.00010449998</v>
      </c>
      <c r="G50" s="29">
        <f>-D50*$G$6</f>
        <v>-3901752.3814500002</v>
      </c>
      <c r="H50" s="29">
        <f t="shared" ref="H50" si="39">SUM(E50:G50)</f>
        <v>-17979984.383245502</v>
      </c>
    </row>
    <row r="51" spans="1:8" ht="15" customHeight="1" x14ac:dyDescent="0.2">
      <c r="A51" s="10" t="s">
        <v>183</v>
      </c>
      <c r="B51" s="9">
        <v>9182145</v>
      </c>
      <c r="C51" s="9">
        <v>2511000</v>
      </c>
      <c r="D51" s="19">
        <v>44551033.590000004</v>
      </c>
      <c r="E51" s="7">
        <f>-D51*$E$6</f>
        <v>-9355717.0538999997</v>
      </c>
      <c r="F51" s="7">
        <f>-D51*$F$6</f>
        <v>514564.43796450004</v>
      </c>
      <c r="G51" s="7">
        <f>-D51*$G$6</f>
        <v>-2450306.8474500002</v>
      </c>
      <c r="H51" s="7">
        <f>SUM(E51:G51)</f>
        <v>-11291459.4633855</v>
      </c>
    </row>
    <row r="52" spans="1:8" ht="15" customHeight="1" x14ac:dyDescent="0.2">
      <c r="A52" s="125" t="s">
        <v>195</v>
      </c>
      <c r="D52" s="20">
        <f>SUM(D50:D51)</f>
        <v>115491985.98</v>
      </c>
      <c r="E52" s="20">
        <f t="shared" ref="E52:H52" si="40">SUM(E50:E51)</f>
        <v>-24253317.055799998</v>
      </c>
      <c r="F52" s="20">
        <f t="shared" si="40"/>
        <v>1333932.4380689999</v>
      </c>
      <c r="G52" s="20">
        <f t="shared" si="40"/>
        <v>-6352059.2289000005</v>
      </c>
      <c r="H52" s="20">
        <f t="shared" si="40"/>
        <v>-29271443.846631002</v>
      </c>
    </row>
    <row r="55" spans="1:8" ht="15" customHeight="1" x14ac:dyDescent="0.2">
      <c r="B55" s="117"/>
      <c r="C55" s="129"/>
      <c r="D55" s="3"/>
    </row>
  </sheetData>
  <pageMargins left="0.5" right="0.25" top="0.5" bottom="0.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A6" sqref="A6"/>
    </sheetView>
  </sheetViews>
  <sheetFormatPr defaultColWidth="8.7109375" defaultRowHeight="14.1" customHeight="1" x14ac:dyDescent="0.2"/>
  <cols>
    <col min="1" max="2" width="8.7109375" style="6"/>
    <col min="3" max="3" width="43" style="6" customWidth="1"/>
    <col min="4" max="4" width="12.7109375" style="6" bestFit="1" customWidth="1"/>
    <col min="5" max="5" width="4" style="6" customWidth="1"/>
    <col min="6" max="6" width="48.42578125" style="6" bestFit="1" customWidth="1"/>
    <col min="7" max="16384" width="8.7109375" style="6"/>
  </cols>
  <sheetData>
    <row r="1" spans="1:7" ht="14.1" customHeight="1" x14ac:dyDescent="0.25">
      <c r="A1" s="177" t="s">
        <v>179</v>
      </c>
    </row>
    <row r="2" spans="1:7" ht="14.1" customHeight="1" x14ac:dyDescent="0.25">
      <c r="A2" s="177" t="s">
        <v>255</v>
      </c>
    </row>
    <row r="3" spans="1:7" ht="14.1" customHeight="1" x14ac:dyDescent="0.25">
      <c r="A3" s="177" t="s">
        <v>256</v>
      </c>
    </row>
    <row r="4" spans="1:7" ht="14.1" customHeight="1" x14ac:dyDescent="0.25">
      <c r="A4" s="177" t="s">
        <v>257</v>
      </c>
    </row>
    <row r="5" spans="1:7" ht="14.1" customHeight="1" x14ac:dyDescent="0.25">
      <c r="A5" s="177" t="s">
        <v>258</v>
      </c>
    </row>
    <row r="6" spans="1:7" ht="14.1" customHeight="1" x14ac:dyDescent="0.25">
      <c r="A6" s="177" t="s">
        <v>261</v>
      </c>
    </row>
    <row r="7" spans="1:7" ht="14.1" customHeight="1" x14ac:dyDescent="0.2">
      <c r="A7" s="174" t="s">
        <v>254</v>
      </c>
    </row>
    <row r="8" spans="1:7" ht="14.1" customHeight="1" x14ac:dyDescent="0.2">
      <c r="A8" s="122" t="s">
        <v>94</v>
      </c>
      <c r="B8" s="122" t="s">
        <v>95</v>
      </c>
      <c r="C8" s="122" t="s">
        <v>111</v>
      </c>
      <c r="D8" s="122" t="s">
        <v>112</v>
      </c>
    </row>
    <row r="9" spans="1:7" ht="14.1" customHeight="1" x14ac:dyDescent="0.2">
      <c r="A9" s="9">
        <v>2620500</v>
      </c>
      <c r="B9" s="9">
        <v>9101098</v>
      </c>
      <c r="C9" s="10" t="s">
        <v>74</v>
      </c>
      <c r="D9" s="19">
        <v>442704538.16000003</v>
      </c>
    </row>
    <row r="10" spans="1:7" ht="14.1" customHeight="1" x14ac:dyDescent="0.2">
      <c r="A10" s="9">
        <v>2652500</v>
      </c>
      <c r="B10" s="9">
        <v>9108101</v>
      </c>
      <c r="C10" s="10" t="s">
        <v>75</v>
      </c>
      <c r="D10" s="19">
        <v>-69990711.590000004</v>
      </c>
    </row>
    <row r="11" spans="1:7" ht="14.1" customHeight="1" x14ac:dyDescent="0.2">
      <c r="A11" s="26">
        <v>3602600</v>
      </c>
      <c r="B11" s="26">
        <v>9254143</v>
      </c>
      <c r="C11" s="27" t="s">
        <v>76</v>
      </c>
      <c r="D11" s="28">
        <v>-2575742674.7600002</v>
      </c>
    </row>
    <row r="12" spans="1:7" ht="14.1" customHeight="1" x14ac:dyDescent="0.2">
      <c r="A12" s="9">
        <v>3701020</v>
      </c>
      <c r="B12" s="9">
        <v>9108134</v>
      </c>
      <c r="C12" s="10" t="s">
        <v>77</v>
      </c>
      <c r="D12" s="19">
        <v>57971906.960000001</v>
      </c>
    </row>
    <row r="13" spans="1:7" ht="14.1" customHeight="1" x14ac:dyDescent="0.2">
      <c r="A13" s="9">
        <v>3701220</v>
      </c>
      <c r="B13" s="9">
        <v>9108171</v>
      </c>
      <c r="C13" s="10" t="s">
        <v>78</v>
      </c>
      <c r="D13" s="19">
        <v>4175546408.0799999</v>
      </c>
      <c r="G13" s="7"/>
    </row>
    <row r="14" spans="1:7" ht="14.1" customHeight="1" x14ac:dyDescent="0.2">
      <c r="A14" s="9">
        <v>3704000</v>
      </c>
      <c r="B14" s="9">
        <v>9230143</v>
      </c>
      <c r="C14" s="10" t="s">
        <v>79</v>
      </c>
      <c r="D14" s="19">
        <v>-2030679475.48</v>
      </c>
      <c r="G14" s="7"/>
    </row>
    <row r="15" spans="1:7" ht="14.1" customHeight="1" thickBot="1" x14ac:dyDescent="0.25">
      <c r="A15" s="11"/>
      <c r="B15" s="11"/>
      <c r="C15" s="132" t="s">
        <v>243</v>
      </c>
      <c r="D15" s="13">
        <f>SUM(D9:D14)</f>
        <v>-190008.63000011444</v>
      </c>
      <c r="F15" s="6" t="s">
        <v>113</v>
      </c>
      <c r="G15" s="7"/>
    </row>
    <row r="16" spans="1:7" ht="14.1" customHeight="1" thickTop="1" x14ac:dyDescent="0.2">
      <c r="A16" s="11"/>
      <c r="B16" s="11"/>
      <c r="C16" s="132"/>
      <c r="D16" s="12"/>
      <c r="G16" s="7"/>
    </row>
    <row r="17" spans="1:9" ht="14.1" customHeight="1" x14ac:dyDescent="0.2">
      <c r="A17" s="9">
        <v>2620500</v>
      </c>
      <c r="B17" s="9">
        <v>9101098</v>
      </c>
      <c r="C17" s="10" t="s">
        <v>74</v>
      </c>
      <c r="D17" s="19">
        <v>0</v>
      </c>
      <c r="G17" s="7"/>
    </row>
    <row r="18" spans="1:9" ht="14.1" customHeight="1" x14ac:dyDescent="0.2">
      <c r="A18" s="9">
        <v>2652500</v>
      </c>
      <c r="B18" s="9">
        <v>9108101</v>
      </c>
      <c r="C18" s="10" t="s">
        <v>75</v>
      </c>
      <c r="D18" s="19">
        <v>0</v>
      </c>
      <c r="G18" s="7"/>
    </row>
    <row r="19" spans="1:9" ht="14.1" customHeight="1" x14ac:dyDescent="0.2">
      <c r="A19" s="26">
        <v>3602600</v>
      </c>
      <c r="B19" s="26">
        <v>9254143</v>
      </c>
      <c r="C19" s="27" t="s">
        <v>76</v>
      </c>
      <c r="D19" s="28">
        <v>3390187.43</v>
      </c>
      <c r="G19" s="7"/>
    </row>
    <row r="20" spans="1:9" ht="14.1" customHeight="1" x14ac:dyDescent="0.2">
      <c r="A20" s="9">
        <v>3701020</v>
      </c>
      <c r="B20" s="9">
        <v>9108134</v>
      </c>
      <c r="C20" s="10" t="s">
        <v>77</v>
      </c>
      <c r="D20" s="19">
        <v>1130062.56</v>
      </c>
      <c r="G20" s="7"/>
    </row>
    <row r="21" spans="1:9" ht="14.1" customHeight="1" x14ac:dyDescent="0.2">
      <c r="A21" s="9">
        <v>3704000</v>
      </c>
      <c r="B21" s="9">
        <v>9230143</v>
      </c>
      <c r="C21" s="10" t="s">
        <v>79</v>
      </c>
      <c r="D21" s="19">
        <v>-4520249.99</v>
      </c>
      <c r="G21" s="7"/>
    </row>
    <row r="22" spans="1:9" ht="14.1" customHeight="1" thickBot="1" x14ac:dyDescent="0.25">
      <c r="C22" s="132" t="s">
        <v>244</v>
      </c>
      <c r="D22" s="13">
        <f>SUM(D17:D21)</f>
        <v>0</v>
      </c>
      <c r="F22" s="6" t="s">
        <v>245</v>
      </c>
      <c r="G22" s="7"/>
    </row>
    <row r="23" spans="1:9" ht="14.1" customHeight="1" thickTop="1" x14ac:dyDescent="0.2">
      <c r="A23" s="11"/>
      <c r="B23" s="11"/>
      <c r="C23" s="132"/>
      <c r="D23" s="12"/>
      <c r="G23" s="7"/>
    </row>
    <row r="24" spans="1:9" ht="14.1" customHeight="1" x14ac:dyDescent="0.2">
      <c r="A24" s="9">
        <v>2620500</v>
      </c>
      <c r="B24" s="9">
        <v>9101098</v>
      </c>
      <c r="C24" s="10" t="s">
        <v>74</v>
      </c>
      <c r="D24" s="19">
        <v>10696713.09</v>
      </c>
      <c r="G24" s="7"/>
    </row>
    <row r="25" spans="1:9" ht="14.1" customHeight="1" x14ac:dyDescent="0.2">
      <c r="A25" s="9">
        <v>2652500</v>
      </c>
      <c r="B25" s="9">
        <v>9108101</v>
      </c>
      <c r="C25" s="10" t="s">
        <v>75</v>
      </c>
      <c r="D25" s="19">
        <v>-2674178.2000000002</v>
      </c>
      <c r="G25" s="7"/>
    </row>
    <row r="26" spans="1:9" ht="14.1" customHeight="1" x14ac:dyDescent="0.2">
      <c r="A26" s="26">
        <v>3602600</v>
      </c>
      <c r="B26" s="26">
        <v>9254143</v>
      </c>
      <c r="C26" s="27" t="s">
        <v>76</v>
      </c>
      <c r="D26" s="28">
        <v>2862780.27</v>
      </c>
      <c r="G26" s="7"/>
    </row>
    <row r="27" spans="1:9" ht="14.1" customHeight="1" x14ac:dyDescent="0.2">
      <c r="A27" s="9">
        <v>3704000</v>
      </c>
      <c r="B27" s="9">
        <v>9230143</v>
      </c>
      <c r="C27" s="10" t="s">
        <v>79</v>
      </c>
      <c r="D27" s="19">
        <v>-10885315.16</v>
      </c>
      <c r="G27" s="7"/>
    </row>
    <row r="28" spans="1:9" ht="14.1" customHeight="1" thickBot="1" x14ac:dyDescent="0.25">
      <c r="C28" s="132" t="s">
        <v>246</v>
      </c>
      <c r="D28" s="13">
        <f>SUM(D24:D27)</f>
        <v>0</v>
      </c>
      <c r="F28" s="6" t="s">
        <v>245</v>
      </c>
      <c r="G28" s="7"/>
    </row>
    <row r="29" spans="1:9" ht="14.1" customHeight="1" thickTop="1" x14ac:dyDescent="0.2">
      <c r="A29" s="11"/>
      <c r="B29" s="11"/>
      <c r="C29" s="11"/>
      <c r="D29" s="12"/>
      <c r="G29" s="7"/>
      <c r="I29" s="176"/>
    </row>
    <row r="30" spans="1:9" ht="14.1" customHeight="1" x14ac:dyDescent="0.2">
      <c r="A30" s="26">
        <v>3602600</v>
      </c>
      <c r="B30" s="26">
        <v>9254143</v>
      </c>
      <c r="C30" s="27" t="s">
        <v>76</v>
      </c>
      <c r="D30" s="28">
        <v>-2575742674.7600002</v>
      </c>
      <c r="F30" s="6" t="s">
        <v>247</v>
      </c>
      <c r="G30" s="7"/>
      <c r="I30" s="176"/>
    </row>
    <row r="31" spans="1:9" ht="14.1" customHeight="1" x14ac:dyDescent="0.2">
      <c r="A31" s="26">
        <v>3602600</v>
      </c>
      <c r="B31" s="26">
        <v>9254143</v>
      </c>
      <c r="C31" s="27" t="s">
        <v>76</v>
      </c>
      <c r="D31" s="28">
        <v>3390187.43</v>
      </c>
      <c r="F31" s="6" t="s">
        <v>248</v>
      </c>
      <c r="G31" s="7"/>
      <c r="I31" s="176"/>
    </row>
    <row r="32" spans="1:9" ht="14.1" customHeight="1" x14ac:dyDescent="0.2">
      <c r="A32" s="26">
        <v>3602600</v>
      </c>
      <c r="B32" s="26">
        <v>9254143</v>
      </c>
      <c r="C32" s="27" t="s">
        <v>76</v>
      </c>
      <c r="D32" s="28">
        <v>2862780.22</v>
      </c>
      <c r="F32" s="6" t="s">
        <v>249</v>
      </c>
      <c r="G32" s="7"/>
    </row>
    <row r="33" spans="1:7" ht="14.1" customHeight="1" x14ac:dyDescent="0.2">
      <c r="A33" s="11"/>
      <c r="B33" s="11"/>
      <c r="C33" s="134" t="s">
        <v>197</v>
      </c>
      <c r="D33" s="133">
        <f>+SUM(D30:D32)</f>
        <v>-2569489707.1100006</v>
      </c>
      <c r="G33" s="7"/>
    </row>
    <row r="34" spans="1:7" ht="14.1" customHeight="1" x14ac:dyDescent="0.2">
      <c r="A34" s="11"/>
      <c r="B34" s="11"/>
      <c r="C34" s="11"/>
      <c r="D34" s="12">
        <f>+D33-'&lt;1&gt; ADIT Detail'!D42</f>
        <v>0</v>
      </c>
      <c r="G34" s="7"/>
    </row>
    <row r="35" spans="1:7" ht="14.1" customHeight="1" x14ac:dyDescent="0.2">
      <c r="A35" s="11"/>
      <c r="B35" s="11"/>
      <c r="C35" s="11"/>
      <c r="D35" s="12"/>
      <c r="G35" s="7"/>
    </row>
    <row r="36" spans="1:7" ht="14.1" customHeight="1" x14ac:dyDescent="0.2">
      <c r="A36" s="26">
        <v>2512146</v>
      </c>
      <c r="B36" s="26">
        <v>9182378</v>
      </c>
      <c r="C36" s="27" t="s">
        <v>80</v>
      </c>
      <c r="D36" s="28">
        <v>23582608</v>
      </c>
      <c r="G36" s="7"/>
    </row>
    <row r="37" spans="1:7" ht="14.1" customHeight="1" x14ac:dyDescent="0.2">
      <c r="A37" s="26">
        <v>2801048</v>
      </c>
      <c r="B37" s="26">
        <v>9182379</v>
      </c>
      <c r="C37" s="27" t="s">
        <v>81</v>
      </c>
      <c r="D37" s="28">
        <v>66817392</v>
      </c>
      <c r="G37" s="7"/>
    </row>
    <row r="38" spans="1:7" ht="14.1" customHeight="1" x14ac:dyDescent="0.2">
      <c r="A38" s="9">
        <v>3320000</v>
      </c>
      <c r="B38" s="9">
        <v>9242120</v>
      </c>
      <c r="C38" s="10" t="s">
        <v>82</v>
      </c>
      <c r="D38" s="19">
        <f>-D36-D37</f>
        <v>-90400000</v>
      </c>
      <c r="F38" s="8" t="s">
        <v>83</v>
      </c>
    </row>
    <row r="39" spans="1:7" ht="14.1" customHeight="1" thickBot="1" x14ac:dyDescent="0.25">
      <c r="A39" s="11"/>
      <c r="B39" s="11"/>
      <c r="C39" s="11"/>
      <c r="D39" s="13">
        <f>SUM(D36:D38)</f>
        <v>0</v>
      </c>
    </row>
    <row r="40" spans="1:7" ht="14.1" customHeight="1" thickTop="1" x14ac:dyDescent="0.2">
      <c r="A40" s="11"/>
      <c r="B40" s="11"/>
      <c r="C40" s="11"/>
      <c r="D40" s="12"/>
    </row>
    <row r="41" spans="1:7" ht="14.1" customHeight="1" x14ac:dyDescent="0.2">
      <c r="A41" s="9">
        <v>2500000</v>
      </c>
      <c r="B41" s="9">
        <v>9175570</v>
      </c>
      <c r="C41" s="10" t="s">
        <v>87</v>
      </c>
      <c r="D41" s="19">
        <v>2407835.66</v>
      </c>
    </row>
    <row r="42" spans="1:7" ht="14.1" customHeight="1" x14ac:dyDescent="0.2">
      <c r="A42" s="9">
        <v>3401000</v>
      </c>
      <c r="B42" s="9">
        <v>9244570</v>
      </c>
      <c r="C42" s="10" t="s">
        <v>88</v>
      </c>
      <c r="D42" s="19">
        <v>-2149820.13</v>
      </c>
    </row>
    <row r="43" spans="1:7" ht="14.1" customHeight="1" x14ac:dyDescent="0.2">
      <c r="A43" s="26">
        <v>3401300</v>
      </c>
      <c r="B43" s="26">
        <v>9254321</v>
      </c>
      <c r="C43" s="27" t="s">
        <v>89</v>
      </c>
      <c r="D43" s="28">
        <v>-258021.26</v>
      </c>
    </row>
    <row r="44" spans="1:7" ht="14.1" customHeight="1" x14ac:dyDescent="0.2">
      <c r="A44" s="9">
        <v>3700000</v>
      </c>
      <c r="B44" s="9">
        <v>9244571</v>
      </c>
      <c r="C44" s="10" t="s">
        <v>90</v>
      </c>
      <c r="D44" s="19">
        <v>5.4</v>
      </c>
    </row>
    <row r="45" spans="1:7" ht="14.1" customHeight="1" thickBot="1" x14ac:dyDescent="0.25">
      <c r="A45" s="11"/>
      <c r="B45" s="11"/>
      <c r="C45" s="11"/>
      <c r="D45" s="13">
        <f>SUM(D41:D44)</f>
        <v>-0.32999999974854255</v>
      </c>
    </row>
    <row r="46" spans="1:7" ht="14.1" customHeight="1" thickTop="1" x14ac:dyDescent="0.2">
      <c r="D46" s="7"/>
    </row>
    <row r="47" spans="1:7" ht="14.1" customHeight="1" x14ac:dyDescent="0.2">
      <c r="B47" s="6">
        <v>3704000</v>
      </c>
      <c r="D47" s="7"/>
    </row>
    <row r="48" spans="1:7" ht="14.1" customHeight="1" x14ac:dyDescent="0.2">
      <c r="D48" s="7"/>
    </row>
    <row r="49" spans="4:4" ht="14.1" customHeight="1" x14ac:dyDescent="0.2">
      <c r="D49" s="7"/>
    </row>
    <row r="50" spans="4:4" ht="14.1" customHeight="1" x14ac:dyDescent="0.2">
      <c r="D50" s="7"/>
    </row>
    <row r="51" spans="4:4" ht="14.1" customHeight="1" x14ac:dyDescent="0.2">
      <c r="D51" s="7"/>
    </row>
    <row r="52" spans="4:4" ht="14.1" customHeight="1" x14ac:dyDescent="0.2">
      <c r="D52" s="7"/>
    </row>
    <row r="53" spans="4:4" ht="14.1" customHeight="1" x14ac:dyDescent="0.2">
      <c r="D53" s="7"/>
    </row>
    <row r="54" spans="4:4" ht="14.1" customHeight="1" x14ac:dyDescent="0.2">
      <c r="D54" s="7"/>
    </row>
    <row r="55" spans="4:4" ht="14.1" customHeight="1" x14ac:dyDescent="0.2">
      <c r="D55" s="7"/>
    </row>
    <row r="56" spans="4:4" ht="14.1" customHeight="1" x14ac:dyDescent="0.2">
      <c r="D56" s="7"/>
    </row>
    <row r="57" spans="4:4" ht="14.1" customHeight="1" x14ac:dyDescent="0.2">
      <c r="D57" s="7"/>
    </row>
    <row r="58" spans="4:4" ht="14.1" customHeight="1" x14ac:dyDescent="0.2">
      <c r="D58" s="7"/>
    </row>
    <row r="59" spans="4:4" ht="14.1" customHeight="1" x14ac:dyDescent="0.2">
      <c r="D59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6" sqref="A6"/>
    </sheetView>
  </sheetViews>
  <sheetFormatPr defaultColWidth="8.85546875" defaultRowHeight="14.1" customHeight="1" x14ac:dyDescent="0.2"/>
  <cols>
    <col min="1" max="1" width="3.28515625" style="6" customWidth="1"/>
    <col min="2" max="2" width="26.42578125" style="6" customWidth="1"/>
    <col min="3" max="4" width="10.28515625" style="6" bestFit="1" customWidth="1"/>
    <col min="5" max="5" width="11.42578125" style="6" bestFit="1" customWidth="1"/>
    <col min="6" max="6" width="9.7109375" style="6" bestFit="1" customWidth="1"/>
    <col min="7" max="7" width="10.28515625" style="6" bestFit="1" customWidth="1"/>
    <col min="8" max="8" width="9.7109375" style="6" bestFit="1" customWidth="1"/>
    <col min="9" max="9" width="4" style="6" customWidth="1"/>
    <col min="10" max="10" width="10.28515625" style="6" bestFit="1" customWidth="1"/>
    <col min="11" max="11" width="14.28515625" style="6" bestFit="1" customWidth="1"/>
    <col min="12" max="12" width="34.42578125" style="6" bestFit="1" customWidth="1"/>
    <col min="13" max="16384" width="8.85546875" style="6"/>
  </cols>
  <sheetData>
    <row r="1" spans="1:12" ht="14.1" customHeight="1" x14ac:dyDescent="0.25">
      <c r="A1" s="177" t="s">
        <v>179</v>
      </c>
      <c r="B1" s="40"/>
      <c r="F1" s="40" t="s">
        <v>174</v>
      </c>
    </row>
    <row r="2" spans="1:12" ht="14.1" customHeight="1" x14ac:dyDescent="0.25">
      <c r="A2" s="177" t="s">
        <v>255</v>
      </c>
    </row>
    <row r="3" spans="1:12" ht="14.1" customHeight="1" x14ac:dyDescent="0.25">
      <c r="A3" s="177" t="s">
        <v>256</v>
      </c>
      <c r="C3" s="41"/>
      <c r="D3" s="41"/>
      <c r="E3" s="41"/>
      <c r="F3" s="41"/>
      <c r="G3" s="41"/>
      <c r="H3" s="41"/>
      <c r="I3" s="41"/>
      <c r="J3" s="41"/>
      <c r="K3" s="41"/>
    </row>
    <row r="4" spans="1:12" ht="14.1" customHeight="1" x14ac:dyDescent="0.25">
      <c r="A4" s="177" t="s">
        <v>257</v>
      </c>
      <c r="B4" s="47"/>
      <c r="C4" s="48" t="s">
        <v>70</v>
      </c>
      <c r="D4" s="49" t="s">
        <v>71</v>
      </c>
      <c r="E4" s="48" t="s">
        <v>70</v>
      </c>
      <c r="F4" s="49" t="s">
        <v>71</v>
      </c>
      <c r="G4" s="48" t="s">
        <v>70</v>
      </c>
      <c r="H4" s="49" t="s">
        <v>71</v>
      </c>
      <c r="I4" s="50"/>
      <c r="J4" s="51" t="s">
        <v>130</v>
      </c>
      <c r="K4" s="52" t="s">
        <v>130</v>
      </c>
    </row>
    <row r="5" spans="1:12" ht="14.1" customHeight="1" x14ac:dyDescent="0.25">
      <c r="A5" s="177" t="s">
        <v>258</v>
      </c>
      <c r="B5" s="54"/>
      <c r="C5" s="55" t="s">
        <v>132</v>
      </c>
      <c r="D5" s="56" t="s">
        <v>133</v>
      </c>
      <c r="E5" s="55" t="s">
        <v>134</v>
      </c>
      <c r="F5" s="56" t="s">
        <v>135</v>
      </c>
      <c r="G5" s="55" t="s">
        <v>136</v>
      </c>
      <c r="H5" s="56" t="s">
        <v>137</v>
      </c>
      <c r="I5" s="172"/>
      <c r="J5" s="55" t="s">
        <v>138</v>
      </c>
      <c r="K5" s="56" t="s">
        <v>139</v>
      </c>
    </row>
    <row r="6" spans="1:12" ht="14.1" customHeight="1" x14ac:dyDescent="0.25">
      <c r="A6" s="177" t="s">
        <v>262</v>
      </c>
      <c r="B6" s="60"/>
      <c r="C6" s="61" t="s">
        <v>141</v>
      </c>
      <c r="D6" s="62" t="s">
        <v>141</v>
      </c>
      <c r="E6" s="61" t="s">
        <v>142</v>
      </c>
      <c r="F6" s="62" t="s">
        <v>142</v>
      </c>
      <c r="G6" s="61" t="s">
        <v>143</v>
      </c>
      <c r="H6" s="62" t="s">
        <v>143</v>
      </c>
      <c r="I6" s="60"/>
      <c r="J6" s="61" t="s">
        <v>144</v>
      </c>
      <c r="K6" s="62" t="s">
        <v>145</v>
      </c>
    </row>
    <row r="8" spans="1:12" ht="14.1" customHeight="1" x14ac:dyDescent="0.2">
      <c r="B8" s="41" t="s">
        <v>70</v>
      </c>
      <c r="C8" s="44">
        <f>+'&lt;4a&gt; FPL FAS109'!Q43</f>
        <v>724559919.25999999</v>
      </c>
      <c r="D8" s="41"/>
      <c r="E8" s="44">
        <f>+'&lt;4a&gt; FPL FAS109'!S43</f>
        <v>2783947559.3899999</v>
      </c>
      <c r="F8" s="41"/>
      <c r="G8" s="44">
        <f>+'&lt;4a&gt; FPL FAS109'!U43</f>
        <v>582790634.45000005</v>
      </c>
      <c r="H8" s="41"/>
      <c r="I8" s="41"/>
      <c r="J8" s="44">
        <f>+'&lt;4a&gt; FPL FAS109'!X43</f>
        <v>588821147.5</v>
      </c>
      <c r="K8" s="44">
        <f>+'&lt;4a&gt; FPL FAS109'!Y43</f>
        <v>-4680119260.6000004</v>
      </c>
    </row>
    <row r="9" spans="1:12" ht="14.1" customHeight="1" x14ac:dyDescent="0.2">
      <c r="B9" s="41" t="s">
        <v>92</v>
      </c>
      <c r="C9" s="44">
        <f>+'&lt;4a&gt; FPL FAS109'!Q44</f>
        <v>-57969052.259999998</v>
      </c>
      <c r="D9" s="41"/>
      <c r="E9" s="44">
        <f>+'&lt;4a&gt; FPL FAS109'!S44</f>
        <v>6375125.6099999994</v>
      </c>
      <c r="F9" s="41"/>
      <c r="G9" s="44">
        <f>+'&lt;4a&gt; FPL FAS109'!U44</f>
        <v>7420781.5499999998</v>
      </c>
      <c r="H9" s="41"/>
      <c r="I9" s="41"/>
      <c r="J9" s="44">
        <f>+'&lt;4a&gt; FPL FAS109'!X44</f>
        <v>-14266906.5</v>
      </c>
      <c r="K9" s="44">
        <f>+'&lt;4a&gt; FPL FAS109'!Y44</f>
        <v>58440051.600000001</v>
      </c>
    </row>
    <row r="10" spans="1:12" ht="14.1" customHeight="1" x14ac:dyDescent="0.2">
      <c r="B10" s="114" t="s">
        <v>178</v>
      </c>
      <c r="C10" s="108">
        <f>+SUM(C8:C9)</f>
        <v>666590867</v>
      </c>
      <c r="D10" s="41"/>
      <c r="E10" s="108">
        <f>+SUM(E8:E9)</f>
        <v>2790322685</v>
      </c>
      <c r="F10" s="41"/>
      <c r="G10" s="108">
        <f>+SUM(G8:G9)</f>
        <v>590211416</v>
      </c>
      <c r="H10" s="41"/>
      <c r="I10" s="41"/>
      <c r="J10" s="108">
        <f>+SUM(J8:J9)</f>
        <v>574554241</v>
      </c>
      <c r="K10" s="108">
        <f>+SUM(K8:K9)</f>
        <v>-4621679209</v>
      </c>
    </row>
    <row r="11" spans="1:12" ht="14.1" customHeight="1" x14ac:dyDescent="0.2">
      <c r="B11" s="41"/>
      <c r="C11" s="41"/>
      <c r="D11" s="41"/>
      <c r="E11" s="41"/>
      <c r="F11" s="41"/>
      <c r="G11" s="41"/>
      <c r="H11" s="41"/>
      <c r="I11" s="41"/>
      <c r="J11" s="41"/>
      <c r="K11" s="44"/>
    </row>
    <row r="12" spans="1:12" ht="14.1" customHeight="1" x14ac:dyDescent="0.2">
      <c r="B12" s="41" t="s">
        <v>71</v>
      </c>
      <c r="C12" s="41"/>
      <c r="D12" s="44">
        <f>+'&lt;4a&gt; FPL FAS109'!R47</f>
        <v>276043106</v>
      </c>
      <c r="E12" s="41"/>
      <c r="F12" s="44">
        <f>+'&lt;4a&gt; FPL FAS109'!T47</f>
        <v>-30357741</v>
      </c>
      <c r="G12" s="41"/>
      <c r="H12" s="44">
        <f>+'&lt;4a&gt; FPL FAS109'!V47</f>
        <v>-35337055</v>
      </c>
      <c r="I12" s="41"/>
      <c r="J12" s="44">
        <f>+'&lt;4a&gt; FPL FAS109'!X47</f>
        <v>67937650</v>
      </c>
      <c r="K12" s="44">
        <f>+'&lt;4a&gt; FPL FAS109'!Y47</f>
        <v>-278285960</v>
      </c>
    </row>
    <row r="13" spans="1:12" ht="14.1" customHeight="1" x14ac:dyDescent="0.2"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2" ht="14.1" customHeight="1" thickBot="1" x14ac:dyDescent="0.25">
      <c r="B14" s="166" t="s">
        <v>223</v>
      </c>
      <c r="C14" s="167">
        <f>+C10+C12</f>
        <v>666590867</v>
      </c>
      <c r="D14" s="167">
        <f t="shared" ref="D14:K14" si="0">+D10+D12</f>
        <v>276043106</v>
      </c>
      <c r="E14" s="167">
        <f t="shared" si="0"/>
        <v>2790322685</v>
      </c>
      <c r="F14" s="167">
        <f t="shared" si="0"/>
        <v>-30357741</v>
      </c>
      <c r="G14" s="167">
        <f t="shared" si="0"/>
        <v>590211416</v>
      </c>
      <c r="H14" s="167">
        <f t="shared" si="0"/>
        <v>-35337055</v>
      </c>
      <c r="I14" s="145"/>
      <c r="J14" s="167">
        <f t="shared" si="0"/>
        <v>642491891</v>
      </c>
      <c r="K14" s="167">
        <f t="shared" si="0"/>
        <v>-4899965169</v>
      </c>
      <c r="L14" s="6" t="s">
        <v>253</v>
      </c>
    </row>
    <row r="15" spans="1:12" ht="14.1" customHeight="1" thickTop="1" x14ac:dyDescent="0.2"/>
    <row r="17" spans="2:12" ht="14.1" customHeight="1" x14ac:dyDescent="0.2">
      <c r="B17" s="41" t="s">
        <v>70</v>
      </c>
      <c r="C17" s="44">
        <f>+'&lt;4b&gt; CBAS FAS109 Entry'!P42</f>
        <v>-1502430.3136999998</v>
      </c>
      <c r="D17" s="41"/>
      <c r="E17" s="44">
        <f>+'&lt;4b&gt; CBAS FAS109 Entry'!R42</f>
        <v>2169231.6806999999</v>
      </c>
      <c r="F17" s="41"/>
      <c r="G17" s="44">
        <f>+'&lt;4b&gt; CBAS FAS109 Entry'!T42</f>
        <v>-594267.81999999995</v>
      </c>
      <c r="H17" s="41"/>
      <c r="I17" s="41"/>
      <c r="J17" s="44">
        <f>+'&lt;4b&gt; CBAS FAS109 Entry'!W42</f>
        <v>2706889.6536999997</v>
      </c>
      <c r="K17" s="44">
        <f>+'&lt;4b&gt; CBAS FAS109 Entry'!X42</f>
        <v>-2779423.2006999999</v>
      </c>
    </row>
    <row r="18" spans="2:12" ht="14.1" customHeight="1" x14ac:dyDescent="0.2">
      <c r="B18" s="41" t="s">
        <v>92</v>
      </c>
      <c r="C18" s="44">
        <f>+'&lt;4b&gt; CBAS FAS109 Entry'!P43</f>
        <v>-33560.519999999997</v>
      </c>
      <c r="D18" s="41"/>
      <c r="E18" s="44">
        <f>+'&lt;4b&gt; CBAS FAS109 Entry'!R43</f>
        <v>0</v>
      </c>
      <c r="F18" s="41"/>
      <c r="G18" s="44">
        <f>+'&lt;4b&gt; CBAS FAS109 Entry'!T43</f>
        <v>32684.82</v>
      </c>
      <c r="H18" s="41"/>
      <c r="I18" s="41"/>
      <c r="J18" s="44">
        <f>+'&lt;4b&gt; CBAS FAS109 Entry'!W43</f>
        <v>-32684.82</v>
      </c>
      <c r="K18" s="44">
        <f>+'&lt;4b&gt; CBAS FAS109 Entry'!X43</f>
        <v>33560.519999999997</v>
      </c>
    </row>
    <row r="19" spans="2:12" ht="14.1" customHeight="1" x14ac:dyDescent="0.2">
      <c r="B19" s="114" t="s">
        <v>178</v>
      </c>
      <c r="C19" s="108">
        <f>SUM(C17:C18)</f>
        <v>-1535990.8336999998</v>
      </c>
      <c r="D19" s="41"/>
      <c r="E19" s="108">
        <f>SUM(E17:E18)</f>
        <v>2169231.6806999999</v>
      </c>
      <c r="F19" s="41"/>
      <c r="G19" s="108">
        <f>SUM(G17:G18)</f>
        <v>-561583</v>
      </c>
      <c r="H19" s="41"/>
      <c r="I19" s="41"/>
      <c r="J19" s="108">
        <f>SUM(J17:J18)</f>
        <v>2674204.8336999998</v>
      </c>
      <c r="K19" s="108">
        <f>SUM(K17:K18)</f>
        <v>-2745862.6806999999</v>
      </c>
    </row>
    <row r="20" spans="2:12" ht="14.1" customHeight="1" x14ac:dyDescent="0.2">
      <c r="B20" s="41"/>
      <c r="C20" s="41"/>
      <c r="D20" s="41"/>
      <c r="E20" s="41"/>
      <c r="F20" s="41"/>
      <c r="G20" s="41"/>
      <c r="H20" s="41"/>
      <c r="I20" s="41"/>
      <c r="J20" s="41"/>
      <c r="K20" s="44"/>
    </row>
    <row r="21" spans="2:12" ht="14.1" customHeight="1" x14ac:dyDescent="0.2">
      <c r="B21" s="41" t="s">
        <v>71</v>
      </c>
      <c r="C21" s="41"/>
      <c r="D21" s="44">
        <f>+'&lt;4b&gt; CBAS FAS109 Entry'!Q46</f>
        <v>159812</v>
      </c>
      <c r="E21" s="41"/>
      <c r="F21" s="44">
        <f>+'&lt;4b&gt; CBAS FAS109 Entry'!S46</f>
        <v>0</v>
      </c>
      <c r="G21" s="41"/>
      <c r="H21" s="44">
        <f>+'&lt;4b&gt; CBAS FAS109 Entry'!U46</f>
        <v>-155642</v>
      </c>
      <c r="I21" s="41"/>
      <c r="J21" s="44">
        <f>+'&lt;4b&gt; CBAS FAS109 Entry'!W46</f>
        <v>155642</v>
      </c>
      <c r="K21" s="44">
        <f>+'&lt;4b&gt; CBAS FAS109 Entry'!X46</f>
        <v>-159812</v>
      </c>
    </row>
    <row r="22" spans="2:12" ht="14.1" customHeight="1" x14ac:dyDescent="0.2">
      <c r="B22" s="41"/>
      <c r="C22" s="41"/>
      <c r="D22" s="41"/>
      <c r="E22" s="41"/>
      <c r="F22" s="41"/>
      <c r="G22" s="41"/>
      <c r="H22" s="41"/>
      <c r="I22" s="41"/>
      <c r="J22" s="41"/>
      <c r="K22" s="41"/>
    </row>
    <row r="23" spans="2:12" ht="14.1" customHeight="1" thickBot="1" x14ac:dyDescent="0.25">
      <c r="B23" s="166" t="s">
        <v>224</v>
      </c>
      <c r="C23" s="167">
        <f t="shared" ref="C23:H23" si="1">C19+C21</f>
        <v>-1535990.8336999998</v>
      </c>
      <c r="D23" s="167">
        <f t="shared" si="1"/>
        <v>159812</v>
      </c>
      <c r="E23" s="167">
        <f t="shared" si="1"/>
        <v>2169231.6806999999</v>
      </c>
      <c r="F23" s="167">
        <f t="shared" si="1"/>
        <v>0</v>
      </c>
      <c r="G23" s="167">
        <f t="shared" si="1"/>
        <v>-561583</v>
      </c>
      <c r="H23" s="167">
        <f t="shared" si="1"/>
        <v>-155642</v>
      </c>
      <c r="I23" s="145"/>
      <c r="J23" s="167">
        <f>J19+J21</f>
        <v>2829846.8336999998</v>
      </c>
      <c r="K23" s="167">
        <f>K19+K21</f>
        <v>-2905674.6806999999</v>
      </c>
      <c r="L23" s="6" t="s">
        <v>250</v>
      </c>
    </row>
    <row r="24" spans="2:12" ht="14.1" customHeight="1" thickTop="1" x14ac:dyDescent="0.2">
      <c r="B24" s="41"/>
      <c r="C24" s="44"/>
      <c r="D24" s="44"/>
      <c r="E24" s="44"/>
      <c r="F24" s="44"/>
      <c r="G24" s="44"/>
      <c r="H24" s="44"/>
      <c r="I24" s="41"/>
      <c r="J24" s="44"/>
      <c r="K24" s="44"/>
    </row>
    <row r="26" spans="2:12" ht="14.1" customHeight="1" x14ac:dyDescent="0.2">
      <c r="B26" s="41" t="s">
        <v>70</v>
      </c>
      <c r="C26" s="44">
        <f>+'&lt;4c&gt; ICL FAS109 Entry'!P42</f>
        <v>0</v>
      </c>
      <c r="D26" s="41"/>
      <c r="E26" s="44">
        <f>+'&lt;4c&gt; ICL FAS109 Entry'!R42</f>
        <v>-57493445.625</v>
      </c>
      <c r="F26" s="41"/>
      <c r="G26" s="44">
        <f>+'&lt;4c&gt; ICL FAS109 Entry'!T42</f>
        <v>-16172558.699999999</v>
      </c>
      <c r="H26" s="41"/>
      <c r="I26" s="41"/>
      <c r="J26" s="44">
        <f>+'&lt;4c&gt; ICL FAS109 Entry'!W42</f>
        <v>73666004.325000003</v>
      </c>
      <c r="K26" s="44">
        <f>+'&lt;4c&gt; ICL FAS109 Entry'!X42</f>
        <v>0</v>
      </c>
    </row>
    <row r="27" spans="2:12" ht="14.1" customHeight="1" x14ac:dyDescent="0.2">
      <c r="B27" s="41" t="s">
        <v>92</v>
      </c>
      <c r="C27" s="44">
        <f>+'&lt;4c&gt; ICL FAS109 Entry'!P43</f>
        <v>0</v>
      </c>
      <c r="D27" s="41"/>
      <c r="E27" s="44">
        <f>+'&lt;4c&gt; ICL FAS109 Entry'!R43</f>
        <v>0</v>
      </c>
      <c r="F27" s="41"/>
      <c r="G27" s="44">
        <f>+'&lt;4c&gt; ICL FAS109 Entry'!T43</f>
        <v>889490.7</v>
      </c>
      <c r="H27" s="41"/>
      <c r="I27" s="41"/>
      <c r="J27" s="44">
        <f>+'&lt;4c&gt; ICL FAS109 Entry'!W43</f>
        <v>-889490.7</v>
      </c>
      <c r="K27" s="44">
        <f>+'&lt;4c&gt; ICL FAS109 Entry'!X43</f>
        <v>0</v>
      </c>
    </row>
    <row r="28" spans="2:12" ht="14.1" customHeight="1" x14ac:dyDescent="0.2">
      <c r="B28" s="114" t="s">
        <v>178</v>
      </c>
      <c r="C28" s="108">
        <f>SUM(C26:C27)</f>
        <v>0</v>
      </c>
      <c r="D28" s="41"/>
      <c r="E28" s="108">
        <f>SUM(E26:E27)</f>
        <v>-57493445.625</v>
      </c>
      <c r="F28" s="41"/>
      <c r="G28" s="108">
        <f>SUM(G26:G27)</f>
        <v>-15283068</v>
      </c>
      <c r="H28" s="41"/>
      <c r="I28" s="41"/>
      <c r="J28" s="108">
        <f>SUM(J26:J27)</f>
        <v>72776513.625</v>
      </c>
      <c r="K28" s="108">
        <f>SUM(K26:K27)</f>
        <v>0</v>
      </c>
    </row>
    <row r="29" spans="2:12" ht="14.1" customHeight="1" x14ac:dyDescent="0.2">
      <c r="B29" s="41"/>
      <c r="C29" s="41"/>
      <c r="D29" s="41"/>
      <c r="E29" s="41"/>
      <c r="F29" s="41"/>
      <c r="G29" s="41"/>
      <c r="H29" s="41"/>
      <c r="I29" s="41"/>
      <c r="J29" s="41"/>
      <c r="K29" s="44"/>
    </row>
    <row r="30" spans="2:12" ht="14.1" customHeight="1" x14ac:dyDescent="0.2">
      <c r="B30" s="41" t="s">
        <v>71</v>
      </c>
      <c r="C30" s="41"/>
      <c r="D30" s="44">
        <f>+'&lt;4c&gt; ICL FAS109 Entry'!Q46</f>
        <v>0</v>
      </c>
      <c r="E30" s="41"/>
      <c r="F30" s="44">
        <f>+'&lt;4c&gt; ICL FAS109 Entry'!S46</f>
        <v>0</v>
      </c>
      <c r="G30" s="41"/>
      <c r="H30" s="44">
        <f>+'&lt;4c&gt; ICL FAS109 Entry'!U46</f>
        <v>-4235670</v>
      </c>
      <c r="I30" s="41"/>
      <c r="J30" s="44">
        <f>+'&lt;4c&gt; ICL FAS109 Entry'!W46</f>
        <v>4235670</v>
      </c>
      <c r="K30" s="44">
        <f>+'&lt;4c&gt; ICL FAS109 Entry'!X46</f>
        <v>0</v>
      </c>
    </row>
    <row r="31" spans="2:12" ht="14.1" customHeight="1" x14ac:dyDescent="0.2">
      <c r="B31" s="41"/>
      <c r="C31" s="41"/>
      <c r="D31" s="41"/>
      <c r="E31" s="41"/>
      <c r="F31" s="41"/>
      <c r="G31" s="41"/>
      <c r="H31" s="41"/>
      <c r="I31" s="41"/>
      <c r="J31" s="41"/>
      <c r="K31" s="41"/>
    </row>
    <row r="32" spans="2:12" ht="14.1" customHeight="1" thickBot="1" x14ac:dyDescent="0.25">
      <c r="B32" s="166" t="s">
        <v>225</v>
      </c>
      <c r="C32" s="167">
        <f t="shared" ref="C32:H32" si="2">C28+C30</f>
        <v>0</v>
      </c>
      <c r="D32" s="167">
        <f t="shared" si="2"/>
        <v>0</v>
      </c>
      <c r="E32" s="167">
        <f t="shared" si="2"/>
        <v>-57493445.625</v>
      </c>
      <c r="F32" s="167">
        <f t="shared" si="2"/>
        <v>0</v>
      </c>
      <c r="G32" s="167">
        <f t="shared" si="2"/>
        <v>-15283068</v>
      </c>
      <c r="H32" s="167">
        <f t="shared" si="2"/>
        <v>-4235670</v>
      </c>
      <c r="I32" s="145"/>
      <c r="J32" s="167">
        <f>J28+J30</f>
        <v>77012183.625</v>
      </c>
      <c r="K32" s="167">
        <f>K28+K30</f>
        <v>0</v>
      </c>
      <c r="L32" s="6" t="s">
        <v>251</v>
      </c>
    </row>
    <row r="33" spans="2:12" ht="14.1" customHeight="1" thickTop="1" x14ac:dyDescent="0.2">
      <c r="B33" s="41"/>
      <c r="C33" s="44"/>
      <c r="D33" s="44"/>
      <c r="E33" s="44"/>
      <c r="F33" s="44"/>
      <c r="G33" s="44"/>
      <c r="H33" s="44"/>
      <c r="I33" s="41"/>
      <c r="J33" s="44"/>
      <c r="K33" s="44"/>
    </row>
    <row r="35" spans="2:12" ht="14.1" customHeight="1" x14ac:dyDescent="0.2">
      <c r="B35" s="41" t="s">
        <v>70</v>
      </c>
      <c r="C35" s="44">
        <f>+'&lt;4d&gt; Enersys FAS109 Entry'!P42</f>
        <v>-186377.36040000001</v>
      </c>
      <c r="D35" s="41"/>
      <c r="E35" s="44">
        <f>+'&lt;4d&gt; Enersys FAS109 Entry'!R42</f>
        <v>0</v>
      </c>
      <c r="F35" s="41"/>
      <c r="G35" s="44">
        <f>+'&lt;4d&gt; Enersys FAS109 Entry'!T42</f>
        <v>-52426.51</v>
      </c>
      <c r="H35" s="41"/>
      <c r="I35" s="41"/>
      <c r="J35" s="44">
        <f>+'&lt;4d&gt; Enersys FAS109 Entry'!W42</f>
        <v>238803.87040000001</v>
      </c>
      <c r="K35" s="44">
        <f>+'&lt;4d&gt; Enersys FAS109 Entry'!X42</f>
        <v>0</v>
      </c>
    </row>
    <row r="36" spans="2:12" ht="14.1" customHeight="1" x14ac:dyDescent="0.2">
      <c r="B36" s="41" t="s">
        <v>92</v>
      </c>
      <c r="C36" s="44">
        <f>+'&lt;4d&gt; Enersys FAS109 Entry'!P43</f>
        <v>0</v>
      </c>
      <c r="D36" s="41"/>
      <c r="E36" s="44">
        <f>+'&lt;4d&gt; Enersys FAS109 Entry'!R43</f>
        <v>0</v>
      </c>
      <c r="F36" s="41"/>
      <c r="G36" s="44">
        <f>+'&lt;4d&gt; Enersys FAS109 Entry'!T43</f>
        <v>2883.5099999999998</v>
      </c>
      <c r="H36" s="41"/>
      <c r="I36" s="41"/>
      <c r="J36" s="44">
        <f>+'&lt;4d&gt; Enersys FAS109 Entry'!W43</f>
        <v>-2883.5099999999998</v>
      </c>
      <c r="K36" s="44">
        <f>+'&lt;4d&gt; Enersys FAS109 Entry'!X43</f>
        <v>0</v>
      </c>
    </row>
    <row r="37" spans="2:12" ht="14.1" customHeight="1" x14ac:dyDescent="0.2">
      <c r="B37" s="114" t="s">
        <v>178</v>
      </c>
      <c r="C37" s="108">
        <f>SUM(C35:C36)</f>
        <v>-186377.36040000001</v>
      </c>
      <c r="D37" s="41"/>
      <c r="E37" s="108">
        <f>SUM(E35:E36)</f>
        <v>0</v>
      </c>
      <c r="F37" s="41"/>
      <c r="G37" s="108">
        <f>SUM(G35:G36)</f>
        <v>-49543</v>
      </c>
      <c r="H37" s="41"/>
      <c r="I37" s="41"/>
      <c r="J37" s="108">
        <f>SUM(J35:J36)</f>
        <v>235920.36040000001</v>
      </c>
      <c r="K37" s="108">
        <f>SUM(K35:K36)</f>
        <v>0</v>
      </c>
    </row>
    <row r="38" spans="2:12" ht="14.1" customHeight="1" x14ac:dyDescent="0.2">
      <c r="B38" s="41"/>
      <c r="C38" s="41"/>
      <c r="D38" s="41"/>
      <c r="E38" s="41"/>
      <c r="F38" s="41"/>
      <c r="G38" s="41"/>
      <c r="H38" s="41"/>
      <c r="I38" s="41"/>
      <c r="J38" s="41"/>
      <c r="K38" s="44"/>
    </row>
    <row r="39" spans="2:12" ht="14.1" customHeight="1" x14ac:dyDescent="0.2">
      <c r="B39" s="41" t="s">
        <v>71</v>
      </c>
      <c r="C39" s="41"/>
      <c r="D39" s="44">
        <f>+'&lt;4d&gt; Enersys FAS109 Entry'!Q46</f>
        <v>0</v>
      </c>
      <c r="E39" s="41"/>
      <c r="F39" s="44">
        <f>+'&lt;4d&gt; Enersys FAS109 Entry'!S46</f>
        <v>0</v>
      </c>
      <c r="G39" s="41"/>
      <c r="H39" s="44">
        <f>+'&lt;4d&gt; Enersys FAS109 Entry'!U46</f>
        <v>-13731</v>
      </c>
      <c r="I39" s="41"/>
      <c r="J39" s="44">
        <f>+'&lt;4d&gt; Enersys FAS109 Entry'!W46</f>
        <v>13731</v>
      </c>
      <c r="K39" s="44">
        <f>+'&lt;4d&gt; Enersys FAS109 Entry'!X46</f>
        <v>0</v>
      </c>
    </row>
    <row r="40" spans="2:12" ht="14.1" customHeight="1" x14ac:dyDescent="0.2">
      <c r="B40" s="41"/>
      <c r="C40" s="41"/>
      <c r="D40" s="41"/>
      <c r="E40" s="41"/>
      <c r="F40" s="41"/>
      <c r="G40" s="41"/>
      <c r="H40" s="41"/>
      <c r="I40" s="41"/>
      <c r="J40" s="41"/>
      <c r="K40" s="41"/>
    </row>
    <row r="41" spans="2:12" ht="14.1" customHeight="1" thickBot="1" x14ac:dyDescent="0.25">
      <c r="B41" s="166" t="s">
        <v>226</v>
      </c>
      <c r="C41" s="167">
        <f t="shared" ref="C41:H41" si="3">C37+C39</f>
        <v>-186377.36040000001</v>
      </c>
      <c r="D41" s="167">
        <f t="shared" si="3"/>
        <v>0</v>
      </c>
      <c r="E41" s="167">
        <f t="shared" si="3"/>
        <v>0</v>
      </c>
      <c r="F41" s="167">
        <f t="shared" si="3"/>
        <v>0</v>
      </c>
      <c r="G41" s="167">
        <f t="shared" si="3"/>
        <v>-49543</v>
      </c>
      <c r="H41" s="167">
        <f t="shared" si="3"/>
        <v>-13731</v>
      </c>
      <c r="I41" s="145"/>
      <c r="J41" s="167">
        <f>J37+J39</f>
        <v>249651.36040000001</v>
      </c>
      <c r="K41" s="167">
        <f>K37+K39</f>
        <v>0</v>
      </c>
      <c r="L41" s="6" t="s">
        <v>252</v>
      </c>
    </row>
    <row r="42" spans="2:12" ht="14.1" customHeight="1" thickTop="1" x14ac:dyDescent="0.2">
      <c r="B42" s="41"/>
      <c r="C42" s="44"/>
      <c r="D42" s="44"/>
      <c r="E42" s="44"/>
      <c r="F42" s="44"/>
      <c r="G42" s="44"/>
      <c r="H42" s="44"/>
      <c r="I42" s="41"/>
      <c r="J42" s="44"/>
      <c r="K42" s="44"/>
    </row>
    <row r="44" spans="2:12" ht="14.1" customHeight="1" x14ac:dyDescent="0.2">
      <c r="B44" s="41" t="s">
        <v>70</v>
      </c>
      <c r="C44" s="44">
        <f>+C8+C17+C26+C35</f>
        <v>722871111.58590007</v>
      </c>
      <c r="D44" s="41"/>
      <c r="E44" s="44">
        <f>+E8+E17+E26+E35</f>
        <v>2728623345.4456997</v>
      </c>
      <c r="F44" s="41"/>
      <c r="G44" s="44">
        <f>+G8+G17+G26+G35</f>
        <v>565971381.41999996</v>
      </c>
      <c r="H44" s="41"/>
      <c r="I44" s="41"/>
      <c r="J44" s="44">
        <f>+J8+J17+J26+J35</f>
        <v>665432845.34909999</v>
      </c>
      <c r="K44" s="44">
        <f>+K8+K17+K26+K35</f>
        <v>-4682898683.8007002</v>
      </c>
    </row>
    <row r="45" spans="2:12" ht="14.1" customHeight="1" x14ac:dyDescent="0.2">
      <c r="B45" s="41" t="s">
        <v>92</v>
      </c>
      <c r="C45" s="44">
        <f>+C9+C18+C27+C36</f>
        <v>-58002612.780000001</v>
      </c>
      <c r="D45" s="41"/>
      <c r="E45" s="44">
        <f>+E9+E18+E27+E36</f>
        <v>6375125.6099999994</v>
      </c>
      <c r="F45" s="41"/>
      <c r="G45" s="44">
        <f>+G9+G18+G27+G36</f>
        <v>8345840.5800000001</v>
      </c>
      <c r="H45" s="41"/>
      <c r="I45" s="41"/>
      <c r="J45" s="44">
        <f>+J9+J18+J27+J36</f>
        <v>-15191965.529999999</v>
      </c>
      <c r="K45" s="44">
        <f>+K9+K18+K27+K36</f>
        <v>58473612.120000005</v>
      </c>
    </row>
    <row r="46" spans="2:12" ht="14.1" customHeight="1" x14ac:dyDescent="0.2">
      <c r="B46" s="114" t="s">
        <v>178</v>
      </c>
      <c r="C46" s="108">
        <f>SUM(C44:C45)</f>
        <v>664868498.8059001</v>
      </c>
      <c r="D46" s="41"/>
      <c r="E46" s="108">
        <f>SUM(E44:E45)</f>
        <v>2734998471.0556998</v>
      </c>
      <c r="F46" s="41"/>
      <c r="G46" s="108">
        <f>SUM(G44:G45)</f>
        <v>574317222</v>
      </c>
      <c r="H46" s="41"/>
      <c r="I46" s="41"/>
      <c r="J46" s="108">
        <f>SUM(J44:J45)</f>
        <v>650240879.81910002</v>
      </c>
      <c r="K46" s="108">
        <f>SUM(K44:K45)</f>
        <v>-4624425071.6807003</v>
      </c>
    </row>
    <row r="47" spans="2:12" ht="14.1" customHeight="1" x14ac:dyDescent="0.2">
      <c r="B47" s="41"/>
      <c r="C47" s="41"/>
      <c r="D47" s="41"/>
      <c r="E47" s="41"/>
      <c r="F47" s="41"/>
      <c r="G47" s="41"/>
      <c r="H47" s="41"/>
      <c r="I47" s="41"/>
      <c r="J47" s="41"/>
      <c r="K47" s="44"/>
    </row>
    <row r="48" spans="2:12" ht="14.1" customHeight="1" x14ac:dyDescent="0.2">
      <c r="B48" s="41" t="s">
        <v>71</v>
      </c>
      <c r="C48" s="41"/>
      <c r="D48" s="44">
        <f>+D12+D21+D30+D39</f>
        <v>276202918</v>
      </c>
      <c r="E48" s="41"/>
      <c r="F48" s="44">
        <f>+F12+F21+F30+F39</f>
        <v>-30357741</v>
      </c>
      <c r="G48" s="41"/>
      <c r="H48" s="44">
        <f>+H12+H21+H30+H39</f>
        <v>-39742098</v>
      </c>
      <c r="I48" s="41"/>
      <c r="J48" s="44">
        <f>+J12+J21+J30+J39</f>
        <v>72342693</v>
      </c>
      <c r="K48" s="44">
        <f>+K12+K21+K30+K39</f>
        <v>-278445772</v>
      </c>
    </row>
    <row r="49" spans="2:12" ht="14.1" customHeight="1" x14ac:dyDescent="0.2">
      <c r="B49" s="41"/>
      <c r="C49" s="41"/>
      <c r="D49" s="41"/>
      <c r="E49" s="41"/>
      <c r="F49" s="41"/>
      <c r="G49" s="41"/>
      <c r="H49" s="41"/>
      <c r="I49" s="41"/>
      <c r="J49" s="41"/>
      <c r="K49" s="41"/>
    </row>
    <row r="50" spans="2:12" ht="14.1" customHeight="1" thickBot="1" x14ac:dyDescent="0.25">
      <c r="B50" s="166" t="s">
        <v>227</v>
      </c>
      <c r="C50" s="167">
        <f t="shared" ref="C50:H50" si="4">C46+C48</f>
        <v>664868498.8059001</v>
      </c>
      <c r="D50" s="167">
        <f t="shared" si="4"/>
        <v>276202918</v>
      </c>
      <c r="E50" s="167">
        <f t="shared" si="4"/>
        <v>2734998471.0556998</v>
      </c>
      <c r="F50" s="167">
        <f t="shared" si="4"/>
        <v>-30357741</v>
      </c>
      <c r="G50" s="167">
        <f t="shared" si="4"/>
        <v>574317222</v>
      </c>
      <c r="H50" s="167">
        <f t="shared" si="4"/>
        <v>-39742098</v>
      </c>
      <c r="I50" s="145"/>
      <c r="J50" s="167">
        <f>J46+J48</f>
        <v>722583572.81910002</v>
      </c>
      <c r="K50" s="167">
        <f>K46+K48</f>
        <v>-4902870843.6807003</v>
      </c>
      <c r="L50" s="6" t="s">
        <v>239</v>
      </c>
    </row>
    <row r="51" spans="2:12" ht="14.1" customHeight="1" thickTop="1" x14ac:dyDescent="0.2">
      <c r="K51" s="175"/>
    </row>
  </sheetData>
  <pageMargins left="0.5" right="0" top="0.5" bottom="0.25" header="0.3" footer="0.3"/>
  <pageSetup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0"/>
  <sheetViews>
    <sheetView zoomScale="110" zoomScaleNormal="110" workbookViewId="0">
      <selection activeCell="A6" sqref="A6"/>
    </sheetView>
  </sheetViews>
  <sheetFormatPr defaultColWidth="7.28515625" defaultRowHeight="14.1" customHeight="1" x14ac:dyDescent="0.2"/>
  <cols>
    <col min="1" max="1" width="23.28515625" style="41" customWidth="1"/>
    <col min="2" max="2" width="10.7109375" style="41" customWidth="1"/>
    <col min="3" max="3" width="1.42578125" style="41" customWidth="1"/>
    <col min="4" max="4" width="11.7109375" style="41" bestFit="1" customWidth="1"/>
    <col min="5" max="5" width="10.7109375" style="41" customWidth="1"/>
    <col min="6" max="6" width="11.7109375" style="41" bestFit="1" customWidth="1"/>
    <col min="7" max="7" width="1.42578125" style="41" customWidth="1"/>
    <col min="8" max="8" width="12.5703125" style="41" customWidth="1"/>
    <col min="9" max="9" width="1.42578125" style="41" customWidth="1"/>
    <col min="10" max="10" width="11.7109375" style="41" bestFit="1" customWidth="1"/>
    <col min="11" max="11" width="1.42578125" style="41" customWidth="1"/>
    <col min="12" max="12" width="10.42578125" style="41" customWidth="1"/>
    <col min="13" max="13" width="10.42578125" style="41" bestFit="1" customWidth="1"/>
    <col min="14" max="14" width="11.7109375" style="41" customWidth="1"/>
    <col min="15" max="15" width="4.5703125" style="41" customWidth="1"/>
    <col min="16" max="16" width="17.7109375" style="41" customWidth="1"/>
    <col min="17" max="18" width="11" style="41" customWidth="1"/>
    <col min="19" max="19" width="11.7109375" style="41" customWidth="1"/>
    <col min="20" max="20" width="10" style="41" bestFit="1" customWidth="1"/>
    <col min="21" max="21" width="10.42578125" style="41" customWidth="1"/>
    <col min="22" max="22" width="10" style="41" bestFit="1" customWidth="1"/>
    <col min="23" max="23" width="2.28515625" style="41" customWidth="1"/>
    <col min="24" max="24" width="10.42578125" style="41" bestFit="1" customWidth="1"/>
    <col min="25" max="25" width="13.28515625" style="41" customWidth="1"/>
    <col min="26" max="26" width="4.7109375" style="41" customWidth="1"/>
    <col min="27" max="27" width="12.28515625" style="41" customWidth="1"/>
    <col min="28" max="28" width="4.7109375" style="41" customWidth="1"/>
    <col min="29" max="29" width="15.7109375" style="41" customWidth="1"/>
    <col min="30" max="30" width="7.7109375" style="41" customWidth="1"/>
    <col min="31" max="31" width="27.28515625" style="41" customWidth="1"/>
    <col min="32" max="37" width="9.7109375" style="41" customWidth="1"/>
    <col min="38" max="38" width="3.28515625" style="41" customWidth="1"/>
    <col min="39" max="40" width="9.7109375" style="41" customWidth="1"/>
    <col min="41" max="16384" width="7.28515625" style="41"/>
  </cols>
  <sheetData>
    <row r="1" spans="1:31" ht="14.1" customHeight="1" x14ac:dyDescent="0.25">
      <c r="A1" s="177" t="s">
        <v>179</v>
      </c>
      <c r="F1" s="40" t="s">
        <v>122</v>
      </c>
    </row>
    <row r="2" spans="1:31" ht="14.1" customHeight="1" x14ac:dyDescent="0.25">
      <c r="A2" s="177" t="s">
        <v>255</v>
      </c>
      <c r="F2" s="40" t="s">
        <v>123</v>
      </c>
    </row>
    <row r="3" spans="1:31" ht="14.1" customHeight="1" x14ac:dyDescent="0.25">
      <c r="A3" s="177" t="s">
        <v>256</v>
      </c>
      <c r="F3" s="42" t="s">
        <v>173</v>
      </c>
    </row>
    <row r="4" spans="1:31" ht="14.1" customHeight="1" x14ac:dyDescent="0.25">
      <c r="A4" s="177" t="s">
        <v>257</v>
      </c>
      <c r="P4" s="40" t="s">
        <v>174</v>
      </c>
    </row>
    <row r="5" spans="1:31" ht="14.1" customHeight="1" x14ac:dyDescent="0.25">
      <c r="A5" s="177" t="s">
        <v>258</v>
      </c>
      <c r="B5" s="173"/>
      <c r="C5" s="173"/>
      <c r="D5" s="173"/>
      <c r="E5" s="173"/>
      <c r="F5" s="173" t="s">
        <v>175</v>
      </c>
      <c r="G5" s="173"/>
      <c r="H5" s="173"/>
      <c r="I5" s="173"/>
      <c r="J5" s="173"/>
      <c r="K5" s="173"/>
      <c r="L5" s="173"/>
      <c r="M5" s="173"/>
      <c r="N5" s="173"/>
      <c r="P5" s="47"/>
      <c r="Q5" s="48" t="s">
        <v>70</v>
      </c>
      <c r="R5" s="49" t="s">
        <v>71</v>
      </c>
      <c r="S5" s="48" t="s">
        <v>70</v>
      </c>
      <c r="T5" s="49" t="s">
        <v>71</v>
      </c>
      <c r="U5" s="48" t="s">
        <v>70</v>
      </c>
      <c r="V5" s="49" t="s">
        <v>71</v>
      </c>
      <c r="W5" s="50"/>
      <c r="X5" s="51" t="s">
        <v>130</v>
      </c>
      <c r="Y5" s="52" t="s">
        <v>130</v>
      </c>
      <c r="AC5" s="45" t="s">
        <v>91</v>
      </c>
    </row>
    <row r="6" spans="1:31" ht="14.1" customHeight="1" x14ac:dyDescent="0.25">
      <c r="A6" s="177" t="s">
        <v>263</v>
      </c>
      <c r="P6" s="54"/>
      <c r="Q6" s="55" t="s">
        <v>132</v>
      </c>
      <c r="R6" s="56" t="s">
        <v>133</v>
      </c>
      <c r="S6" s="55" t="s">
        <v>134</v>
      </c>
      <c r="T6" s="56" t="s">
        <v>135</v>
      </c>
      <c r="U6" s="55" t="s">
        <v>136</v>
      </c>
      <c r="V6" s="56" t="s">
        <v>137</v>
      </c>
      <c r="W6" s="57"/>
      <c r="X6" s="55" t="s">
        <v>138</v>
      </c>
      <c r="Y6" s="56" t="s">
        <v>139</v>
      </c>
      <c r="AC6" s="41" t="s">
        <v>131</v>
      </c>
      <c r="AD6" s="53">
        <v>0.21</v>
      </c>
    </row>
    <row r="7" spans="1:31" ht="14.1" customHeight="1" x14ac:dyDescent="0.2">
      <c r="A7" s="43" t="s">
        <v>114</v>
      </c>
      <c r="B7" s="43" t="s">
        <v>124</v>
      </c>
      <c r="C7" s="43"/>
      <c r="D7" s="43" t="s">
        <v>70</v>
      </c>
      <c r="E7" s="43" t="s">
        <v>71</v>
      </c>
      <c r="F7" s="43" t="s">
        <v>125</v>
      </c>
      <c r="G7" s="43"/>
      <c r="H7" s="43" t="s">
        <v>126</v>
      </c>
      <c r="I7" s="43"/>
      <c r="J7" s="43" t="s">
        <v>127</v>
      </c>
      <c r="L7" s="43" t="s">
        <v>70</v>
      </c>
      <c r="M7" s="43" t="s">
        <v>71</v>
      </c>
      <c r="N7" s="43" t="s">
        <v>128</v>
      </c>
      <c r="P7" s="60"/>
      <c r="Q7" s="61" t="s">
        <v>141</v>
      </c>
      <c r="R7" s="62" t="s">
        <v>141</v>
      </c>
      <c r="S7" s="61" t="s">
        <v>142</v>
      </c>
      <c r="T7" s="62" t="s">
        <v>142</v>
      </c>
      <c r="U7" s="61" t="s">
        <v>143</v>
      </c>
      <c r="V7" s="62" t="s">
        <v>143</v>
      </c>
      <c r="W7" s="60"/>
      <c r="X7" s="61" t="s">
        <v>144</v>
      </c>
      <c r="Y7" s="62" t="s">
        <v>145</v>
      </c>
      <c r="AC7" s="41" t="s">
        <v>140</v>
      </c>
      <c r="AD7" s="41">
        <v>5.5E-2</v>
      </c>
    </row>
    <row r="8" spans="1:31" ht="14.1" customHeight="1" x14ac:dyDescent="0.2">
      <c r="P8" s="96"/>
      <c r="Q8" s="97"/>
      <c r="R8" s="97"/>
      <c r="S8" s="98"/>
      <c r="T8" s="97"/>
      <c r="U8" s="98"/>
      <c r="V8" s="99"/>
      <c r="W8" s="97"/>
      <c r="X8" s="98"/>
      <c r="Y8" s="99"/>
      <c r="AC8" s="41" t="s">
        <v>92</v>
      </c>
      <c r="AD8" s="63">
        <f>AD7*-AD6</f>
        <v>-1.155E-2</v>
      </c>
    </row>
    <row r="9" spans="1:31" ht="14.1" customHeight="1" x14ac:dyDescent="0.2">
      <c r="A9" s="41" t="s">
        <v>129</v>
      </c>
      <c r="B9" s="46">
        <v>119000396.29119998</v>
      </c>
      <c r="C9" s="44"/>
      <c r="D9" s="44">
        <f>ROUND(B9*AD11,0)</f>
        <v>23615629</v>
      </c>
      <c r="E9" s="44">
        <f>ROUND(B9*AD7,0)</f>
        <v>6545022</v>
      </c>
      <c r="F9" s="44">
        <f>D9+E9</f>
        <v>30160651</v>
      </c>
      <c r="G9" s="44"/>
      <c r="H9" s="44">
        <f>ROUND(F9/AD13,0)</f>
        <v>40400042</v>
      </c>
      <c r="I9" s="44"/>
      <c r="J9" s="44">
        <f>H9-F9</f>
        <v>10239391</v>
      </c>
      <c r="K9" s="44"/>
      <c r="L9" s="44">
        <f>ROUND(F9*(AD11/AD13),0)</f>
        <v>8017388</v>
      </c>
      <c r="M9" s="44">
        <f>ROUND(F9*(AD7/AD13),0)</f>
        <v>2222002</v>
      </c>
      <c r="N9" s="44">
        <f>L9+M9</f>
        <v>10239390</v>
      </c>
      <c r="P9" s="64" t="s">
        <v>146</v>
      </c>
      <c r="Q9" s="65">
        <f>D9</f>
        <v>23615629</v>
      </c>
      <c r="R9" s="66">
        <f>E9</f>
        <v>6545022</v>
      </c>
      <c r="S9" s="65"/>
      <c r="T9" s="66"/>
      <c r="U9" s="65"/>
      <c r="V9" s="67"/>
      <c r="W9" s="68"/>
      <c r="X9" s="65">
        <f>IF(AA9&lt;0,-AA9,0)</f>
        <v>0</v>
      </c>
      <c r="Y9" s="66">
        <f>IF(AA9&gt;0,-AA9,0)</f>
        <v>-30160651</v>
      </c>
      <c r="AA9" s="44">
        <f>SUM(Q9:V9)</f>
        <v>30160651</v>
      </c>
      <c r="AC9" s="41" t="s">
        <v>147</v>
      </c>
      <c r="AD9" s="69">
        <f>SUM(AD6:AD8)</f>
        <v>0.25345000000000001</v>
      </c>
    </row>
    <row r="10" spans="1:31" ht="14.1" customHeight="1" x14ac:dyDescent="0.2">
      <c r="B10" s="44"/>
      <c r="C10" s="44"/>
      <c r="D10" s="44"/>
      <c r="E10" s="44"/>
      <c r="F10" s="44"/>
      <c r="G10" s="44"/>
      <c r="H10" s="44"/>
      <c r="I10" s="44"/>
      <c r="J10" s="44"/>
      <c r="K10" s="44"/>
      <c r="P10" s="70" t="s">
        <v>149</v>
      </c>
      <c r="Q10" s="65">
        <f>L9</f>
        <v>8017388</v>
      </c>
      <c r="R10" s="66">
        <f>M9</f>
        <v>2222002</v>
      </c>
      <c r="S10" s="65"/>
      <c r="T10" s="66"/>
      <c r="U10" s="65"/>
      <c r="V10" s="67"/>
      <c r="W10" s="68"/>
      <c r="X10" s="65">
        <f>IF(AA10&lt;0,-AA10,0)</f>
        <v>0</v>
      </c>
      <c r="Y10" s="66">
        <f>IF(AA10&gt;0,-AA10,0)</f>
        <v>-10239390</v>
      </c>
      <c r="AA10" s="44">
        <f>SUM(Q10:V10)</f>
        <v>10239390</v>
      </c>
    </row>
    <row r="11" spans="1:31" ht="14.1" customHeight="1" x14ac:dyDescent="0.2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P11" s="54"/>
      <c r="Q11" s="71"/>
      <c r="R11" s="72"/>
      <c r="S11" s="71"/>
      <c r="T11" s="72"/>
      <c r="U11" s="71"/>
      <c r="V11" s="72"/>
      <c r="W11" s="97"/>
      <c r="X11" s="71"/>
      <c r="Y11" s="72"/>
      <c r="AC11" s="41" t="s">
        <v>151</v>
      </c>
      <c r="AD11" s="73">
        <f>AD6+AD8</f>
        <v>0.19844999999999999</v>
      </c>
    </row>
    <row r="12" spans="1:31" ht="14.1" customHeight="1" x14ac:dyDescent="0.2">
      <c r="B12" s="44"/>
      <c r="C12" s="44"/>
      <c r="D12" s="44"/>
      <c r="E12" s="44"/>
      <c r="F12" s="44"/>
      <c r="G12" s="44"/>
      <c r="H12" s="44"/>
      <c r="I12" s="44"/>
      <c r="J12" s="44"/>
      <c r="K12" s="44"/>
      <c r="P12" s="54"/>
      <c r="Q12" s="71"/>
      <c r="R12" s="72"/>
      <c r="S12" s="71"/>
      <c r="T12" s="72"/>
      <c r="U12" s="71"/>
      <c r="V12" s="72"/>
      <c r="W12" s="97"/>
      <c r="X12" s="71"/>
      <c r="Y12" s="72"/>
    </row>
    <row r="13" spans="1:31" ht="14.1" customHeight="1" x14ac:dyDescent="0.2">
      <c r="A13" s="41" t="s">
        <v>148</v>
      </c>
      <c r="B13" s="46">
        <v>-62122334.399999999</v>
      </c>
      <c r="C13" s="46"/>
      <c r="D13" s="46">
        <f>ROUND(B13*AD11,0)</f>
        <v>-12328177</v>
      </c>
      <c r="E13" s="46">
        <f>ROUND(B13*AD7,0)</f>
        <v>-3416728</v>
      </c>
      <c r="F13" s="46">
        <f>D13+E13</f>
        <v>-15744905</v>
      </c>
      <c r="G13" s="46"/>
      <c r="H13" s="46">
        <f>ROUND(F13/AD13,0)</f>
        <v>-21090222</v>
      </c>
      <c r="I13" s="46"/>
      <c r="J13" s="46">
        <f>H13-F13</f>
        <v>-5345317</v>
      </c>
      <c r="K13" s="46"/>
      <c r="L13" s="46">
        <f>ROUND(F13*(AD11/AD13),0)</f>
        <v>-4185354</v>
      </c>
      <c r="M13" s="46">
        <f>ROUND(F13*(AD7/AD13),0)</f>
        <v>-1159962</v>
      </c>
      <c r="N13" s="46">
        <f>L13+M13</f>
        <v>-5345316</v>
      </c>
      <c r="P13" s="76" t="s">
        <v>153</v>
      </c>
      <c r="Q13" s="77"/>
      <c r="R13" s="78"/>
      <c r="S13" s="79">
        <f>D15</f>
        <v>-11545467</v>
      </c>
      <c r="T13" s="80">
        <f>E15</f>
        <v>-3199802</v>
      </c>
      <c r="U13" s="77"/>
      <c r="V13" s="78"/>
      <c r="W13" s="81"/>
      <c r="X13" s="79">
        <f>IF(AA13&lt;0,-AA13,0)</f>
        <v>14745269</v>
      </c>
      <c r="Y13" s="80">
        <f>IF(AA13&gt;0,-AA13,0)</f>
        <v>0</v>
      </c>
      <c r="AA13" s="44">
        <f>SUM(Q13:V13)</f>
        <v>-14745269</v>
      </c>
      <c r="AC13" s="41" t="s">
        <v>155</v>
      </c>
      <c r="AD13" s="73">
        <f>1-AD9</f>
        <v>0.74655000000000005</v>
      </c>
      <c r="AE13" s="41" t="s">
        <v>156</v>
      </c>
    </row>
    <row r="14" spans="1:31" ht="14.1" customHeight="1" x14ac:dyDescent="0.2">
      <c r="A14" s="41" t="s">
        <v>150</v>
      </c>
      <c r="B14" s="46">
        <v>3944117.25</v>
      </c>
      <c r="C14" s="46"/>
      <c r="D14" s="46">
        <f>ROUND(B14*AD11,0)</f>
        <v>782710</v>
      </c>
      <c r="E14" s="46">
        <f>ROUND(B14*AD7,0)</f>
        <v>216926</v>
      </c>
      <c r="F14" s="46">
        <f>D14+E14</f>
        <v>999636</v>
      </c>
      <c r="G14" s="46"/>
      <c r="H14" s="46">
        <f>ROUND(F14/AD13,0)</f>
        <v>1339007</v>
      </c>
      <c r="I14" s="46"/>
      <c r="J14" s="46">
        <f>H14-F14</f>
        <v>339371</v>
      </c>
      <c r="K14" s="46"/>
      <c r="L14" s="46">
        <f>ROUND(F14*(AD11/AD13),0)</f>
        <v>265726</v>
      </c>
      <c r="M14" s="46">
        <f>ROUND(F14*(AD7/AD13),0)</f>
        <v>73645</v>
      </c>
      <c r="N14" s="46">
        <f>L14+M14</f>
        <v>339371</v>
      </c>
      <c r="P14" s="82" t="s">
        <v>154</v>
      </c>
      <c r="Q14" s="77"/>
      <c r="R14" s="78"/>
      <c r="S14" s="77"/>
      <c r="T14" s="78"/>
      <c r="U14" s="79">
        <f>L15</f>
        <v>-3919628</v>
      </c>
      <c r="V14" s="80">
        <f>M15</f>
        <v>-1086317</v>
      </c>
      <c r="W14" s="81"/>
      <c r="X14" s="79">
        <f>IF(AA14&lt;0,-AA14,0)</f>
        <v>5005945</v>
      </c>
      <c r="Y14" s="80">
        <f>IF(AA14&gt;0,-AA14,0)</f>
        <v>0</v>
      </c>
      <c r="AA14" s="44">
        <f>SUM(Q14:V14)</f>
        <v>-5005945</v>
      </c>
    </row>
    <row r="15" spans="1:31" ht="14.1" customHeight="1" thickBot="1" x14ac:dyDescent="0.25">
      <c r="A15" s="74" t="s">
        <v>152</v>
      </c>
      <c r="B15" s="75">
        <f>B13+B14</f>
        <v>-58178217.149999999</v>
      </c>
      <c r="C15" s="44"/>
      <c r="D15" s="75">
        <f>D13+D14</f>
        <v>-11545467</v>
      </c>
      <c r="E15" s="75">
        <f>E13+E14</f>
        <v>-3199802</v>
      </c>
      <c r="F15" s="75">
        <f>F13+F14</f>
        <v>-14745269</v>
      </c>
      <c r="G15" s="44"/>
      <c r="H15" s="75">
        <f>H13+H14</f>
        <v>-19751215</v>
      </c>
      <c r="I15" s="44"/>
      <c r="J15" s="75">
        <f>J13+J14</f>
        <v>-5005946</v>
      </c>
      <c r="K15" s="44"/>
      <c r="L15" s="75">
        <f>L13+L14</f>
        <v>-3919628</v>
      </c>
      <c r="M15" s="75">
        <f>M13+M14</f>
        <v>-1086317</v>
      </c>
      <c r="N15" s="75">
        <f>N13+N14</f>
        <v>-5005945</v>
      </c>
      <c r="P15" s="54"/>
      <c r="Q15" s="71"/>
      <c r="R15" s="72"/>
      <c r="S15" s="71"/>
      <c r="T15" s="72"/>
      <c r="U15" s="71"/>
      <c r="V15" s="72"/>
      <c r="W15" s="97"/>
      <c r="X15" s="71"/>
      <c r="Y15" s="72"/>
    </row>
    <row r="16" spans="1:31" ht="14.1" customHeight="1" thickTop="1" x14ac:dyDescent="0.2">
      <c r="P16" s="54"/>
      <c r="Q16" s="71"/>
      <c r="R16" s="72"/>
      <c r="S16" s="71"/>
      <c r="T16" s="72"/>
      <c r="U16" s="71"/>
      <c r="V16" s="72"/>
      <c r="W16" s="97"/>
      <c r="X16" s="71"/>
      <c r="Y16" s="72"/>
      <c r="AC16" s="41" t="s">
        <v>176</v>
      </c>
    </row>
    <row r="17" spans="1:30" ht="14.1" customHeight="1" x14ac:dyDescent="0.2">
      <c r="A17" s="58"/>
      <c r="B17" s="59"/>
      <c r="C17" s="59"/>
      <c r="D17" s="83"/>
      <c r="E17" s="83"/>
      <c r="F17" s="83"/>
      <c r="G17" s="59"/>
      <c r="H17" s="83"/>
      <c r="I17" s="59"/>
      <c r="J17" s="83"/>
      <c r="K17" s="83"/>
      <c r="L17" s="83"/>
      <c r="M17" s="83"/>
      <c r="N17" s="83"/>
      <c r="P17" s="54"/>
      <c r="Q17" s="71"/>
      <c r="R17" s="72"/>
      <c r="S17" s="71"/>
      <c r="T17" s="72"/>
      <c r="U17" s="71"/>
      <c r="V17" s="72"/>
      <c r="W17" s="97"/>
      <c r="X17" s="71"/>
      <c r="Y17" s="72"/>
    </row>
    <row r="18" spans="1:30" ht="14.1" customHeight="1" x14ac:dyDescent="0.2">
      <c r="P18" s="54"/>
      <c r="Q18" s="71"/>
      <c r="R18" s="72"/>
      <c r="S18" s="71"/>
      <c r="T18" s="72"/>
      <c r="U18" s="71"/>
      <c r="V18" s="72"/>
      <c r="W18" s="97"/>
      <c r="X18" s="71"/>
      <c r="Y18" s="72"/>
      <c r="AD18" s="44"/>
    </row>
    <row r="19" spans="1:30" ht="14.1" customHeight="1" x14ac:dyDescent="0.2">
      <c r="A19" s="41" t="s">
        <v>158</v>
      </c>
      <c r="B19" s="46">
        <v>-439706190.34000003</v>
      </c>
      <c r="C19" s="46"/>
      <c r="D19" s="46">
        <f>ROUND(B19*AD11,0)</f>
        <v>-87259693</v>
      </c>
      <c r="E19" s="46">
        <f>ROUND(B19*AD7,0)</f>
        <v>-24183840</v>
      </c>
      <c r="F19" s="46">
        <f>D19+E19</f>
        <v>-111443533</v>
      </c>
      <c r="G19" s="46"/>
      <c r="H19" s="46">
        <f>ROUND(F19/AD13,0)</f>
        <v>-149278056</v>
      </c>
      <c r="I19" s="46"/>
      <c r="J19" s="46">
        <f>H19-F19</f>
        <v>-37834523</v>
      </c>
      <c r="K19" s="46"/>
      <c r="L19" s="46">
        <f>ROUND(F19*(AD11/AD13),0)</f>
        <v>-29624230</v>
      </c>
      <c r="M19" s="46">
        <f>ROUND(F19*(AD7/AD13),0)</f>
        <v>-8210293</v>
      </c>
      <c r="N19" s="46">
        <f>L19+M19</f>
        <v>-37834523</v>
      </c>
      <c r="P19" s="64" t="s">
        <v>157</v>
      </c>
      <c r="Q19" s="65"/>
      <c r="R19" s="67"/>
      <c r="S19" s="65">
        <f>D21</f>
        <v>-106083409</v>
      </c>
      <c r="T19" s="66">
        <f>E21</f>
        <v>-29400793</v>
      </c>
      <c r="U19" s="65"/>
      <c r="V19" s="67"/>
      <c r="W19" s="68"/>
      <c r="X19" s="65">
        <f>IF(AA19&lt;0,-AA19,0)</f>
        <v>135484202</v>
      </c>
      <c r="Y19" s="66">
        <f>IF(AA19&gt;0,-AA19,0)</f>
        <v>0</v>
      </c>
      <c r="AA19" s="44">
        <f>SUM(Q19:V19)</f>
        <v>-135484202</v>
      </c>
      <c r="AD19" s="44"/>
    </row>
    <row r="20" spans="1:30" ht="14.1" customHeight="1" x14ac:dyDescent="0.2">
      <c r="A20" s="41" t="s">
        <v>160</v>
      </c>
      <c r="B20" s="46">
        <v>-94853697.370000005</v>
      </c>
      <c r="C20" s="46"/>
      <c r="D20" s="46">
        <f>ROUND(B20*AD11,0)</f>
        <v>-18823716</v>
      </c>
      <c r="E20" s="46">
        <f>ROUND(B20*AD7,0)</f>
        <v>-5216953</v>
      </c>
      <c r="F20" s="46">
        <f>D20+E20</f>
        <v>-24040669</v>
      </c>
      <c r="G20" s="46"/>
      <c r="H20" s="46">
        <f>ROUND(F20/AD13,0)</f>
        <v>-32202356</v>
      </c>
      <c r="I20" s="46"/>
      <c r="J20" s="46">
        <f>H20-F20</f>
        <v>-8161687</v>
      </c>
      <c r="K20" s="46"/>
      <c r="L20" s="46">
        <f>ROUND(F20*(AD11/AD13),0)</f>
        <v>-6390558</v>
      </c>
      <c r="M20" s="46">
        <f>ROUND(F20*(AD7/AD13),0)</f>
        <v>-1771130</v>
      </c>
      <c r="N20" s="46">
        <f>L20+M20</f>
        <v>-8161688</v>
      </c>
      <c r="P20" s="70" t="s">
        <v>159</v>
      </c>
      <c r="Q20" s="84"/>
      <c r="R20" s="67"/>
      <c r="S20" s="84"/>
      <c r="T20" s="67"/>
      <c r="U20" s="65">
        <f>L21</f>
        <v>-36014788</v>
      </c>
      <c r="V20" s="66">
        <f>M21</f>
        <v>-9981423</v>
      </c>
      <c r="W20" s="68"/>
      <c r="X20" s="65">
        <f>IF(AA20&lt;0,-AA20,0)</f>
        <v>45996211</v>
      </c>
      <c r="Y20" s="66">
        <f>IF(AA20&gt;0,-AA20,0)</f>
        <v>0</v>
      </c>
      <c r="AA20" s="44">
        <f>SUM(Q20:V20)</f>
        <v>-45996211</v>
      </c>
      <c r="AD20" s="44"/>
    </row>
    <row r="21" spans="1:30" ht="14.1" customHeight="1" thickBot="1" x14ac:dyDescent="0.25">
      <c r="A21" s="74" t="s">
        <v>161</v>
      </c>
      <c r="B21" s="75">
        <f>B19+B20</f>
        <v>-534559887.71000004</v>
      </c>
      <c r="C21" s="44"/>
      <c r="D21" s="75">
        <f>D19+D20</f>
        <v>-106083409</v>
      </c>
      <c r="E21" s="75">
        <f>E19+E20</f>
        <v>-29400793</v>
      </c>
      <c r="F21" s="75">
        <f>F19+F20</f>
        <v>-135484202</v>
      </c>
      <c r="G21" s="44"/>
      <c r="H21" s="75">
        <f>H19+H20</f>
        <v>-181480412</v>
      </c>
      <c r="I21" s="44"/>
      <c r="J21" s="75">
        <f>J19+J20</f>
        <v>-45996210</v>
      </c>
      <c r="K21" s="44"/>
      <c r="L21" s="75">
        <f>L19+L20</f>
        <v>-36014788</v>
      </c>
      <c r="M21" s="75">
        <f>M19+M20</f>
        <v>-9981423</v>
      </c>
      <c r="N21" s="75">
        <f>N19+N20</f>
        <v>-45996211</v>
      </c>
      <c r="P21" s="100"/>
      <c r="Q21" s="101"/>
      <c r="R21" s="102"/>
      <c r="S21" s="101"/>
      <c r="T21" s="102"/>
      <c r="U21" s="101"/>
      <c r="V21" s="102"/>
      <c r="W21" s="103"/>
      <c r="X21" s="101"/>
      <c r="Y21" s="102"/>
    </row>
    <row r="22" spans="1:30" ht="14.1" customHeight="1" thickTop="1" x14ac:dyDescent="0.2">
      <c r="P22" s="54"/>
      <c r="Q22" s="71"/>
      <c r="R22" s="72"/>
      <c r="S22" s="71"/>
      <c r="T22" s="72"/>
      <c r="U22" s="71"/>
      <c r="V22" s="72"/>
      <c r="W22" s="97"/>
      <c r="X22" s="71"/>
      <c r="Y22" s="72"/>
      <c r="AB22" s="44"/>
    </row>
    <row r="23" spans="1:30" ht="14.1" customHeight="1" x14ac:dyDescent="0.2">
      <c r="A23" s="58"/>
      <c r="B23" s="59"/>
      <c r="C23" s="59"/>
      <c r="D23" s="83"/>
      <c r="E23" s="83"/>
      <c r="F23" s="83"/>
      <c r="G23" s="59"/>
      <c r="H23" s="83"/>
      <c r="I23" s="59"/>
      <c r="J23" s="83"/>
      <c r="K23" s="83"/>
      <c r="L23" s="83"/>
      <c r="M23" s="83"/>
      <c r="N23" s="83"/>
      <c r="P23" s="54"/>
      <c r="Q23" s="71"/>
      <c r="R23" s="72"/>
      <c r="S23" s="71"/>
      <c r="T23" s="72"/>
      <c r="U23" s="71"/>
      <c r="V23" s="72"/>
      <c r="W23" s="97"/>
      <c r="X23" s="71"/>
      <c r="Y23" s="72"/>
    </row>
    <row r="24" spans="1:30" ht="14.1" customHeight="1" x14ac:dyDescent="0.2">
      <c r="P24" s="54"/>
      <c r="Q24" s="71"/>
      <c r="R24" s="72"/>
      <c r="S24" s="71"/>
      <c r="T24" s="72"/>
      <c r="U24" s="71"/>
      <c r="V24" s="72"/>
      <c r="W24" s="97"/>
      <c r="X24" s="71"/>
      <c r="Y24" s="72"/>
    </row>
    <row r="25" spans="1:30" ht="14.1" customHeight="1" x14ac:dyDescent="0.2">
      <c r="A25" s="41" t="s">
        <v>164</v>
      </c>
      <c r="P25" s="76" t="s">
        <v>165</v>
      </c>
      <c r="Q25" s="79">
        <f>D26</f>
        <v>-329422850</v>
      </c>
      <c r="R25" s="80">
        <f>E26</f>
        <v>0</v>
      </c>
      <c r="S25" s="77"/>
      <c r="T25" s="78"/>
      <c r="U25" s="77"/>
      <c r="V25" s="78"/>
      <c r="W25" s="81"/>
      <c r="X25" s="79">
        <f>IF(AA25&lt;0,-AA25,0)</f>
        <v>329422850</v>
      </c>
      <c r="Y25" s="80">
        <f>IF(AA25&gt;0,-AA25,0)</f>
        <v>0</v>
      </c>
      <c r="AA25" s="44">
        <f>SUM(Q25:V25)</f>
        <v>-329422850</v>
      </c>
    </row>
    <row r="26" spans="1:30" ht="14.1" customHeight="1" x14ac:dyDescent="0.2">
      <c r="A26" s="104" t="s">
        <v>166</v>
      </c>
      <c r="D26" s="44">
        <v>-329422850</v>
      </c>
      <c r="E26" s="44"/>
      <c r="F26" s="46">
        <f>D26+E26</f>
        <v>-329422850</v>
      </c>
      <c r="G26" s="44"/>
      <c r="H26" s="44">
        <f>ROUND(F26/AD13,0)</f>
        <v>-441260264</v>
      </c>
      <c r="I26" s="44"/>
      <c r="J26" s="44">
        <f>H26-F26</f>
        <v>-111837414</v>
      </c>
      <c r="K26" s="44"/>
      <c r="L26" s="44">
        <f>ROUND(F26*(AD11/AD13),0)</f>
        <v>-87568099</v>
      </c>
      <c r="M26" s="44">
        <f>ROUND(F26*(AD7/AD13),0)</f>
        <v>-24269315</v>
      </c>
      <c r="N26" s="44">
        <f>L26+M26</f>
        <v>-111837414</v>
      </c>
      <c r="P26" s="85" t="s">
        <v>162</v>
      </c>
      <c r="Q26" s="77"/>
      <c r="R26" s="78"/>
      <c r="S26" s="77"/>
      <c r="T26" s="78"/>
      <c r="U26" s="79">
        <f>L26</f>
        <v>-87568099</v>
      </c>
      <c r="V26" s="80">
        <f>M26</f>
        <v>-24269315</v>
      </c>
      <c r="W26" s="81"/>
      <c r="X26" s="79">
        <f>IF(AA26&lt;0,-AA26,0)</f>
        <v>111837414</v>
      </c>
      <c r="Y26" s="80">
        <f>IF(AA26&gt;0,-AA26,0)</f>
        <v>0</v>
      </c>
      <c r="AA26" s="44">
        <f>SUM(Q26:V26)</f>
        <v>-111837414</v>
      </c>
    </row>
    <row r="27" spans="1:30" ht="14.1" customHeight="1" x14ac:dyDescent="0.2">
      <c r="D27" s="44"/>
      <c r="P27" s="105"/>
      <c r="Q27" s="71"/>
      <c r="R27" s="72"/>
      <c r="S27" s="71"/>
      <c r="T27" s="72"/>
      <c r="U27" s="71"/>
      <c r="V27" s="72"/>
      <c r="W27" s="97"/>
      <c r="X27" s="89"/>
      <c r="Y27" s="90"/>
      <c r="AA27" s="44"/>
    </row>
    <row r="28" spans="1:30" ht="14.1" customHeight="1" x14ac:dyDescent="0.2">
      <c r="A28" s="104" t="s">
        <v>167</v>
      </c>
      <c r="B28" s="44"/>
      <c r="C28" s="44"/>
      <c r="D28" s="46">
        <v>7164860</v>
      </c>
      <c r="E28" s="46">
        <v>2242854</v>
      </c>
      <c r="F28" s="46">
        <f>D28+E28</f>
        <v>9407714</v>
      </c>
      <c r="G28" s="44"/>
      <c r="H28" s="44">
        <f>ROUND(F28/AD13,0)</f>
        <v>12601586</v>
      </c>
      <c r="I28" s="44"/>
      <c r="J28" s="44">
        <f>H28-F28</f>
        <v>3193872</v>
      </c>
      <c r="K28" s="44"/>
      <c r="L28" s="44">
        <f>ROUND(F28*(AD11/AD13),0)</f>
        <v>2500785</v>
      </c>
      <c r="M28" s="44">
        <f>ROUND(F28*(AD7/AD13),0)</f>
        <v>693087</v>
      </c>
      <c r="N28" s="44">
        <f>L28+M28</f>
        <v>3193872</v>
      </c>
      <c r="P28" s="64" t="s">
        <v>168</v>
      </c>
      <c r="Q28" s="84"/>
      <c r="R28" s="67"/>
      <c r="S28" s="65">
        <f>D30</f>
        <v>2907951561</v>
      </c>
      <c r="T28" s="66">
        <f>E30</f>
        <v>2242854</v>
      </c>
      <c r="U28" s="84"/>
      <c r="V28" s="67"/>
      <c r="W28" s="68"/>
      <c r="X28" s="65">
        <f>IF(AA28&lt;0,-AA28,0)</f>
        <v>0</v>
      </c>
      <c r="Y28" s="66">
        <f>IF(AA28&gt;0,-AA28,0)</f>
        <v>-2910194415</v>
      </c>
      <c r="AA28" s="44">
        <f>SUM(Q28:V28)</f>
        <v>2910194415</v>
      </c>
    </row>
    <row r="29" spans="1:30" ht="14.1" customHeight="1" x14ac:dyDescent="0.2">
      <c r="A29" s="104" t="s">
        <v>169</v>
      </c>
      <c r="B29" s="44"/>
      <c r="C29" s="44"/>
      <c r="D29" s="44">
        <v>2900786701</v>
      </c>
      <c r="E29" s="44"/>
      <c r="F29" s="46">
        <f>D29+E29</f>
        <v>2900786701</v>
      </c>
      <c r="G29" s="44"/>
      <c r="H29" s="44">
        <f>ROUND(F29/AD13,0)</f>
        <v>3885589312</v>
      </c>
      <c r="I29" s="44"/>
      <c r="J29" s="44">
        <f>H29-F29</f>
        <v>984802611</v>
      </c>
      <c r="K29" s="44"/>
      <c r="L29" s="44">
        <f>ROUND(F29*(AD11/AD13),0)</f>
        <v>771095199</v>
      </c>
      <c r="M29" s="44">
        <f>ROUND(F29*(AD7/AD13),0)</f>
        <v>213707412</v>
      </c>
      <c r="N29" s="44">
        <f>L29+M29</f>
        <v>984802611</v>
      </c>
      <c r="P29" s="106" t="s">
        <v>162</v>
      </c>
      <c r="Q29" s="65">
        <f>L30</f>
        <v>773595984</v>
      </c>
      <c r="R29" s="66">
        <f>M30</f>
        <v>214400499</v>
      </c>
      <c r="S29" s="84"/>
      <c r="T29" s="67"/>
      <c r="U29" s="84"/>
      <c r="V29" s="67"/>
      <c r="W29" s="68"/>
      <c r="X29" s="65">
        <f>IF(AA29&lt;0,-AA29,0)</f>
        <v>0</v>
      </c>
      <c r="Y29" s="66">
        <f>IF(AA29&gt;0,-AA29,0)</f>
        <v>-987996483</v>
      </c>
      <c r="AA29" s="44">
        <f>SUM(Q29:V29)</f>
        <v>987996483</v>
      </c>
      <c r="AB29" s="44"/>
    </row>
    <row r="30" spans="1:30" ht="14.1" customHeight="1" x14ac:dyDescent="0.2">
      <c r="A30" s="107" t="s">
        <v>170</v>
      </c>
      <c r="B30" s="44"/>
      <c r="C30" s="44"/>
      <c r="D30" s="108">
        <f>SUM(D28:D29)</f>
        <v>2907951561</v>
      </c>
      <c r="E30" s="108">
        <f>SUM(E28:E29)</f>
        <v>2242854</v>
      </c>
      <c r="F30" s="108">
        <f>SUM(F28:F29)</f>
        <v>2910194415</v>
      </c>
      <c r="G30" s="44"/>
      <c r="H30" s="108">
        <f>SUM(H28:H29)</f>
        <v>3898190898</v>
      </c>
      <c r="I30" s="44"/>
      <c r="J30" s="108">
        <f>SUM(J28:J29)</f>
        <v>987996483</v>
      </c>
      <c r="K30" s="44"/>
      <c r="L30" s="108">
        <f>SUM(L28:L29)</f>
        <v>773595984</v>
      </c>
      <c r="M30" s="108">
        <f>SUM(M28:M29)</f>
        <v>214400499</v>
      </c>
      <c r="N30" s="108">
        <f>SUM(N28:N29)</f>
        <v>987996483</v>
      </c>
      <c r="P30" s="105"/>
      <c r="Q30" s="89"/>
      <c r="R30" s="90"/>
      <c r="S30" s="89"/>
      <c r="T30" s="90"/>
      <c r="U30" s="89"/>
      <c r="V30" s="90"/>
      <c r="W30" s="46"/>
      <c r="X30" s="89"/>
      <c r="Y30" s="90"/>
      <c r="AB30" s="44"/>
    </row>
    <row r="31" spans="1:30" ht="14.1" customHeight="1" x14ac:dyDescent="0.2"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P31" s="76" t="s">
        <v>177</v>
      </c>
      <c r="Q31" s="79"/>
      <c r="R31" s="80"/>
      <c r="S31" s="79"/>
      <c r="T31" s="80"/>
      <c r="U31" s="79">
        <f>D32</f>
        <v>717713931</v>
      </c>
      <c r="V31" s="80">
        <f>E32</f>
        <v>0</v>
      </c>
      <c r="W31" s="109"/>
      <c r="X31" s="79">
        <f>IF(AA31&lt;0,-AA31,0)</f>
        <v>0</v>
      </c>
      <c r="Y31" s="80">
        <f>IF(AA31&gt;0,-AA31,0)</f>
        <v>-717713931</v>
      </c>
      <c r="AA31" s="44">
        <f>SUM(Q31:V31)</f>
        <v>717713931</v>
      </c>
    </row>
    <row r="32" spans="1:30" ht="14.1" customHeight="1" x14ac:dyDescent="0.2">
      <c r="A32" s="104" t="s">
        <v>171</v>
      </c>
      <c r="B32" s="44"/>
      <c r="C32" s="44"/>
      <c r="D32" s="44">
        <v>717713931</v>
      </c>
      <c r="E32" s="44"/>
      <c r="F32" s="46">
        <f>D32+E32</f>
        <v>717713931</v>
      </c>
      <c r="G32" s="44"/>
      <c r="H32" s="44">
        <f>ROUND(F32/AD13,0)</f>
        <v>961374229</v>
      </c>
      <c r="I32" s="44"/>
      <c r="J32" s="44">
        <f>H32-F32</f>
        <v>243660298</v>
      </c>
      <c r="K32" s="44"/>
      <c r="L32" s="44">
        <f>ROUND(F32*(AD11/AD13),0)</f>
        <v>190784716</v>
      </c>
      <c r="M32" s="44">
        <f>ROUND(F32*(AD7/AD13),0)</f>
        <v>52875583</v>
      </c>
      <c r="N32" s="44">
        <f>L32+M32</f>
        <v>243660299</v>
      </c>
      <c r="P32" s="85" t="s">
        <v>162</v>
      </c>
      <c r="Q32" s="79">
        <f>L32</f>
        <v>190784716</v>
      </c>
      <c r="R32" s="80">
        <f>M32</f>
        <v>52875583</v>
      </c>
      <c r="S32" s="79"/>
      <c r="T32" s="80"/>
      <c r="U32" s="79"/>
      <c r="V32" s="80"/>
      <c r="W32" s="109"/>
      <c r="X32" s="79">
        <f>IF(AA32&lt;0,-AA32,0)</f>
        <v>0</v>
      </c>
      <c r="Y32" s="80">
        <f>IF(AA32&gt;0,-AA32,0)</f>
        <v>-243660299</v>
      </c>
      <c r="AA32" s="44">
        <f>SUM(Q32:V32)</f>
        <v>243660299</v>
      </c>
    </row>
    <row r="33" spans="1:27" ht="14.1" customHeight="1" x14ac:dyDescent="0.2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P33" s="54"/>
      <c r="Q33" s="89"/>
      <c r="R33" s="90"/>
      <c r="S33" s="89"/>
      <c r="T33" s="90"/>
      <c r="U33" s="89"/>
      <c r="V33" s="90"/>
      <c r="W33" s="46"/>
      <c r="X33" s="89"/>
      <c r="Y33" s="90"/>
    </row>
    <row r="34" spans="1:27" ht="14.1" customHeight="1" thickBot="1" x14ac:dyDescent="0.25">
      <c r="A34" s="41" t="s">
        <v>172</v>
      </c>
      <c r="D34" s="75">
        <f>D26+D30+D32</f>
        <v>3296242642</v>
      </c>
      <c r="E34" s="75">
        <f>E26+E30+E32</f>
        <v>2242854</v>
      </c>
      <c r="F34" s="75">
        <f>F26+F30+F32</f>
        <v>3298485496</v>
      </c>
      <c r="G34" s="44"/>
      <c r="H34" s="75">
        <f>H26+H30+H32</f>
        <v>4418304863</v>
      </c>
      <c r="I34" s="44"/>
      <c r="J34" s="75">
        <f>J26+J30+J32</f>
        <v>1119819367</v>
      </c>
      <c r="K34" s="44"/>
      <c r="L34" s="75">
        <f>L26+L30+L32</f>
        <v>876812601</v>
      </c>
      <c r="M34" s="75">
        <f>M26+M30+M32</f>
        <v>243006767</v>
      </c>
      <c r="N34" s="75">
        <f>N26+N30+N32</f>
        <v>1119819368</v>
      </c>
      <c r="P34" s="54"/>
      <c r="Q34" s="71"/>
      <c r="R34" s="72"/>
      <c r="S34" s="71"/>
      <c r="T34" s="72"/>
      <c r="U34" s="71"/>
      <c r="V34" s="72"/>
      <c r="W34" s="97"/>
      <c r="X34" s="71"/>
      <c r="Y34" s="72"/>
    </row>
    <row r="35" spans="1:27" ht="14.1" customHeight="1" thickTop="1" x14ac:dyDescent="0.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86"/>
      <c r="P35" s="54"/>
      <c r="Q35" s="71"/>
      <c r="R35" s="72"/>
      <c r="S35" s="71"/>
      <c r="T35" s="72"/>
      <c r="U35" s="71"/>
      <c r="V35" s="72"/>
      <c r="W35" s="97"/>
      <c r="X35" s="71"/>
      <c r="Y35" s="72"/>
    </row>
    <row r="36" spans="1:27" ht="14.1" customHeight="1" x14ac:dyDescent="0.2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P36" s="54"/>
      <c r="Q36" s="71"/>
      <c r="R36" s="72"/>
      <c r="S36" s="71"/>
      <c r="T36" s="72"/>
      <c r="U36" s="71"/>
      <c r="V36" s="72"/>
      <c r="W36" s="97"/>
      <c r="X36" s="71"/>
      <c r="Y36" s="72"/>
    </row>
    <row r="37" spans="1:27" ht="14.1" customHeight="1" thickBot="1" x14ac:dyDescent="0.25">
      <c r="A37" s="57" t="s">
        <v>163</v>
      </c>
      <c r="B37" s="92"/>
      <c r="C37" s="92"/>
      <c r="D37" s="93">
        <f>D9+D21+D34+D15</f>
        <v>3202229395</v>
      </c>
      <c r="E37" s="93">
        <f>E9+E21+E34+E15</f>
        <v>-23812719</v>
      </c>
      <c r="F37" s="93">
        <f>F9+F21+F34+F15</f>
        <v>3178416676</v>
      </c>
      <c r="G37" s="92"/>
      <c r="H37" s="93">
        <f>H9+H21+H34+H15</f>
        <v>4257473278</v>
      </c>
      <c r="I37" s="92"/>
      <c r="J37" s="93">
        <f>J9+J21+J34+J15</f>
        <v>1079056602</v>
      </c>
      <c r="K37" s="44"/>
      <c r="L37" s="93">
        <f>L9+L21+L34+L15</f>
        <v>844895573</v>
      </c>
      <c r="M37" s="93">
        <f>M9+M21+M34+M15</f>
        <v>234161029</v>
      </c>
      <c r="N37" s="93">
        <f>N9+N21+N34+N15</f>
        <v>1079056602</v>
      </c>
      <c r="O37" s="86"/>
      <c r="P37" s="54"/>
      <c r="Q37" s="87">
        <f t="shared" ref="Q37:V37" si="0">SUM(Q9:Q34)</f>
        <v>666590867</v>
      </c>
      <c r="R37" s="88">
        <f t="shared" si="0"/>
        <v>276043106</v>
      </c>
      <c r="S37" s="87">
        <f t="shared" si="0"/>
        <v>2790322685</v>
      </c>
      <c r="T37" s="88">
        <f t="shared" si="0"/>
        <v>-30357741</v>
      </c>
      <c r="U37" s="87">
        <f t="shared" si="0"/>
        <v>590211416</v>
      </c>
      <c r="V37" s="88">
        <f t="shared" si="0"/>
        <v>-35337055</v>
      </c>
      <c r="W37" s="97"/>
      <c r="X37" s="87">
        <f>SUM(X9:X34)</f>
        <v>642491891</v>
      </c>
      <c r="Y37" s="88">
        <f>SUM(Y9:Y34)</f>
        <v>-4899965169</v>
      </c>
      <c r="AA37" s="44"/>
    </row>
    <row r="38" spans="1:27" ht="14.1" customHeight="1" thickTop="1" x14ac:dyDescent="0.2">
      <c r="P38" s="54"/>
      <c r="Q38" s="71"/>
      <c r="R38" s="72"/>
      <c r="S38" s="71"/>
      <c r="T38" s="72"/>
      <c r="U38" s="71"/>
      <c r="V38" s="72"/>
      <c r="W38" s="97"/>
      <c r="X38" s="71"/>
      <c r="Y38" s="72"/>
    </row>
    <row r="39" spans="1:27" ht="14.1" customHeight="1" thickBot="1" x14ac:dyDescent="0.25">
      <c r="P39" s="54"/>
      <c r="Q39" s="89"/>
      <c r="R39" s="90"/>
      <c r="S39" s="89"/>
      <c r="T39" s="90"/>
      <c r="U39" s="89"/>
      <c r="V39" s="90"/>
      <c r="W39" s="46"/>
      <c r="X39" s="89"/>
      <c r="Y39" s="91">
        <f>X37+Y37</f>
        <v>-4257473278</v>
      </c>
    </row>
    <row r="40" spans="1:27" ht="14.1" customHeight="1" thickTop="1" x14ac:dyDescent="0.2">
      <c r="P40" s="94"/>
      <c r="Q40" s="110"/>
      <c r="R40" s="111"/>
      <c r="S40" s="110"/>
      <c r="T40" s="111"/>
      <c r="U40" s="110"/>
      <c r="V40" s="111"/>
      <c r="W40" s="112"/>
      <c r="X40" s="110"/>
      <c r="Y40" s="95"/>
    </row>
    <row r="41" spans="1:27" ht="14.1" customHeight="1" x14ac:dyDescent="0.2">
      <c r="Y41" s="44"/>
    </row>
    <row r="42" spans="1:27" ht="14.1" customHeight="1" x14ac:dyDescent="0.2">
      <c r="Y42" s="44"/>
    </row>
    <row r="43" spans="1:27" ht="14.1" customHeight="1" x14ac:dyDescent="0.2">
      <c r="B43" s="41" t="s">
        <v>70</v>
      </c>
      <c r="D43" s="44">
        <f>D28-D44</f>
        <v>7635859.3399999999</v>
      </c>
      <c r="P43" s="41" t="s">
        <v>70</v>
      </c>
      <c r="Q43" s="44">
        <f>Q37-Q44</f>
        <v>724559919.25999999</v>
      </c>
      <c r="S43" s="44">
        <f>S37-S44</f>
        <v>2783947559.3899999</v>
      </c>
      <c r="U43" s="44">
        <f>U37-U44</f>
        <v>582790634.45000005</v>
      </c>
      <c r="X43" s="44">
        <f>-((S13+S19+Q25+U14+U20+U26))-X44</f>
        <v>588821147.5</v>
      </c>
      <c r="Y43" s="44">
        <f>-((Q9+Q10+S28+Q29+Q32+U31))-Y44</f>
        <v>-4680119260.6000004</v>
      </c>
    </row>
    <row r="44" spans="1:27" ht="14.1" customHeight="1" x14ac:dyDescent="0.2">
      <c r="B44" s="41" t="s">
        <v>92</v>
      </c>
      <c r="D44" s="44">
        <f>E28*-0.21</f>
        <v>-470999.33999999997</v>
      </c>
      <c r="P44" s="41" t="s">
        <v>92</v>
      </c>
      <c r="Q44" s="44">
        <f>R37*-0.21</f>
        <v>-57969052.259999998</v>
      </c>
      <c r="S44" s="44">
        <f>T37*-0.21</f>
        <v>6375125.6099999994</v>
      </c>
      <c r="U44" s="44">
        <f>V37*-0.21</f>
        <v>7420781.5499999998</v>
      </c>
      <c r="X44" s="44">
        <f>(-X47*0.21)</f>
        <v>-14266906.5</v>
      </c>
      <c r="Y44" s="44">
        <f>(-Y47*0.21)</f>
        <v>58440051.600000001</v>
      </c>
    </row>
    <row r="45" spans="1:27" ht="14.1" customHeight="1" x14ac:dyDescent="0.2">
      <c r="B45" s="114" t="s">
        <v>178</v>
      </c>
      <c r="D45" s="108">
        <f>SUM(D43:D44)</f>
        <v>7164860</v>
      </c>
      <c r="P45" s="114" t="s">
        <v>178</v>
      </c>
      <c r="Q45" s="108">
        <f>SUM(Q43:Q44)</f>
        <v>666590867</v>
      </c>
      <c r="S45" s="108">
        <f>SUM(S43:S44)</f>
        <v>2790322685</v>
      </c>
      <c r="U45" s="108">
        <f>SUM(U43:U44)</f>
        <v>590211416</v>
      </c>
      <c r="X45" s="108">
        <f>SUM(X43:X44)</f>
        <v>574554241</v>
      </c>
      <c r="Y45" s="108">
        <f>SUM(Y43:Y44)</f>
        <v>-4621679209</v>
      </c>
    </row>
    <row r="46" spans="1:27" ht="14.1" customHeight="1" x14ac:dyDescent="0.2">
      <c r="Y46" s="44"/>
    </row>
    <row r="47" spans="1:27" ht="14.1" customHeight="1" x14ac:dyDescent="0.2">
      <c r="P47" s="41" t="s">
        <v>71</v>
      </c>
      <c r="R47" s="44">
        <f>R37</f>
        <v>276043106</v>
      </c>
      <c r="T47" s="44">
        <f>T37</f>
        <v>-30357741</v>
      </c>
      <c r="V47" s="44">
        <f>V37</f>
        <v>-35337055</v>
      </c>
      <c r="X47" s="44">
        <f>-(V14+V20+V26+T13+T19)</f>
        <v>67937650</v>
      </c>
      <c r="Y47" s="44">
        <f>-(R9+R10+T28+R29+R32)</f>
        <v>-278285960</v>
      </c>
    </row>
    <row r="49" spans="16:25" ht="14.1" customHeight="1" thickBot="1" x14ac:dyDescent="0.25">
      <c r="P49" s="40" t="s">
        <v>47</v>
      </c>
      <c r="Q49" s="113">
        <f t="shared" ref="Q49:V49" si="1">Q45+Q47</f>
        <v>666590867</v>
      </c>
      <c r="R49" s="113">
        <f t="shared" si="1"/>
        <v>276043106</v>
      </c>
      <c r="S49" s="113">
        <f t="shared" si="1"/>
        <v>2790322685</v>
      </c>
      <c r="T49" s="113">
        <f t="shared" si="1"/>
        <v>-30357741</v>
      </c>
      <c r="U49" s="113">
        <f t="shared" si="1"/>
        <v>590211416</v>
      </c>
      <c r="V49" s="113">
        <f t="shared" si="1"/>
        <v>-35337055</v>
      </c>
      <c r="X49" s="113">
        <f>X45+X47</f>
        <v>642491891</v>
      </c>
      <c r="Y49" s="113">
        <f>Y45+Y47</f>
        <v>-4899965169</v>
      </c>
    </row>
    <row r="50" spans="16:25" ht="14.1" customHeight="1" thickTop="1" x14ac:dyDescent="0.2"/>
  </sheetData>
  <pageMargins left="0.25" right="0" top="0.25" bottom="0.25" header="0.3" footer="0"/>
  <pageSetup paperSize="5" scale="73" orientation="landscape" r:id="rId1"/>
  <headerFooter>
    <oddFooter>&amp;L&amp;Z&amp;F&amp;R&amp;A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zoomScale="115" zoomScaleNormal="115" workbookViewId="0">
      <selection activeCell="A6" sqref="A6"/>
    </sheetView>
  </sheetViews>
  <sheetFormatPr defaultColWidth="8" defaultRowHeight="14.1" customHeight="1" x14ac:dyDescent="0.2"/>
  <cols>
    <col min="1" max="1" width="20.7109375" style="41" customWidth="1"/>
    <col min="2" max="4" width="10.7109375" style="41" customWidth="1"/>
    <col min="5" max="5" width="2.28515625" style="41" customWidth="1"/>
    <col min="6" max="6" width="10.7109375" style="41" customWidth="1"/>
    <col min="7" max="7" width="1.5703125" style="41" customWidth="1"/>
    <col min="8" max="8" width="10.7109375" style="41" customWidth="1"/>
    <col min="9" max="9" width="1.5703125" style="41" customWidth="1"/>
    <col min="10" max="12" width="10.7109375" style="41" customWidth="1"/>
    <col min="13" max="13" width="7.42578125" style="41" customWidth="1"/>
    <col min="14" max="14" width="7.28515625" style="41" customWidth="1"/>
    <col min="15" max="15" width="19.5703125" style="41" customWidth="1"/>
    <col min="16" max="16" width="10.7109375" style="41" customWidth="1"/>
    <col min="17" max="17" width="10.28515625" style="41" customWidth="1"/>
    <col min="18" max="18" width="11.5703125" style="41" customWidth="1"/>
    <col min="19" max="19" width="10.5703125" style="41" customWidth="1"/>
    <col min="20" max="20" width="11.7109375" style="41" customWidth="1"/>
    <col min="21" max="21" width="10.7109375" style="41" customWidth="1"/>
    <col min="22" max="22" width="2.42578125" style="41" customWidth="1"/>
    <col min="23" max="23" width="11.28515625" style="41" customWidth="1"/>
    <col min="24" max="24" width="12.28515625" style="41" customWidth="1"/>
    <col min="25" max="25" width="8" style="41"/>
    <col min="26" max="26" width="12.42578125" style="41" customWidth="1"/>
    <col min="27" max="27" width="9.7109375" style="41" bestFit="1" customWidth="1"/>
    <col min="28" max="28" width="9.42578125" style="41" bestFit="1" customWidth="1"/>
    <col min="29" max="16384" width="8" style="41"/>
  </cols>
  <sheetData>
    <row r="1" spans="1:26" ht="14.1" customHeight="1" x14ac:dyDescent="0.25">
      <c r="A1" s="177" t="s">
        <v>179</v>
      </c>
      <c r="F1" s="40" t="s">
        <v>203</v>
      </c>
    </row>
    <row r="2" spans="1:26" ht="14.1" customHeight="1" x14ac:dyDescent="0.25">
      <c r="A2" s="177" t="s">
        <v>255</v>
      </c>
      <c r="F2" s="40" t="s">
        <v>123</v>
      </c>
    </row>
    <row r="3" spans="1:26" ht="14.1" customHeight="1" x14ac:dyDescent="0.25">
      <c r="A3" s="177" t="s">
        <v>256</v>
      </c>
      <c r="O3" s="40" t="s">
        <v>204</v>
      </c>
    </row>
    <row r="4" spans="1:26" ht="14.1" customHeight="1" x14ac:dyDescent="0.25">
      <c r="A4" s="177" t="s">
        <v>257</v>
      </c>
    </row>
    <row r="5" spans="1:26" ht="14.1" customHeight="1" x14ac:dyDescent="0.25">
      <c r="A5" s="177" t="s">
        <v>258</v>
      </c>
      <c r="B5" s="178"/>
      <c r="C5" s="178"/>
      <c r="D5" s="178"/>
      <c r="E5" s="178"/>
      <c r="F5" s="178" t="s">
        <v>205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48" t="s">
        <v>70</v>
      </c>
      <c r="S5" s="49" t="s">
        <v>71</v>
      </c>
      <c r="T5" s="48" t="s">
        <v>70</v>
      </c>
      <c r="U5" s="49" t="s">
        <v>71</v>
      </c>
      <c r="V5" s="50"/>
      <c r="W5" s="51" t="s">
        <v>206</v>
      </c>
      <c r="X5" s="52" t="s">
        <v>207</v>
      </c>
    </row>
    <row r="6" spans="1:26" ht="14.1" customHeight="1" x14ac:dyDescent="0.25">
      <c r="A6" s="177" t="s">
        <v>264</v>
      </c>
      <c r="O6" s="54"/>
      <c r="P6" s="55" t="s">
        <v>132</v>
      </c>
      <c r="Q6" s="56" t="s">
        <v>133</v>
      </c>
      <c r="R6" s="55" t="s">
        <v>134</v>
      </c>
      <c r="S6" s="56" t="s">
        <v>135</v>
      </c>
      <c r="T6" s="55" t="s">
        <v>136</v>
      </c>
      <c r="U6" s="56" t="s">
        <v>137</v>
      </c>
      <c r="V6" s="127"/>
      <c r="W6" s="55" t="s">
        <v>138</v>
      </c>
      <c r="X6" s="56" t="s">
        <v>139</v>
      </c>
    </row>
    <row r="7" spans="1:26" ht="14.1" customHeight="1" x14ac:dyDescent="0.2">
      <c r="A7" s="43" t="s">
        <v>114</v>
      </c>
      <c r="B7" s="43" t="s">
        <v>70</v>
      </c>
      <c r="C7" s="43" t="s">
        <v>71</v>
      </c>
      <c r="D7" s="43" t="s">
        <v>125</v>
      </c>
      <c r="E7" s="43"/>
      <c r="F7" s="43" t="s">
        <v>208</v>
      </c>
      <c r="G7" s="43"/>
      <c r="H7" s="43" t="s">
        <v>209</v>
      </c>
      <c r="J7" s="43" t="s">
        <v>70</v>
      </c>
      <c r="K7" s="43" t="s">
        <v>71</v>
      </c>
      <c r="L7" s="43" t="s">
        <v>125</v>
      </c>
      <c r="O7" s="60"/>
      <c r="P7" s="61" t="s">
        <v>141</v>
      </c>
      <c r="Q7" s="62" t="s">
        <v>141</v>
      </c>
      <c r="R7" s="61" t="s">
        <v>142</v>
      </c>
      <c r="S7" s="62" t="s">
        <v>142</v>
      </c>
      <c r="T7" s="61" t="s">
        <v>143</v>
      </c>
      <c r="U7" s="62" t="s">
        <v>143</v>
      </c>
      <c r="V7" s="139"/>
      <c r="W7" s="61" t="s">
        <v>210</v>
      </c>
      <c r="X7" s="62" t="s">
        <v>211</v>
      </c>
    </row>
    <row r="8" spans="1:26" ht="14.1" customHeight="1" x14ac:dyDescent="0.2">
      <c r="O8" s="54"/>
      <c r="P8" s="71"/>
      <c r="Q8" s="72"/>
      <c r="R8" s="71"/>
      <c r="S8" s="72"/>
      <c r="T8" s="71"/>
      <c r="U8" s="72"/>
      <c r="W8" s="71"/>
      <c r="X8" s="72"/>
    </row>
    <row r="9" spans="1:26" ht="14.1" customHeight="1" x14ac:dyDescent="0.2">
      <c r="A9" s="41" t="s">
        <v>164</v>
      </c>
      <c r="B9" s="46"/>
      <c r="C9" s="46"/>
      <c r="D9" s="46"/>
      <c r="E9" s="44"/>
      <c r="F9" s="44"/>
      <c r="G9" s="44"/>
      <c r="H9" s="44"/>
      <c r="I9" s="44"/>
      <c r="J9" s="44"/>
      <c r="K9" s="44"/>
      <c r="L9" s="44"/>
      <c r="O9" s="76" t="s">
        <v>165</v>
      </c>
      <c r="P9" s="79">
        <f>B10</f>
        <v>-2112621.8336999998</v>
      </c>
      <c r="Q9" s="80">
        <f>C10</f>
        <v>0</v>
      </c>
      <c r="R9" s="79"/>
      <c r="S9" s="80"/>
      <c r="T9" s="79"/>
      <c r="U9" s="78"/>
      <c r="V9" s="140"/>
      <c r="W9" s="79">
        <f>IF(Z9&lt;0,-Z9,0)</f>
        <v>2112621.8336999998</v>
      </c>
      <c r="X9" s="80">
        <f>IF(Z9&gt;0,-Z9,0)</f>
        <v>0</v>
      </c>
      <c r="Z9" s="44">
        <f t="shared" ref="Z9:Z16" si="0">SUM(P9:U9)</f>
        <v>-2112621.8336999998</v>
      </c>
    </row>
    <row r="10" spans="1:26" ht="14.1" customHeight="1" x14ac:dyDescent="0.2">
      <c r="A10" s="104" t="s">
        <v>166</v>
      </c>
      <c r="B10" s="141">
        <v>-2112621.8336999998</v>
      </c>
      <c r="C10" s="46">
        <v>0</v>
      </c>
      <c r="D10" s="46">
        <f>B10+C10</f>
        <v>-2112621.8336999998</v>
      </c>
      <c r="E10" s="44"/>
      <c r="F10" s="44">
        <f>ROUND(D10/$B$27,0)</f>
        <v>-2829846</v>
      </c>
      <c r="G10" s="44"/>
      <c r="H10" s="44">
        <f t="shared" ref="H10:H12" si="1">F10-D10</f>
        <v>-717224.16630000016</v>
      </c>
      <c r="I10" s="44"/>
      <c r="J10" s="44">
        <f>ROUND(D10*($B$25/$B$27),0)</f>
        <v>-561583</v>
      </c>
      <c r="K10" s="44">
        <f>ROUND(D10*($B$21/$B$27),0)</f>
        <v>-155642</v>
      </c>
      <c r="L10" s="44">
        <f>J10+K10</f>
        <v>-717225</v>
      </c>
      <c r="O10" s="85" t="s">
        <v>162</v>
      </c>
      <c r="P10" s="79"/>
      <c r="Q10" s="80"/>
      <c r="R10" s="79"/>
      <c r="S10" s="80"/>
      <c r="T10" s="79">
        <f>J10</f>
        <v>-561583</v>
      </c>
      <c r="U10" s="80">
        <f>K10</f>
        <v>-155642</v>
      </c>
      <c r="V10" s="142"/>
      <c r="W10" s="79">
        <f t="shared" ref="W10:W16" si="2">IF(Z10&lt;0,-Z10,0)</f>
        <v>717225</v>
      </c>
      <c r="X10" s="80">
        <f t="shared" ref="X10:X16" si="3">IF(Z10&gt;0,-Z10,0)</f>
        <v>0</v>
      </c>
      <c r="Z10" s="44">
        <f t="shared" si="0"/>
        <v>-717225</v>
      </c>
    </row>
    <row r="11" spans="1:26" ht="14.1" customHeight="1" x14ac:dyDescent="0.2">
      <c r="A11" s="104" t="s">
        <v>201</v>
      </c>
      <c r="B11" s="141">
        <v>2169231.6806999999</v>
      </c>
      <c r="C11" s="46"/>
      <c r="D11" s="46">
        <f>B11+C11</f>
        <v>2169231.6806999999</v>
      </c>
      <c r="E11" s="44"/>
      <c r="F11" s="44">
        <f>ROUND(D11/$B$27,0)</f>
        <v>2905675</v>
      </c>
      <c r="G11" s="44"/>
      <c r="H11" s="44">
        <f t="shared" si="1"/>
        <v>736443.31930000009</v>
      </c>
      <c r="I11" s="44"/>
      <c r="J11" s="44">
        <f>ROUND(D11*($B$25/$B$27),0)</f>
        <v>576631</v>
      </c>
      <c r="K11" s="44">
        <f>ROUND(D11*($B$21/$B$27),0)</f>
        <v>159812</v>
      </c>
      <c r="L11" s="44">
        <f>J11+K11</f>
        <v>736443</v>
      </c>
      <c r="O11" s="105"/>
      <c r="P11" s="143"/>
      <c r="Q11" s="144"/>
      <c r="R11" s="143"/>
      <c r="S11" s="144"/>
      <c r="T11" s="143"/>
      <c r="U11" s="144"/>
      <c r="V11" s="44"/>
      <c r="W11" s="89"/>
      <c r="X11" s="90"/>
      <c r="Z11" s="44"/>
    </row>
    <row r="12" spans="1:26" ht="14.1" customHeight="1" x14ac:dyDescent="0.2">
      <c r="A12" s="104" t="s">
        <v>171</v>
      </c>
      <c r="B12" s="141">
        <v>0</v>
      </c>
      <c r="C12" s="46">
        <v>0</v>
      </c>
      <c r="D12" s="46">
        <f>B12+C12</f>
        <v>0</v>
      </c>
      <c r="E12" s="44"/>
      <c r="F12" s="44">
        <f>ROUND(D12/$B$27,0)</f>
        <v>0</v>
      </c>
      <c r="G12" s="44"/>
      <c r="H12" s="44">
        <f t="shared" si="1"/>
        <v>0</v>
      </c>
      <c r="I12" s="44"/>
      <c r="J12" s="44">
        <f>ROUND(D12*($B$25/$B$27),0)</f>
        <v>0</v>
      </c>
      <c r="K12" s="44">
        <f>ROUND(D12*($B$21/$B$27),0)</f>
        <v>0</v>
      </c>
      <c r="L12" s="44">
        <f>J12+K12</f>
        <v>0</v>
      </c>
      <c r="O12" s="64" t="s">
        <v>168</v>
      </c>
      <c r="P12" s="65"/>
      <c r="Q12" s="67"/>
      <c r="R12" s="65">
        <f>B11</f>
        <v>2169231.6806999999</v>
      </c>
      <c r="S12" s="66">
        <f>C11</f>
        <v>0</v>
      </c>
      <c r="T12" s="65"/>
      <c r="U12" s="67"/>
      <c r="V12" s="145"/>
      <c r="W12" s="65">
        <f t="shared" si="2"/>
        <v>0</v>
      </c>
      <c r="X12" s="66">
        <f t="shared" si="3"/>
        <v>-2169231.6806999999</v>
      </c>
      <c r="Z12" s="44">
        <f t="shared" si="0"/>
        <v>2169231.6806999999</v>
      </c>
    </row>
    <row r="13" spans="1:26" ht="14.1" customHeight="1" x14ac:dyDescent="0.2">
      <c r="B13" s="44"/>
      <c r="C13" s="44"/>
      <c r="D13" s="44"/>
      <c r="E13" s="44"/>
      <c r="F13" s="44"/>
      <c r="G13" s="44"/>
      <c r="H13" s="44"/>
      <c r="I13" s="44"/>
      <c r="O13" s="106" t="s">
        <v>162</v>
      </c>
      <c r="P13" s="65">
        <f>J11</f>
        <v>576631</v>
      </c>
      <c r="Q13" s="66">
        <f>K11</f>
        <v>159812</v>
      </c>
      <c r="R13" s="65"/>
      <c r="S13" s="66"/>
      <c r="T13" s="65">
        <f>J8</f>
        <v>0</v>
      </c>
      <c r="U13" s="66">
        <f>K8</f>
        <v>0</v>
      </c>
      <c r="V13" s="146"/>
      <c r="W13" s="65">
        <f t="shared" si="2"/>
        <v>0</v>
      </c>
      <c r="X13" s="66">
        <f t="shared" si="3"/>
        <v>-736443</v>
      </c>
      <c r="Z13" s="44">
        <f t="shared" si="0"/>
        <v>736443</v>
      </c>
    </row>
    <row r="14" spans="1:26" ht="14.1" customHeight="1" thickBot="1" x14ac:dyDescent="0.25">
      <c r="A14" s="41" t="s">
        <v>172</v>
      </c>
      <c r="B14" s="75">
        <f>SUM(B9:B13)</f>
        <v>56609.847000000067</v>
      </c>
      <c r="C14" s="75">
        <f>SUM(C9:C13)</f>
        <v>0</v>
      </c>
      <c r="D14" s="75">
        <f>SUM(D9:D13)</f>
        <v>56609.847000000067</v>
      </c>
      <c r="E14" s="44"/>
      <c r="F14" s="75">
        <f>SUM(F9:F13)</f>
        <v>75829</v>
      </c>
      <c r="G14" s="44"/>
      <c r="H14" s="75">
        <f>SUM(H9:H13)</f>
        <v>19219.152999999933</v>
      </c>
      <c r="I14" s="44"/>
      <c r="J14" s="75">
        <f>SUM(J9:J13)</f>
        <v>15048</v>
      </c>
      <c r="K14" s="75">
        <f>SUM(K9:K13)</f>
        <v>4170</v>
      </c>
      <c r="L14" s="75">
        <f>SUM(L9:L13)</f>
        <v>19218</v>
      </c>
      <c r="O14" s="105"/>
      <c r="P14" s="143"/>
      <c r="Q14" s="144"/>
      <c r="R14" s="143"/>
      <c r="S14" s="144"/>
      <c r="T14" s="143"/>
      <c r="U14" s="144"/>
      <c r="V14" s="44"/>
      <c r="W14" s="89"/>
      <c r="X14" s="90"/>
      <c r="Z14" s="44"/>
    </row>
    <row r="15" spans="1:26" ht="14.1" customHeight="1" thickTop="1" x14ac:dyDescent="0.2">
      <c r="B15" s="44"/>
      <c r="C15" s="44"/>
      <c r="O15" s="76" t="s">
        <v>177</v>
      </c>
      <c r="P15" s="79"/>
      <c r="Q15" s="78"/>
      <c r="R15" s="79"/>
      <c r="S15" s="80"/>
      <c r="T15" s="79">
        <f>B12</f>
        <v>0</v>
      </c>
      <c r="U15" s="80">
        <f>C12</f>
        <v>0</v>
      </c>
      <c r="V15" s="140"/>
      <c r="W15" s="79">
        <f t="shared" si="2"/>
        <v>0</v>
      </c>
      <c r="X15" s="80">
        <f t="shared" si="3"/>
        <v>0</v>
      </c>
      <c r="Z15" s="44">
        <f t="shared" si="0"/>
        <v>0</v>
      </c>
    </row>
    <row r="16" spans="1:26" ht="14.1" customHeight="1" x14ac:dyDescent="0.2">
      <c r="B16" s="44"/>
      <c r="C16" s="44"/>
      <c r="F16" s="44"/>
      <c r="O16" s="85" t="s">
        <v>162</v>
      </c>
      <c r="P16" s="79">
        <f>J12</f>
        <v>0</v>
      </c>
      <c r="Q16" s="80">
        <f>K12</f>
        <v>0</v>
      </c>
      <c r="R16" s="79"/>
      <c r="S16" s="80"/>
      <c r="T16" s="79"/>
      <c r="U16" s="80"/>
      <c r="V16" s="142"/>
      <c r="W16" s="79">
        <f t="shared" si="2"/>
        <v>0</v>
      </c>
      <c r="X16" s="80">
        <f t="shared" si="3"/>
        <v>0</v>
      </c>
      <c r="Z16" s="44">
        <f t="shared" si="0"/>
        <v>0</v>
      </c>
    </row>
    <row r="17" spans="1:24" ht="14.1" customHeight="1" thickBot="1" x14ac:dyDescent="0.25">
      <c r="B17" s="44"/>
      <c r="C17" s="44"/>
      <c r="O17" s="147"/>
      <c r="P17" s="87">
        <f t="shared" ref="P17:U17" si="4">SUM(P8:P16)</f>
        <v>-1535990.8336999998</v>
      </c>
      <c r="Q17" s="88">
        <f t="shared" si="4"/>
        <v>159812</v>
      </c>
      <c r="R17" s="87">
        <f t="shared" si="4"/>
        <v>2169231.6806999999</v>
      </c>
      <c r="S17" s="88">
        <f t="shared" si="4"/>
        <v>0</v>
      </c>
      <c r="T17" s="87">
        <f t="shared" si="4"/>
        <v>-561583</v>
      </c>
      <c r="U17" s="88">
        <f t="shared" si="4"/>
        <v>-155642</v>
      </c>
      <c r="V17" s="44"/>
      <c r="W17" s="87">
        <f>SUM(W8:W16)</f>
        <v>2829846.8336999998</v>
      </c>
      <c r="X17" s="88">
        <f>SUM(X8:X16)</f>
        <v>-2905674.6806999999</v>
      </c>
    </row>
    <row r="18" spans="1:24" ht="14.1" customHeight="1" thickTop="1" x14ac:dyDescent="0.2">
      <c r="B18" s="44"/>
      <c r="C18" s="44"/>
      <c r="O18" s="147"/>
      <c r="P18" s="89"/>
      <c r="Q18" s="90"/>
      <c r="R18" s="89"/>
      <c r="S18" s="90"/>
      <c r="T18" s="89"/>
      <c r="U18" s="90"/>
      <c r="V18" s="44"/>
      <c r="W18" s="89"/>
      <c r="X18" s="90"/>
    </row>
    <row r="19" spans="1:24" ht="14.1" customHeight="1" thickBot="1" x14ac:dyDescent="0.25">
      <c r="A19" s="45" t="s">
        <v>91</v>
      </c>
      <c r="O19" s="147"/>
      <c r="P19" s="89"/>
      <c r="Q19" s="90"/>
      <c r="R19" s="89"/>
      <c r="S19" s="90"/>
      <c r="T19" s="89"/>
      <c r="U19" s="90"/>
      <c r="V19" s="44"/>
      <c r="W19" s="89"/>
      <c r="X19" s="91">
        <f>W17+X17</f>
        <v>-75827.847000000067</v>
      </c>
    </row>
    <row r="20" spans="1:24" ht="14.1" customHeight="1" thickTop="1" x14ac:dyDescent="0.2">
      <c r="A20" s="41" t="s">
        <v>131</v>
      </c>
      <c r="B20" s="53">
        <v>0.21</v>
      </c>
      <c r="O20" s="148"/>
      <c r="P20" s="149"/>
      <c r="Q20" s="95"/>
      <c r="R20" s="149"/>
      <c r="S20" s="95"/>
      <c r="T20" s="149"/>
      <c r="U20" s="95"/>
      <c r="V20" s="44"/>
      <c r="W20" s="149"/>
      <c r="X20" s="95"/>
    </row>
    <row r="21" spans="1:24" ht="14.1" customHeight="1" x14ac:dyDescent="0.2">
      <c r="A21" s="41" t="s">
        <v>140</v>
      </c>
      <c r="B21" s="41">
        <v>5.5E-2</v>
      </c>
    </row>
    <row r="22" spans="1:24" ht="14.1" customHeight="1" x14ac:dyDescent="0.2">
      <c r="A22" s="41" t="s">
        <v>92</v>
      </c>
      <c r="B22" s="73">
        <f>B21*-B20</f>
        <v>-1.155E-2</v>
      </c>
    </row>
    <row r="23" spans="1:24" ht="14.1" customHeight="1" thickBot="1" x14ac:dyDescent="0.25">
      <c r="A23" s="41" t="s">
        <v>147</v>
      </c>
      <c r="B23" s="150">
        <f>SUM(B20:B22)</f>
        <v>0.25345000000000001</v>
      </c>
    </row>
    <row r="24" spans="1:24" ht="14.1" customHeight="1" thickTop="1" x14ac:dyDescent="0.2">
      <c r="O24" s="136" t="s">
        <v>202</v>
      </c>
      <c r="P24" s="151"/>
      <c r="Q24" s="151"/>
      <c r="R24" s="152"/>
    </row>
    <row r="25" spans="1:24" ht="14.1" customHeight="1" x14ac:dyDescent="0.2">
      <c r="A25" s="41" t="s">
        <v>151</v>
      </c>
      <c r="B25" s="73">
        <f>B20+B22</f>
        <v>0.19844999999999999</v>
      </c>
      <c r="O25" s="137" t="s">
        <v>212</v>
      </c>
      <c r="P25" s="153" t="s">
        <v>70</v>
      </c>
      <c r="Q25" s="153" t="s">
        <v>92</v>
      </c>
      <c r="R25" s="154" t="s">
        <v>71</v>
      </c>
    </row>
    <row r="26" spans="1:24" ht="14.1" customHeight="1" x14ac:dyDescent="0.2">
      <c r="O26" s="138"/>
      <c r="P26" s="155"/>
      <c r="Q26" s="155"/>
      <c r="R26" s="156"/>
    </row>
    <row r="27" spans="1:24" ht="14.1" customHeight="1" x14ac:dyDescent="0.2">
      <c r="A27" s="41" t="s">
        <v>213</v>
      </c>
      <c r="B27" s="73">
        <f>1-B23</f>
        <v>0.74655000000000005</v>
      </c>
      <c r="O27" s="157" t="s">
        <v>214</v>
      </c>
      <c r="P27" s="158">
        <f>P17-Q37</f>
        <v>-1502430.3136999998</v>
      </c>
      <c r="Q27" s="158"/>
      <c r="R27" s="159"/>
    </row>
    <row r="28" spans="1:24" ht="14.1" customHeight="1" x14ac:dyDescent="0.2">
      <c r="O28" s="157" t="s">
        <v>215</v>
      </c>
      <c r="P28" s="158">
        <f>R17-Q38</f>
        <v>2169231.6806999999</v>
      </c>
      <c r="Q28" s="158"/>
      <c r="R28" s="159"/>
    </row>
    <row r="29" spans="1:24" ht="14.1" customHeight="1" x14ac:dyDescent="0.2">
      <c r="O29" s="157" t="s">
        <v>216</v>
      </c>
      <c r="P29" s="158">
        <f>T17-Q39</f>
        <v>-594267.81999999995</v>
      </c>
      <c r="Q29" s="158"/>
      <c r="R29" s="159"/>
    </row>
    <row r="30" spans="1:24" ht="14.1" customHeight="1" x14ac:dyDescent="0.2">
      <c r="A30" s="41" t="s">
        <v>176</v>
      </c>
      <c r="O30" s="160"/>
      <c r="P30" s="158"/>
      <c r="Q30" s="158"/>
      <c r="R30" s="159"/>
    </row>
    <row r="31" spans="1:24" ht="14.1" customHeight="1" x14ac:dyDescent="0.2">
      <c r="O31" s="157" t="s">
        <v>198</v>
      </c>
      <c r="P31" s="158"/>
      <c r="Q31" s="158"/>
      <c r="R31" s="159">
        <f>Q17</f>
        <v>159812</v>
      </c>
    </row>
    <row r="32" spans="1:24" ht="14.1" customHeight="1" x14ac:dyDescent="0.2">
      <c r="O32" s="157" t="s">
        <v>199</v>
      </c>
      <c r="P32" s="158"/>
      <c r="Q32" s="158"/>
      <c r="R32" s="159">
        <f>S17</f>
        <v>0</v>
      </c>
    </row>
    <row r="33" spans="15:24" ht="14.1" customHeight="1" x14ac:dyDescent="0.2">
      <c r="O33" s="157" t="s">
        <v>200</v>
      </c>
      <c r="P33" s="158"/>
      <c r="Q33" s="158"/>
      <c r="R33" s="159">
        <f>U17</f>
        <v>-155642</v>
      </c>
    </row>
    <row r="34" spans="15:24" ht="14.1" customHeight="1" thickBot="1" x14ac:dyDescent="0.25">
      <c r="O34" s="161"/>
      <c r="P34" s="162"/>
      <c r="Q34" s="162"/>
      <c r="R34" s="163"/>
    </row>
    <row r="35" spans="15:24" ht="14.1" customHeight="1" thickTop="1" x14ac:dyDescent="0.2">
      <c r="O35" s="164"/>
      <c r="P35" s="135"/>
      <c r="Q35" s="135"/>
      <c r="R35" s="135"/>
    </row>
    <row r="36" spans="15:24" ht="14.1" customHeight="1" x14ac:dyDescent="0.2">
      <c r="O36" s="165" t="s">
        <v>217</v>
      </c>
    </row>
    <row r="37" spans="15:24" ht="14.1" customHeight="1" x14ac:dyDescent="0.2">
      <c r="O37" s="164" t="s">
        <v>218</v>
      </c>
      <c r="P37" s="135"/>
      <c r="Q37" s="135">
        <f>-R31*$B$20</f>
        <v>-33560.519999999997</v>
      </c>
      <c r="R37" s="135"/>
    </row>
    <row r="38" spans="15:24" ht="14.1" customHeight="1" x14ac:dyDescent="0.2">
      <c r="O38" s="164" t="s">
        <v>219</v>
      </c>
      <c r="P38" s="135"/>
      <c r="Q38" s="135">
        <f>-R32*$B$20</f>
        <v>0</v>
      </c>
      <c r="R38" s="135"/>
    </row>
    <row r="39" spans="15:24" ht="14.1" customHeight="1" x14ac:dyDescent="0.2">
      <c r="O39" s="164" t="s">
        <v>220</v>
      </c>
      <c r="P39" s="135"/>
      <c r="Q39" s="135">
        <f>-R33*$B$20</f>
        <v>32684.82</v>
      </c>
      <c r="R39" s="135"/>
    </row>
    <row r="42" spans="15:24" ht="14.1" customHeight="1" x14ac:dyDescent="0.2">
      <c r="O42" s="41" t="s">
        <v>70</v>
      </c>
      <c r="P42" s="44">
        <f>+P17-P43</f>
        <v>-1502430.3136999998</v>
      </c>
      <c r="R42" s="44">
        <f>+R17-R43</f>
        <v>2169231.6806999999</v>
      </c>
      <c r="T42" s="44">
        <f>+T17-T43</f>
        <v>-594267.81999999995</v>
      </c>
      <c r="W42" s="44">
        <f>-(P9+T10)-W43</f>
        <v>2706889.6536999997</v>
      </c>
      <c r="X42" s="44">
        <f>-(R12+P13)-X43</f>
        <v>-2779423.2006999999</v>
      </c>
    </row>
    <row r="43" spans="15:24" ht="14.1" customHeight="1" x14ac:dyDescent="0.2">
      <c r="O43" s="41" t="s">
        <v>92</v>
      </c>
      <c r="P43" s="44">
        <f>Q17*-0.21</f>
        <v>-33560.519999999997</v>
      </c>
      <c r="R43" s="44">
        <f>S17*-0.21</f>
        <v>0</v>
      </c>
      <c r="T43" s="44">
        <f>U17*-0.21</f>
        <v>32684.82</v>
      </c>
      <c r="W43" s="44">
        <f>(-W46*0.21)</f>
        <v>-32684.82</v>
      </c>
      <c r="X43" s="44">
        <f>(-X46*0.21)</f>
        <v>33560.519999999997</v>
      </c>
    </row>
    <row r="44" spans="15:24" ht="14.1" customHeight="1" x14ac:dyDescent="0.2">
      <c r="O44" s="114" t="s">
        <v>178</v>
      </c>
      <c r="P44" s="108">
        <f>SUM(P42:P43)</f>
        <v>-1535990.8336999998</v>
      </c>
      <c r="R44" s="108">
        <f>SUM(R42:R43)</f>
        <v>2169231.6806999999</v>
      </c>
      <c r="T44" s="108">
        <f>SUM(T42:T43)</f>
        <v>-561583</v>
      </c>
      <c r="W44" s="108">
        <f>SUM(W42:W43)</f>
        <v>2674204.8336999998</v>
      </c>
      <c r="X44" s="108">
        <f>SUM(X42:X43)</f>
        <v>-2745862.6806999999</v>
      </c>
    </row>
    <row r="45" spans="15:24" ht="14.1" customHeight="1" x14ac:dyDescent="0.2">
      <c r="X45" s="44"/>
    </row>
    <row r="46" spans="15:24" ht="14.1" customHeight="1" x14ac:dyDescent="0.2">
      <c r="O46" s="41" t="s">
        <v>71</v>
      </c>
      <c r="Q46" s="44">
        <f>Q17</f>
        <v>159812</v>
      </c>
      <c r="S46" s="44">
        <f>S17</f>
        <v>0</v>
      </c>
      <c r="U46" s="44">
        <f>U17</f>
        <v>-155642</v>
      </c>
      <c r="W46" s="44">
        <f>-U10</f>
        <v>155642</v>
      </c>
      <c r="X46" s="44">
        <f>-(Q13)</f>
        <v>-159812</v>
      </c>
    </row>
    <row r="48" spans="15:24" ht="14.1" customHeight="1" thickBot="1" x14ac:dyDescent="0.25">
      <c r="O48" s="40" t="s">
        <v>47</v>
      </c>
      <c r="P48" s="113">
        <f t="shared" ref="P48:U48" si="5">P44+P46</f>
        <v>-1535990.8336999998</v>
      </c>
      <c r="Q48" s="113">
        <f t="shared" si="5"/>
        <v>159812</v>
      </c>
      <c r="R48" s="113">
        <f t="shared" si="5"/>
        <v>2169231.6806999999</v>
      </c>
      <c r="S48" s="113">
        <f t="shared" si="5"/>
        <v>0</v>
      </c>
      <c r="T48" s="113">
        <f t="shared" si="5"/>
        <v>-561583</v>
      </c>
      <c r="U48" s="113">
        <f t="shared" si="5"/>
        <v>-155642</v>
      </c>
      <c r="W48" s="113">
        <f>W44+W46</f>
        <v>2829846.8336999998</v>
      </c>
      <c r="X48" s="113">
        <f>X44+X46</f>
        <v>-2905674.6806999999</v>
      </c>
    </row>
    <row r="49" spans="16:24" ht="14.1" customHeight="1" thickTop="1" x14ac:dyDescent="0.2">
      <c r="P49" s="44">
        <f>+P48-P17</f>
        <v>0</v>
      </c>
      <c r="Q49" s="44">
        <f t="shared" ref="Q49:U49" si="6">+Q48-Q17</f>
        <v>0</v>
      </c>
      <c r="R49" s="44">
        <f t="shared" si="6"/>
        <v>0</v>
      </c>
      <c r="S49" s="44">
        <f t="shared" si="6"/>
        <v>0</v>
      </c>
      <c r="T49" s="44">
        <f t="shared" si="6"/>
        <v>0</v>
      </c>
      <c r="U49" s="44">
        <f t="shared" si="6"/>
        <v>0</v>
      </c>
      <c r="W49" s="44">
        <f>+W48-W17</f>
        <v>0</v>
      </c>
      <c r="X49" s="44">
        <f>+X48-X17</f>
        <v>0</v>
      </c>
    </row>
  </sheetData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zoomScaleNormal="100" workbookViewId="0">
      <selection activeCell="A6" sqref="A6"/>
    </sheetView>
  </sheetViews>
  <sheetFormatPr defaultColWidth="8" defaultRowHeight="14.1" customHeight="1" x14ac:dyDescent="0.2"/>
  <cols>
    <col min="1" max="1" width="20.7109375" style="41" customWidth="1"/>
    <col min="2" max="4" width="10.7109375" style="41" customWidth="1"/>
    <col min="5" max="5" width="2.28515625" style="41" customWidth="1"/>
    <col min="6" max="6" width="10.7109375" style="41" customWidth="1"/>
    <col min="7" max="7" width="1.5703125" style="41" customWidth="1"/>
    <col min="8" max="8" width="10.7109375" style="41" customWidth="1"/>
    <col min="9" max="9" width="1.5703125" style="41" customWidth="1"/>
    <col min="10" max="12" width="10.7109375" style="41" customWidth="1"/>
    <col min="13" max="13" width="7.42578125" style="41" customWidth="1"/>
    <col min="14" max="14" width="7.28515625" style="41" customWidth="1"/>
    <col min="15" max="15" width="19.5703125" style="41" customWidth="1"/>
    <col min="16" max="16" width="10.7109375" style="41" customWidth="1"/>
    <col min="17" max="17" width="10.28515625" style="41" customWidth="1"/>
    <col min="18" max="18" width="11.5703125" style="41" customWidth="1"/>
    <col min="19" max="19" width="10.5703125" style="41" customWidth="1"/>
    <col min="20" max="20" width="11.7109375" style="41" customWidth="1"/>
    <col min="21" max="21" width="10.7109375" style="41" customWidth="1"/>
    <col min="22" max="22" width="2.42578125" style="41" customWidth="1"/>
    <col min="23" max="23" width="11.28515625" style="41" customWidth="1"/>
    <col min="24" max="24" width="12.28515625" style="41" customWidth="1"/>
    <col min="25" max="25" width="8" style="41"/>
    <col min="26" max="26" width="12.42578125" style="41" customWidth="1"/>
    <col min="27" max="27" width="9.7109375" style="41" bestFit="1" customWidth="1"/>
    <col min="28" max="28" width="9.42578125" style="41" bestFit="1" customWidth="1"/>
    <col min="29" max="16384" width="8" style="41"/>
  </cols>
  <sheetData>
    <row r="1" spans="1:26" ht="14.1" customHeight="1" x14ac:dyDescent="0.25">
      <c r="A1" s="177" t="s">
        <v>179</v>
      </c>
      <c r="F1" s="40" t="s">
        <v>221</v>
      </c>
    </row>
    <row r="2" spans="1:26" ht="14.1" customHeight="1" x14ac:dyDescent="0.25">
      <c r="A2" s="177" t="s">
        <v>255</v>
      </c>
      <c r="F2" s="40" t="s">
        <v>123</v>
      </c>
    </row>
    <row r="3" spans="1:26" ht="14.1" customHeight="1" x14ac:dyDescent="0.25">
      <c r="A3" s="177" t="s">
        <v>256</v>
      </c>
      <c r="O3" s="40" t="s">
        <v>204</v>
      </c>
    </row>
    <row r="4" spans="1:26" ht="14.1" customHeight="1" x14ac:dyDescent="0.25">
      <c r="A4" s="177" t="s">
        <v>257</v>
      </c>
    </row>
    <row r="5" spans="1:26" ht="14.1" customHeight="1" x14ac:dyDescent="0.25">
      <c r="A5" s="177" t="s">
        <v>258</v>
      </c>
      <c r="B5" s="178"/>
      <c r="C5" s="178"/>
      <c r="D5" s="178"/>
      <c r="E5" s="178"/>
      <c r="F5" s="178" t="s">
        <v>205</v>
      </c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48" t="s">
        <v>70</v>
      </c>
      <c r="S5" s="49" t="s">
        <v>71</v>
      </c>
      <c r="T5" s="48" t="s">
        <v>70</v>
      </c>
      <c r="U5" s="49" t="s">
        <v>71</v>
      </c>
      <c r="V5" s="50"/>
      <c r="W5" s="51" t="s">
        <v>206</v>
      </c>
      <c r="X5" s="52" t="s">
        <v>207</v>
      </c>
    </row>
    <row r="6" spans="1:26" ht="14.1" customHeight="1" x14ac:dyDescent="0.25">
      <c r="A6" s="177" t="s">
        <v>265</v>
      </c>
      <c r="O6" s="54"/>
      <c r="P6" s="55" t="s">
        <v>132</v>
      </c>
      <c r="Q6" s="56" t="s">
        <v>133</v>
      </c>
      <c r="R6" s="55" t="s">
        <v>134</v>
      </c>
      <c r="S6" s="56" t="s">
        <v>135</v>
      </c>
      <c r="T6" s="55" t="s">
        <v>136</v>
      </c>
      <c r="U6" s="56" t="s">
        <v>137</v>
      </c>
      <c r="V6" s="127"/>
      <c r="W6" s="55" t="s">
        <v>138</v>
      </c>
      <c r="X6" s="56" t="s">
        <v>139</v>
      </c>
    </row>
    <row r="7" spans="1:26" ht="14.1" customHeight="1" x14ac:dyDescent="0.2">
      <c r="A7" s="43" t="s">
        <v>114</v>
      </c>
      <c r="B7" s="43" t="s">
        <v>70</v>
      </c>
      <c r="C7" s="43" t="s">
        <v>71</v>
      </c>
      <c r="D7" s="43" t="s">
        <v>125</v>
      </c>
      <c r="E7" s="43"/>
      <c r="F7" s="43" t="s">
        <v>208</v>
      </c>
      <c r="G7" s="43"/>
      <c r="H7" s="43" t="s">
        <v>209</v>
      </c>
      <c r="J7" s="43" t="s">
        <v>70</v>
      </c>
      <c r="K7" s="43" t="s">
        <v>71</v>
      </c>
      <c r="L7" s="43" t="s">
        <v>125</v>
      </c>
      <c r="O7" s="60"/>
      <c r="P7" s="61" t="s">
        <v>141</v>
      </c>
      <c r="Q7" s="62" t="s">
        <v>141</v>
      </c>
      <c r="R7" s="61" t="s">
        <v>142</v>
      </c>
      <c r="S7" s="62" t="s">
        <v>142</v>
      </c>
      <c r="T7" s="61" t="s">
        <v>143</v>
      </c>
      <c r="U7" s="62" t="s">
        <v>143</v>
      </c>
      <c r="V7" s="139"/>
      <c r="W7" s="61" t="s">
        <v>210</v>
      </c>
      <c r="X7" s="62" t="s">
        <v>211</v>
      </c>
    </row>
    <row r="8" spans="1:26" ht="14.1" customHeight="1" x14ac:dyDescent="0.2">
      <c r="O8" s="54"/>
      <c r="P8" s="71"/>
      <c r="Q8" s="72"/>
      <c r="R8" s="71"/>
      <c r="S8" s="72"/>
      <c r="T8" s="71"/>
      <c r="U8" s="72"/>
      <c r="W8" s="71"/>
      <c r="X8" s="72"/>
    </row>
    <row r="9" spans="1:26" ht="14.1" customHeight="1" x14ac:dyDescent="0.2">
      <c r="A9" s="41" t="s">
        <v>164</v>
      </c>
      <c r="B9" s="46"/>
      <c r="C9" s="46"/>
      <c r="D9" s="46"/>
      <c r="E9" s="44"/>
      <c r="F9" s="44"/>
      <c r="G9" s="44"/>
      <c r="H9" s="44"/>
      <c r="I9" s="44"/>
      <c r="J9" s="44"/>
      <c r="K9" s="44"/>
      <c r="L9" s="44"/>
      <c r="O9" s="76" t="s">
        <v>165</v>
      </c>
      <c r="P9" s="79">
        <f>B10</f>
        <v>0</v>
      </c>
      <c r="Q9" s="80">
        <f>C10</f>
        <v>0</v>
      </c>
      <c r="R9" s="79"/>
      <c r="S9" s="80"/>
      <c r="T9" s="79"/>
      <c r="U9" s="78"/>
      <c r="V9" s="140"/>
      <c r="W9" s="79">
        <f>IF(Z9&lt;0,-Z9,0)</f>
        <v>0</v>
      </c>
      <c r="X9" s="80">
        <f>IF(Z9&gt;0,-Z9,0)</f>
        <v>0</v>
      </c>
      <c r="Z9" s="44">
        <f t="shared" ref="Z9:Z16" si="0">SUM(P9:U9)</f>
        <v>0</v>
      </c>
    </row>
    <row r="10" spans="1:26" ht="14.1" customHeight="1" x14ac:dyDescent="0.2">
      <c r="A10" s="104" t="s">
        <v>166</v>
      </c>
      <c r="B10" s="141"/>
      <c r="C10" s="46">
        <v>0</v>
      </c>
      <c r="D10" s="46">
        <f>B10+C10</f>
        <v>0</v>
      </c>
      <c r="E10" s="44"/>
      <c r="F10" s="44">
        <f>ROUND(D10/$B$27,0)</f>
        <v>0</v>
      </c>
      <c r="G10" s="44"/>
      <c r="H10" s="44">
        <f t="shared" ref="H10:H12" si="1">F10-D10</f>
        <v>0</v>
      </c>
      <c r="I10" s="44"/>
      <c r="J10" s="44">
        <f>ROUND(D10*($B$25/$B$27),0)</f>
        <v>0</v>
      </c>
      <c r="K10" s="44">
        <f>ROUND(D10*($B$21/$B$27),0)</f>
        <v>0</v>
      </c>
      <c r="L10" s="44">
        <f>J10+K10</f>
        <v>0</v>
      </c>
      <c r="O10" s="85" t="s">
        <v>162</v>
      </c>
      <c r="P10" s="79"/>
      <c r="Q10" s="80"/>
      <c r="R10" s="79"/>
      <c r="S10" s="80"/>
      <c r="T10" s="79">
        <f>J10</f>
        <v>0</v>
      </c>
      <c r="U10" s="80">
        <f>K10</f>
        <v>0</v>
      </c>
      <c r="V10" s="142"/>
      <c r="W10" s="79">
        <f t="shared" ref="W10:W16" si="2">IF(Z10&lt;0,-Z10,0)</f>
        <v>0</v>
      </c>
      <c r="X10" s="80">
        <f t="shared" ref="X10:X16" si="3">IF(Z10&gt;0,-Z10,0)</f>
        <v>0</v>
      </c>
      <c r="Z10" s="44">
        <f t="shared" si="0"/>
        <v>0</v>
      </c>
    </row>
    <row r="11" spans="1:26" ht="14.1" customHeight="1" x14ac:dyDescent="0.2">
      <c r="A11" s="104" t="s">
        <v>201</v>
      </c>
      <c r="B11" s="141">
        <v>-57493445.625</v>
      </c>
      <c r="C11" s="46"/>
      <c r="D11" s="46">
        <f>B11+C11</f>
        <v>-57493445.625</v>
      </c>
      <c r="E11" s="44"/>
      <c r="F11" s="44">
        <f>ROUND(D11/$B$27,0)</f>
        <v>-77012184</v>
      </c>
      <c r="G11" s="44"/>
      <c r="H11" s="44">
        <f t="shared" si="1"/>
        <v>-19518738.375</v>
      </c>
      <c r="I11" s="44"/>
      <c r="J11" s="44">
        <f>ROUND(D11*($B$25/$B$27),0)</f>
        <v>-15283068</v>
      </c>
      <c r="K11" s="44">
        <f>ROUND(D11*($B$21/$B$27),0)</f>
        <v>-4235670</v>
      </c>
      <c r="L11" s="44">
        <f>J11+K11</f>
        <v>-19518738</v>
      </c>
      <c r="O11" s="105"/>
      <c r="P11" s="143"/>
      <c r="Q11" s="144"/>
      <c r="R11" s="143"/>
      <c r="S11" s="144"/>
      <c r="T11" s="143"/>
      <c r="U11" s="144"/>
      <c r="V11" s="44"/>
      <c r="W11" s="89"/>
      <c r="X11" s="90"/>
      <c r="Z11" s="44"/>
    </row>
    <row r="12" spans="1:26" ht="14.1" customHeight="1" x14ac:dyDescent="0.2">
      <c r="A12" s="104" t="s">
        <v>171</v>
      </c>
      <c r="B12" s="141"/>
      <c r="C12" s="46">
        <v>0</v>
      </c>
      <c r="D12" s="46">
        <f>B12+C12</f>
        <v>0</v>
      </c>
      <c r="E12" s="44"/>
      <c r="F12" s="44">
        <f>ROUND(D12/$B$27,0)</f>
        <v>0</v>
      </c>
      <c r="G12" s="44"/>
      <c r="H12" s="44">
        <f t="shared" si="1"/>
        <v>0</v>
      </c>
      <c r="I12" s="44"/>
      <c r="J12" s="44">
        <f>ROUND(D12*($B$25/$B$27),0)</f>
        <v>0</v>
      </c>
      <c r="K12" s="44">
        <f>ROUND(D12*($B$21/$B$27),0)</f>
        <v>0</v>
      </c>
      <c r="L12" s="44">
        <f>J12+K12</f>
        <v>0</v>
      </c>
      <c r="O12" s="64" t="s">
        <v>168</v>
      </c>
      <c r="P12" s="65"/>
      <c r="Q12" s="67"/>
      <c r="R12" s="65">
        <f>B11</f>
        <v>-57493445.625</v>
      </c>
      <c r="S12" s="66">
        <f>C11</f>
        <v>0</v>
      </c>
      <c r="T12" s="65"/>
      <c r="U12" s="67"/>
      <c r="V12" s="145"/>
      <c r="W12" s="65">
        <f t="shared" si="2"/>
        <v>57493445.625</v>
      </c>
      <c r="X12" s="66">
        <f t="shared" si="3"/>
        <v>0</v>
      </c>
      <c r="Z12" s="44">
        <f t="shared" si="0"/>
        <v>-57493445.625</v>
      </c>
    </row>
    <row r="13" spans="1:26" ht="14.1" customHeight="1" x14ac:dyDescent="0.2">
      <c r="B13" s="44"/>
      <c r="C13" s="44"/>
      <c r="D13" s="44"/>
      <c r="E13" s="44"/>
      <c r="F13" s="44"/>
      <c r="G13" s="44"/>
      <c r="H13" s="44"/>
      <c r="I13" s="44"/>
      <c r="O13" s="106" t="s">
        <v>162</v>
      </c>
      <c r="P13" s="65"/>
      <c r="Q13" s="66"/>
      <c r="R13" s="65"/>
      <c r="S13" s="66"/>
      <c r="T13" s="65">
        <f>J11</f>
        <v>-15283068</v>
      </c>
      <c r="U13" s="66">
        <f>K11</f>
        <v>-4235670</v>
      </c>
      <c r="V13" s="146"/>
      <c r="W13" s="65">
        <f t="shared" si="2"/>
        <v>19518738</v>
      </c>
      <c r="X13" s="66">
        <f t="shared" si="3"/>
        <v>0</v>
      </c>
      <c r="Z13" s="44">
        <f t="shared" si="0"/>
        <v>-19518738</v>
      </c>
    </row>
    <row r="14" spans="1:26" ht="14.1" customHeight="1" thickBot="1" x14ac:dyDescent="0.25">
      <c r="A14" s="41" t="s">
        <v>172</v>
      </c>
      <c r="B14" s="75">
        <f>SUM(B9:B13)</f>
        <v>-57493445.625</v>
      </c>
      <c r="C14" s="75">
        <f>SUM(C9:C13)</f>
        <v>0</v>
      </c>
      <c r="D14" s="75">
        <f>SUM(D9:D13)</f>
        <v>-57493445.625</v>
      </c>
      <c r="E14" s="44"/>
      <c r="F14" s="75">
        <f>SUM(F9:F13)</f>
        <v>-77012184</v>
      </c>
      <c r="G14" s="44"/>
      <c r="H14" s="75">
        <f>SUM(H9:H13)</f>
        <v>-19518738.375</v>
      </c>
      <c r="I14" s="44"/>
      <c r="J14" s="75">
        <f>SUM(J9:J13)</f>
        <v>-15283068</v>
      </c>
      <c r="K14" s="75">
        <f>SUM(K9:K13)</f>
        <v>-4235670</v>
      </c>
      <c r="L14" s="75">
        <f>SUM(L9:L13)</f>
        <v>-19518738</v>
      </c>
      <c r="O14" s="105"/>
      <c r="P14" s="143"/>
      <c r="Q14" s="144"/>
      <c r="R14" s="143"/>
      <c r="S14" s="144"/>
      <c r="T14" s="143"/>
      <c r="U14" s="144"/>
      <c r="V14" s="44"/>
      <c r="W14" s="89"/>
      <c r="X14" s="90"/>
      <c r="Z14" s="44"/>
    </row>
    <row r="15" spans="1:26" ht="14.1" customHeight="1" thickTop="1" x14ac:dyDescent="0.2">
      <c r="B15" s="44"/>
      <c r="C15" s="44"/>
      <c r="O15" s="76" t="s">
        <v>177</v>
      </c>
      <c r="P15" s="79"/>
      <c r="Q15" s="78"/>
      <c r="R15" s="79"/>
      <c r="S15" s="80"/>
      <c r="T15" s="79">
        <f>B12</f>
        <v>0</v>
      </c>
      <c r="U15" s="80">
        <f>C12</f>
        <v>0</v>
      </c>
      <c r="V15" s="140"/>
      <c r="W15" s="79">
        <f t="shared" si="2"/>
        <v>0</v>
      </c>
      <c r="X15" s="80">
        <f t="shared" si="3"/>
        <v>0</v>
      </c>
      <c r="Z15" s="44">
        <f t="shared" si="0"/>
        <v>0</v>
      </c>
    </row>
    <row r="16" spans="1:26" ht="14.1" customHeight="1" x14ac:dyDescent="0.2">
      <c r="B16" s="44"/>
      <c r="C16" s="44"/>
      <c r="O16" s="85" t="s">
        <v>162</v>
      </c>
      <c r="P16" s="79">
        <f>J12</f>
        <v>0</v>
      </c>
      <c r="Q16" s="80">
        <f>K12</f>
        <v>0</v>
      </c>
      <c r="R16" s="79"/>
      <c r="S16" s="80"/>
      <c r="T16" s="79"/>
      <c r="U16" s="80"/>
      <c r="V16" s="142"/>
      <c r="W16" s="79">
        <f t="shared" si="2"/>
        <v>0</v>
      </c>
      <c r="X16" s="80">
        <f t="shared" si="3"/>
        <v>0</v>
      </c>
      <c r="Z16" s="44">
        <f t="shared" si="0"/>
        <v>0</v>
      </c>
    </row>
    <row r="17" spans="1:24" ht="14.1" customHeight="1" thickBot="1" x14ac:dyDescent="0.25">
      <c r="B17" s="44"/>
      <c r="C17" s="44"/>
      <c r="O17" s="147"/>
      <c r="P17" s="87">
        <f t="shared" ref="P17:U17" si="4">SUM(P8:P16)</f>
        <v>0</v>
      </c>
      <c r="Q17" s="88">
        <f t="shared" si="4"/>
        <v>0</v>
      </c>
      <c r="R17" s="87">
        <f t="shared" si="4"/>
        <v>-57493445.625</v>
      </c>
      <c r="S17" s="88">
        <f t="shared" si="4"/>
        <v>0</v>
      </c>
      <c r="T17" s="87">
        <f t="shared" si="4"/>
        <v>-15283068</v>
      </c>
      <c r="U17" s="88">
        <f t="shared" si="4"/>
        <v>-4235670</v>
      </c>
      <c r="V17" s="44"/>
      <c r="W17" s="87">
        <f>SUM(W8:W16)</f>
        <v>77012183.625</v>
      </c>
      <c r="X17" s="88">
        <f>SUM(X8:X16)</f>
        <v>0</v>
      </c>
    </row>
    <row r="18" spans="1:24" ht="14.1" customHeight="1" thickTop="1" x14ac:dyDescent="0.2">
      <c r="B18" s="44"/>
      <c r="C18" s="44"/>
      <c r="O18" s="147"/>
      <c r="P18" s="89"/>
      <c r="Q18" s="90"/>
      <c r="R18" s="89"/>
      <c r="S18" s="90"/>
      <c r="T18" s="89"/>
      <c r="U18" s="90"/>
      <c r="V18" s="44"/>
      <c r="W18" s="89"/>
      <c r="X18" s="90"/>
    </row>
    <row r="19" spans="1:24" ht="14.1" customHeight="1" thickBot="1" x14ac:dyDescent="0.25">
      <c r="A19" s="45" t="s">
        <v>91</v>
      </c>
      <c r="O19" s="147"/>
      <c r="P19" s="89"/>
      <c r="Q19" s="90"/>
      <c r="R19" s="89"/>
      <c r="S19" s="90"/>
      <c r="T19" s="89"/>
      <c r="U19" s="90"/>
      <c r="V19" s="44"/>
      <c r="W19" s="89"/>
      <c r="X19" s="91">
        <f>W17+X17</f>
        <v>77012183.625</v>
      </c>
    </row>
    <row r="20" spans="1:24" ht="14.1" customHeight="1" thickTop="1" x14ac:dyDescent="0.2">
      <c r="A20" s="41" t="s">
        <v>131</v>
      </c>
      <c r="B20" s="53">
        <v>0.21</v>
      </c>
      <c r="O20" s="148"/>
      <c r="P20" s="149"/>
      <c r="Q20" s="95"/>
      <c r="R20" s="149"/>
      <c r="S20" s="95"/>
      <c r="T20" s="149"/>
      <c r="U20" s="95"/>
      <c r="V20" s="44"/>
      <c r="W20" s="149"/>
      <c r="X20" s="95"/>
    </row>
    <row r="21" spans="1:24" ht="14.1" customHeight="1" x14ac:dyDescent="0.2">
      <c r="A21" s="41" t="s">
        <v>140</v>
      </c>
      <c r="B21" s="41">
        <v>5.5E-2</v>
      </c>
    </row>
    <row r="22" spans="1:24" ht="14.1" customHeight="1" x14ac:dyDescent="0.2">
      <c r="A22" s="41" t="s">
        <v>92</v>
      </c>
      <c r="B22" s="73">
        <f>B21*-B20</f>
        <v>-1.155E-2</v>
      </c>
    </row>
    <row r="23" spans="1:24" ht="14.1" customHeight="1" thickBot="1" x14ac:dyDescent="0.25">
      <c r="A23" s="41" t="s">
        <v>147</v>
      </c>
      <c r="B23" s="150">
        <f>SUM(B20:B22)</f>
        <v>0.25345000000000001</v>
      </c>
    </row>
    <row r="24" spans="1:24" ht="14.1" customHeight="1" thickTop="1" x14ac:dyDescent="0.2">
      <c r="O24" s="136" t="s">
        <v>202</v>
      </c>
      <c r="P24" s="151"/>
      <c r="Q24" s="151"/>
      <c r="R24" s="152"/>
    </row>
    <row r="25" spans="1:24" ht="14.1" customHeight="1" x14ac:dyDescent="0.2">
      <c r="A25" s="41" t="s">
        <v>151</v>
      </c>
      <c r="B25" s="73">
        <f>B20+B22</f>
        <v>0.19844999999999999</v>
      </c>
      <c r="O25" s="137" t="s">
        <v>212</v>
      </c>
      <c r="P25" s="153" t="s">
        <v>70</v>
      </c>
      <c r="Q25" s="153" t="s">
        <v>92</v>
      </c>
      <c r="R25" s="154" t="s">
        <v>71</v>
      </c>
    </row>
    <row r="26" spans="1:24" ht="14.1" customHeight="1" x14ac:dyDescent="0.2">
      <c r="O26" s="138"/>
      <c r="P26" s="155"/>
      <c r="Q26" s="155"/>
      <c r="R26" s="156"/>
    </row>
    <row r="27" spans="1:24" ht="14.1" customHeight="1" x14ac:dyDescent="0.2">
      <c r="A27" s="41" t="s">
        <v>213</v>
      </c>
      <c r="B27" s="73">
        <f>1-B23</f>
        <v>0.74655000000000005</v>
      </c>
      <c r="O27" s="157" t="s">
        <v>214</v>
      </c>
      <c r="P27" s="158">
        <f>P17-Q37</f>
        <v>0</v>
      </c>
      <c r="Q27" s="158"/>
      <c r="R27" s="159"/>
    </row>
    <row r="28" spans="1:24" ht="14.1" customHeight="1" x14ac:dyDescent="0.2">
      <c r="O28" s="157" t="s">
        <v>215</v>
      </c>
      <c r="P28" s="158">
        <f>R17-Q38</f>
        <v>-57493445.625</v>
      </c>
      <c r="Q28" s="158"/>
      <c r="R28" s="159"/>
    </row>
    <row r="29" spans="1:24" ht="14.1" customHeight="1" x14ac:dyDescent="0.2">
      <c r="O29" s="157" t="s">
        <v>216</v>
      </c>
      <c r="P29" s="158">
        <f>T17-Q39</f>
        <v>-16172558.699999999</v>
      </c>
      <c r="Q29" s="158"/>
      <c r="R29" s="159"/>
    </row>
    <row r="30" spans="1:24" ht="14.1" customHeight="1" x14ac:dyDescent="0.2">
      <c r="A30" s="41" t="s">
        <v>176</v>
      </c>
      <c r="O30" s="160"/>
      <c r="P30" s="158"/>
      <c r="Q30" s="158"/>
      <c r="R30" s="159"/>
    </row>
    <row r="31" spans="1:24" ht="14.1" customHeight="1" x14ac:dyDescent="0.2">
      <c r="O31" s="157" t="s">
        <v>198</v>
      </c>
      <c r="P31" s="158"/>
      <c r="Q31" s="158"/>
      <c r="R31" s="159">
        <f>Q17</f>
        <v>0</v>
      </c>
    </row>
    <row r="32" spans="1:24" ht="14.1" customHeight="1" x14ac:dyDescent="0.2">
      <c r="O32" s="157" t="s">
        <v>199</v>
      </c>
      <c r="P32" s="158"/>
      <c r="Q32" s="158"/>
      <c r="R32" s="159">
        <f>S17</f>
        <v>0</v>
      </c>
    </row>
    <row r="33" spans="15:24" ht="14.1" customHeight="1" x14ac:dyDescent="0.2">
      <c r="O33" s="157" t="s">
        <v>200</v>
      </c>
      <c r="P33" s="158"/>
      <c r="Q33" s="158"/>
      <c r="R33" s="159">
        <f>U17</f>
        <v>-4235670</v>
      </c>
    </row>
    <row r="34" spans="15:24" ht="14.1" customHeight="1" thickBot="1" x14ac:dyDescent="0.25">
      <c r="O34" s="161"/>
      <c r="P34" s="162"/>
      <c r="Q34" s="162"/>
      <c r="R34" s="163"/>
    </row>
    <row r="35" spans="15:24" ht="14.1" customHeight="1" thickTop="1" x14ac:dyDescent="0.2">
      <c r="O35" s="164"/>
      <c r="P35" s="135"/>
      <c r="Q35" s="135"/>
      <c r="R35" s="135"/>
    </row>
    <row r="36" spans="15:24" ht="14.1" customHeight="1" x14ac:dyDescent="0.2">
      <c r="O36" s="165" t="s">
        <v>217</v>
      </c>
    </row>
    <row r="37" spans="15:24" ht="14.1" customHeight="1" x14ac:dyDescent="0.2">
      <c r="O37" s="164" t="s">
        <v>218</v>
      </c>
      <c r="P37" s="135"/>
      <c r="Q37" s="135">
        <f>-R31*$B$20</f>
        <v>0</v>
      </c>
      <c r="R37" s="135"/>
    </row>
    <row r="38" spans="15:24" ht="14.1" customHeight="1" x14ac:dyDescent="0.2">
      <c r="O38" s="164" t="s">
        <v>219</v>
      </c>
      <c r="P38" s="135"/>
      <c r="Q38" s="135">
        <f>-R32*$B$20</f>
        <v>0</v>
      </c>
      <c r="R38" s="135"/>
    </row>
    <row r="39" spans="15:24" ht="14.1" customHeight="1" x14ac:dyDescent="0.2">
      <c r="O39" s="164" t="s">
        <v>220</v>
      </c>
      <c r="P39" s="135"/>
      <c r="Q39" s="135">
        <f>-R33*$B$20</f>
        <v>889490.7</v>
      </c>
      <c r="R39" s="135"/>
    </row>
    <row r="42" spans="15:24" ht="14.1" customHeight="1" x14ac:dyDescent="0.2">
      <c r="O42" s="41" t="s">
        <v>70</v>
      </c>
      <c r="P42" s="44">
        <f>+P17-P43</f>
        <v>0</v>
      </c>
      <c r="R42" s="44">
        <f>+R17-R43</f>
        <v>-57493445.625</v>
      </c>
      <c r="T42" s="44">
        <f>+T17-T43</f>
        <v>-16172558.699999999</v>
      </c>
      <c r="W42" s="44">
        <f>-(R12+T13)-W43</f>
        <v>73666004.325000003</v>
      </c>
      <c r="X42" s="44">
        <v>0</v>
      </c>
    </row>
    <row r="43" spans="15:24" ht="14.1" customHeight="1" x14ac:dyDescent="0.2">
      <c r="O43" s="41" t="s">
        <v>92</v>
      </c>
      <c r="P43" s="44">
        <f>Q17*-0.21</f>
        <v>0</v>
      </c>
      <c r="R43" s="44">
        <f>S17*-0.21</f>
        <v>0</v>
      </c>
      <c r="T43" s="44">
        <f>U17*-0.21</f>
        <v>889490.7</v>
      </c>
      <c r="W43" s="44">
        <f>(-W46*0.21)</f>
        <v>-889490.7</v>
      </c>
      <c r="X43" s="44">
        <f>(-X46*0.21)</f>
        <v>0</v>
      </c>
    </row>
    <row r="44" spans="15:24" ht="14.1" customHeight="1" x14ac:dyDescent="0.2">
      <c r="O44" s="114" t="s">
        <v>178</v>
      </c>
      <c r="P44" s="108">
        <f>SUM(P42:P43)</f>
        <v>0</v>
      </c>
      <c r="R44" s="108">
        <f>SUM(R42:R43)</f>
        <v>-57493445.625</v>
      </c>
      <c r="T44" s="108">
        <f>SUM(T42:T43)</f>
        <v>-15283068</v>
      </c>
      <c r="W44" s="108">
        <f>SUM(W42:W43)</f>
        <v>72776513.625</v>
      </c>
      <c r="X44" s="108">
        <f>SUM(X42:X43)</f>
        <v>0</v>
      </c>
    </row>
    <row r="45" spans="15:24" ht="14.1" customHeight="1" x14ac:dyDescent="0.2">
      <c r="X45" s="44"/>
    </row>
    <row r="46" spans="15:24" ht="14.1" customHeight="1" x14ac:dyDescent="0.2">
      <c r="O46" s="41" t="s">
        <v>71</v>
      </c>
      <c r="Q46" s="44">
        <f>Q17</f>
        <v>0</v>
      </c>
      <c r="S46" s="44">
        <f>S17</f>
        <v>0</v>
      </c>
      <c r="U46" s="44">
        <f>U17</f>
        <v>-4235670</v>
      </c>
      <c r="W46" s="44">
        <f>-U13</f>
        <v>4235670</v>
      </c>
      <c r="X46" s="44">
        <f>-(Q13)</f>
        <v>0</v>
      </c>
    </row>
    <row r="48" spans="15:24" ht="14.1" customHeight="1" thickBot="1" x14ac:dyDescent="0.25">
      <c r="O48" s="40" t="s">
        <v>47</v>
      </c>
      <c r="P48" s="113">
        <f t="shared" ref="P48:U48" si="5">P44+P46</f>
        <v>0</v>
      </c>
      <c r="Q48" s="113">
        <f t="shared" si="5"/>
        <v>0</v>
      </c>
      <c r="R48" s="113">
        <f t="shared" si="5"/>
        <v>-57493445.625</v>
      </c>
      <c r="S48" s="113">
        <f t="shared" si="5"/>
        <v>0</v>
      </c>
      <c r="T48" s="113">
        <f t="shared" si="5"/>
        <v>-15283068</v>
      </c>
      <c r="U48" s="113">
        <f t="shared" si="5"/>
        <v>-4235670</v>
      </c>
      <c r="W48" s="113">
        <f>W44+W46</f>
        <v>77012183.625</v>
      </c>
      <c r="X48" s="113">
        <f>X44+X46</f>
        <v>0</v>
      </c>
    </row>
    <row r="49" spans="16:24" ht="14.1" customHeight="1" thickTop="1" x14ac:dyDescent="0.2">
      <c r="P49" s="44">
        <f>+P48-P17</f>
        <v>0</v>
      </c>
      <c r="Q49" s="44">
        <f t="shared" ref="Q49:U49" si="6">+Q48-Q17</f>
        <v>0</v>
      </c>
      <c r="R49" s="44">
        <f t="shared" si="6"/>
        <v>0</v>
      </c>
      <c r="S49" s="44">
        <f t="shared" si="6"/>
        <v>0</v>
      </c>
      <c r="T49" s="44">
        <f t="shared" si="6"/>
        <v>0</v>
      </c>
      <c r="U49" s="44">
        <f t="shared" si="6"/>
        <v>0</v>
      </c>
      <c r="W49" s="44">
        <f>+W48-W17</f>
        <v>0</v>
      </c>
      <c r="X49" s="44">
        <f>+X48-X17</f>
        <v>0</v>
      </c>
    </row>
  </sheetData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"/>
  <sheetViews>
    <sheetView zoomScaleNormal="100" workbookViewId="0">
      <selection activeCell="A6" sqref="A6"/>
    </sheetView>
  </sheetViews>
  <sheetFormatPr defaultColWidth="8" defaultRowHeight="14.1" customHeight="1" x14ac:dyDescent="0.2"/>
  <cols>
    <col min="1" max="1" width="20.7109375" style="41" customWidth="1"/>
    <col min="2" max="4" width="10.7109375" style="41" customWidth="1"/>
    <col min="5" max="5" width="2.28515625" style="41" customWidth="1"/>
    <col min="6" max="6" width="10.7109375" style="41" customWidth="1"/>
    <col min="7" max="7" width="1.5703125" style="41" customWidth="1"/>
    <col min="8" max="8" width="10.7109375" style="41" customWidth="1"/>
    <col min="9" max="9" width="1.5703125" style="41" customWidth="1"/>
    <col min="10" max="12" width="10.7109375" style="41" customWidth="1"/>
    <col min="13" max="13" width="7.42578125" style="41" customWidth="1"/>
    <col min="14" max="14" width="7.28515625" style="41" customWidth="1"/>
    <col min="15" max="15" width="19.5703125" style="41" customWidth="1"/>
    <col min="16" max="16" width="10.7109375" style="41" customWidth="1"/>
    <col min="17" max="17" width="10.28515625" style="41" customWidth="1"/>
    <col min="18" max="18" width="11.5703125" style="41" customWidth="1"/>
    <col min="19" max="19" width="10.5703125" style="41" customWidth="1"/>
    <col min="20" max="20" width="11.7109375" style="41" customWidth="1"/>
    <col min="21" max="21" width="10.7109375" style="41" customWidth="1"/>
    <col min="22" max="22" width="2.42578125" style="41" customWidth="1"/>
    <col min="23" max="23" width="11.28515625" style="41" customWidth="1"/>
    <col min="24" max="24" width="12.28515625" style="41" customWidth="1"/>
    <col min="25" max="25" width="8" style="41"/>
    <col min="26" max="26" width="12.42578125" style="41" customWidth="1"/>
    <col min="27" max="27" width="9.7109375" style="41" bestFit="1" customWidth="1"/>
    <col min="28" max="28" width="9.42578125" style="41" bestFit="1" customWidth="1"/>
    <col min="29" max="16384" width="8" style="41"/>
  </cols>
  <sheetData>
    <row r="1" spans="1:26" ht="14.1" customHeight="1" x14ac:dyDescent="0.25">
      <c r="A1" s="177" t="s">
        <v>179</v>
      </c>
      <c r="F1" s="40" t="s">
        <v>222</v>
      </c>
    </row>
    <row r="2" spans="1:26" ht="14.1" customHeight="1" x14ac:dyDescent="0.25">
      <c r="A2" s="177" t="s">
        <v>255</v>
      </c>
      <c r="F2" s="40" t="s">
        <v>123</v>
      </c>
    </row>
    <row r="3" spans="1:26" ht="14.1" customHeight="1" x14ac:dyDescent="0.25">
      <c r="A3" s="177" t="s">
        <v>256</v>
      </c>
      <c r="O3" s="40" t="s">
        <v>204</v>
      </c>
    </row>
    <row r="4" spans="1:26" ht="14.1" customHeight="1" x14ac:dyDescent="0.25">
      <c r="A4" s="177" t="s">
        <v>257</v>
      </c>
    </row>
    <row r="5" spans="1:26" ht="14.1" customHeight="1" x14ac:dyDescent="0.25">
      <c r="A5" s="177" t="s">
        <v>258</v>
      </c>
      <c r="B5" s="178"/>
      <c r="C5" s="178"/>
      <c r="D5" s="178"/>
      <c r="E5" s="178"/>
      <c r="F5" s="178" t="s">
        <v>205</v>
      </c>
      <c r="G5" s="178"/>
      <c r="H5" s="178"/>
      <c r="I5" s="178"/>
      <c r="J5" s="178"/>
      <c r="K5" s="178"/>
      <c r="L5" s="178"/>
      <c r="O5" s="47"/>
      <c r="P5" s="48" t="s">
        <v>70</v>
      </c>
      <c r="Q5" s="49" t="s">
        <v>71</v>
      </c>
      <c r="R5" s="48" t="s">
        <v>70</v>
      </c>
      <c r="S5" s="49" t="s">
        <v>71</v>
      </c>
      <c r="T5" s="48" t="s">
        <v>70</v>
      </c>
      <c r="U5" s="49" t="s">
        <v>71</v>
      </c>
      <c r="V5" s="50"/>
      <c r="W5" s="51" t="s">
        <v>206</v>
      </c>
      <c r="X5" s="52" t="s">
        <v>207</v>
      </c>
    </row>
    <row r="6" spans="1:26" ht="14.1" customHeight="1" x14ac:dyDescent="0.25">
      <c r="A6" s="177" t="s">
        <v>266</v>
      </c>
      <c r="O6" s="54"/>
      <c r="P6" s="55" t="s">
        <v>132</v>
      </c>
      <c r="Q6" s="56" t="s">
        <v>133</v>
      </c>
      <c r="R6" s="55" t="s">
        <v>134</v>
      </c>
      <c r="S6" s="56" t="s">
        <v>135</v>
      </c>
      <c r="T6" s="55" t="s">
        <v>136</v>
      </c>
      <c r="U6" s="56" t="s">
        <v>137</v>
      </c>
      <c r="V6" s="127"/>
      <c r="W6" s="55" t="s">
        <v>138</v>
      </c>
      <c r="X6" s="56" t="s">
        <v>139</v>
      </c>
    </row>
    <row r="7" spans="1:26" ht="14.1" customHeight="1" x14ac:dyDescent="0.2">
      <c r="A7" s="43" t="s">
        <v>114</v>
      </c>
      <c r="B7" s="43" t="s">
        <v>70</v>
      </c>
      <c r="C7" s="43" t="s">
        <v>71</v>
      </c>
      <c r="D7" s="43" t="s">
        <v>125</v>
      </c>
      <c r="E7" s="43"/>
      <c r="F7" s="43" t="s">
        <v>208</v>
      </c>
      <c r="G7" s="43"/>
      <c r="H7" s="43" t="s">
        <v>209</v>
      </c>
      <c r="J7" s="43" t="s">
        <v>70</v>
      </c>
      <c r="K7" s="43" t="s">
        <v>71</v>
      </c>
      <c r="L7" s="43" t="s">
        <v>125</v>
      </c>
      <c r="O7" s="60"/>
      <c r="P7" s="61" t="s">
        <v>141</v>
      </c>
      <c r="Q7" s="62" t="s">
        <v>141</v>
      </c>
      <c r="R7" s="61" t="s">
        <v>142</v>
      </c>
      <c r="S7" s="62" t="s">
        <v>142</v>
      </c>
      <c r="T7" s="61" t="s">
        <v>143</v>
      </c>
      <c r="U7" s="62" t="s">
        <v>143</v>
      </c>
      <c r="V7" s="139"/>
      <c r="W7" s="61" t="s">
        <v>210</v>
      </c>
      <c r="X7" s="62" t="s">
        <v>211</v>
      </c>
    </row>
    <row r="8" spans="1:26" ht="14.1" customHeight="1" x14ac:dyDescent="0.2">
      <c r="O8" s="54"/>
      <c r="P8" s="71"/>
      <c r="Q8" s="72"/>
      <c r="R8" s="71"/>
      <c r="S8" s="72"/>
      <c r="T8" s="71"/>
      <c r="U8" s="72"/>
      <c r="W8" s="71"/>
      <c r="X8" s="72"/>
    </row>
    <row r="9" spans="1:26" ht="14.1" customHeight="1" x14ac:dyDescent="0.2">
      <c r="A9" s="41" t="s">
        <v>164</v>
      </c>
      <c r="B9" s="46"/>
      <c r="C9" s="46"/>
      <c r="D9" s="46"/>
      <c r="E9" s="44"/>
      <c r="F9" s="44"/>
      <c r="G9" s="44"/>
      <c r="H9" s="44"/>
      <c r="I9" s="44"/>
      <c r="J9" s="44"/>
      <c r="K9" s="44"/>
      <c r="L9" s="44"/>
      <c r="O9" s="76" t="s">
        <v>165</v>
      </c>
      <c r="P9" s="79">
        <f>B10</f>
        <v>-186377.36040000001</v>
      </c>
      <c r="Q9" s="80">
        <f>C10</f>
        <v>0</v>
      </c>
      <c r="R9" s="79"/>
      <c r="S9" s="80"/>
      <c r="T9" s="79"/>
      <c r="U9" s="78"/>
      <c r="V9" s="140"/>
      <c r="W9" s="79">
        <f>IF(Z9&lt;0,-Z9,0)</f>
        <v>186377.36040000001</v>
      </c>
      <c r="X9" s="80">
        <f>IF(Z9&gt;0,-Z9,0)</f>
        <v>0</v>
      </c>
      <c r="Z9" s="44">
        <f t="shared" ref="Z9:Z16" si="0">SUM(P9:U9)</f>
        <v>-186377.36040000001</v>
      </c>
    </row>
    <row r="10" spans="1:26" ht="14.1" customHeight="1" x14ac:dyDescent="0.2">
      <c r="A10" s="104" t="s">
        <v>166</v>
      </c>
      <c r="B10" s="141">
        <v>-186377.36040000001</v>
      </c>
      <c r="C10" s="46">
        <v>0</v>
      </c>
      <c r="D10" s="46">
        <f>B10+C10</f>
        <v>-186377.36040000001</v>
      </c>
      <c r="E10" s="44"/>
      <c r="F10" s="44">
        <f>ROUND(D10/$B$31,0)</f>
        <v>-249652</v>
      </c>
      <c r="G10" s="44"/>
      <c r="H10" s="44">
        <f t="shared" ref="H10:H12" si="1">F10-D10</f>
        <v>-63274.639599999995</v>
      </c>
      <c r="I10" s="44"/>
      <c r="J10" s="44">
        <f>ROUND(D10*($B$29/$B$31),0)</f>
        <v>-49543</v>
      </c>
      <c r="K10" s="44">
        <f>ROUND(D10*($B$25/$B$31),0)</f>
        <v>-13731</v>
      </c>
      <c r="L10" s="44">
        <f>J10+K10</f>
        <v>-63274</v>
      </c>
      <c r="O10" s="85" t="s">
        <v>162</v>
      </c>
      <c r="P10" s="79"/>
      <c r="Q10" s="80"/>
      <c r="R10" s="79"/>
      <c r="S10" s="80"/>
      <c r="T10" s="79">
        <f>J10</f>
        <v>-49543</v>
      </c>
      <c r="U10" s="80">
        <f>K10</f>
        <v>-13731</v>
      </c>
      <c r="V10" s="142"/>
      <c r="W10" s="79">
        <f t="shared" ref="W10:W16" si="2">IF(Z10&lt;0,-Z10,0)</f>
        <v>63274</v>
      </c>
      <c r="X10" s="80">
        <f t="shared" ref="X10:X16" si="3">IF(Z10&gt;0,-Z10,0)</f>
        <v>0</v>
      </c>
      <c r="Z10" s="44">
        <f t="shared" si="0"/>
        <v>-63274</v>
      </c>
    </row>
    <row r="11" spans="1:26" ht="14.1" customHeight="1" x14ac:dyDescent="0.2">
      <c r="A11" s="104" t="s">
        <v>201</v>
      </c>
      <c r="B11" s="141"/>
      <c r="C11" s="46"/>
      <c r="D11" s="46">
        <f>B11+C11</f>
        <v>0</v>
      </c>
      <c r="E11" s="44"/>
      <c r="F11" s="44">
        <f>ROUND(D11/$B$31,0)</f>
        <v>0</v>
      </c>
      <c r="G11" s="44"/>
      <c r="H11" s="44">
        <f t="shared" si="1"/>
        <v>0</v>
      </c>
      <c r="I11" s="44"/>
      <c r="J11" s="44">
        <f>ROUND(D11*($B$29/$B$31),0)</f>
        <v>0</v>
      </c>
      <c r="K11" s="44">
        <f>ROUND(D11*($B$25/$B$31),0)</f>
        <v>0</v>
      </c>
      <c r="L11" s="44">
        <f>J11+K11</f>
        <v>0</v>
      </c>
      <c r="O11" s="105"/>
      <c r="P11" s="143"/>
      <c r="Q11" s="144"/>
      <c r="R11" s="143"/>
      <c r="S11" s="144"/>
      <c r="T11" s="143"/>
      <c r="U11" s="144"/>
      <c r="V11" s="44"/>
      <c r="W11" s="89"/>
      <c r="X11" s="90"/>
      <c r="Z11" s="44"/>
    </row>
    <row r="12" spans="1:26" ht="14.1" customHeight="1" x14ac:dyDescent="0.2">
      <c r="A12" s="104" t="s">
        <v>171</v>
      </c>
      <c r="B12" s="141"/>
      <c r="C12" s="46">
        <v>0</v>
      </c>
      <c r="D12" s="46">
        <f>B12+C12</f>
        <v>0</v>
      </c>
      <c r="E12" s="44"/>
      <c r="F12" s="44">
        <f>ROUND(D12/$B$31,0)</f>
        <v>0</v>
      </c>
      <c r="G12" s="44"/>
      <c r="H12" s="44">
        <f t="shared" si="1"/>
        <v>0</v>
      </c>
      <c r="I12" s="44"/>
      <c r="J12" s="44">
        <f>ROUND(D12*($B$29/$B$31),0)</f>
        <v>0</v>
      </c>
      <c r="K12" s="44">
        <f>ROUND(D12*($B$25/$B$31),0)</f>
        <v>0</v>
      </c>
      <c r="L12" s="44">
        <f>J12+K12</f>
        <v>0</v>
      </c>
      <c r="O12" s="64" t="s">
        <v>168</v>
      </c>
      <c r="P12" s="65"/>
      <c r="Q12" s="67"/>
      <c r="R12" s="65">
        <f>B11</f>
        <v>0</v>
      </c>
      <c r="S12" s="66">
        <f>C11</f>
        <v>0</v>
      </c>
      <c r="T12" s="65"/>
      <c r="U12" s="67"/>
      <c r="V12" s="145"/>
      <c r="W12" s="65">
        <f t="shared" si="2"/>
        <v>0</v>
      </c>
      <c r="X12" s="66">
        <f t="shared" si="3"/>
        <v>0</v>
      </c>
      <c r="Z12" s="44">
        <f t="shared" si="0"/>
        <v>0</v>
      </c>
    </row>
    <row r="13" spans="1:26" ht="14.1" customHeight="1" x14ac:dyDescent="0.2">
      <c r="B13" s="44"/>
      <c r="C13" s="44"/>
      <c r="D13" s="44"/>
      <c r="E13" s="44"/>
      <c r="F13" s="44"/>
      <c r="G13" s="44"/>
      <c r="H13" s="44"/>
      <c r="I13" s="44"/>
      <c r="O13" s="106" t="s">
        <v>162</v>
      </c>
      <c r="P13" s="65"/>
      <c r="Q13" s="66"/>
      <c r="R13" s="65"/>
      <c r="S13" s="66"/>
      <c r="T13" s="65">
        <f>J11</f>
        <v>0</v>
      </c>
      <c r="U13" s="66">
        <f>K11</f>
        <v>0</v>
      </c>
      <c r="V13" s="146"/>
      <c r="W13" s="65">
        <f t="shared" si="2"/>
        <v>0</v>
      </c>
      <c r="X13" s="66">
        <f t="shared" si="3"/>
        <v>0</v>
      </c>
      <c r="Z13" s="44">
        <f t="shared" si="0"/>
        <v>0</v>
      </c>
    </row>
    <row r="14" spans="1:26" ht="14.1" customHeight="1" thickBot="1" x14ac:dyDescent="0.25">
      <c r="A14" s="41" t="s">
        <v>172</v>
      </c>
      <c r="B14" s="75">
        <f>SUM(B9:B13)</f>
        <v>-186377.36040000001</v>
      </c>
      <c r="C14" s="75">
        <f>SUM(C9:C13)</f>
        <v>0</v>
      </c>
      <c r="D14" s="75">
        <f>SUM(D9:D13)</f>
        <v>-186377.36040000001</v>
      </c>
      <c r="E14" s="44"/>
      <c r="F14" s="75">
        <f>SUM(F9:F13)</f>
        <v>-249652</v>
      </c>
      <c r="G14" s="44"/>
      <c r="H14" s="75">
        <f>SUM(H9:H13)</f>
        <v>-63274.639599999995</v>
      </c>
      <c r="I14" s="44"/>
      <c r="J14" s="75">
        <f>SUM(J9:J13)</f>
        <v>-49543</v>
      </c>
      <c r="K14" s="75">
        <f>SUM(K9:K13)</f>
        <v>-13731</v>
      </c>
      <c r="L14" s="75">
        <f>SUM(L9:L13)</f>
        <v>-63274</v>
      </c>
      <c r="O14" s="105"/>
      <c r="P14" s="143"/>
      <c r="Q14" s="144"/>
      <c r="R14" s="143"/>
      <c r="S14" s="144"/>
      <c r="T14" s="143"/>
      <c r="U14" s="144"/>
      <c r="V14" s="44"/>
      <c r="W14" s="89"/>
      <c r="X14" s="90"/>
      <c r="Z14" s="44"/>
    </row>
    <row r="15" spans="1:26" ht="14.1" customHeight="1" thickTop="1" x14ac:dyDescent="0.2">
      <c r="B15" s="44"/>
      <c r="C15" s="44"/>
      <c r="O15" s="76" t="s">
        <v>177</v>
      </c>
      <c r="P15" s="79"/>
      <c r="Q15" s="78"/>
      <c r="R15" s="79"/>
      <c r="S15" s="80"/>
      <c r="T15" s="79">
        <f>B12</f>
        <v>0</v>
      </c>
      <c r="U15" s="80">
        <f>C12</f>
        <v>0</v>
      </c>
      <c r="V15" s="140"/>
      <c r="W15" s="79">
        <f t="shared" si="2"/>
        <v>0</v>
      </c>
      <c r="X15" s="80">
        <f t="shared" si="3"/>
        <v>0</v>
      </c>
      <c r="Z15" s="44">
        <f t="shared" si="0"/>
        <v>0</v>
      </c>
    </row>
    <row r="16" spans="1:26" ht="14.1" customHeight="1" x14ac:dyDescent="0.2">
      <c r="B16" s="44"/>
      <c r="C16" s="44"/>
      <c r="O16" s="85" t="s">
        <v>162</v>
      </c>
      <c r="P16" s="79">
        <f>J12</f>
        <v>0</v>
      </c>
      <c r="Q16" s="80">
        <f>K12</f>
        <v>0</v>
      </c>
      <c r="R16" s="79"/>
      <c r="S16" s="80"/>
      <c r="T16" s="79"/>
      <c r="U16" s="80"/>
      <c r="V16" s="142"/>
      <c r="W16" s="79">
        <f t="shared" si="2"/>
        <v>0</v>
      </c>
      <c r="X16" s="80">
        <f t="shared" si="3"/>
        <v>0</v>
      </c>
      <c r="Z16" s="44">
        <f t="shared" si="0"/>
        <v>0</v>
      </c>
    </row>
    <row r="17" spans="1:24" ht="14.1" customHeight="1" thickBot="1" x14ac:dyDescent="0.25">
      <c r="B17" s="44"/>
      <c r="C17" s="44"/>
      <c r="O17" s="147"/>
      <c r="P17" s="87">
        <f t="shared" ref="P17:U17" si="4">SUM(P8:P16)</f>
        <v>-186377.36040000001</v>
      </c>
      <c r="Q17" s="88">
        <f t="shared" si="4"/>
        <v>0</v>
      </c>
      <c r="R17" s="87">
        <f t="shared" si="4"/>
        <v>0</v>
      </c>
      <c r="S17" s="88">
        <f t="shared" si="4"/>
        <v>0</v>
      </c>
      <c r="T17" s="87">
        <f t="shared" si="4"/>
        <v>-49543</v>
      </c>
      <c r="U17" s="88">
        <f t="shared" si="4"/>
        <v>-13731</v>
      </c>
      <c r="V17" s="44"/>
      <c r="W17" s="87">
        <f>SUM(W8:W16)</f>
        <v>249651.36040000001</v>
      </c>
      <c r="X17" s="88">
        <f>SUM(X8:X16)</f>
        <v>0</v>
      </c>
    </row>
    <row r="18" spans="1:24" ht="14.1" customHeight="1" thickTop="1" x14ac:dyDescent="0.2">
      <c r="B18" s="44"/>
      <c r="C18" s="44"/>
      <c r="O18" s="147"/>
      <c r="P18" s="89"/>
      <c r="Q18" s="90"/>
      <c r="R18" s="89"/>
      <c r="S18" s="90"/>
      <c r="T18" s="89"/>
      <c r="U18" s="90"/>
      <c r="V18" s="44"/>
      <c r="W18" s="89"/>
      <c r="X18" s="90"/>
    </row>
    <row r="19" spans="1:24" ht="14.1" customHeight="1" thickBot="1" x14ac:dyDescent="0.25">
      <c r="O19" s="147"/>
      <c r="P19" s="89"/>
      <c r="Q19" s="90"/>
      <c r="R19" s="89"/>
      <c r="S19" s="90"/>
      <c r="T19" s="89"/>
      <c r="U19" s="90"/>
      <c r="V19" s="44"/>
      <c r="W19" s="89"/>
      <c r="X19" s="91">
        <f>W17+X17</f>
        <v>249651.36040000001</v>
      </c>
    </row>
    <row r="20" spans="1:24" ht="14.1" customHeight="1" thickTop="1" x14ac:dyDescent="0.2">
      <c r="O20" s="148"/>
      <c r="P20" s="149"/>
      <c r="Q20" s="95"/>
      <c r="R20" s="149"/>
      <c r="S20" s="95"/>
      <c r="T20" s="149"/>
      <c r="U20" s="95"/>
      <c r="V20" s="44"/>
      <c r="W20" s="149"/>
      <c r="X20" s="95"/>
    </row>
    <row r="23" spans="1:24" ht="14.1" customHeight="1" thickBot="1" x14ac:dyDescent="0.25">
      <c r="A23" s="45" t="s">
        <v>91</v>
      </c>
    </row>
    <row r="24" spans="1:24" ht="14.1" customHeight="1" thickTop="1" x14ac:dyDescent="0.2">
      <c r="A24" s="41" t="s">
        <v>131</v>
      </c>
      <c r="B24" s="53">
        <v>0.21</v>
      </c>
      <c r="O24" s="136" t="s">
        <v>202</v>
      </c>
      <c r="P24" s="151"/>
      <c r="Q24" s="151"/>
      <c r="R24" s="152"/>
    </row>
    <row r="25" spans="1:24" ht="14.1" customHeight="1" x14ac:dyDescent="0.2">
      <c r="A25" s="41" t="s">
        <v>140</v>
      </c>
      <c r="B25" s="41">
        <v>5.5E-2</v>
      </c>
      <c r="O25" s="137" t="s">
        <v>212</v>
      </c>
      <c r="P25" s="153" t="s">
        <v>70</v>
      </c>
      <c r="Q25" s="153" t="s">
        <v>92</v>
      </c>
      <c r="R25" s="154" t="s">
        <v>71</v>
      </c>
    </row>
    <row r="26" spans="1:24" ht="14.1" customHeight="1" x14ac:dyDescent="0.2">
      <c r="A26" s="41" t="s">
        <v>92</v>
      </c>
      <c r="B26" s="73">
        <f>B25*-B24</f>
        <v>-1.155E-2</v>
      </c>
      <c r="O26" s="138"/>
      <c r="P26" s="155"/>
      <c r="Q26" s="155"/>
      <c r="R26" s="156"/>
    </row>
    <row r="27" spans="1:24" ht="14.1" customHeight="1" x14ac:dyDescent="0.2">
      <c r="A27" s="41" t="s">
        <v>147</v>
      </c>
      <c r="B27" s="150">
        <f>SUM(B24:B26)</f>
        <v>0.25345000000000001</v>
      </c>
      <c r="O27" s="157" t="s">
        <v>214</v>
      </c>
      <c r="P27" s="158">
        <f>P17-Q37</f>
        <v>-186377.36040000001</v>
      </c>
      <c r="Q27" s="158"/>
      <c r="R27" s="159"/>
    </row>
    <row r="28" spans="1:24" ht="14.1" customHeight="1" x14ac:dyDescent="0.2">
      <c r="O28" s="157" t="s">
        <v>215</v>
      </c>
      <c r="P28" s="158">
        <f>R17-Q38</f>
        <v>0</v>
      </c>
      <c r="Q28" s="158"/>
      <c r="R28" s="159"/>
    </row>
    <row r="29" spans="1:24" ht="14.1" customHeight="1" x14ac:dyDescent="0.2">
      <c r="A29" s="41" t="s">
        <v>151</v>
      </c>
      <c r="B29" s="73">
        <f>B24+B26</f>
        <v>0.19844999999999999</v>
      </c>
      <c r="O29" s="157" t="s">
        <v>216</v>
      </c>
      <c r="P29" s="158">
        <f>T17-Q39</f>
        <v>-52426.51</v>
      </c>
      <c r="Q29" s="158"/>
      <c r="R29" s="159"/>
    </row>
    <row r="30" spans="1:24" ht="14.1" customHeight="1" x14ac:dyDescent="0.2">
      <c r="O30" s="160"/>
      <c r="P30" s="158"/>
      <c r="Q30" s="158"/>
      <c r="R30" s="159"/>
    </row>
    <row r="31" spans="1:24" ht="14.1" customHeight="1" x14ac:dyDescent="0.2">
      <c r="A31" s="41" t="s">
        <v>213</v>
      </c>
      <c r="B31" s="73">
        <f>1-B27</f>
        <v>0.74655000000000005</v>
      </c>
      <c r="O31" s="157" t="s">
        <v>198</v>
      </c>
      <c r="P31" s="158"/>
      <c r="Q31" s="158"/>
      <c r="R31" s="159">
        <f>Q17</f>
        <v>0</v>
      </c>
    </row>
    <row r="32" spans="1:24" ht="14.1" customHeight="1" x14ac:dyDescent="0.2">
      <c r="O32" s="157" t="s">
        <v>199</v>
      </c>
      <c r="P32" s="158"/>
      <c r="Q32" s="158"/>
      <c r="R32" s="159">
        <f>S17</f>
        <v>0</v>
      </c>
    </row>
    <row r="33" spans="1:24" ht="14.1" customHeight="1" x14ac:dyDescent="0.2">
      <c r="O33" s="157" t="s">
        <v>200</v>
      </c>
      <c r="P33" s="158"/>
      <c r="Q33" s="158"/>
      <c r="R33" s="159">
        <f>U17</f>
        <v>-13731</v>
      </c>
    </row>
    <row r="34" spans="1:24" ht="14.1" customHeight="1" thickBot="1" x14ac:dyDescent="0.25">
      <c r="A34" s="41" t="s">
        <v>176</v>
      </c>
      <c r="O34" s="161"/>
      <c r="P34" s="162"/>
      <c r="Q34" s="162"/>
      <c r="R34" s="163"/>
    </row>
    <row r="35" spans="1:24" ht="14.1" customHeight="1" thickTop="1" x14ac:dyDescent="0.2">
      <c r="O35" s="164"/>
      <c r="P35" s="135"/>
      <c r="Q35" s="135"/>
      <c r="R35" s="135"/>
    </row>
    <row r="36" spans="1:24" ht="14.1" customHeight="1" x14ac:dyDescent="0.2">
      <c r="O36" s="165" t="s">
        <v>217</v>
      </c>
    </row>
    <row r="37" spans="1:24" ht="14.1" customHeight="1" x14ac:dyDescent="0.2">
      <c r="O37" s="164" t="s">
        <v>218</v>
      </c>
      <c r="P37" s="135"/>
      <c r="Q37" s="135">
        <f>-R31*$B$24</f>
        <v>0</v>
      </c>
      <c r="R37" s="135"/>
    </row>
    <row r="38" spans="1:24" ht="14.1" customHeight="1" x14ac:dyDescent="0.2">
      <c r="O38" s="164" t="s">
        <v>219</v>
      </c>
      <c r="P38" s="135"/>
      <c r="Q38" s="135">
        <f>-R32*$B$24</f>
        <v>0</v>
      </c>
      <c r="R38" s="135"/>
    </row>
    <row r="39" spans="1:24" ht="14.1" customHeight="1" x14ac:dyDescent="0.2">
      <c r="O39" s="164" t="s">
        <v>220</v>
      </c>
      <c r="P39" s="135"/>
      <c r="Q39" s="135">
        <f>-R33*$B$24</f>
        <v>2883.5099999999998</v>
      </c>
      <c r="R39" s="135"/>
    </row>
    <row r="42" spans="1:24" ht="14.1" customHeight="1" x14ac:dyDescent="0.2">
      <c r="O42" s="41" t="s">
        <v>70</v>
      </c>
      <c r="P42" s="44">
        <f>+P17-P43</f>
        <v>-186377.36040000001</v>
      </c>
      <c r="R42" s="44">
        <f>+R17-R43</f>
        <v>0</v>
      </c>
      <c r="T42" s="44">
        <f>+T17-T43</f>
        <v>-52426.51</v>
      </c>
      <c r="W42" s="44">
        <f>-(P9+T10)-W43</f>
        <v>238803.87040000001</v>
      </c>
      <c r="X42" s="44">
        <f>-(R12+P13)-X43</f>
        <v>0</v>
      </c>
    </row>
    <row r="43" spans="1:24" ht="14.1" customHeight="1" x14ac:dyDescent="0.2">
      <c r="O43" s="41" t="s">
        <v>92</v>
      </c>
      <c r="P43" s="44">
        <f>Q17*-0.21</f>
        <v>0</v>
      </c>
      <c r="R43" s="44">
        <f>S17*-0.21</f>
        <v>0</v>
      </c>
      <c r="T43" s="44">
        <f>U17*-0.21</f>
        <v>2883.5099999999998</v>
      </c>
      <c r="W43" s="44">
        <f>(-W46*0.21)</f>
        <v>-2883.5099999999998</v>
      </c>
      <c r="X43" s="44">
        <f>(-X46*0.21)</f>
        <v>0</v>
      </c>
    </row>
    <row r="44" spans="1:24" ht="14.1" customHeight="1" x14ac:dyDescent="0.2">
      <c r="O44" s="114" t="s">
        <v>178</v>
      </c>
      <c r="P44" s="108">
        <f>SUM(P42:P43)</f>
        <v>-186377.36040000001</v>
      </c>
      <c r="R44" s="108">
        <f>SUM(R42:R43)</f>
        <v>0</v>
      </c>
      <c r="T44" s="108">
        <f>SUM(T42:T43)</f>
        <v>-49543</v>
      </c>
      <c r="W44" s="108">
        <f>SUM(W42:W43)</f>
        <v>235920.36040000001</v>
      </c>
      <c r="X44" s="108">
        <f>SUM(X42:X43)</f>
        <v>0</v>
      </c>
    </row>
    <row r="45" spans="1:24" ht="14.1" customHeight="1" x14ac:dyDescent="0.2">
      <c r="X45" s="44"/>
    </row>
    <row r="46" spans="1:24" ht="14.1" customHeight="1" x14ac:dyDescent="0.2">
      <c r="O46" s="41" t="s">
        <v>71</v>
      </c>
      <c r="Q46" s="44">
        <f>Q17</f>
        <v>0</v>
      </c>
      <c r="S46" s="44">
        <f>S17</f>
        <v>0</v>
      </c>
      <c r="U46" s="44">
        <f>U17</f>
        <v>-13731</v>
      </c>
      <c r="W46" s="44">
        <f>-U10</f>
        <v>13731</v>
      </c>
      <c r="X46" s="44">
        <f>-(Q13)</f>
        <v>0</v>
      </c>
    </row>
    <row r="48" spans="1:24" ht="14.1" customHeight="1" thickBot="1" x14ac:dyDescent="0.25">
      <c r="O48" s="40" t="s">
        <v>47</v>
      </c>
      <c r="P48" s="113">
        <f t="shared" ref="P48:U48" si="5">P44+P46</f>
        <v>-186377.36040000001</v>
      </c>
      <c r="Q48" s="113">
        <f t="shared" si="5"/>
        <v>0</v>
      </c>
      <c r="R48" s="113">
        <f t="shared" si="5"/>
        <v>0</v>
      </c>
      <c r="S48" s="113">
        <f t="shared" si="5"/>
        <v>0</v>
      </c>
      <c r="T48" s="113">
        <f t="shared" si="5"/>
        <v>-49543</v>
      </c>
      <c r="U48" s="113">
        <f t="shared" si="5"/>
        <v>-13731</v>
      </c>
      <c r="W48" s="113">
        <f>W44+W46</f>
        <v>249651.36040000001</v>
      </c>
      <c r="X48" s="113">
        <f>X44+X46</f>
        <v>0</v>
      </c>
    </row>
    <row r="49" spans="16:24" ht="14.1" customHeight="1" thickTop="1" x14ac:dyDescent="0.2">
      <c r="P49" s="44">
        <f>+P48-P17</f>
        <v>0</v>
      </c>
      <c r="Q49" s="44">
        <f t="shared" ref="Q49:U49" si="6">+Q48-Q17</f>
        <v>0</v>
      </c>
      <c r="R49" s="44">
        <f t="shared" si="6"/>
        <v>0</v>
      </c>
      <c r="S49" s="44">
        <f t="shared" si="6"/>
        <v>0</v>
      </c>
      <c r="T49" s="44">
        <f t="shared" si="6"/>
        <v>0</v>
      </c>
      <c r="U49" s="44">
        <f t="shared" si="6"/>
        <v>0</v>
      </c>
      <c r="W49" s="44">
        <f>+W48-W17</f>
        <v>0</v>
      </c>
      <c r="X49" s="44">
        <f>+X48-X17</f>
        <v>0</v>
      </c>
    </row>
  </sheetData>
  <pageMargins left="0.5" right="0" top="0.25" bottom="0.25" header="0.3" footer="0"/>
  <pageSetup paperSize="5" scale="72" orientation="landscape" r:id="rId1"/>
  <headerFooter>
    <oddFooter>&amp;L&amp;"Calibri,Regular"&amp;9&amp;Z&amp;F&amp;R&amp;"Calibri,Regular"&amp;9&amp;A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&lt;1&gt; ADIT Detail</vt:lpstr>
      <vt:lpstr>&lt;2&gt; OTP Code Details</vt:lpstr>
      <vt:lpstr>&lt;3&gt; Reg Asset-Liab w BS offsets</vt:lpstr>
      <vt:lpstr>&lt;4&gt; FAS109 Summary</vt:lpstr>
      <vt:lpstr>&lt;4a&gt; FPL FAS109</vt:lpstr>
      <vt:lpstr>&lt;4b&gt; CBAS FAS109 Entry</vt:lpstr>
      <vt:lpstr>&lt;4c&gt; ICL FAS109 Entry</vt:lpstr>
      <vt:lpstr>&lt;4d&gt; Enersys FAS109 Entry</vt:lpstr>
      <vt:lpstr>'&lt;1&gt; ADIT Detail'!Print_Area</vt:lpstr>
      <vt:lpstr>'&lt;2&gt; OTP Code Details'!Print_Area</vt:lpstr>
      <vt:lpstr>'&lt;4a&gt; FPL FAS109'!Print_Area</vt:lpstr>
      <vt:lpstr>'&lt;4b&gt; CBAS FAS109 Entry'!Print_Area</vt:lpstr>
      <vt:lpstr>'&lt;4c&gt; ICL FAS109 Entry'!Print_Area</vt:lpstr>
      <vt:lpstr>'&lt;4d&gt; Enersys FAS109 Entry'!Print_Area</vt:lpstr>
      <vt:lpstr>'&lt;1&gt; ADIT Detail'!Print_Titles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2018-04-29T21:33:13Z</dcterms:created>
  <dcterms:modified xsi:type="dcterms:W3CDTF">2018-04-29T21:33:24Z</dcterms:modified>
</cp:coreProperties>
</file>