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210" windowWidth="25050" windowHeight="10470" tabRatio="764"/>
  </bookViews>
  <sheets>
    <sheet name="&lt;1&gt; ARAM Calc PT Method Life" sheetId="7" r:id="rId1"/>
    <sheet name="&lt;1a&gt; 2015 Reports" sheetId="10" r:id="rId2"/>
    <sheet name="&lt;1b&gt; 2016 Reports" sheetId="11" r:id="rId3"/>
    <sheet name="&lt;1c&gt; 2017 Reports" sheetId="12" r:id="rId4"/>
    <sheet name="&lt;1d&gt; 2018 Reports" sheetId="6" r:id="rId5"/>
    <sheet name="&lt;2&gt; ARAM Calc PT Method Life" sheetId="13" r:id="rId6"/>
    <sheet name="&lt;2a&gt; 2017 Reports" sheetId="16" r:id="rId7"/>
    <sheet name="&lt;2b&gt; 2018 Reports" sheetId="14" r:id="rId8"/>
  </sheets>
  <definedNames>
    <definedName name="_xlnm.Print_Area" localSheetId="2">'&lt;1b&gt; 2016 Reports'!$A$1:$W$162</definedName>
    <definedName name="_xlnm.Print_Area" localSheetId="3">'&lt;1c&gt; 2017 Reports'!$A$1:$V$166</definedName>
    <definedName name="_xlnm.Print_Area" localSheetId="6">'&lt;2a&gt; 2017 Reports'!$A$1:$X$234</definedName>
  </definedNames>
  <calcPr calcId="162913"/>
</workbook>
</file>

<file path=xl/calcChain.xml><?xml version="1.0" encoding="utf-8"?>
<calcChain xmlns="http://schemas.openxmlformats.org/spreadsheetml/2006/main">
  <c r="K41" i="13" l="1"/>
  <c r="K43" i="13" s="1"/>
  <c r="K44" i="13" s="1"/>
  <c r="S17" i="7"/>
  <c r="K41" i="7"/>
  <c r="K43" i="7" s="1"/>
  <c r="K44" i="7" s="1"/>
  <c r="O15" i="13" l="1"/>
  <c r="P15" i="13" s="1"/>
  <c r="P16" i="13" s="1"/>
  <c r="P17" i="13" s="1"/>
  <c r="P18" i="13" s="1"/>
  <c r="P19" i="13" s="1"/>
  <c r="P20" i="13" s="1"/>
  <c r="P21" i="13" s="1"/>
  <c r="P22" i="13" s="1"/>
  <c r="P23" i="13" s="1"/>
  <c r="P24" i="13" s="1"/>
  <c r="P25" i="13" s="1"/>
  <c r="P26" i="13" s="1"/>
  <c r="P27" i="13" s="1"/>
  <c r="P28" i="13" s="1"/>
  <c r="S15" i="13"/>
  <c r="D15" i="13"/>
  <c r="F15" i="13" s="1"/>
  <c r="H15" i="13" s="1"/>
  <c r="C15" i="13"/>
  <c r="S14" i="13"/>
  <c r="D14" i="13"/>
  <c r="C14" i="13"/>
  <c r="F14" i="13" s="1"/>
  <c r="C9" i="13"/>
  <c r="B22" i="16"/>
  <c r="B24" i="16" s="1"/>
  <c r="H42" i="13"/>
  <c r="F28" i="13"/>
  <c r="H28" i="13" s="1"/>
  <c r="F27" i="13"/>
  <c r="F26" i="13"/>
  <c r="F25" i="13"/>
  <c r="F24" i="13"/>
  <c r="F23" i="13"/>
  <c r="F22" i="13"/>
  <c r="F21" i="13"/>
  <c r="H21" i="13" s="1"/>
  <c r="F20" i="13"/>
  <c r="H20" i="13" s="1"/>
  <c r="F19" i="13"/>
  <c r="F18" i="13"/>
  <c r="H18" i="13" s="1"/>
  <c r="O17" i="13"/>
  <c r="F16" i="13"/>
  <c r="H16" i="13" s="1"/>
  <c r="B15" i="13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H46" i="13" l="1"/>
  <c r="O16" i="13"/>
  <c r="D29" i="13"/>
  <c r="F17" i="13"/>
  <c r="H17" i="13" s="1"/>
  <c r="G14" i="13"/>
  <c r="H41" i="13" s="1"/>
  <c r="F29" i="13"/>
  <c r="H22" i="13"/>
  <c r="H24" i="13"/>
  <c r="O18" i="13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29" i="13"/>
  <c r="H19" i="13"/>
  <c r="H26" i="13"/>
  <c r="H25" i="13"/>
  <c r="H23" i="13"/>
  <c r="H27" i="13"/>
  <c r="O17" i="7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D17" i="7"/>
  <c r="C17" i="7"/>
  <c r="S16" i="7"/>
  <c r="D16" i="7"/>
  <c r="C16" i="7"/>
  <c r="S15" i="7"/>
  <c r="D15" i="7"/>
  <c r="C15" i="7"/>
  <c r="S14" i="7"/>
  <c r="D14" i="7"/>
  <c r="C14" i="7"/>
  <c r="C9" i="7"/>
  <c r="B20" i="10"/>
  <c r="B22" i="10" s="1"/>
  <c r="H42" i="7"/>
  <c r="B15" i="7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O18" i="7" l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H14" i="13"/>
  <c r="G15" i="13"/>
  <c r="G16" i="13" s="1"/>
  <c r="F21" i="7"/>
  <c r="F20" i="7"/>
  <c r="F22" i="7"/>
  <c r="F23" i="7"/>
  <c r="F24" i="7"/>
  <c r="F25" i="7"/>
  <c r="F17" i="7"/>
  <c r="F26" i="7"/>
  <c r="F27" i="7"/>
  <c r="F28" i="7"/>
  <c r="F19" i="7"/>
  <c r="H23" i="7"/>
  <c r="F14" i="7"/>
  <c r="G17" i="13" l="1"/>
  <c r="G18" i="13" s="1"/>
  <c r="G19" i="13" s="1"/>
  <c r="G20" i="13" s="1"/>
  <c r="G21" i="13" s="1"/>
  <c r="G22" i="13" s="1"/>
  <c r="G23" i="13" s="1"/>
  <c r="G24" i="13" s="1"/>
  <c r="G25" i="13" s="1"/>
  <c r="G26" i="13" s="1"/>
  <c r="G27" i="13" s="1"/>
  <c r="G28" i="13" s="1"/>
  <c r="H43" i="13"/>
  <c r="J14" i="13"/>
  <c r="H44" i="13" s="1"/>
  <c r="H29" i="13"/>
  <c r="H28" i="7"/>
  <c r="H19" i="7"/>
  <c r="H27" i="7"/>
  <c r="H26" i="7"/>
  <c r="H17" i="7"/>
  <c r="H25" i="7"/>
  <c r="H24" i="7"/>
  <c r="H22" i="7"/>
  <c r="H20" i="7"/>
  <c r="H21" i="7"/>
  <c r="F16" i="7"/>
  <c r="H16" i="7" s="1"/>
  <c r="F18" i="7"/>
  <c r="D29" i="7"/>
  <c r="F15" i="7"/>
  <c r="H15" i="7" s="1"/>
  <c r="C29" i="7"/>
  <c r="G14" i="7"/>
  <c r="J15" i="13" l="1"/>
  <c r="N14" i="13"/>
  <c r="K14" i="13"/>
  <c r="H18" i="7"/>
  <c r="F29" i="7"/>
  <c r="H14" i="7"/>
  <c r="G15" i="7"/>
  <c r="T14" i="13" l="1"/>
  <c r="Q14" i="13"/>
  <c r="N15" i="13"/>
  <c r="K15" i="13"/>
  <c r="G16" i="7"/>
  <c r="H29" i="7"/>
  <c r="J14" i="7"/>
  <c r="T15" i="13" l="1"/>
  <c r="Q15" i="13"/>
  <c r="H45" i="13"/>
  <c r="G17" i="7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H41" i="7"/>
  <c r="H43" i="7" s="1"/>
  <c r="N14" i="7"/>
  <c r="K14" i="7"/>
  <c r="J15" i="7"/>
  <c r="Q14" i="7" l="1"/>
  <c r="T14" i="7"/>
  <c r="J16" i="7"/>
  <c r="H44" i="7" s="1"/>
  <c r="N15" i="7"/>
  <c r="K15" i="7"/>
  <c r="H45" i="7"/>
  <c r="H47" i="13" l="1"/>
  <c r="Q15" i="7"/>
  <c r="T15" i="7"/>
  <c r="N16" i="7"/>
  <c r="K16" i="7"/>
  <c r="L17" i="7" s="1"/>
  <c r="I28" i="7" l="1"/>
  <c r="I23" i="7"/>
  <c r="I19" i="7"/>
  <c r="I27" i="7"/>
  <c r="I26" i="7"/>
  <c r="I17" i="7"/>
  <c r="H46" i="7" s="1"/>
  <c r="H47" i="7" s="1"/>
  <c r="I25" i="7"/>
  <c r="I24" i="7"/>
  <c r="I22" i="7"/>
  <c r="I20" i="7"/>
  <c r="I21" i="7"/>
  <c r="I18" i="7"/>
  <c r="Q16" i="7"/>
  <c r="T16" i="7"/>
  <c r="J17" i="7" l="1"/>
  <c r="K17" i="7" s="1"/>
  <c r="N17" i="7" l="1"/>
  <c r="Q17" i="7" l="1"/>
  <c r="T17" i="7"/>
  <c r="J18" i="7"/>
  <c r="K18" i="7" l="1"/>
  <c r="N18" i="7"/>
  <c r="Q18" i="7" s="1"/>
  <c r="J19" i="7"/>
  <c r="N19" i="7" l="1"/>
  <c r="Q19" i="7" s="1"/>
  <c r="K19" i="7"/>
  <c r="J20" i="7"/>
  <c r="K20" i="7" l="1"/>
  <c r="N20" i="7"/>
  <c r="Q20" i="7" s="1"/>
  <c r="J21" i="7"/>
  <c r="N21" i="7" l="1"/>
  <c r="Q21" i="7" s="1"/>
  <c r="K21" i="7"/>
  <c r="J22" i="7"/>
  <c r="J23" i="7" l="1"/>
  <c r="I29" i="7"/>
  <c r="N22" i="7"/>
  <c r="Q22" i="7" s="1"/>
  <c r="K22" i="7"/>
  <c r="K23" i="7" l="1"/>
  <c r="N23" i="7"/>
  <c r="Q23" i="7" s="1"/>
  <c r="J24" i="7"/>
  <c r="N24" i="7" l="1"/>
  <c r="Q24" i="7" s="1"/>
  <c r="K24" i="7"/>
  <c r="J25" i="7"/>
  <c r="K25" i="7" l="1"/>
  <c r="N25" i="7"/>
  <c r="Q25" i="7" s="1"/>
  <c r="J26" i="7"/>
  <c r="K26" i="7" l="1"/>
  <c r="N26" i="7"/>
  <c r="Q26" i="7" s="1"/>
  <c r="J27" i="7"/>
  <c r="N27" i="7" l="1"/>
  <c r="Q27" i="7" s="1"/>
  <c r="K27" i="7"/>
  <c r="K28" i="7" s="1"/>
  <c r="J28" i="7"/>
  <c r="N28" i="7" s="1"/>
  <c r="Q28" i="7" s="1"/>
  <c r="J16" i="13" l="1"/>
  <c r="N16" i="13" s="1"/>
  <c r="Q16" i="13" s="1"/>
  <c r="K16" i="13" l="1"/>
  <c r="L17" i="13" s="1"/>
  <c r="I19" i="13" l="1"/>
  <c r="I18" i="13"/>
  <c r="I23" i="13"/>
  <c r="I22" i="13"/>
  <c r="I25" i="13"/>
  <c r="I20" i="13"/>
  <c r="I24" i="13"/>
  <c r="I17" i="13"/>
  <c r="I27" i="13"/>
  <c r="I21" i="13"/>
  <c r="I26" i="13"/>
  <c r="I28" i="13"/>
  <c r="J17" i="13" l="1"/>
  <c r="I29" i="13"/>
  <c r="K17" i="13" l="1"/>
  <c r="N17" i="13"/>
  <c r="Q17" i="13" s="1"/>
  <c r="J18" i="13"/>
  <c r="N18" i="13" l="1"/>
  <c r="Q18" i="13" s="1"/>
  <c r="K18" i="13"/>
  <c r="J19" i="13"/>
  <c r="K19" i="13" l="1"/>
  <c r="N19" i="13"/>
  <c r="Q19" i="13" s="1"/>
  <c r="J20" i="13"/>
  <c r="N20" i="13" l="1"/>
  <c r="Q20" i="13" s="1"/>
  <c r="K20" i="13"/>
  <c r="J21" i="13"/>
  <c r="N21" i="13" l="1"/>
  <c r="Q21" i="13" s="1"/>
  <c r="K21" i="13"/>
  <c r="J22" i="13"/>
  <c r="K22" i="13" l="1"/>
  <c r="N22" i="13"/>
  <c r="Q22" i="13" s="1"/>
  <c r="J23" i="13"/>
  <c r="N23" i="13" l="1"/>
  <c r="Q23" i="13" s="1"/>
  <c r="K23" i="13"/>
  <c r="J24" i="13"/>
  <c r="K24" i="13" l="1"/>
  <c r="N24" i="13"/>
  <c r="Q24" i="13" s="1"/>
  <c r="J25" i="13"/>
  <c r="K25" i="13" l="1"/>
  <c r="N25" i="13"/>
  <c r="Q25" i="13" s="1"/>
  <c r="J26" i="13"/>
  <c r="N26" i="13" l="1"/>
  <c r="Q26" i="13" s="1"/>
  <c r="K26" i="13"/>
  <c r="J27" i="13"/>
  <c r="K27" i="13" l="1"/>
  <c r="K28" i="13" s="1"/>
  <c r="N27" i="13"/>
  <c r="Q27" i="13" s="1"/>
  <c r="J28" i="13"/>
  <c r="N28" i="13" s="1"/>
  <c r="Q28" i="13" s="1"/>
</calcChain>
</file>

<file path=xl/sharedStrings.xml><?xml version="1.0" encoding="utf-8"?>
<sst xmlns="http://schemas.openxmlformats.org/spreadsheetml/2006/main" count="243" uniqueCount="106">
  <si>
    <t>Book Depreciation</t>
  </si>
  <si>
    <t>Tax Depreciation</t>
  </si>
  <si>
    <t>New Tax Rate</t>
  </si>
  <si>
    <t>DTL</t>
  </si>
  <si>
    <t>Assumptions:</t>
  </si>
  <si>
    <t>Deferred Tax</t>
  </si>
  <si>
    <t>Calculation of ARAM Rate</t>
  </si>
  <si>
    <t xml:space="preserve">Cummulative </t>
  </si>
  <si>
    <t>Temporary Difference</t>
  </si>
  <si>
    <t>ARAM Rate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</si>
  <si>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</si>
  <si>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</si>
  <si>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</si>
  <si>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</si>
  <si>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</si>
  <si>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</si>
  <si>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</si>
  <si>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</si>
  <si>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</si>
  <si>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</si>
  <si>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</si>
  <si>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</si>
  <si>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The ARAM Rate is determined at the point where the deferred taxes associated with the asset will begin</t>
  </si>
  <si>
    <t xml:space="preserve">to turn around.  At that time, the total deferred taxes is divided by the total timing differences to </t>
  </si>
  <si>
    <t xml:space="preserve">produce the ARAM rate which will be used to turn the deferred taxes around over the life of the asset.  </t>
  </si>
  <si>
    <t>Year 13</t>
  </si>
  <si>
    <t>Year 14</t>
  </si>
  <si>
    <t>Year 15</t>
  </si>
  <si>
    <t>Reversals from the utility's deferred tax reserve are computed using the weighted average of the effective</t>
  </si>
  <si>
    <t xml:space="preserve">ARAM </t>
  </si>
  <si>
    <t>Excess Deferred Tax Balance Calculation:</t>
  </si>
  <si>
    <t xml:space="preserve">Deferred Taxes Recorded </t>
  </si>
  <si>
    <t>Deferred Taxes Beg of Year 3</t>
  </si>
  <si>
    <t>Excess Deferred Taxes</t>
  </si>
  <si>
    <t>Proof:</t>
  </si>
  <si>
    <t xml:space="preserve">Florida Power &amp; Light </t>
  </si>
  <si>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Current Statutory Rate </t>
    </r>
  </si>
  <si>
    <r>
      <rPr>
        <vertAlign val="superscript"/>
        <sz val="10"/>
        <rFont val="Arial"/>
        <family val="2"/>
      </rPr>
      <t xml:space="preserve">6 </t>
    </r>
    <r>
      <rPr>
        <sz val="10"/>
        <rFont val="Arial"/>
        <family val="2"/>
      </rPr>
      <t xml:space="preserve">Asset Cost </t>
    </r>
  </si>
  <si>
    <t>Reversal</t>
  </si>
  <si>
    <t>FAS109</t>
  </si>
  <si>
    <t>Excess Def Tax</t>
  </si>
  <si>
    <t>Excess Def Tax G/U</t>
  </si>
  <si>
    <t>CY</t>
  </si>
  <si>
    <t>Effective
Tax Rate</t>
  </si>
  <si>
    <t>DTL 
Historical</t>
  </si>
  <si>
    <t>PT Case: 2018 Tax Depreciation Accrual v1</t>
  </si>
  <si>
    <t>Tax Class: Nuclear</t>
  </si>
  <si>
    <t>GAAP</t>
  </si>
  <si>
    <t>Additions</t>
  </si>
  <si>
    <t>Refurbishment</t>
  </si>
  <si>
    <t>AFUDC Debt</t>
  </si>
  <si>
    <t>CPI</t>
  </si>
  <si>
    <t>Bonus Depreciation</t>
  </si>
  <si>
    <t>Repairs</t>
  </si>
  <si>
    <t>AFUDC Debt Avoided</t>
  </si>
  <si>
    <t>AFUDC Equity</t>
  </si>
  <si>
    <t>AFUDC Equity Avoided</t>
  </si>
  <si>
    <t>Pensions</t>
  </si>
  <si>
    <t>Business Meals</t>
  </si>
  <si>
    <t>Tax Balance</t>
  </si>
  <si>
    <t>Book to Tax Differences</t>
  </si>
  <si>
    <t>Basis Adjustments:</t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</si>
  <si>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Tax Depreciation MACRS 15 </t>
    </r>
  </si>
  <si>
    <t>Method/Life Component</t>
  </si>
  <si>
    <t>Rtp 257 Control</t>
  </si>
  <si>
    <t xml:space="preserve">Vintage: 2015 Q1 - 50 % Bonus </t>
  </si>
  <si>
    <t>Tax Year 2018</t>
  </si>
  <si>
    <t>Tax Year 2017</t>
  </si>
  <si>
    <t>Tax Year 2016</t>
  </si>
  <si>
    <t>PT Case: Master Case 2015+</t>
  </si>
  <si>
    <t>Tax Year 2015</t>
  </si>
  <si>
    <t>Timing Differences End of 2017</t>
  </si>
  <si>
    <t>Proof - PT Calc Amount</t>
  </si>
  <si>
    <t>Variance</t>
  </si>
  <si>
    <t>Additions to the utility's deferred tax reserve are computed based on the effective tax rates in effect for years 1 - 3.</t>
  </si>
  <si>
    <t>tax rates for years 4+.</t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</si>
  <si>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Book Depreciation over 40 years</t>
    </r>
  </si>
  <si>
    <t>Method Life</t>
  </si>
  <si>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New Tax Rate - Effec 2018</t>
    </r>
  </si>
  <si>
    <t xml:space="preserve">Vintage: 2017 - 50 % Bonus </t>
  </si>
  <si>
    <t>Storm</t>
  </si>
  <si>
    <t>TP Cooling Canals</t>
  </si>
  <si>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Asset is placed in Service in 2017</t>
    </r>
  </si>
  <si>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Asset is placed in Service in 2015</t>
    </r>
  </si>
  <si>
    <t>Additions to the utility's deferred tax reserve are computed based on the effective tax rates in effect.</t>
  </si>
  <si>
    <t>Reversals from the utility's deferred tax reserve will be computed using the weighted average of the effective</t>
  </si>
  <si>
    <t>tax rates at the time the deferred tax balances will start to reverse.</t>
  </si>
  <si>
    <t>Tax Rates:</t>
  </si>
  <si>
    <t>Fed</t>
  </si>
  <si>
    <t>Fbos</t>
  </si>
  <si>
    <t>FL</t>
  </si>
  <si>
    <t>Total</t>
  </si>
  <si>
    <t>After Tax Rate</t>
  </si>
  <si>
    <t>Florida Power &amp; Light Company</t>
  </si>
  <si>
    <t>Docket No. 20180046-EI</t>
  </si>
  <si>
    <t>OPC's Second Set of Interrogatories</t>
  </si>
  <si>
    <t>Attachment No. 1</t>
  </si>
  <si>
    <t>Interrogatory No. 15</t>
  </si>
  <si>
    <t>Tab 1 of 8</t>
  </si>
  <si>
    <t>Tab 2 of 8</t>
  </si>
  <si>
    <t>Tab 3 of 8</t>
  </si>
  <si>
    <t>Tab 4 of 8</t>
  </si>
  <si>
    <t>Tab 5 of 8</t>
  </si>
  <si>
    <t>Tab 6 of 8</t>
  </si>
  <si>
    <t>Tab 7 of 8</t>
  </si>
  <si>
    <t>Tab 8 of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</si>
</sst>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(* #,##0_);_(* \(#,##0\);_(* &quot;-&quot;_);_(@_)"/>
    <numFmt numFmtId="164" formatCode="0.00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vertAlign val="superscript"/>
      <sz val="1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39">
    <xf numFmtId="0" fontId="0" fillId="0" borderId="0" xfId="0"/>
    <xf numFmtId="37" fontId="3" fillId="0" borderId="0" xfId="3" applyNumberFormat="1" applyFont="1" applyAlignment="1">
      <alignment horizontal="center"/>
    </xf>
    <xf numFmtId="0" fontId="3" fillId="0" borderId="0" xfId="3" applyFont="1"/>
    <xf numFmtId="37" fontId="3" fillId="0" borderId="0" xfId="3" applyNumberFormat="1" applyFont="1"/>
    <xf numFmtId="0" fontId="4" fillId="0" borderId="0" xfId="3" applyFont="1"/>
    <xf numFmtId="0" fontId="4" fillId="0" borderId="0" xfId="3" applyFont="1" applyAlignment="1">
      <alignment horizontal="left" indent="1"/>
    </xf>
    <xf numFmtId="37" fontId="4" fillId="0" borderId="0" xfId="3" applyNumberFormat="1" applyFont="1"/>
    <xf numFmtId="0" fontId="4" fillId="0" borderId="0" xfId="3" applyFont="1" applyAlignment="1">
      <alignment horizontal="left"/>
    </xf>
    <xf numFmtId="37" fontId="4" fillId="0" borderId="0" xfId="3" applyNumberFormat="1" applyFont="1" applyAlignment="1">
      <alignment horizontal="left"/>
    </xf>
    <xf numFmtId="9" fontId="4" fillId="0" borderId="0" xfId="2" applyFont="1"/>
    <xf numFmtId="41" fontId="4" fillId="0" borderId="0" xfId="1" applyFont="1"/>
    <xf numFmtId="0" fontId="4" fillId="0" borderId="0" xfId="3" applyFont="1" applyAlignment="1">
      <alignment horizontal="center"/>
    </xf>
    <xf numFmtId="10" fontId="4" fillId="0" borderId="0" xfId="3" applyNumberFormat="1" applyFont="1"/>
    <xf numFmtId="37" fontId="4" fillId="0" borderId="0" xfId="3" applyNumberFormat="1" applyFont="1" applyFill="1"/>
    <xf numFmtId="10" fontId="6" fillId="0" borderId="0" xfId="3" applyNumberFormat="1" applyFont="1"/>
    <xf numFmtId="37" fontId="4" fillId="0" borderId="1" xfId="3" applyNumberFormat="1" applyFont="1" applyBorder="1"/>
    <xf numFmtId="10" fontId="4" fillId="0" borderId="0" xfId="2" applyNumberFormat="1" applyFont="1"/>
    <xf numFmtId="37" fontId="4" fillId="0" borderId="0" xfId="3" applyNumberFormat="1" applyFont="1" applyBorder="1"/>
    <xf numFmtId="37" fontId="3" fillId="0" borderId="0" xfId="3" applyNumberFormat="1" applyFont="1" applyAlignment="1">
      <alignment horizontal="center" vertical="center" wrapText="1"/>
    </xf>
    <xf numFmtId="0" fontId="4" fillId="0" borderId="0" xfId="3" applyFont="1" applyAlignment="1">
      <alignment horizontal="center" vertical="center" wrapText="1"/>
    </xf>
    <xf numFmtId="37" fontId="4" fillId="0" borderId="0" xfId="3" applyNumberFormat="1" applyFont="1" applyAlignment="1">
      <alignment horizontal="center" vertical="center" wrapText="1"/>
    </xf>
    <xf numFmtId="41" fontId="0" fillId="0" borderId="0" xfId="1" applyFont="1"/>
    <xf numFmtId="41" fontId="0" fillId="0" borderId="1" xfId="1" applyFont="1" applyBorder="1"/>
    <xf numFmtId="0" fontId="7" fillId="0" borderId="0" xfId="0" applyFont="1"/>
    <xf numFmtId="0" fontId="0" fillId="0" borderId="0" xfId="0" applyAlignment="1">
      <alignment horizontal="left" indent="1"/>
    </xf>
    <xf numFmtId="0" fontId="2" fillId="0" borderId="0" xfId="3" applyFont="1" applyAlignment="1">
      <alignment horizontal="left" indent="1"/>
    </xf>
    <xf numFmtId="0" fontId="3" fillId="0" borderId="0" xfId="3" applyFont="1" applyAlignment="1">
      <alignment horizontal="left" vertical="center" wrapText="1"/>
    </xf>
    <xf numFmtId="37" fontId="3" fillId="0" borderId="0" xfId="3" applyNumberFormat="1" applyFont="1" applyFill="1" applyAlignment="1">
      <alignment horizontal="center" vertical="center" wrapText="1"/>
    </xf>
    <xf numFmtId="41" fontId="0" fillId="0" borderId="0" xfId="0" applyNumberFormat="1"/>
    <xf numFmtId="0" fontId="2" fillId="0" borderId="0" xfId="3" applyFont="1" applyAlignment="1">
      <alignment horizontal="left"/>
    </xf>
    <xf numFmtId="37" fontId="2" fillId="0" borderId="0" xfId="3" applyNumberFormat="1" applyFont="1" applyBorder="1" applyAlignment="1">
      <alignment horizontal="left"/>
    </xf>
    <xf numFmtId="37" fontId="2" fillId="0" borderId="0" xfId="3" applyNumberFormat="1" applyFont="1"/>
    <xf numFmtId="10" fontId="3" fillId="0" borderId="0" xfId="2" applyNumberFormat="1" applyFont="1" applyAlignment="1">
      <alignment horizontal="center"/>
    </xf>
    <xf numFmtId="0" fontId="3" fillId="0" borderId="0" xfId="3" applyFont="1" applyAlignment="1">
      <alignment horizontal="left" indent="1"/>
    </xf>
    <xf numFmtId="37" fontId="2" fillId="0" borderId="0" xfId="3" applyNumberFormat="1" applyFont="1" applyAlignment="1">
      <alignment horizontal="left" indent="1"/>
    </xf>
    <xf numFmtId="164" fontId="2" fillId="0" borderId="0" xfId="2" applyNumberFormat="1" applyFont="1"/>
    <xf numFmtId="164" fontId="2" fillId="0" borderId="1" xfId="2" applyNumberFormat="1" applyFont="1" applyBorder="1"/>
    <xf numFmtId="37" fontId="0" fillId="0" borderId="0" xfId="1" applyNumberFormat="1" applyFont="1"/>
    <xf numFmtId="0" fontId="9" fillId="0" borderId="0" xfId="0" applyFont="1" applyFill="1" applyBorder="1"/>
  </cellXfs>
  <cellStyles count="4">
    <cellStyle name="Comma [0]" xfId="1" builtinId="6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95250</xdr:rowOff>
    </xdr:from>
    <xdr:to>
      <xdr:col>20</xdr:col>
      <xdr:colOff>36431</xdr:colOff>
      <xdr:row>103</xdr:row>
      <xdr:rowOff>151440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096750"/>
          <a:ext cx="13352381" cy="7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104</xdr:row>
      <xdr:rowOff>95250</xdr:rowOff>
    </xdr:from>
    <xdr:to>
      <xdr:col>15</xdr:col>
      <xdr:colOff>141575</xdr:colOff>
      <xdr:row>140</xdr:row>
      <xdr:rowOff>103917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19907250"/>
          <a:ext cx="10400000" cy="6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9525</xdr:rowOff>
    </xdr:from>
    <xdr:to>
      <xdr:col>19</xdr:col>
      <xdr:colOff>541269</xdr:colOff>
      <xdr:row>181</xdr:row>
      <xdr:rowOff>84763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870025"/>
          <a:ext cx="13247619" cy="7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19050</xdr:rowOff>
    </xdr:from>
    <xdr:to>
      <xdr:col>20</xdr:col>
      <xdr:colOff>322145</xdr:colOff>
      <xdr:row>223</xdr:row>
      <xdr:rowOff>46645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4690050"/>
          <a:ext cx="13638095" cy="7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15</xdr:col>
      <xdr:colOff>351098</xdr:colOff>
      <xdr:row>60</xdr:row>
      <xdr:rowOff>189619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572000"/>
          <a:ext cx="10619048" cy="70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484114</xdr:colOff>
      <xdr:row>43</xdr:row>
      <xdr:rowOff>103905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285714" cy="6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180975</xdr:rowOff>
    </xdr:from>
    <xdr:to>
      <xdr:col>21</xdr:col>
      <xdr:colOff>455543</xdr:colOff>
      <xdr:row>85</xdr:row>
      <xdr:rowOff>27618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62975"/>
          <a:ext cx="13257143" cy="7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16</xdr:col>
      <xdr:colOff>522590</xdr:colOff>
      <xdr:row>122</xdr:row>
      <xdr:rowOff>132500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10276190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21</xdr:col>
      <xdr:colOff>207924</xdr:colOff>
      <xdr:row>161</xdr:row>
      <xdr:rowOff>75309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622000"/>
          <a:ext cx="13009524" cy="71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21</xdr:col>
      <xdr:colOff>503162</xdr:colOff>
      <xdr:row>44</xdr:row>
      <xdr:rowOff>189571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3304762" cy="7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21</xdr:col>
      <xdr:colOff>274590</xdr:colOff>
      <xdr:row>89</xdr:row>
      <xdr:rowOff>27571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3076190" cy="8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16</xdr:col>
      <xdr:colOff>579733</xdr:colOff>
      <xdr:row>126</xdr:row>
      <xdr:rowOff>122952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10333333" cy="6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158750</xdr:rowOff>
    </xdr:from>
    <xdr:to>
      <xdr:col>21</xdr:col>
      <xdr:colOff>407924</xdr:colOff>
      <xdr:row>166</xdr:row>
      <xdr:rowOff>24488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52250"/>
          <a:ext cx="13076174" cy="72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17</xdr:col>
      <xdr:colOff>608228</xdr:colOff>
      <xdr:row>44</xdr:row>
      <xdr:rowOff>37190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10971428" cy="7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21</xdr:col>
      <xdr:colOff>112686</xdr:colOff>
      <xdr:row>80</xdr:row>
      <xdr:rowOff>56309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12914286" cy="67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22</xdr:col>
      <xdr:colOff>64990</xdr:colOff>
      <xdr:row>123</xdr:row>
      <xdr:rowOff>160928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13476190" cy="79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21</xdr:col>
      <xdr:colOff>417447</xdr:colOff>
      <xdr:row>166</xdr:row>
      <xdr:rowOff>18071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812500"/>
          <a:ext cx="13219047" cy="782857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</xdr:row>
      <xdr:rowOff>0</xdr:rowOff>
    </xdr:from>
    <xdr:to>
      <xdr:col>31</xdr:col>
      <xdr:colOff>160961</xdr:colOff>
      <xdr:row>37</xdr:row>
      <xdr:rowOff>8786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82400" y="1143000"/>
          <a:ext cx="7714286" cy="59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152959</xdr:rowOff>
    </xdr:from>
    <xdr:to>
      <xdr:col>18</xdr:col>
      <xdr:colOff>79375</xdr:colOff>
      <xdr:row>108</xdr:row>
      <xdr:rowOff>135565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678459"/>
          <a:ext cx="12128500" cy="7031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17</xdr:col>
      <xdr:colOff>285750</xdr:colOff>
      <xdr:row>70</xdr:row>
      <xdr:rowOff>43793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53001"/>
          <a:ext cx="11731625" cy="8425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20</xdr:col>
      <xdr:colOff>112614</xdr:colOff>
      <xdr:row>198</xdr:row>
      <xdr:rowOff>84619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8956000"/>
          <a:ext cx="13368239" cy="8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20</xdr:col>
      <xdr:colOff>207852</xdr:colOff>
      <xdr:row>233</xdr:row>
      <xdr:rowOff>132333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6385500"/>
          <a:ext cx="13580952" cy="8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158750</xdr:rowOff>
    </xdr:from>
    <xdr:to>
      <xdr:col>15</xdr:col>
      <xdr:colOff>351090</xdr:colOff>
      <xdr:row>151</xdr:row>
      <xdr:rowOff>91131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1304250"/>
          <a:ext cx="10590465" cy="755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0</xdr:rowOff>
    </xdr:from>
    <xdr:to>
      <xdr:col>21</xdr:col>
      <xdr:colOff>379352</xdr:colOff>
      <xdr:row>165</xdr:row>
      <xdr:rowOff>65714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00"/>
          <a:ext cx="13180952" cy="7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22</xdr:col>
      <xdr:colOff>350705</xdr:colOff>
      <xdr:row>129</xdr:row>
      <xdr:rowOff>8500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383000"/>
          <a:ext cx="13761905" cy="82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</xdr:row>
      <xdr:rowOff>0</xdr:rowOff>
    </xdr:from>
    <xdr:to>
      <xdr:col>16</xdr:col>
      <xdr:colOff>285751</xdr:colOff>
      <xdr:row>45</xdr:row>
      <xdr:rowOff>144491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143000"/>
          <a:ext cx="10039350" cy="75739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21</xdr:col>
      <xdr:colOff>217447</xdr:colOff>
      <xdr:row>83</xdr:row>
      <xdr:rowOff>170571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953500"/>
          <a:ext cx="13019047" cy="70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48"/>
  <sheetViews>
    <sheetView tabSelected="1" zoomScaleNormal="100" workbookViewId="0">
      <selection activeCell="D1" sqref="D1:D6"/>
    </sheetView>
  </sheetViews>
  <sheetFormatPr defaultRowHeight="15" x14ac:dyDescent="0.25"/>
  <cols>
    <col min="1" max="1" width="33.85546875" bestFit="1" customWidth="1"/>
    <col min="3" max="3" width="15.42578125" customWidth="1"/>
    <col min="4" max="4" width="16.42578125" customWidth="1"/>
    <col min="5" max="5" width="3.85546875" customWidth="1"/>
    <col min="6" max="6" width="19.5703125" customWidth="1"/>
    <col min="7" max="7" width="13.7109375" bestFit="1" customWidth="1"/>
    <col min="8" max="8" width="12.42578125" customWidth="1"/>
    <col min="9" max="9" width="12.28515625" customWidth="1"/>
    <col min="10" max="10" width="13.7109375" bestFit="1" customWidth="1"/>
    <col min="11" max="11" width="11.28515625" customWidth="1"/>
    <col min="14" max="14" width="13" customWidth="1"/>
    <col min="15" max="15" width="11.85546875" customWidth="1"/>
    <col min="17" max="17" width="13.7109375" bestFit="1" customWidth="1"/>
    <col min="18" max="18" width="4.140625" customWidth="1"/>
    <col min="19" max="19" width="13" customWidth="1"/>
    <col min="20" max="20" width="5.5703125" customWidth="1"/>
  </cols>
  <sheetData>
    <row r="1" spans="1:20" x14ac:dyDescent="0.25">
      <c r="A1" s="2" t="s">
        <v>35</v>
      </c>
      <c r="B1" s="4"/>
      <c r="C1" s="4"/>
      <c r="D1" s="38" t="s">
        <v>93</v>
      </c>
      <c r="E1" s="4"/>
      <c r="F1" s="4"/>
      <c r="G1" s="4"/>
      <c r="H1" s="4"/>
      <c r="I1" s="9"/>
      <c r="J1" s="4"/>
      <c r="K1" s="4"/>
      <c r="L1" s="4"/>
      <c r="M1" s="4"/>
      <c r="N1" s="4"/>
      <c r="O1" s="4"/>
      <c r="P1" s="4"/>
      <c r="Q1" s="4"/>
    </row>
    <row r="2" spans="1:20" x14ac:dyDescent="0.25">
      <c r="A2" s="2" t="s">
        <v>6</v>
      </c>
      <c r="B2" s="4"/>
      <c r="C2" s="6"/>
      <c r="D2" s="38" t="s">
        <v>94</v>
      </c>
      <c r="E2" s="6"/>
      <c r="F2" s="4"/>
      <c r="G2" s="4"/>
      <c r="H2" s="4"/>
      <c r="I2" s="9"/>
      <c r="J2" s="6"/>
      <c r="K2" s="6"/>
      <c r="L2" s="6"/>
      <c r="M2" s="6"/>
      <c r="N2" s="6"/>
      <c r="O2" s="6"/>
      <c r="P2" s="6"/>
      <c r="Q2" s="6"/>
    </row>
    <row r="3" spans="1:20" x14ac:dyDescent="0.25">
      <c r="A3" s="2" t="s">
        <v>4</v>
      </c>
      <c r="B3" s="4"/>
      <c r="C3" s="6"/>
      <c r="D3" s="38" t="s">
        <v>95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0" x14ac:dyDescent="0.25">
      <c r="A4" s="33" t="s">
        <v>83</v>
      </c>
      <c r="B4" s="4"/>
      <c r="C4" s="6"/>
      <c r="D4" s="38" t="s">
        <v>97</v>
      </c>
      <c r="E4" s="6"/>
      <c r="F4" s="4"/>
      <c r="G4" s="6"/>
      <c r="H4" s="6"/>
      <c r="I4" s="6"/>
      <c r="J4" s="6"/>
      <c r="K4" s="6"/>
      <c r="L4" s="6"/>
      <c r="M4" s="6"/>
      <c r="N4" s="31"/>
      <c r="O4" s="6"/>
      <c r="P4" s="6"/>
      <c r="Q4" s="6"/>
    </row>
    <row r="5" spans="1:20" x14ac:dyDescent="0.25">
      <c r="A5" s="25" t="s">
        <v>62</v>
      </c>
      <c r="B5" s="4"/>
      <c r="C5" s="4"/>
      <c r="D5" s="38" t="s">
        <v>96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</row>
    <row r="6" spans="1:20" x14ac:dyDescent="0.25">
      <c r="A6" s="25" t="s">
        <v>76</v>
      </c>
      <c r="B6" s="4"/>
      <c r="C6" s="6"/>
      <c r="D6" s="38" t="s">
        <v>98</v>
      </c>
      <c r="E6" s="6"/>
      <c r="F6" s="32"/>
      <c r="G6" s="4"/>
      <c r="H6" s="1"/>
      <c r="I6" s="1"/>
      <c r="J6" s="1"/>
      <c r="K6" s="1"/>
      <c r="L6" s="6"/>
      <c r="M6" s="6"/>
      <c r="N6" s="6"/>
      <c r="O6" s="6"/>
      <c r="P6" s="6"/>
      <c r="Q6" s="6"/>
    </row>
    <row r="7" spans="1:20" x14ac:dyDescent="0.25">
      <c r="A7" s="5" t="s">
        <v>36</v>
      </c>
      <c r="B7" s="4"/>
      <c r="C7" s="9">
        <v>0.35</v>
      </c>
      <c r="D7" s="6"/>
      <c r="E7" s="6"/>
      <c r="F7" s="1"/>
      <c r="G7" s="4"/>
      <c r="H7" s="1"/>
      <c r="I7" s="1"/>
      <c r="J7" s="1"/>
      <c r="K7" s="1"/>
      <c r="L7" s="6"/>
      <c r="M7" s="6"/>
      <c r="N7" s="6"/>
      <c r="O7" s="6"/>
      <c r="P7" s="6"/>
      <c r="Q7" s="6"/>
    </row>
    <row r="8" spans="1:20" x14ac:dyDescent="0.25">
      <c r="A8" s="25" t="s">
        <v>78</v>
      </c>
      <c r="B8" s="4"/>
      <c r="C8" s="9">
        <v>0.21</v>
      </c>
      <c r="D8" s="6"/>
      <c r="E8" s="6"/>
      <c r="F8" s="1"/>
      <c r="G8" s="4"/>
      <c r="H8" s="1"/>
      <c r="I8" s="1"/>
      <c r="J8" s="1"/>
      <c r="K8" s="1"/>
      <c r="L8" s="6"/>
      <c r="M8" s="6"/>
      <c r="N8" s="6"/>
      <c r="O8" s="6"/>
      <c r="P8" s="6"/>
      <c r="Q8" s="6"/>
    </row>
    <row r="9" spans="1:20" x14ac:dyDescent="0.25">
      <c r="A9" s="5" t="s">
        <v>37</v>
      </c>
      <c r="B9" s="4"/>
      <c r="C9" s="10">
        <f>+'&lt;1a&gt; 2015 Reports'!B7</f>
        <v>58427424</v>
      </c>
      <c r="D9" s="6"/>
      <c r="E9" s="6"/>
      <c r="F9" s="1"/>
      <c r="G9" s="1"/>
      <c r="H9" s="1"/>
      <c r="I9" s="1"/>
      <c r="J9" s="1"/>
      <c r="K9" s="1"/>
      <c r="L9" s="6"/>
      <c r="M9" s="6"/>
      <c r="N9" s="6"/>
      <c r="O9" s="6"/>
      <c r="P9" s="6"/>
      <c r="Q9" s="6"/>
    </row>
    <row r="10" spans="1:20" x14ac:dyDescent="0.25">
      <c r="A10" s="5"/>
      <c r="B10" s="4"/>
      <c r="C10" s="6"/>
      <c r="D10" s="6"/>
      <c r="E10" s="6"/>
      <c r="F10" s="1"/>
      <c r="G10" s="1"/>
      <c r="H10" s="1"/>
      <c r="I10" s="1"/>
      <c r="J10" s="1"/>
      <c r="K10" s="1"/>
      <c r="L10" s="6"/>
      <c r="M10" s="6"/>
      <c r="N10" s="6"/>
      <c r="O10" s="6"/>
      <c r="P10" s="6"/>
      <c r="Q10" s="6"/>
    </row>
    <row r="11" spans="1:20" x14ac:dyDescent="0.25">
      <c r="A11" s="5"/>
      <c r="B11" s="4"/>
      <c r="C11" s="6"/>
      <c r="D11" s="6"/>
      <c r="E11" s="6"/>
      <c r="F11" s="1"/>
      <c r="G11" s="1" t="s">
        <v>7</v>
      </c>
      <c r="H11" s="1" t="s">
        <v>42</v>
      </c>
      <c r="I11" s="1" t="s">
        <v>29</v>
      </c>
      <c r="J11" s="1" t="s">
        <v>7</v>
      </c>
      <c r="K11" s="1"/>
      <c r="L11" s="6"/>
      <c r="M11" s="6"/>
      <c r="N11" s="6"/>
      <c r="O11" s="1" t="s">
        <v>39</v>
      </c>
      <c r="P11" s="1" t="s">
        <v>39</v>
      </c>
      <c r="Q11" s="1" t="s">
        <v>7</v>
      </c>
    </row>
    <row r="12" spans="1:20" ht="38.25" x14ac:dyDescent="0.25">
      <c r="A12" s="26" t="s">
        <v>63</v>
      </c>
      <c r="B12" s="19"/>
      <c r="C12" s="18" t="s">
        <v>1</v>
      </c>
      <c r="D12" s="18" t="s">
        <v>0</v>
      </c>
      <c r="E12" s="20"/>
      <c r="F12" s="18" t="s">
        <v>8</v>
      </c>
      <c r="G12" s="18" t="s">
        <v>8</v>
      </c>
      <c r="H12" s="18" t="s">
        <v>5</v>
      </c>
      <c r="I12" s="18" t="s">
        <v>38</v>
      </c>
      <c r="J12" s="18" t="s">
        <v>3</v>
      </c>
      <c r="K12" s="18" t="s">
        <v>43</v>
      </c>
      <c r="L12" s="18" t="s">
        <v>9</v>
      </c>
      <c r="M12" s="18"/>
      <c r="N12" s="18" t="s">
        <v>44</v>
      </c>
      <c r="O12" s="18" t="s">
        <v>40</v>
      </c>
      <c r="P12" s="18" t="s">
        <v>41</v>
      </c>
      <c r="Q12" s="18" t="s">
        <v>3</v>
      </c>
      <c r="S12" s="27" t="s">
        <v>64</v>
      </c>
    </row>
    <row r="13" spans="1:20" x14ac:dyDescent="0.25">
      <c r="A13" s="4"/>
      <c r="B13" s="4"/>
      <c r="C13" s="4"/>
      <c r="D13" s="4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</row>
    <row r="14" spans="1:20" x14ac:dyDescent="0.25">
      <c r="A14" s="11" t="s">
        <v>10</v>
      </c>
      <c r="B14" s="11">
        <v>2015</v>
      </c>
      <c r="C14" s="6">
        <f>+'&lt;1a&gt; 2015 Reports'!X157</f>
        <v>-17878659</v>
      </c>
      <c r="D14" s="6">
        <f>+'&lt;1a&gt; 2015 Reports'!Y157</f>
        <v>357441</v>
      </c>
      <c r="E14" s="6"/>
      <c r="F14" s="6">
        <f>C14+D14</f>
        <v>-17521218</v>
      </c>
      <c r="G14" s="6">
        <f>F14</f>
        <v>-17521218</v>
      </c>
      <c r="H14" s="6">
        <f>G14*C7</f>
        <v>-6132426.2999999998</v>
      </c>
      <c r="I14" s="6"/>
      <c r="J14" s="6">
        <f>+SUM(H14:I14)</f>
        <v>-6132426.2999999998</v>
      </c>
      <c r="K14" s="12">
        <f t="shared" ref="K14:K27" si="0">J14/G14</f>
        <v>0.35</v>
      </c>
      <c r="L14" s="6"/>
      <c r="M14" s="6"/>
      <c r="N14" s="6">
        <f>+J14</f>
        <v>-6132426.2999999998</v>
      </c>
      <c r="O14" s="6"/>
      <c r="P14" s="6"/>
      <c r="Q14" s="6">
        <f>+SUM(N14:P14)</f>
        <v>-6132426.2999999998</v>
      </c>
      <c r="S14" s="21">
        <f>+'&lt;1a&gt; 2015 Reports'!X200</f>
        <v>6132427</v>
      </c>
      <c r="T14" s="21">
        <f>+N14+S14</f>
        <v>0.70000000018626451</v>
      </c>
    </row>
    <row r="15" spans="1:20" x14ac:dyDescent="0.25">
      <c r="A15" s="11" t="s">
        <v>11</v>
      </c>
      <c r="B15" s="11">
        <f>+B14+1</f>
        <v>2016</v>
      </c>
      <c r="C15" s="6">
        <f>+'&lt;1b&gt; 2016 Reports'!Y61</f>
        <v>-1445317</v>
      </c>
      <c r="D15" s="6">
        <f>+'&lt;1b&gt; 2016 Reports'!Z61</f>
        <v>700193</v>
      </c>
      <c r="E15" s="6"/>
      <c r="F15" s="6">
        <f t="shared" ref="F15:F28" si="1">C15+D15</f>
        <v>-745124</v>
      </c>
      <c r="G15" s="6">
        <f>G14+F15</f>
        <v>-18266342</v>
      </c>
      <c r="H15" s="6">
        <f>F15*C7</f>
        <v>-260793.4</v>
      </c>
      <c r="I15" s="6"/>
      <c r="J15" s="6">
        <f>+SUM(H15:I15)+J14</f>
        <v>-6393219.7000000002</v>
      </c>
      <c r="K15" s="12">
        <f t="shared" si="0"/>
        <v>0.35000000000000003</v>
      </c>
      <c r="L15" s="6"/>
      <c r="M15" s="6"/>
      <c r="N15" s="6">
        <f t="shared" ref="N15:N28" si="2">+J15</f>
        <v>-6393219.7000000002</v>
      </c>
      <c r="O15" s="6"/>
      <c r="P15" s="6"/>
      <c r="Q15" s="6">
        <f t="shared" ref="Q15:Q28" si="3">+SUM(N15:P15)</f>
        <v>-6393219.7000000002</v>
      </c>
      <c r="S15" s="28">
        <f>+'&lt;1b&gt; 2016 Reports'!Y23</f>
        <v>6393220</v>
      </c>
      <c r="T15" s="21">
        <f t="shared" ref="T15:T16" si="4">+N15+S15</f>
        <v>0.29999999981373549</v>
      </c>
    </row>
    <row r="16" spans="1:20" x14ac:dyDescent="0.25">
      <c r="A16" s="11" t="s">
        <v>12</v>
      </c>
      <c r="B16" s="11">
        <f t="shared" ref="B16:B28" si="5">+B15+1</f>
        <v>2017</v>
      </c>
      <c r="C16" s="6">
        <f>+'&lt;1c&gt; 2017 Reports'!Y64</f>
        <v>-1301254</v>
      </c>
      <c r="D16" s="6">
        <f>+'&lt;1c&gt; 2017 Reports'!Z64</f>
        <v>2147795</v>
      </c>
      <c r="E16" s="6"/>
      <c r="F16" s="6">
        <f t="shared" si="1"/>
        <v>846541</v>
      </c>
      <c r="G16" s="6">
        <f t="shared" ref="G16:G28" si="6">G15+F16</f>
        <v>-17419801</v>
      </c>
      <c r="H16" s="6">
        <f>F16*$C$7</f>
        <v>296289.34999999998</v>
      </c>
      <c r="I16" s="6"/>
      <c r="J16" s="6">
        <f t="shared" ref="J16:J28" si="7">+SUM(H16:I16)+J15</f>
        <v>-6096930.3500000006</v>
      </c>
      <c r="K16" s="12">
        <f t="shared" si="0"/>
        <v>0.35000000000000003</v>
      </c>
      <c r="L16" s="6"/>
      <c r="M16" s="6"/>
      <c r="N16" s="6">
        <f t="shared" si="2"/>
        <v>-6096930.3500000006</v>
      </c>
      <c r="O16" s="6"/>
      <c r="P16" s="6"/>
      <c r="Q16" s="6">
        <f t="shared" si="3"/>
        <v>-6096930.3500000006</v>
      </c>
      <c r="S16" s="28">
        <f>+'&lt;1c&gt; 2017 Reports'!Y24</f>
        <v>6096931</v>
      </c>
      <c r="T16" s="21">
        <f t="shared" si="4"/>
        <v>0.64999999944120646</v>
      </c>
    </row>
    <row r="17" spans="1:20" x14ac:dyDescent="0.25">
      <c r="A17" s="11" t="s">
        <v>13</v>
      </c>
      <c r="B17" s="11">
        <f t="shared" si="5"/>
        <v>2018</v>
      </c>
      <c r="C17" s="6">
        <f>+'&lt;1d&gt; 2018 Reports'!Y100</f>
        <v>-1169019</v>
      </c>
      <c r="D17" s="6">
        <f>+'&lt;1d&gt; 2018 Reports'!Z100</f>
        <v>1439833</v>
      </c>
      <c r="E17" s="6"/>
      <c r="F17" s="6">
        <f t="shared" si="1"/>
        <v>270814</v>
      </c>
      <c r="G17" s="6">
        <f t="shared" si="6"/>
        <v>-17148987</v>
      </c>
      <c r="H17" s="6">
        <f>F17*$C$8</f>
        <v>56870.939999999995</v>
      </c>
      <c r="I17" s="6">
        <f>F17*$L$17-H17</f>
        <v>37913.960000000014</v>
      </c>
      <c r="J17" s="6">
        <f t="shared" si="7"/>
        <v>-6002145.4500000002</v>
      </c>
      <c r="K17" s="12">
        <f t="shared" si="0"/>
        <v>0.35000000000000003</v>
      </c>
      <c r="L17" s="14">
        <f>+K16</f>
        <v>0.35000000000000003</v>
      </c>
      <c r="M17" s="6"/>
      <c r="N17" s="6">
        <f t="shared" si="2"/>
        <v>-6002145.4500000002</v>
      </c>
      <c r="O17" s="6">
        <f>+'&lt;1d&gt; 2018 Reports'!Y145</f>
        <v>2400858</v>
      </c>
      <c r="P17" s="6">
        <f>+O17*(K43)/K44</f>
        <v>815079.31163351412</v>
      </c>
      <c r="Q17" s="6">
        <f>+SUM(N17:P17)</f>
        <v>-2786208.1383664859</v>
      </c>
      <c r="S17" s="28">
        <f>+'&lt;1d&gt; 2018 Reports'!Y143</f>
        <v>6002146</v>
      </c>
      <c r="T17" s="21">
        <f>+N17+S17</f>
        <v>0.54999999981373549</v>
      </c>
    </row>
    <row r="18" spans="1:20" x14ac:dyDescent="0.25">
      <c r="A18" s="11" t="s">
        <v>14</v>
      </c>
      <c r="B18" s="11">
        <f t="shared" si="5"/>
        <v>2019</v>
      </c>
      <c r="C18" s="6"/>
      <c r="D18" s="6"/>
      <c r="E18" s="6"/>
      <c r="F18" s="6">
        <f t="shared" si="1"/>
        <v>0</v>
      </c>
      <c r="G18" s="6">
        <f t="shared" si="6"/>
        <v>-17148987</v>
      </c>
      <c r="H18" s="6">
        <f t="shared" ref="H18:H28" si="8">F18*$C$8</f>
        <v>0</v>
      </c>
      <c r="I18" s="6">
        <f t="shared" ref="I18:I28" si="9">F18*$L$17-H18</f>
        <v>0</v>
      </c>
      <c r="J18" s="6">
        <f t="shared" si="7"/>
        <v>-6002145.4500000002</v>
      </c>
      <c r="K18" s="12">
        <f t="shared" si="0"/>
        <v>0.35000000000000003</v>
      </c>
      <c r="L18" s="14"/>
      <c r="M18" s="4"/>
      <c r="N18" s="6">
        <f t="shared" si="2"/>
        <v>-6002145.4500000002</v>
      </c>
      <c r="O18" s="6">
        <f>+O17</f>
        <v>2400858</v>
      </c>
      <c r="P18" s="6">
        <f>+P17</f>
        <v>815079.31163351412</v>
      </c>
      <c r="Q18" s="6">
        <f t="shared" si="3"/>
        <v>-2786208.1383664859</v>
      </c>
      <c r="T18" s="21"/>
    </row>
    <row r="19" spans="1:20" x14ac:dyDescent="0.25">
      <c r="A19" s="11" t="s">
        <v>15</v>
      </c>
      <c r="B19" s="11">
        <f t="shared" si="5"/>
        <v>2020</v>
      </c>
      <c r="C19" s="6"/>
      <c r="D19" s="6"/>
      <c r="E19" s="6"/>
      <c r="F19" s="6">
        <f t="shared" si="1"/>
        <v>0</v>
      </c>
      <c r="G19" s="6">
        <f t="shared" si="6"/>
        <v>-17148987</v>
      </c>
      <c r="H19" s="6">
        <f t="shared" si="8"/>
        <v>0</v>
      </c>
      <c r="I19" s="6">
        <f t="shared" si="9"/>
        <v>0</v>
      </c>
      <c r="J19" s="6">
        <f t="shared" si="7"/>
        <v>-6002145.4500000002</v>
      </c>
      <c r="K19" s="12">
        <f t="shared" si="0"/>
        <v>0.35000000000000003</v>
      </c>
      <c r="L19" s="14"/>
      <c r="M19" s="6"/>
      <c r="N19" s="6">
        <f t="shared" si="2"/>
        <v>-6002145.4500000002</v>
      </c>
      <c r="O19" s="6">
        <f>+O18</f>
        <v>2400858</v>
      </c>
      <c r="P19" s="6">
        <f>+P18</f>
        <v>815079.31163351412</v>
      </c>
      <c r="Q19" s="6">
        <f t="shared" si="3"/>
        <v>-2786208.1383664859</v>
      </c>
    </row>
    <row r="20" spans="1:20" x14ac:dyDescent="0.25">
      <c r="A20" s="11" t="s">
        <v>16</v>
      </c>
      <c r="B20" s="11">
        <f t="shared" si="5"/>
        <v>2021</v>
      </c>
      <c r="C20" s="6"/>
      <c r="D20" s="6"/>
      <c r="E20" s="6"/>
      <c r="F20" s="6">
        <f t="shared" si="1"/>
        <v>0</v>
      </c>
      <c r="G20" s="6">
        <f t="shared" si="6"/>
        <v>-17148987</v>
      </c>
      <c r="H20" s="6">
        <f t="shared" si="8"/>
        <v>0</v>
      </c>
      <c r="I20" s="6">
        <f t="shared" si="9"/>
        <v>0</v>
      </c>
      <c r="J20" s="6">
        <f t="shared" si="7"/>
        <v>-6002145.4500000002</v>
      </c>
      <c r="K20" s="12">
        <f t="shared" si="0"/>
        <v>0.35000000000000003</v>
      </c>
      <c r="L20" s="4"/>
      <c r="M20" s="4"/>
      <c r="N20" s="6">
        <f t="shared" si="2"/>
        <v>-6002145.4500000002</v>
      </c>
      <c r="O20" s="6">
        <f t="shared" ref="O20:P28" si="10">+O19</f>
        <v>2400858</v>
      </c>
      <c r="P20" s="6">
        <f t="shared" si="10"/>
        <v>815079.31163351412</v>
      </c>
      <c r="Q20" s="6">
        <f t="shared" si="3"/>
        <v>-2786208.1383664859</v>
      </c>
    </row>
    <row r="21" spans="1:20" x14ac:dyDescent="0.25">
      <c r="A21" s="11" t="s">
        <v>17</v>
      </c>
      <c r="B21" s="11">
        <f t="shared" si="5"/>
        <v>2022</v>
      </c>
      <c r="C21" s="6"/>
      <c r="D21" s="6"/>
      <c r="E21" s="6"/>
      <c r="F21" s="13">
        <f t="shared" si="1"/>
        <v>0</v>
      </c>
      <c r="G21" s="6">
        <f t="shared" si="6"/>
        <v>-17148987</v>
      </c>
      <c r="H21" s="6">
        <f t="shared" si="8"/>
        <v>0</v>
      </c>
      <c r="I21" s="6">
        <f t="shared" si="9"/>
        <v>0</v>
      </c>
      <c r="J21" s="6">
        <f t="shared" si="7"/>
        <v>-6002145.4500000002</v>
      </c>
      <c r="K21" s="12">
        <f t="shared" si="0"/>
        <v>0.35000000000000003</v>
      </c>
      <c r="L21" s="14"/>
      <c r="M21" s="14"/>
      <c r="N21" s="6">
        <f t="shared" si="2"/>
        <v>-6002145.4500000002</v>
      </c>
      <c r="O21" s="6">
        <f t="shared" si="10"/>
        <v>2400858</v>
      </c>
      <c r="P21" s="6">
        <f t="shared" si="10"/>
        <v>815079.31163351412</v>
      </c>
      <c r="Q21" s="6">
        <f t="shared" si="3"/>
        <v>-2786208.1383664859</v>
      </c>
    </row>
    <row r="22" spans="1:20" x14ac:dyDescent="0.25">
      <c r="A22" s="11" t="s">
        <v>18</v>
      </c>
      <c r="B22" s="11">
        <f t="shared" si="5"/>
        <v>2023</v>
      </c>
      <c r="C22" s="6"/>
      <c r="D22" s="6"/>
      <c r="E22" s="6"/>
      <c r="F22" s="6">
        <f t="shared" si="1"/>
        <v>0</v>
      </c>
      <c r="G22" s="6">
        <f t="shared" si="6"/>
        <v>-17148987</v>
      </c>
      <c r="H22" s="6">
        <f t="shared" si="8"/>
        <v>0</v>
      </c>
      <c r="I22" s="6">
        <f t="shared" si="9"/>
        <v>0</v>
      </c>
      <c r="J22" s="6">
        <f t="shared" si="7"/>
        <v>-6002145.4500000002</v>
      </c>
      <c r="K22" s="12">
        <f t="shared" si="0"/>
        <v>0.35000000000000003</v>
      </c>
      <c r="L22" s="6"/>
      <c r="M22" s="6"/>
      <c r="N22" s="6">
        <f t="shared" si="2"/>
        <v>-6002145.4500000002</v>
      </c>
      <c r="O22" s="6">
        <f t="shared" si="10"/>
        <v>2400858</v>
      </c>
      <c r="P22" s="6">
        <f t="shared" si="10"/>
        <v>815079.31163351412</v>
      </c>
      <c r="Q22" s="6">
        <f t="shared" si="3"/>
        <v>-2786208.1383664859</v>
      </c>
    </row>
    <row r="23" spans="1:20" x14ac:dyDescent="0.25">
      <c r="A23" s="11" t="s">
        <v>19</v>
      </c>
      <c r="B23" s="11">
        <f t="shared" si="5"/>
        <v>2024</v>
      </c>
      <c r="C23" s="6"/>
      <c r="D23" s="6"/>
      <c r="E23" s="6"/>
      <c r="F23" s="6">
        <f t="shared" si="1"/>
        <v>0</v>
      </c>
      <c r="G23" s="6">
        <f t="shared" si="6"/>
        <v>-17148987</v>
      </c>
      <c r="H23" s="6">
        <f t="shared" si="8"/>
        <v>0</v>
      </c>
      <c r="I23" s="6">
        <f t="shared" si="9"/>
        <v>0</v>
      </c>
      <c r="J23" s="6">
        <f t="shared" si="7"/>
        <v>-6002145.4500000002</v>
      </c>
      <c r="K23" s="12">
        <f t="shared" si="0"/>
        <v>0.35000000000000003</v>
      </c>
      <c r="L23" s="6"/>
      <c r="M23" s="6"/>
      <c r="N23" s="6">
        <f t="shared" si="2"/>
        <v>-6002145.4500000002</v>
      </c>
      <c r="O23" s="6">
        <f t="shared" si="10"/>
        <v>2400858</v>
      </c>
      <c r="P23" s="6">
        <f t="shared" si="10"/>
        <v>815079.31163351412</v>
      </c>
      <c r="Q23" s="6">
        <f t="shared" si="3"/>
        <v>-2786208.1383664859</v>
      </c>
    </row>
    <row r="24" spans="1:20" x14ac:dyDescent="0.25">
      <c r="A24" s="11" t="s">
        <v>20</v>
      </c>
      <c r="B24" s="11">
        <f t="shared" si="5"/>
        <v>2025</v>
      </c>
      <c r="C24" s="6"/>
      <c r="D24" s="6"/>
      <c r="E24" s="6"/>
      <c r="F24" s="6">
        <f t="shared" si="1"/>
        <v>0</v>
      </c>
      <c r="G24" s="6">
        <f t="shared" si="6"/>
        <v>-17148987</v>
      </c>
      <c r="H24" s="6">
        <f t="shared" si="8"/>
        <v>0</v>
      </c>
      <c r="I24" s="6">
        <f t="shared" si="9"/>
        <v>0</v>
      </c>
      <c r="J24" s="6">
        <f t="shared" si="7"/>
        <v>-6002145.4500000002</v>
      </c>
      <c r="K24" s="12">
        <f t="shared" si="0"/>
        <v>0.35000000000000003</v>
      </c>
      <c r="L24" s="6"/>
      <c r="M24" s="6"/>
      <c r="N24" s="6">
        <f t="shared" si="2"/>
        <v>-6002145.4500000002</v>
      </c>
      <c r="O24" s="6">
        <f t="shared" si="10"/>
        <v>2400858</v>
      </c>
      <c r="P24" s="6">
        <f t="shared" si="10"/>
        <v>815079.31163351412</v>
      </c>
      <c r="Q24" s="6">
        <f t="shared" si="3"/>
        <v>-2786208.1383664859</v>
      </c>
    </row>
    <row r="25" spans="1:20" x14ac:dyDescent="0.25">
      <c r="A25" s="11" t="s">
        <v>21</v>
      </c>
      <c r="B25" s="11">
        <f t="shared" si="5"/>
        <v>2026</v>
      </c>
      <c r="C25" s="6"/>
      <c r="D25" s="6"/>
      <c r="E25" s="6"/>
      <c r="F25" s="6">
        <f t="shared" si="1"/>
        <v>0</v>
      </c>
      <c r="G25" s="6">
        <f t="shared" si="6"/>
        <v>-17148987</v>
      </c>
      <c r="H25" s="6">
        <f t="shared" si="8"/>
        <v>0</v>
      </c>
      <c r="I25" s="6">
        <f t="shared" si="9"/>
        <v>0</v>
      </c>
      <c r="J25" s="6">
        <f t="shared" si="7"/>
        <v>-6002145.4500000002</v>
      </c>
      <c r="K25" s="12">
        <f t="shared" si="0"/>
        <v>0.35000000000000003</v>
      </c>
      <c r="L25" s="6"/>
      <c r="M25" s="6"/>
      <c r="N25" s="6">
        <f t="shared" si="2"/>
        <v>-6002145.4500000002</v>
      </c>
      <c r="O25" s="6">
        <f t="shared" si="10"/>
        <v>2400858</v>
      </c>
      <c r="P25" s="6">
        <f t="shared" si="10"/>
        <v>815079.31163351412</v>
      </c>
      <c r="Q25" s="6">
        <f t="shared" si="3"/>
        <v>-2786208.1383664859</v>
      </c>
    </row>
    <row r="26" spans="1:20" x14ac:dyDescent="0.25">
      <c r="A26" s="11" t="s">
        <v>25</v>
      </c>
      <c r="B26" s="11">
        <f t="shared" si="5"/>
        <v>2027</v>
      </c>
      <c r="C26" s="6"/>
      <c r="D26" s="6"/>
      <c r="E26" s="6"/>
      <c r="F26" s="6">
        <f t="shared" si="1"/>
        <v>0</v>
      </c>
      <c r="G26" s="6">
        <f t="shared" si="6"/>
        <v>-17148987</v>
      </c>
      <c r="H26" s="6">
        <f t="shared" si="8"/>
        <v>0</v>
      </c>
      <c r="I26" s="6">
        <f t="shared" si="9"/>
        <v>0</v>
      </c>
      <c r="J26" s="6">
        <f t="shared" si="7"/>
        <v>-6002145.4500000002</v>
      </c>
      <c r="K26" s="12">
        <f t="shared" si="0"/>
        <v>0.35000000000000003</v>
      </c>
      <c r="L26" s="6"/>
      <c r="M26" s="6"/>
      <c r="N26" s="6">
        <f t="shared" si="2"/>
        <v>-6002145.4500000002</v>
      </c>
      <c r="O26" s="6">
        <f t="shared" si="10"/>
        <v>2400858</v>
      </c>
      <c r="P26" s="6">
        <f t="shared" si="10"/>
        <v>815079.31163351412</v>
      </c>
      <c r="Q26" s="6">
        <f t="shared" si="3"/>
        <v>-2786208.1383664859</v>
      </c>
    </row>
    <row r="27" spans="1:20" x14ac:dyDescent="0.25">
      <c r="A27" s="11" t="s">
        <v>26</v>
      </c>
      <c r="B27" s="11">
        <f t="shared" si="5"/>
        <v>2028</v>
      </c>
      <c r="C27" s="6"/>
      <c r="D27" s="6"/>
      <c r="E27" s="6"/>
      <c r="F27" s="6">
        <f t="shared" si="1"/>
        <v>0</v>
      </c>
      <c r="G27" s="6">
        <f t="shared" si="6"/>
        <v>-17148987</v>
      </c>
      <c r="H27" s="6">
        <f t="shared" si="8"/>
        <v>0</v>
      </c>
      <c r="I27" s="6">
        <f t="shared" si="9"/>
        <v>0</v>
      </c>
      <c r="J27" s="6">
        <f t="shared" si="7"/>
        <v>-6002145.4500000002</v>
      </c>
      <c r="K27" s="12">
        <f t="shared" si="0"/>
        <v>0.35000000000000003</v>
      </c>
      <c r="L27" s="6"/>
      <c r="M27" s="6"/>
      <c r="N27" s="6">
        <f t="shared" si="2"/>
        <v>-6002145.4500000002</v>
      </c>
      <c r="O27" s="6">
        <f t="shared" si="10"/>
        <v>2400858</v>
      </c>
      <c r="P27" s="6">
        <f t="shared" si="10"/>
        <v>815079.31163351412</v>
      </c>
      <c r="Q27" s="6">
        <f t="shared" si="3"/>
        <v>-2786208.1383664859</v>
      </c>
    </row>
    <row r="28" spans="1:20" x14ac:dyDescent="0.25">
      <c r="A28" s="11" t="s">
        <v>27</v>
      </c>
      <c r="B28" s="11">
        <f t="shared" si="5"/>
        <v>2029</v>
      </c>
      <c r="C28" s="6"/>
      <c r="D28" s="6"/>
      <c r="E28" s="6"/>
      <c r="F28" s="6">
        <f t="shared" si="1"/>
        <v>0</v>
      </c>
      <c r="G28" s="10">
        <f t="shared" si="6"/>
        <v>-17148987</v>
      </c>
      <c r="H28" s="6">
        <f t="shared" si="8"/>
        <v>0</v>
      </c>
      <c r="I28" s="6">
        <f t="shared" si="9"/>
        <v>0</v>
      </c>
      <c r="J28" s="6">
        <f t="shared" si="7"/>
        <v>-6002145.4500000002</v>
      </c>
      <c r="K28" s="12">
        <f>+K27</f>
        <v>0.35000000000000003</v>
      </c>
      <c r="L28" s="6"/>
      <c r="M28" s="6"/>
      <c r="N28" s="6">
        <f t="shared" si="2"/>
        <v>-6002145.4500000002</v>
      </c>
      <c r="O28" s="6">
        <f t="shared" si="10"/>
        <v>2400858</v>
      </c>
      <c r="P28" s="6">
        <f t="shared" si="10"/>
        <v>815079.31163351412</v>
      </c>
      <c r="Q28" s="6">
        <f t="shared" si="3"/>
        <v>-2786208.1383664859</v>
      </c>
    </row>
    <row r="29" spans="1:20" x14ac:dyDescent="0.25">
      <c r="A29" s="11"/>
      <c r="B29" s="11"/>
      <c r="C29" s="15">
        <f>+SUM(C14:C28)</f>
        <v>-21794249</v>
      </c>
      <c r="D29" s="15">
        <f>+SUM(D14:D28)</f>
        <v>4645262</v>
      </c>
      <c r="E29" s="6"/>
      <c r="F29" s="15">
        <f>+SUM(F14:F28)</f>
        <v>-17148987</v>
      </c>
      <c r="G29" s="6"/>
      <c r="H29" s="15">
        <f>SUM(H14:H28)</f>
        <v>-6040059.4100000001</v>
      </c>
      <c r="I29" s="15">
        <f>SUM(I14:I28)</f>
        <v>37913.960000000014</v>
      </c>
      <c r="J29" s="6"/>
      <c r="K29" s="6"/>
      <c r="L29" s="6"/>
      <c r="M29" s="6"/>
      <c r="N29" s="6"/>
      <c r="O29" s="17"/>
      <c r="P29" s="17"/>
      <c r="Q29" s="6"/>
    </row>
    <row r="30" spans="1:20" x14ac:dyDescent="0.25">
      <c r="A30" s="4"/>
      <c r="B30" s="4"/>
      <c r="C30" s="6"/>
      <c r="D30" s="6"/>
      <c r="E30" s="6"/>
      <c r="F30" s="4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20" x14ac:dyDescent="0.25">
      <c r="A31" s="4"/>
      <c r="B31" s="4"/>
      <c r="C31" s="6"/>
      <c r="D31" s="6"/>
      <c r="E31" s="6"/>
      <c r="F31" s="3" t="s">
        <v>22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20" x14ac:dyDescent="0.25">
      <c r="A32" s="4"/>
      <c r="B32" s="4"/>
      <c r="C32" s="6"/>
      <c r="D32" s="6"/>
      <c r="E32" s="6"/>
      <c r="F32" s="3" t="s">
        <v>23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3" spans="1:17" x14ac:dyDescent="0.25">
      <c r="A33" s="4"/>
      <c r="B33" s="4"/>
      <c r="C33" s="6"/>
      <c r="D33" s="6"/>
      <c r="E33" s="6"/>
      <c r="F33" s="3" t="s">
        <v>24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</row>
    <row r="34" spans="1:17" x14ac:dyDescent="0.25">
      <c r="A34" s="4"/>
      <c r="B34" s="4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</row>
    <row r="35" spans="1:17" x14ac:dyDescent="0.25">
      <c r="A35" s="4"/>
      <c r="B35" s="4"/>
      <c r="C35" s="6"/>
      <c r="D35" s="6"/>
      <c r="E35" s="6"/>
      <c r="F35" s="31" t="s">
        <v>74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</row>
    <row r="36" spans="1:17" x14ac:dyDescent="0.25">
      <c r="A36" s="4"/>
      <c r="B36" s="4"/>
      <c r="C36" s="6"/>
      <c r="D36" s="6"/>
      <c r="E36" s="6"/>
      <c r="F36" s="6" t="s">
        <v>28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</row>
    <row r="37" spans="1:17" x14ac:dyDescent="0.25">
      <c r="A37" s="4"/>
      <c r="B37" s="4"/>
      <c r="C37" s="6"/>
      <c r="D37" s="6"/>
      <c r="E37" s="6"/>
      <c r="F37" s="31" t="s">
        <v>75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</row>
    <row r="38" spans="1:17" x14ac:dyDescent="0.25">
      <c r="A38" s="4"/>
      <c r="B38" s="4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</row>
    <row r="39" spans="1:17" x14ac:dyDescent="0.25">
      <c r="A39" s="4"/>
      <c r="B39" s="4"/>
      <c r="C39" s="6"/>
      <c r="D39" s="6"/>
      <c r="E39" s="6"/>
      <c r="F39" s="6" t="s">
        <v>34</v>
      </c>
      <c r="G39" s="6"/>
      <c r="H39" s="6"/>
      <c r="I39" s="6"/>
      <c r="J39" s="31" t="s">
        <v>87</v>
      </c>
      <c r="K39" s="31"/>
      <c r="L39" s="6"/>
      <c r="M39" s="6"/>
      <c r="N39" s="6"/>
      <c r="O39" s="6"/>
      <c r="P39" s="6"/>
      <c r="Q39" s="6"/>
    </row>
    <row r="40" spans="1:17" x14ac:dyDescent="0.25">
      <c r="A40" s="4"/>
      <c r="B40" s="4"/>
      <c r="C40" s="6"/>
      <c r="D40" s="6"/>
      <c r="E40" s="6"/>
      <c r="F40" s="4" t="s">
        <v>30</v>
      </c>
      <c r="G40" s="4"/>
      <c r="H40" s="6"/>
      <c r="I40" s="6"/>
      <c r="J40" s="34" t="s">
        <v>88</v>
      </c>
      <c r="K40" s="35">
        <v>0.21</v>
      </c>
      <c r="L40" s="6"/>
      <c r="M40" s="6"/>
      <c r="N40" s="6"/>
      <c r="O40" s="6"/>
      <c r="P40" s="6"/>
      <c r="Q40" s="6"/>
    </row>
    <row r="41" spans="1:17" x14ac:dyDescent="0.25">
      <c r="A41" s="4"/>
      <c r="B41" s="4"/>
      <c r="C41" s="6"/>
      <c r="D41" s="6"/>
      <c r="E41" s="6"/>
      <c r="F41" s="29" t="s">
        <v>71</v>
      </c>
      <c r="G41" s="4"/>
      <c r="H41" s="6">
        <f>+G16</f>
        <v>-17419801</v>
      </c>
      <c r="I41" s="6"/>
      <c r="J41" s="34" t="s">
        <v>89</v>
      </c>
      <c r="K41" s="35">
        <f>-K40*K42</f>
        <v>-1.155E-2</v>
      </c>
      <c r="L41" s="6"/>
      <c r="M41" s="6"/>
      <c r="N41" s="6"/>
      <c r="O41" s="6"/>
      <c r="P41" s="6"/>
      <c r="Q41" s="6"/>
    </row>
    <row r="42" spans="1:17" x14ac:dyDescent="0.25">
      <c r="A42" s="4"/>
      <c r="B42" s="4"/>
      <c r="C42" s="6"/>
      <c r="D42" s="6"/>
      <c r="E42" s="6"/>
      <c r="F42" s="7" t="s">
        <v>2</v>
      </c>
      <c r="G42" s="4"/>
      <c r="H42" s="16">
        <f>+C8</f>
        <v>0.21</v>
      </c>
      <c r="I42" s="6"/>
      <c r="J42" s="34" t="s">
        <v>90</v>
      </c>
      <c r="K42" s="35">
        <v>5.5E-2</v>
      </c>
      <c r="L42" s="6"/>
      <c r="M42" s="6"/>
      <c r="N42" s="6"/>
      <c r="O42" s="6"/>
      <c r="P42" s="6"/>
      <c r="Q42" s="6"/>
    </row>
    <row r="43" spans="1:17" x14ac:dyDescent="0.25">
      <c r="A43" s="4"/>
      <c r="B43" s="4"/>
      <c r="C43" s="6"/>
      <c r="D43" s="6"/>
      <c r="E43" s="6"/>
      <c r="F43" s="7" t="s">
        <v>32</v>
      </c>
      <c r="G43" s="6"/>
      <c r="H43" s="15">
        <f>+H41*H42</f>
        <v>-3658158.21</v>
      </c>
      <c r="I43" s="6"/>
      <c r="J43" s="31" t="s">
        <v>91</v>
      </c>
      <c r="K43" s="36">
        <f>+SUM(K40:K42)</f>
        <v>0.25345000000000001</v>
      </c>
      <c r="L43" s="6"/>
      <c r="M43" s="6"/>
      <c r="N43" s="6"/>
      <c r="O43" s="6"/>
      <c r="P43" s="6"/>
      <c r="Q43" s="6"/>
    </row>
    <row r="44" spans="1:17" x14ac:dyDescent="0.25">
      <c r="A44" s="4"/>
      <c r="B44" s="4"/>
      <c r="C44" s="6"/>
      <c r="D44" s="6"/>
      <c r="E44" s="6"/>
      <c r="F44" s="8" t="s">
        <v>31</v>
      </c>
      <c r="G44" s="6"/>
      <c r="H44" s="6">
        <f>+J16</f>
        <v>-6096930.3500000006</v>
      </c>
      <c r="I44" s="6"/>
      <c r="J44" s="31" t="s">
        <v>92</v>
      </c>
      <c r="K44" s="35">
        <f>100%-K43</f>
        <v>0.74655000000000005</v>
      </c>
      <c r="L44" s="6"/>
      <c r="M44" s="6"/>
      <c r="N44" s="6"/>
      <c r="O44" s="6"/>
      <c r="P44" s="6"/>
      <c r="Q44" s="6"/>
    </row>
    <row r="45" spans="1:17" x14ac:dyDescent="0.25">
      <c r="A45" s="4"/>
      <c r="B45" s="4"/>
      <c r="C45" s="6"/>
      <c r="D45" s="6"/>
      <c r="E45" s="6"/>
      <c r="F45" s="8" t="s">
        <v>33</v>
      </c>
      <c r="G45" s="6"/>
      <c r="H45" s="15">
        <f>+H43-H44</f>
        <v>2438772.1400000006</v>
      </c>
      <c r="I45" s="6"/>
      <c r="J45" s="6"/>
      <c r="K45" s="6"/>
      <c r="L45" s="6"/>
      <c r="M45" s="6"/>
      <c r="N45" s="6"/>
      <c r="O45" s="6"/>
      <c r="P45" s="6"/>
      <c r="Q45" s="6"/>
    </row>
    <row r="46" spans="1:17" x14ac:dyDescent="0.25">
      <c r="A46" s="4"/>
      <c r="B46" s="4"/>
      <c r="C46" s="6"/>
      <c r="D46" s="6"/>
      <c r="E46" s="6"/>
      <c r="F46" s="30" t="s">
        <v>72</v>
      </c>
      <c r="G46" s="17"/>
      <c r="H46" s="17">
        <f>+O17+I17</f>
        <v>2438771.96</v>
      </c>
      <c r="I46" s="6"/>
      <c r="J46" s="6"/>
      <c r="K46" s="6"/>
      <c r="L46" s="6"/>
      <c r="M46" s="6"/>
      <c r="N46" s="6"/>
      <c r="O46" s="6"/>
      <c r="P46" s="6"/>
      <c r="Q46" s="6"/>
    </row>
    <row r="47" spans="1:17" x14ac:dyDescent="0.25">
      <c r="A47" s="4"/>
      <c r="B47" s="4"/>
      <c r="C47" s="6"/>
      <c r="D47" s="6"/>
      <c r="E47" s="6"/>
      <c r="F47" s="30" t="s">
        <v>73</v>
      </c>
      <c r="G47" s="17"/>
      <c r="H47" s="17">
        <f>+H45-+H46</f>
        <v>0.18000000063329935</v>
      </c>
      <c r="I47" s="6"/>
      <c r="J47" s="6"/>
      <c r="K47" s="6"/>
      <c r="L47" s="6"/>
      <c r="M47" s="6"/>
      <c r="N47" s="6"/>
      <c r="O47" s="6"/>
      <c r="P47" s="6"/>
      <c r="Q47" s="6"/>
    </row>
    <row r="48" spans="1:17" x14ac:dyDescent="0.25">
      <c r="A48" s="4"/>
      <c r="B48" s="4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</row>
  </sheetData>
  <pageMargins left="0.7" right="0.7" top="0.75" bottom="0.75" header="0.3" footer="0.3"/>
  <pageSetup paperSize="5" scale="60" orientation="landscape" r:id="rId1"/>
  <headerFooter>
    <oddFooter>&amp;L&amp;Z&amp;F&amp;R&amp;A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0"/>
  <sheetViews>
    <sheetView zoomScaleNormal="100" workbookViewId="0">
      <selection activeCell="E6" sqref="E6"/>
    </sheetView>
  </sheetViews>
  <sheetFormatPr defaultRowHeight="15" x14ac:dyDescent="0.25"/>
  <cols>
    <col min="1" max="1" width="22.5703125" bestFit="1" customWidth="1"/>
    <col min="2" max="2" width="12.5703125" bestFit="1" customWidth="1"/>
    <col min="24" max="25" width="12.28515625" style="21" bestFit="1" customWidth="1"/>
    <col min="26" max="26" width="9.140625" style="21"/>
  </cols>
  <sheetData>
    <row r="1" spans="1:5" x14ac:dyDescent="0.25">
      <c r="A1" t="s">
        <v>69</v>
      </c>
      <c r="E1" s="38" t="s">
        <v>93</v>
      </c>
    </row>
    <row r="2" spans="1:5" x14ac:dyDescent="0.25">
      <c r="A2" t="s">
        <v>46</v>
      </c>
      <c r="E2" s="38" t="s">
        <v>94</v>
      </c>
    </row>
    <row r="3" spans="1:5" x14ac:dyDescent="0.25">
      <c r="A3" t="s">
        <v>65</v>
      </c>
      <c r="E3" s="38" t="s">
        <v>95</v>
      </c>
    </row>
    <row r="4" spans="1:5" x14ac:dyDescent="0.25">
      <c r="A4" t="s">
        <v>47</v>
      </c>
      <c r="E4" s="38" t="s">
        <v>97</v>
      </c>
    </row>
    <row r="5" spans="1:5" x14ac:dyDescent="0.25">
      <c r="A5" t="s">
        <v>70</v>
      </c>
      <c r="E5" s="38" t="s">
        <v>96</v>
      </c>
    </row>
    <row r="6" spans="1:5" x14ac:dyDescent="0.25">
      <c r="E6" s="38" t="s">
        <v>99</v>
      </c>
    </row>
    <row r="7" spans="1:5" x14ac:dyDescent="0.25">
      <c r="A7" t="s">
        <v>48</v>
      </c>
      <c r="B7" s="21">
        <v>58427424</v>
      </c>
    </row>
    <row r="8" spans="1:5" x14ac:dyDescent="0.25">
      <c r="B8" s="21"/>
    </row>
    <row r="9" spans="1:5" x14ac:dyDescent="0.25">
      <c r="A9" t="s">
        <v>61</v>
      </c>
      <c r="B9" s="21"/>
    </row>
    <row r="10" spans="1:5" x14ac:dyDescent="0.25">
      <c r="A10" s="24" t="s">
        <v>50</v>
      </c>
      <c r="B10" s="21">
        <v>0</v>
      </c>
    </row>
    <row r="11" spans="1:5" x14ac:dyDescent="0.25">
      <c r="A11" s="24" t="s">
        <v>54</v>
      </c>
      <c r="B11" s="21">
        <v>0</v>
      </c>
    </row>
    <row r="12" spans="1:5" x14ac:dyDescent="0.25">
      <c r="A12" s="24" t="s">
        <v>55</v>
      </c>
      <c r="B12" s="21">
        <v>0</v>
      </c>
    </row>
    <row r="13" spans="1:5" x14ac:dyDescent="0.25">
      <c r="A13" s="24" t="s">
        <v>56</v>
      </c>
      <c r="B13" s="21">
        <v>0</v>
      </c>
    </row>
    <row r="14" spans="1:5" x14ac:dyDescent="0.25">
      <c r="A14" s="24" t="s">
        <v>52</v>
      </c>
      <c r="B14" s="21">
        <v>-16492739</v>
      </c>
    </row>
    <row r="15" spans="1:5" x14ac:dyDescent="0.25">
      <c r="A15" s="24" t="s">
        <v>58</v>
      </c>
      <c r="B15" s="21">
        <v>-527</v>
      </c>
    </row>
    <row r="16" spans="1:5" x14ac:dyDescent="0.25">
      <c r="A16" s="24" t="s">
        <v>57</v>
      </c>
      <c r="B16" s="21">
        <v>92016</v>
      </c>
    </row>
    <row r="17" spans="1:2" x14ac:dyDescent="0.25">
      <c r="A17" s="24" t="s">
        <v>49</v>
      </c>
      <c r="B17" s="21">
        <v>0</v>
      </c>
    </row>
    <row r="18" spans="1:2" x14ac:dyDescent="0.25">
      <c r="A18" s="24" t="s">
        <v>53</v>
      </c>
      <c r="B18" s="21">
        <v>-26187082</v>
      </c>
    </row>
    <row r="19" spans="1:2" x14ac:dyDescent="0.25">
      <c r="A19" s="24" t="s">
        <v>51</v>
      </c>
      <c r="B19" s="21">
        <v>653648</v>
      </c>
    </row>
    <row r="20" spans="1:2" x14ac:dyDescent="0.25">
      <c r="A20" s="23" t="s">
        <v>60</v>
      </c>
      <c r="B20" s="22">
        <f>SUM(B10:B19)</f>
        <v>-41934684</v>
      </c>
    </row>
    <row r="21" spans="1:2" x14ac:dyDescent="0.25">
      <c r="B21" s="21"/>
    </row>
    <row r="22" spans="1:2" x14ac:dyDescent="0.25">
      <c r="A22" t="s">
        <v>59</v>
      </c>
      <c r="B22" s="22">
        <f>+B7+B20</f>
        <v>16492740</v>
      </c>
    </row>
    <row r="157" spans="24:25" x14ac:dyDescent="0.25">
      <c r="X157" s="21">
        <v>-17878659</v>
      </c>
      <c r="Y157" s="21">
        <v>357441</v>
      </c>
    </row>
    <row r="166" spans="24:25" x14ac:dyDescent="0.25">
      <c r="X166" s="21">
        <v>-26187082</v>
      </c>
      <c r="Y166" s="21">
        <v>289508</v>
      </c>
    </row>
    <row r="200" spans="24:24" x14ac:dyDescent="0.25">
      <c r="X200" s="21">
        <v>6132427</v>
      </c>
    </row>
  </sheetData>
  <pageMargins left="0.7" right="0.7" top="0.75" bottom="0.75" header="0.3" footer="0.3"/>
  <pageSetup scale="55" orientation="landscape" r:id="rId1"/>
  <headerFooter>
    <oddFooter>&amp;L&amp;Z&amp;F&amp;R&amp;A</oddFooter>
  </headerFooter>
  <rowBreaks count="4" manualBreakCount="4">
    <brk id="62" max="16383" man="1"/>
    <brk id="104" max="16383" man="1"/>
    <brk id="141" max="16383" man="1"/>
    <brk id="18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0"/>
  <sheetViews>
    <sheetView zoomScaleNormal="100" workbookViewId="0">
      <selection activeCell="G6" sqref="G6"/>
    </sheetView>
  </sheetViews>
  <sheetFormatPr defaultRowHeight="15" x14ac:dyDescent="0.25"/>
  <cols>
    <col min="25" max="25" width="11.28515625" style="21" bestFit="1" customWidth="1"/>
    <col min="26" max="26" width="9.28515625" style="21" bestFit="1" customWidth="1"/>
    <col min="27" max="27" width="9.140625" style="21"/>
  </cols>
  <sheetData>
    <row r="1" spans="1:7" x14ac:dyDescent="0.25">
      <c r="A1" t="s">
        <v>69</v>
      </c>
      <c r="G1" s="38" t="s">
        <v>93</v>
      </c>
    </row>
    <row r="2" spans="1:7" x14ac:dyDescent="0.25">
      <c r="A2" t="s">
        <v>46</v>
      </c>
      <c r="G2" s="38" t="s">
        <v>94</v>
      </c>
    </row>
    <row r="3" spans="1:7" x14ac:dyDescent="0.25">
      <c r="A3" t="s">
        <v>65</v>
      </c>
      <c r="G3" s="38" t="s">
        <v>95</v>
      </c>
    </row>
    <row r="4" spans="1:7" x14ac:dyDescent="0.25">
      <c r="A4" t="s">
        <v>47</v>
      </c>
      <c r="G4" s="38" t="s">
        <v>97</v>
      </c>
    </row>
    <row r="5" spans="1:7" x14ac:dyDescent="0.25">
      <c r="A5" t="s">
        <v>68</v>
      </c>
      <c r="G5" s="38" t="s">
        <v>96</v>
      </c>
    </row>
    <row r="6" spans="1:7" x14ac:dyDescent="0.25">
      <c r="G6" s="38" t="s">
        <v>100</v>
      </c>
    </row>
    <row r="23" spans="25:25" x14ac:dyDescent="0.25">
      <c r="Y23" s="21">
        <v>6393220</v>
      </c>
    </row>
    <row r="61" spans="25:26" x14ac:dyDescent="0.25">
      <c r="Y61" s="21">
        <v>-1445317</v>
      </c>
      <c r="Z61" s="21">
        <v>700193</v>
      </c>
    </row>
    <row r="70" spans="26:26" x14ac:dyDescent="0.25">
      <c r="Z70" s="21">
        <v>567119</v>
      </c>
    </row>
  </sheetData>
  <pageMargins left="0.7" right="0.7" top="0.75" bottom="0.75" header="0.3" footer="0.3"/>
  <pageSetup scale="58" orientation="landscape" r:id="rId1"/>
  <headerFooter>
    <oddFooter>&amp;L&amp;Z&amp;F&amp;R&amp;A</oddFooter>
  </headerFooter>
  <rowBreaks count="3" manualBreakCount="3">
    <brk id="45" max="22" man="1"/>
    <brk id="86" max="22" man="1"/>
    <brk id="123" max="2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"/>
  <sheetViews>
    <sheetView zoomScaleNormal="100" workbookViewId="0">
      <selection activeCell="G6" sqref="G6"/>
    </sheetView>
  </sheetViews>
  <sheetFormatPr defaultRowHeight="15" x14ac:dyDescent="0.25"/>
  <cols>
    <col min="24" max="24" width="9.140625" style="21"/>
    <col min="25" max="25" width="11.5703125" style="21" bestFit="1" customWidth="1"/>
    <col min="26" max="26" width="10.5703125" style="21" bestFit="1" customWidth="1"/>
    <col min="27" max="28" width="9.140625" style="21"/>
  </cols>
  <sheetData>
    <row r="1" spans="1:7" x14ac:dyDescent="0.25">
      <c r="A1" t="s">
        <v>45</v>
      </c>
      <c r="G1" s="38" t="s">
        <v>93</v>
      </c>
    </row>
    <row r="2" spans="1:7" x14ac:dyDescent="0.25">
      <c r="A2" t="s">
        <v>46</v>
      </c>
      <c r="G2" s="38" t="s">
        <v>94</v>
      </c>
    </row>
    <row r="3" spans="1:7" x14ac:dyDescent="0.25">
      <c r="A3" t="s">
        <v>65</v>
      </c>
      <c r="G3" s="38" t="s">
        <v>95</v>
      </c>
    </row>
    <row r="4" spans="1:7" x14ac:dyDescent="0.25">
      <c r="A4" t="s">
        <v>47</v>
      </c>
      <c r="G4" s="38" t="s">
        <v>97</v>
      </c>
    </row>
    <row r="5" spans="1:7" x14ac:dyDescent="0.25">
      <c r="A5" t="s">
        <v>67</v>
      </c>
      <c r="G5" s="38" t="s">
        <v>96</v>
      </c>
    </row>
    <row r="6" spans="1:7" x14ac:dyDescent="0.25">
      <c r="G6" s="38" t="s">
        <v>101</v>
      </c>
    </row>
    <row r="24" spans="25:25" x14ac:dyDescent="0.25">
      <c r="Y24" s="21">
        <v>6096931</v>
      </c>
    </row>
    <row r="64" spans="25:26" x14ac:dyDescent="0.25">
      <c r="Y64" s="21">
        <v>-1301254</v>
      </c>
      <c r="Z64" s="21">
        <v>2147795</v>
      </c>
    </row>
    <row r="72" spans="26:26" x14ac:dyDescent="0.25">
      <c r="Z72" s="21">
        <v>1739601</v>
      </c>
    </row>
  </sheetData>
  <pageMargins left="0.7" right="0.7" top="0.75" bottom="0.75" header="0.3" footer="0.3"/>
  <pageSetup scale="60" orientation="landscape" r:id="rId1"/>
  <headerFooter>
    <oddFooter>&amp;L&amp;Z&amp;F&amp;R&amp;A</oddFooter>
  </headerFooter>
  <rowBreaks count="3" manualBreakCount="3">
    <brk id="46" max="16383" man="1"/>
    <brk id="90" max="16383" man="1"/>
    <brk id="127" max="2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1"/>
  <sheetViews>
    <sheetView zoomScaleNormal="100" workbookViewId="0">
      <selection activeCell="G6" sqref="G6"/>
    </sheetView>
  </sheetViews>
  <sheetFormatPr defaultRowHeight="15" x14ac:dyDescent="0.25"/>
  <cols>
    <col min="24" max="24" width="9.140625" style="21"/>
    <col min="25" max="25" width="11.28515625" style="21" bestFit="1" customWidth="1"/>
    <col min="26" max="26" width="10.5703125" style="21" bestFit="1" customWidth="1"/>
    <col min="27" max="28" width="9.140625" style="21"/>
  </cols>
  <sheetData>
    <row r="1" spans="1:20" x14ac:dyDescent="0.25">
      <c r="A1" t="s">
        <v>45</v>
      </c>
      <c r="G1" s="38" t="s">
        <v>93</v>
      </c>
    </row>
    <row r="2" spans="1:20" x14ac:dyDescent="0.25">
      <c r="A2" t="s">
        <v>46</v>
      </c>
      <c r="G2" s="38" t="s">
        <v>94</v>
      </c>
    </row>
    <row r="3" spans="1:20" x14ac:dyDescent="0.25">
      <c r="A3" t="s">
        <v>65</v>
      </c>
      <c r="G3" s="38" t="s">
        <v>95</v>
      </c>
    </row>
    <row r="4" spans="1:20" x14ac:dyDescent="0.25">
      <c r="A4" t="s">
        <v>47</v>
      </c>
      <c r="G4" s="38" t="s">
        <v>97</v>
      </c>
    </row>
    <row r="5" spans="1:20" x14ac:dyDescent="0.25">
      <c r="A5" t="s">
        <v>66</v>
      </c>
      <c r="G5" s="38" t="s">
        <v>96</v>
      </c>
      <c r="T5" t="s">
        <v>77</v>
      </c>
    </row>
    <row r="6" spans="1:20" x14ac:dyDescent="0.25">
      <c r="G6" s="38" t="s">
        <v>102</v>
      </c>
    </row>
    <row r="100" spans="25:26" x14ac:dyDescent="0.25">
      <c r="Y100" s="21">
        <v>-1169019</v>
      </c>
      <c r="Z100" s="21">
        <v>1439833</v>
      </c>
    </row>
    <row r="108" spans="25:26" x14ac:dyDescent="0.25">
      <c r="Z108" s="21">
        <v>1166189</v>
      </c>
    </row>
    <row r="143" spans="25:25" x14ac:dyDescent="0.25">
      <c r="Y143" s="21">
        <v>6002146</v>
      </c>
    </row>
    <row r="145" spans="25:25" x14ac:dyDescent="0.25">
      <c r="Y145" s="21">
        <v>2400858</v>
      </c>
    </row>
    <row r="146" spans="25:25" x14ac:dyDescent="0.25">
      <c r="Y146" s="37"/>
    </row>
    <row r="151" spans="25:25" x14ac:dyDescent="0.25">
      <c r="Y151" s="21">
        <v>3139453</v>
      </c>
    </row>
  </sheetData>
  <pageMargins left="0.7" right="0.7" top="0.75" bottom="0.75" header="0.3" footer="0.3"/>
  <pageSetup scale="55" orientation="landscape" r:id="rId1"/>
  <headerFooter>
    <oddFooter>&amp;L&amp;Z&amp;F&amp;R&amp;A</oddFooter>
  </headerFooter>
  <rowBreaks count="2" manualBreakCount="2">
    <brk id="45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48"/>
  <sheetViews>
    <sheetView zoomScaleNormal="100" workbookViewId="0">
      <selection activeCell="F6" sqref="F6"/>
    </sheetView>
  </sheetViews>
  <sheetFormatPr defaultRowHeight="15" x14ac:dyDescent="0.25"/>
  <cols>
    <col min="1" max="1" width="33.85546875" bestFit="1" customWidth="1"/>
    <col min="3" max="3" width="15.42578125" customWidth="1"/>
    <col min="4" max="4" width="16" customWidth="1"/>
    <col min="5" max="5" width="4.140625" customWidth="1"/>
    <col min="6" max="6" width="17.85546875" customWidth="1"/>
    <col min="7" max="7" width="16.140625" customWidth="1"/>
    <col min="8" max="8" width="14.140625" customWidth="1"/>
    <col min="9" max="9" width="12.85546875" customWidth="1"/>
    <col min="10" max="10" width="13.7109375" bestFit="1" customWidth="1"/>
    <col min="11" max="11" width="12.28515625" customWidth="1"/>
    <col min="13" max="13" width="3.85546875" customWidth="1"/>
    <col min="14" max="14" width="14.5703125" customWidth="1"/>
    <col min="15" max="15" width="12.140625" customWidth="1"/>
    <col min="16" max="16" width="11.5703125" customWidth="1"/>
    <col min="17" max="17" width="13.7109375" bestFit="1" customWidth="1"/>
    <col min="18" max="18" width="3.140625" customWidth="1"/>
    <col min="19" max="19" width="15.42578125" customWidth="1"/>
    <col min="20" max="20" width="5.42578125" customWidth="1"/>
  </cols>
  <sheetData>
    <row r="1" spans="1:20" x14ac:dyDescent="0.25">
      <c r="A1" s="2" t="s">
        <v>35</v>
      </c>
      <c r="B1" s="4"/>
      <c r="C1" s="4"/>
      <c r="D1" s="4"/>
      <c r="E1" s="4"/>
      <c r="F1" s="38" t="s">
        <v>93</v>
      </c>
      <c r="G1" s="4"/>
      <c r="H1" s="4"/>
      <c r="I1" s="9"/>
      <c r="J1" s="4"/>
      <c r="K1" s="4"/>
      <c r="L1" s="4"/>
      <c r="M1" s="4"/>
      <c r="N1" s="4"/>
      <c r="O1" s="4"/>
      <c r="P1" s="4"/>
      <c r="Q1" s="4"/>
    </row>
    <row r="2" spans="1:20" x14ac:dyDescent="0.25">
      <c r="A2" s="2" t="s">
        <v>6</v>
      </c>
      <c r="B2" s="4"/>
      <c r="C2" s="6"/>
      <c r="D2" s="6"/>
      <c r="E2" s="6"/>
      <c r="F2" s="38" t="s">
        <v>94</v>
      </c>
      <c r="G2" s="4"/>
      <c r="H2" s="4"/>
      <c r="I2" s="9"/>
      <c r="J2" s="6"/>
      <c r="K2" s="6"/>
      <c r="L2" s="6"/>
      <c r="M2" s="6"/>
      <c r="N2" s="6"/>
      <c r="O2" s="6"/>
      <c r="P2" s="6"/>
      <c r="Q2" s="6"/>
    </row>
    <row r="3" spans="1:20" x14ac:dyDescent="0.25">
      <c r="A3" s="2" t="s">
        <v>4</v>
      </c>
      <c r="B3" s="4"/>
      <c r="C3" s="6"/>
      <c r="D3" s="6"/>
      <c r="E3" s="6"/>
      <c r="F3" s="38" t="s">
        <v>95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0" x14ac:dyDescent="0.25">
      <c r="A4" s="33" t="s">
        <v>82</v>
      </c>
      <c r="B4" s="4"/>
      <c r="C4" s="6"/>
      <c r="D4" s="6"/>
      <c r="E4" s="6"/>
      <c r="F4" s="38" t="s">
        <v>97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20" x14ac:dyDescent="0.25">
      <c r="A5" s="25" t="s">
        <v>62</v>
      </c>
      <c r="B5" s="4"/>
      <c r="C5" s="4"/>
      <c r="D5" s="6"/>
      <c r="E5" s="6"/>
      <c r="F5" s="38" t="s">
        <v>96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</row>
    <row r="6" spans="1:20" x14ac:dyDescent="0.25">
      <c r="A6" s="25" t="s">
        <v>76</v>
      </c>
      <c r="B6" s="4"/>
      <c r="C6" s="6"/>
      <c r="D6" s="6"/>
      <c r="E6" s="6"/>
      <c r="F6" s="38" t="s">
        <v>103</v>
      </c>
      <c r="G6" s="4"/>
      <c r="H6" s="1"/>
      <c r="I6" s="1"/>
      <c r="J6" s="1"/>
      <c r="K6" s="1"/>
      <c r="L6" s="6"/>
      <c r="M6" s="6"/>
      <c r="N6" s="6"/>
      <c r="O6" s="6"/>
      <c r="P6" s="6"/>
      <c r="Q6" s="6"/>
    </row>
    <row r="7" spans="1:20" x14ac:dyDescent="0.25">
      <c r="A7" s="5" t="s">
        <v>36</v>
      </c>
      <c r="B7" s="4"/>
      <c r="C7" s="9">
        <v>0.35</v>
      </c>
      <c r="D7" s="6"/>
      <c r="E7" s="6"/>
      <c r="F7" s="1"/>
      <c r="G7" s="4"/>
      <c r="H7" s="1"/>
      <c r="I7" s="1"/>
      <c r="J7" s="1"/>
      <c r="K7" s="1"/>
      <c r="L7" s="6"/>
      <c r="M7" s="6"/>
      <c r="N7" s="6"/>
      <c r="O7" s="6"/>
      <c r="P7" s="6"/>
      <c r="Q7" s="6"/>
    </row>
    <row r="8" spans="1:20" x14ac:dyDescent="0.25">
      <c r="A8" s="25" t="s">
        <v>78</v>
      </c>
      <c r="B8" s="4"/>
      <c r="C8" s="9">
        <v>0.21</v>
      </c>
      <c r="D8" s="6"/>
      <c r="E8" s="6"/>
      <c r="F8" s="1"/>
      <c r="G8" s="4"/>
      <c r="H8" s="1"/>
      <c r="I8" s="1"/>
      <c r="J8" s="1"/>
      <c r="K8" s="1"/>
      <c r="L8" s="6"/>
      <c r="M8" s="6"/>
      <c r="N8" s="6"/>
      <c r="O8" s="6"/>
      <c r="P8" s="6"/>
      <c r="Q8" s="6"/>
    </row>
    <row r="9" spans="1:20" x14ac:dyDescent="0.25">
      <c r="A9" s="5" t="s">
        <v>37</v>
      </c>
      <c r="B9" s="4"/>
      <c r="C9" s="10">
        <f>+'&lt;2a&gt; 2017 Reports'!B7</f>
        <v>175035848</v>
      </c>
      <c r="D9" s="6"/>
      <c r="E9" s="6"/>
      <c r="F9" s="1"/>
      <c r="G9" s="1"/>
      <c r="H9" s="1"/>
      <c r="I9" s="1"/>
      <c r="J9" s="1"/>
      <c r="K9" s="1"/>
      <c r="L9" s="6"/>
      <c r="M9" s="6"/>
      <c r="N9" s="6"/>
      <c r="O9" s="6"/>
      <c r="P9" s="6"/>
      <c r="Q9" s="6"/>
    </row>
    <row r="10" spans="1:20" x14ac:dyDescent="0.25">
      <c r="A10" s="5"/>
      <c r="B10" s="4"/>
      <c r="C10" s="6"/>
      <c r="D10" s="6"/>
      <c r="E10" s="6"/>
      <c r="F10" s="1"/>
      <c r="G10" s="1"/>
      <c r="H10" s="1"/>
      <c r="I10" s="1"/>
      <c r="J10" s="1"/>
      <c r="K10" s="1"/>
      <c r="L10" s="6"/>
      <c r="M10" s="6"/>
      <c r="N10" s="6"/>
      <c r="O10" s="6"/>
      <c r="P10" s="6"/>
      <c r="Q10" s="6"/>
    </row>
    <row r="11" spans="1:20" x14ac:dyDescent="0.25">
      <c r="A11" s="5"/>
      <c r="B11" s="4"/>
      <c r="C11" s="6"/>
      <c r="D11" s="6"/>
      <c r="E11" s="6"/>
      <c r="F11" s="1"/>
      <c r="G11" s="1" t="s">
        <v>7</v>
      </c>
      <c r="H11" s="1" t="s">
        <v>42</v>
      </c>
      <c r="I11" s="1" t="s">
        <v>29</v>
      </c>
      <c r="J11" s="1" t="s">
        <v>7</v>
      </c>
      <c r="K11" s="1"/>
      <c r="L11" s="6"/>
      <c r="M11" s="6"/>
      <c r="N11" s="6"/>
      <c r="O11" s="1" t="s">
        <v>39</v>
      </c>
      <c r="P11" s="1" t="s">
        <v>39</v>
      </c>
      <c r="Q11" s="1" t="s">
        <v>7</v>
      </c>
    </row>
    <row r="12" spans="1:20" ht="25.5" x14ac:dyDescent="0.25">
      <c r="A12" s="26" t="s">
        <v>63</v>
      </c>
      <c r="B12" s="19"/>
      <c r="C12" s="18" t="s">
        <v>1</v>
      </c>
      <c r="D12" s="18" t="s">
        <v>0</v>
      </c>
      <c r="E12" s="20"/>
      <c r="F12" s="18" t="s">
        <v>8</v>
      </c>
      <c r="G12" s="18" t="s">
        <v>8</v>
      </c>
      <c r="H12" s="18" t="s">
        <v>5</v>
      </c>
      <c r="I12" s="18" t="s">
        <v>38</v>
      </c>
      <c r="J12" s="18" t="s">
        <v>3</v>
      </c>
      <c r="K12" s="18" t="s">
        <v>43</v>
      </c>
      <c r="L12" s="18" t="s">
        <v>9</v>
      </c>
      <c r="M12" s="18"/>
      <c r="N12" s="18" t="s">
        <v>44</v>
      </c>
      <c r="O12" s="18" t="s">
        <v>40</v>
      </c>
      <c r="P12" s="18" t="s">
        <v>41</v>
      </c>
      <c r="Q12" s="18" t="s">
        <v>3</v>
      </c>
      <c r="S12" s="27" t="s">
        <v>64</v>
      </c>
    </row>
    <row r="13" spans="1:20" x14ac:dyDescent="0.25">
      <c r="A13" s="4"/>
      <c r="B13" s="4"/>
      <c r="C13" s="4"/>
      <c r="D13" s="4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</row>
    <row r="14" spans="1:20" x14ac:dyDescent="0.25">
      <c r="A14" s="11" t="s">
        <v>10</v>
      </c>
      <c r="B14" s="11">
        <v>2017</v>
      </c>
      <c r="C14" s="6">
        <f>+'&lt;2a&gt; 2017 Reports'!X159</f>
        <v>-63722544</v>
      </c>
      <c r="D14" s="6">
        <f>+'&lt;2a&gt; 2017 Reports'!Y159</f>
        <v>3909218</v>
      </c>
      <c r="E14" s="6"/>
      <c r="F14" s="6">
        <f>C14+D14</f>
        <v>-59813326</v>
      </c>
      <c r="G14" s="6">
        <f>F14</f>
        <v>-59813326</v>
      </c>
      <c r="H14" s="6">
        <f>G14*C7</f>
        <v>-20934664.099999998</v>
      </c>
      <c r="I14" s="6"/>
      <c r="J14" s="6">
        <f>+SUM(H14:I14)</f>
        <v>-20934664.099999998</v>
      </c>
      <c r="K14" s="12">
        <f t="shared" ref="K14:K27" si="0">J14/G14</f>
        <v>0.35</v>
      </c>
      <c r="L14" s="6"/>
      <c r="M14" s="6"/>
      <c r="N14" s="6">
        <f>+J14</f>
        <v>-20934664.099999998</v>
      </c>
      <c r="O14" s="6"/>
      <c r="P14" s="6"/>
      <c r="Q14" s="6">
        <f>+SUM(N14:P14)</f>
        <v>-20934664.099999998</v>
      </c>
      <c r="S14" s="21">
        <f>+'&lt;2a&gt; 2017 Reports'!X208</f>
        <v>20934664</v>
      </c>
      <c r="T14" s="21">
        <f>+N14+S14</f>
        <v>-9.9999997764825821E-2</v>
      </c>
    </row>
    <row r="15" spans="1:20" x14ac:dyDescent="0.25">
      <c r="A15" s="11" t="s">
        <v>11</v>
      </c>
      <c r="B15" s="11">
        <f>+B14+1</f>
        <v>2018</v>
      </c>
      <c r="C15" s="6">
        <f>+'&lt;2b&gt; 2018 Reports'!Y100</f>
        <v>-5388449</v>
      </c>
      <c r="D15" s="6">
        <f>+'&lt;2b&gt; 2018 Reports'!Z100</f>
        <v>5245216</v>
      </c>
      <c r="E15" s="6"/>
      <c r="F15" s="6">
        <f t="shared" ref="F15:F28" si="1">C15+D15</f>
        <v>-143233</v>
      </c>
      <c r="G15" s="6">
        <f>G14+F15</f>
        <v>-59956559</v>
      </c>
      <c r="H15" s="6">
        <f>F15*$C$8</f>
        <v>-30078.93</v>
      </c>
      <c r="I15" s="6"/>
      <c r="J15" s="6">
        <f>+SUM(H15:I15)+J14</f>
        <v>-20964743.029999997</v>
      </c>
      <c r="K15" s="12">
        <f t="shared" si="0"/>
        <v>0.34966554751749507</v>
      </c>
      <c r="L15" s="6"/>
      <c r="M15" s="6"/>
      <c r="N15" s="6">
        <f t="shared" ref="N15:N28" si="2">+J15</f>
        <v>-20964743.029999997</v>
      </c>
      <c r="O15" s="6">
        <f>+'&lt;2b&gt; 2018 Reports'!Y145</f>
        <v>8373866</v>
      </c>
      <c r="P15" s="6">
        <f>+O15*K43/K44</f>
        <v>2842885.7245998257</v>
      </c>
      <c r="Q15" s="6">
        <f t="shared" ref="Q15:Q28" si="3">+SUM(N15:P15)</f>
        <v>-9747991.3054001722</v>
      </c>
      <c r="S15" s="28">
        <f>+'&lt;2b&gt; 2018 Reports'!Y143</f>
        <v>20964743</v>
      </c>
      <c r="T15" s="21">
        <f t="shared" ref="T15" si="4">+N15+S15</f>
        <v>-2.9999997466802597E-2</v>
      </c>
    </row>
    <row r="16" spans="1:20" x14ac:dyDescent="0.25">
      <c r="A16" s="11" t="s">
        <v>12</v>
      </c>
      <c r="B16" s="11">
        <f t="shared" ref="B16:B28" si="5">+B15+1</f>
        <v>2019</v>
      </c>
      <c r="C16" s="6"/>
      <c r="D16" s="6"/>
      <c r="E16" s="6"/>
      <c r="F16" s="6">
        <f t="shared" si="1"/>
        <v>0</v>
      </c>
      <c r="G16" s="6">
        <f t="shared" ref="G16:G28" si="6">G15+F16</f>
        <v>-59956559</v>
      </c>
      <c r="H16" s="6">
        <f>F16*$C$8</f>
        <v>0</v>
      </c>
      <c r="I16" s="6"/>
      <c r="J16" s="6">
        <f t="shared" ref="J16:J28" si="7">+SUM(H16:I16)+J15</f>
        <v>-20964743.029999997</v>
      </c>
      <c r="K16" s="12">
        <f t="shared" si="0"/>
        <v>0.34966554751749507</v>
      </c>
      <c r="L16" s="6"/>
      <c r="M16" s="6"/>
      <c r="N16" s="6">
        <f t="shared" si="2"/>
        <v>-20964743.029999997</v>
      </c>
      <c r="O16" s="6">
        <f>+O15</f>
        <v>8373866</v>
      </c>
      <c r="P16" s="6">
        <f>+P15</f>
        <v>2842885.7245998257</v>
      </c>
      <c r="Q16" s="6">
        <f t="shared" si="3"/>
        <v>-9747991.3054001722</v>
      </c>
      <c r="S16" s="28"/>
      <c r="T16" s="21"/>
    </row>
    <row r="17" spans="1:20" x14ac:dyDescent="0.25">
      <c r="A17" s="11" t="s">
        <v>13</v>
      </c>
      <c r="B17" s="11">
        <f t="shared" si="5"/>
        <v>2020</v>
      </c>
      <c r="C17" s="6"/>
      <c r="D17" s="6"/>
      <c r="E17" s="6"/>
      <c r="F17" s="6">
        <f t="shared" si="1"/>
        <v>0</v>
      </c>
      <c r="G17" s="6">
        <f t="shared" si="6"/>
        <v>-59956559</v>
      </c>
      <c r="H17" s="6">
        <f>F17*$C$8</f>
        <v>0</v>
      </c>
      <c r="I17" s="6">
        <f>F17*$L$17-H17</f>
        <v>0</v>
      </c>
      <c r="J17" s="6">
        <f t="shared" si="7"/>
        <v>-20964743.029999997</v>
      </c>
      <c r="K17" s="12">
        <f t="shared" si="0"/>
        <v>0.34966554751749507</v>
      </c>
      <c r="L17" s="14">
        <f>+K16</f>
        <v>0.34966554751749507</v>
      </c>
      <c r="M17" s="6"/>
      <c r="N17" s="6">
        <f t="shared" si="2"/>
        <v>-20964743.029999997</v>
      </c>
      <c r="O17" s="6">
        <f>+'&lt;2b&gt; 2018 Reports'!Y145</f>
        <v>8373866</v>
      </c>
      <c r="P17" s="6">
        <f t="shared" ref="P17:P28" si="8">+P16</f>
        <v>2842885.7245998257</v>
      </c>
      <c r="Q17" s="6">
        <f t="shared" si="3"/>
        <v>-9747991.3054001722</v>
      </c>
      <c r="S17" s="28"/>
      <c r="T17" s="21"/>
    </row>
    <row r="18" spans="1:20" x14ac:dyDescent="0.25">
      <c r="A18" s="11" t="s">
        <v>14</v>
      </c>
      <c r="B18" s="11">
        <f t="shared" si="5"/>
        <v>2021</v>
      </c>
      <c r="C18" s="6"/>
      <c r="D18" s="6"/>
      <c r="E18" s="6"/>
      <c r="F18" s="6">
        <f t="shared" si="1"/>
        <v>0</v>
      </c>
      <c r="G18" s="6">
        <f t="shared" si="6"/>
        <v>-59956559</v>
      </c>
      <c r="H18" s="6">
        <f t="shared" ref="H18:H28" si="9">F18*$C$8</f>
        <v>0</v>
      </c>
      <c r="I18" s="6">
        <f t="shared" ref="I18:I28" si="10">F18*$L$17-H18</f>
        <v>0</v>
      </c>
      <c r="J18" s="6">
        <f t="shared" si="7"/>
        <v>-20964743.029999997</v>
      </c>
      <c r="K18" s="12">
        <f t="shared" si="0"/>
        <v>0.34966554751749507</v>
      </c>
      <c r="L18" s="14"/>
      <c r="M18" s="4"/>
      <c r="N18" s="6">
        <f t="shared" si="2"/>
        <v>-20964743.029999997</v>
      </c>
      <c r="O18" s="6">
        <f>+O17</f>
        <v>8373866</v>
      </c>
      <c r="P18" s="6">
        <f t="shared" si="8"/>
        <v>2842885.7245998257</v>
      </c>
      <c r="Q18" s="6">
        <f t="shared" si="3"/>
        <v>-9747991.3054001722</v>
      </c>
      <c r="T18" s="21"/>
    </row>
    <row r="19" spans="1:20" x14ac:dyDescent="0.25">
      <c r="A19" s="11" t="s">
        <v>15</v>
      </c>
      <c r="B19" s="11">
        <f t="shared" si="5"/>
        <v>2022</v>
      </c>
      <c r="C19" s="6"/>
      <c r="D19" s="6"/>
      <c r="E19" s="6"/>
      <c r="F19" s="6">
        <f t="shared" si="1"/>
        <v>0</v>
      </c>
      <c r="G19" s="6">
        <f t="shared" si="6"/>
        <v>-59956559</v>
      </c>
      <c r="H19" s="6">
        <f t="shared" si="9"/>
        <v>0</v>
      </c>
      <c r="I19" s="6">
        <f t="shared" si="10"/>
        <v>0</v>
      </c>
      <c r="J19" s="6">
        <f t="shared" si="7"/>
        <v>-20964743.029999997</v>
      </c>
      <c r="K19" s="12">
        <f t="shared" si="0"/>
        <v>0.34966554751749507</v>
      </c>
      <c r="L19" s="14"/>
      <c r="M19" s="6"/>
      <c r="N19" s="6">
        <f t="shared" si="2"/>
        <v>-20964743.029999997</v>
      </c>
      <c r="O19" s="6">
        <f>+O18</f>
        <v>8373866</v>
      </c>
      <c r="P19" s="6">
        <f t="shared" si="8"/>
        <v>2842885.7245998257</v>
      </c>
      <c r="Q19" s="6">
        <f t="shared" si="3"/>
        <v>-9747991.3054001722</v>
      </c>
    </row>
    <row r="20" spans="1:20" x14ac:dyDescent="0.25">
      <c r="A20" s="11" t="s">
        <v>16</v>
      </c>
      <c r="B20" s="11">
        <f t="shared" si="5"/>
        <v>2023</v>
      </c>
      <c r="C20" s="6"/>
      <c r="D20" s="6"/>
      <c r="E20" s="6"/>
      <c r="F20" s="6">
        <f t="shared" si="1"/>
        <v>0</v>
      </c>
      <c r="G20" s="6">
        <f t="shared" si="6"/>
        <v>-59956559</v>
      </c>
      <c r="H20" s="6">
        <f t="shared" si="9"/>
        <v>0</v>
      </c>
      <c r="I20" s="6">
        <f t="shared" si="10"/>
        <v>0</v>
      </c>
      <c r="J20" s="6">
        <f t="shared" si="7"/>
        <v>-20964743.029999997</v>
      </c>
      <c r="K20" s="12">
        <f t="shared" si="0"/>
        <v>0.34966554751749507</v>
      </c>
      <c r="L20" s="4"/>
      <c r="M20" s="4"/>
      <c r="N20" s="6">
        <f t="shared" si="2"/>
        <v>-20964743.029999997</v>
      </c>
      <c r="O20" s="6">
        <f t="shared" ref="O20:O28" si="11">+O19</f>
        <v>8373866</v>
      </c>
      <c r="P20" s="6">
        <f t="shared" si="8"/>
        <v>2842885.7245998257</v>
      </c>
      <c r="Q20" s="6">
        <f t="shared" si="3"/>
        <v>-9747991.3054001722</v>
      </c>
    </row>
    <row r="21" spans="1:20" x14ac:dyDescent="0.25">
      <c r="A21" s="11" t="s">
        <v>17</v>
      </c>
      <c r="B21" s="11">
        <f t="shared" si="5"/>
        <v>2024</v>
      </c>
      <c r="C21" s="6"/>
      <c r="D21" s="6"/>
      <c r="E21" s="6"/>
      <c r="F21" s="13">
        <f t="shared" si="1"/>
        <v>0</v>
      </c>
      <c r="G21" s="6">
        <f t="shared" si="6"/>
        <v>-59956559</v>
      </c>
      <c r="H21" s="6">
        <f t="shared" si="9"/>
        <v>0</v>
      </c>
      <c r="I21" s="6">
        <f t="shared" si="10"/>
        <v>0</v>
      </c>
      <c r="J21" s="6">
        <f t="shared" si="7"/>
        <v>-20964743.029999997</v>
      </c>
      <c r="K21" s="12">
        <f t="shared" si="0"/>
        <v>0.34966554751749507</v>
      </c>
      <c r="L21" s="14"/>
      <c r="M21" s="14"/>
      <c r="N21" s="6">
        <f t="shared" si="2"/>
        <v>-20964743.029999997</v>
      </c>
      <c r="O21" s="6">
        <f t="shared" si="11"/>
        <v>8373866</v>
      </c>
      <c r="P21" s="6">
        <f t="shared" si="8"/>
        <v>2842885.7245998257</v>
      </c>
      <c r="Q21" s="6">
        <f t="shared" si="3"/>
        <v>-9747991.3054001722</v>
      </c>
    </row>
    <row r="22" spans="1:20" x14ac:dyDescent="0.25">
      <c r="A22" s="11" t="s">
        <v>18</v>
      </c>
      <c r="B22" s="11">
        <f t="shared" si="5"/>
        <v>2025</v>
      </c>
      <c r="C22" s="6"/>
      <c r="D22" s="6"/>
      <c r="E22" s="6"/>
      <c r="F22" s="6">
        <f t="shared" si="1"/>
        <v>0</v>
      </c>
      <c r="G22" s="6">
        <f t="shared" si="6"/>
        <v>-59956559</v>
      </c>
      <c r="H22" s="6">
        <f t="shared" si="9"/>
        <v>0</v>
      </c>
      <c r="I22" s="6">
        <f t="shared" si="10"/>
        <v>0</v>
      </c>
      <c r="J22" s="6">
        <f t="shared" si="7"/>
        <v>-20964743.029999997</v>
      </c>
      <c r="K22" s="12">
        <f t="shared" si="0"/>
        <v>0.34966554751749507</v>
      </c>
      <c r="L22" s="6"/>
      <c r="M22" s="6"/>
      <c r="N22" s="6">
        <f t="shared" si="2"/>
        <v>-20964743.029999997</v>
      </c>
      <c r="O22" s="6">
        <f t="shared" si="11"/>
        <v>8373866</v>
      </c>
      <c r="P22" s="6">
        <f t="shared" si="8"/>
        <v>2842885.7245998257</v>
      </c>
      <c r="Q22" s="6">
        <f t="shared" si="3"/>
        <v>-9747991.3054001722</v>
      </c>
    </row>
    <row r="23" spans="1:20" x14ac:dyDescent="0.25">
      <c r="A23" s="11" t="s">
        <v>19</v>
      </c>
      <c r="B23" s="11">
        <f t="shared" si="5"/>
        <v>2026</v>
      </c>
      <c r="C23" s="6"/>
      <c r="D23" s="6"/>
      <c r="E23" s="6"/>
      <c r="F23" s="6">
        <f t="shared" si="1"/>
        <v>0</v>
      </c>
      <c r="G23" s="6">
        <f t="shared" si="6"/>
        <v>-59956559</v>
      </c>
      <c r="H23" s="6">
        <f t="shared" si="9"/>
        <v>0</v>
      </c>
      <c r="I23" s="6">
        <f t="shared" si="10"/>
        <v>0</v>
      </c>
      <c r="J23" s="6">
        <f t="shared" si="7"/>
        <v>-20964743.029999997</v>
      </c>
      <c r="K23" s="12">
        <f t="shared" si="0"/>
        <v>0.34966554751749507</v>
      </c>
      <c r="L23" s="6"/>
      <c r="M23" s="6"/>
      <c r="N23" s="6">
        <f t="shared" si="2"/>
        <v>-20964743.029999997</v>
      </c>
      <c r="O23" s="6">
        <f t="shared" si="11"/>
        <v>8373866</v>
      </c>
      <c r="P23" s="6">
        <f t="shared" si="8"/>
        <v>2842885.7245998257</v>
      </c>
      <c r="Q23" s="6">
        <f t="shared" si="3"/>
        <v>-9747991.3054001722</v>
      </c>
    </row>
    <row r="24" spans="1:20" x14ac:dyDescent="0.25">
      <c r="A24" s="11" t="s">
        <v>20</v>
      </c>
      <c r="B24" s="11">
        <f t="shared" si="5"/>
        <v>2027</v>
      </c>
      <c r="C24" s="6"/>
      <c r="D24" s="6"/>
      <c r="E24" s="6"/>
      <c r="F24" s="6">
        <f t="shared" si="1"/>
        <v>0</v>
      </c>
      <c r="G24" s="6">
        <f t="shared" si="6"/>
        <v>-59956559</v>
      </c>
      <c r="H24" s="6">
        <f t="shared" si="9"/>
        <v>0</v>
      </c>
      <c r="I24" s="6">
        <f t="shared" si="10"/>
        <v>0</v>
      </c>
      <c r="J24" s="6">
        <f t="shared" si="7"/>
        <v>-20964743.029999997</v>
      </c>
      <c r="K24" s="12">
        <f t="shared" si="0"/>
        <v>0.34966554751749507</v>
      </c>
      <c r="L24" s="6"/>
      <c r="M24" s="6"/>
      <c r="N24" s="6">
        <f t="shared" si="2"/>
        <v>-20964743.029999997</v>
      </c>
      <c r="O24" s="6">
        <f t="shared" si="11"/>
        <v>8373866</v>
      </c>
      <c r="P24" s="6">
        <f t="shared" si="8"/>
        <v>2842885.7245998257</v>
      </c>
      <c r="Q24" s="6">
        <f t="shared" si="3"/>
        <v>-9747991.3054001722</v>
      </c>
    </row>
    <row r="25" spans="1:20" x14ac:dyDescent="0.25">
      <c r="A25" s="11" t="s">
        <v>21</v>
      </c>
      <c r="B25" s="11">
        <f t="shared" si="5"/>
        <v>2028</v>
      </c>
      <c r="C25" s="6"/>
      <c r="D25" s="6"/>
      <c r="E25" s="6"/>
      <c r="F25" s="6">
        <f t="shared" si="1"/>
        <v>0</v>
      </c>
      <c r="G25" s="6">
        <f t="shared" si="6"/>
        <v>-59956559</v>
      </c>
      <c r="H25" s="6">
        <f t="shared" si="9"/>
        <v>0</v>
      </c>
      <c r="I25" s="6">
        <f t="shared" si="10"/>
        <v>0</v>
      </c>
      <c r="J25" s="6">
        <f t="shared" si="7"/>
        <v>-20964743.029999997</v>
      </c>
      <c r="K25" s="12">
        <f t="shared" si="0"/>
        <v>0.34966554751749507</v>
      </c>
      <c r="L25" s="6"/>
      <c r="M25" s="6"/>
      <c r="N25" s="6">
        <f t="shared" si="2"/>
        <v>-20964743.029999997</v>
      </c>
      <c r="O25" s="6">
        <f t="shared" si="11"/>
        <v>8373866</v>
      </c>
      <c r="P25" s="6">
        <f t="shared" si="8"/>
        <v>2842885.7245998257</v>
      </c>
      <c r="Q25" s="6">
        <f t="shared" si="3"/>
        <v>-9747991.3054001722</v>
      </c>
    </row>
    <row r="26" spans="1:20" x14ac:dyDescent="0.25">
      <c r="A26" s="11" t="s">
        <v>25</v>
      </c>
      <c r="B26" s="11">
        <f t="shared" si="5"/>
        <v>2029</v>
      </c>
      <c r="C26" s="6"/>
      <c r="D26" s="6"/>
      <c r="E26" s="6"/>
      <c r="F26" s="6">
        <f t="shared" si="1"/>
        <v>0</v>
      </c>
      <c r="G26" s="6">
        <f t="shared" si="6"/>
        <v>-59956559</v>
      </c>
      <c r="H26" s="6">
        <f t="shared" si="9"/>
        <v>0</v>
      </c>
      <c r="I26" s="6">
        <f t="shared" si="10"/>
        <v>0</v>
      </c>
      <c r="J26" s="6">
        <f t="shared" si="7"/>
        <v>-20964743.029999997</v>
      </c>
      <c r="K26" s="12">
        <f t="shared" si="0"/>
        <v>0.34966554751749507</v>
      </c>
      <c r="L26" s="6"/>
      <c r="M26" s="6"/>
      <c r="N26" s="6">
        <f t="shared" si="2"/>
        <v>-20964743.029999997</v>
      </c>
      <c r="O26" s="6">
        <f t="shared" si="11"/>
        <v>8373866</v>
      </c>
      <c r="P26" s="6">
        <f t="shared" si="8"/>
        <v>2842885.7245998257</v>
      </c>
      <c r="Q26" s="6">
        <f t="shared" si="3"/>
        <v>-9747991.3054001722</v>
      </c>
    </row>
    <row r="27" spans="1:20" x14ac:dyDescent="0.25">
      <c r="A27" s="11" t="s">
        <v>26</v>
      </c>
      <c r="B27" s="11">
        <f t="shared" si="5"/>
        <v>2030</v>
      </c>
      <c r="C27" s="6"/>
      <c r="D27" s="6"/>
      <c r="E27" s="6"/>
      <c r="F27" s="6">
        <f t="shared" si="1"/>
        <v>0</v>
      </c>
      <c r="G27" s="6">
        <f t="shared" si="6"/>
        <v>-59956559</v>
      </c>
      <c r="H27" s="6">
        <f t="shared" si="9"/>
        <v>0</v>
      </c>
      <c r="I27" s="6">
        <f t="shared" si="10"/>
        <v>0</v>
      </c>
      <c r="J27" s="6">
        <f t="shared" si="7"/>
        <v>-20964743.029999997</v>
      </c>
      <c r="K27" s="12">
        <f t="shared" si="0"/>
        <v>0.34966554751749507</v>
      </c>
      <c r="L27" s="6"/>
      <c r="M27" s="6"/>
      <c r="N27" s="6">
        <f t="shared" si="2"/>
        <v>-20964743.029999997</v>
      </c>
      <c r="O27" s="6">
        <f t="shared" si="11"/>
        <v>8373866</v>
      </c>
      <c r="P27" s="6">
        <f t="shared" si="8"/>
        <v>2842885.7245998257</v>
      </c>
      <c r="Q27" s="6">
        <f t="shared" si="3"/>
        <v>-9747991.3054001722</v>
      </c>
    </row>
    <row r="28" spans="1:20" x14ac:dyDescent="0.25">
      <c r="A28" s="11" t="s">
        <v>27</v>
      </c>
      <c r="B28" s="11">
        <f t="shared" si="5"/>
        <v>2031</v>
      </c>
      <c r="C28" s="6"/>
      <c r="D28" s="6"/>
      <c r="E28" s="6"/>
      <c r="F28" s="6">
        <f t="shared" si="1"/>
        <v>0</v>
      </c>
      <c r="G28" s="10">
        <f t="shared" si="6"/>
        <v>-59956559</v>
      </c>
      <c r="H28" s="6">
        <f t="shared" si="9"/>
        <v>0</v>
      </c>
      <c r="I28" s="6">
        <f t="shared" si="10"/>
        <v>0</v>
      </c>
      <c r="J28" s="6">
        <f t="shared" si="7"/>
        <v>-20964743.029999997</v>
      </c>
      <c r="K28" s="12">
        <f>+K27</f>
        <v>0.34966554751749507</v>
      </c>
      <c r="L28" s="6"/>
      <c r="M28" s="6"/>
      <c r="N28" s="6">
        <f t="shared" si="2"/>
        <v>-20964743.029999997</v>
      </c>
      <c r="O28" s="6">
        <f t="shared" si="11"/>
        <v>8373866</v>
      </c>
      <c r="P28" s="6">
        <f t="shared" si="8"/>
        <v>2842885.7245998257</v>
      </c>
      <c r="Q28" s="6">
        <f t="shared" si="3"/>
        <v>-9747991.3054001722</v>
      </c>
    </row>
    <row r="29" spans="1:20" x14ac:dyDescent="0.25">
      <c r="A29" s="11"/>
      <c r="B29" s="11"/>
      <c r="C29" s="15">
        <f>+SUM(C14:C28)</f>
        <v>-69110993</v>
      </c>
      <c r="D29" s="15">
        <f>+SUM(D14:D28)</f>
        <v>9154434</v>
      </c>
      <c r="E29" s="6"/>
      <c r="F29" s="15">
        <f>+SUM(F14:F28)</f>
        <v>-59956559</v>
      </c>
      <c r="G29" s="6"/>
      <c r="H29" s="15">
        <f>SUM(H14:H28)</f>
        <v>-20964743.029999997</v>
      </c>
      <c r="I29" s="15">
        <f>SUM(I14:I28)</f>
        <v>0</v>
      </c>
      <c r="J29" s="6"/>
      <c r="K29" s="6"/>
      <c r="L29" s="6"/>
      <c r="M29" s="6"/>
      <c r="N29" s="6"/>
      <c r="O29" s="17"/>
      <c r="P29" s="17"/>
      <c r="Q29" s="6"/>
    </row>
    <row r="30" spans="1:20" x14ac:dyDescent="0.25">
      <c r="A30" s="4"/>
      <c r="B30" s="4"/>
      <c r="C30" s="6"/>
      <c r="D30" s="6"/>
      <c r="E30" s="6"/>
      <c r="F30" s="4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20" x14ac:dyDescent="0.25">
      <c r="A31" s="4"/>
      <c r="B31" s="4"/>
      <c r="C31" s="6"/>
      <c r="D31" s="6"/>
      <c r="E31" s="6"/>
      <c r="F31" s="3" t="s">
        <v>22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20" x14ac:dyDescent="0.25">
      <c r="A32" s="4"/>
      <c r="B32" s="4"/>
      <c r="C32" s="6"/>
      <c r="D32" s="6"/>
      <c r="E32" s="6"/>
      <c r="F32" s="3" t="s">
        <v>23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3" spans="1:17" x14ac:dyDescent="0.25">
      <c r="A33" s="4"/>
      <c r="B33" s="4"/>
      <c r="C33" s="6"/>
      <c r="D33" s="6"/>
      <c r="E33" s="6"/>
      <c r="F33" s="3" t="s">
        <v>24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</row>
    <row r="34" spans="1:17" x14ac:dyDescent="0.25">
      <c r="A34" s="4"/>
      <c r="B34" s="4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</row>
    <row r="35" spans="1:17" x14ac:dyDescent="0.25">
      <c r="A35" s="4"/>
      <c r="B35" s="4"/>
      <c r="C35" s="6"/>
      <c r="D35" s="6"/>
      <c r="E35" s="6"/>
      <c r="F35" s="31" t="s">
        <v>84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</row>
    <row r="36" spans="1:17" x14ac:dyDescent="0.25">
      <c r="A36" s="4"/>
      <c r="B36" s="4"/>
      <c r="C36" s="6"/>
      <c r="D36" s="6"/>
      <c r="E36" s="6"/>
      <c r="F36" s="31" t="s">
        <v>85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</row>
    <row r="37" spans="1:17" x14ac:dyDescent="0.25">
      <c r="A37" s="4"/>
      <c r="B37" s="4"/>
      <c r="C37" s="6"/>
      <c r="D37" s="6"/>
      <c r="E37" s="6"/>
      <c r="F37" s="31" t="s">
        <v>86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</row>
    <row r="38" spans="1:17" x14ac:dyDescent="0.25">
      <c r="A38" s="4"/>
      <c r="B38" s="4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</row>
    <row r="39" spans="1:17" x14ac:dyDescent="0.25">
      <c r="A39" s="4"/>
      <c r="B39" s="4"/>
      <c r="C39" s="6"/>
      <c r="D39" s="6"/>
      <c r="E39" s="6"/>
      <c r="F39" s="6" t="s">
        <v>34</v>
      </c>
      <c r="G39" s="6"/>
      <c r="H39" s="6"/>
      <c r="I39" s="6"/>
      <c r="J39" s="31" t="s">
        <v>87</v>
      </c>
      <c r="K39" s="31"/>
      <c r="L39" s="6"/>
      <c r="M39" s="6"/>
      <c r="N39" s="6"/>
      <c r="O39" s="6"/>
      <c r="P39" s="6"/>
      <c r="Q39" s="6"/>
    </row>
    <row r="40" spans="1:17" x14ac:dyDescent="0.25">
      <c r="A40" s="4"/>
      <c r="B40" s="4"/>
      <c r="C40" s="6"/>
      <c r="D40" s="6"/>
      <c r="E40" s="6"/>
      <c r="F40" s="4" t="s">
        <v>30</v>
      </c>
      <c r="G40" s="4"/>
      <c r="H40" s="6"/>
      <c r="I40" s="6"/>
      <c r="J40" s="34" t="s">
        <v>88</v>
      </c>
      <c r="K40" s="35">
        <v>0.21</v>
      </c>
      <c r="L40" s="6"/>
      <c r="M40" s="6"/>
      <c r="N40" s="6"/>
      <c r="O40" s="6"/>
      <c r="P40" s="6"/>
      <c r="Q40" s="6"/>
    </row>
    <row r="41" spans="1:17" x14ac:dyDescent="0.25">
      <c r="A41" s="4"/>
      <c r="B41" s="4"/>
      <c r="C41" s="6"/>
      <c r="D41" s="6"/>
      <c r="E41" s="6"/>
      <c r="F41" s="29" t="s">
        <v>71</v>
      </c>
      <c r="G41" s="4"/>
      <c r="H41" s="6">
        <f>+G14</f>
        <v>-59813326</v>
      </c>
      <c r="I41" s="6"/>
      <c r="J41" s="34" t="s">
        <v>89</v>
      </c>
      <c r="K41" s="35">
        <f>-K40*K42</f>
        <v>-1.155E-2</v>
      </c>
      <c r="L41" s="6"/>
      <c r="M41" s="6"/>
      <c r="N41" s="6"/>
      <c r="O41" s="6"/>
      <c r="P41" s="6"/>
      <c r="Q41" s="6"/>
    </row>
    <row r="42" spans="1:17" x14ac:dyDescent="0.25">
      <c r="A42" s="4"/>
      <c r="B42" s="4"/>
      <c r="C42" s="6"/>
      <c r="D42" s="6"/>
      <c r="E42" s="6"/>
      <c r="F42" s="7" t="s">
        <v>2</v>
      </c>
      <c r="G42" s="4"/>
      <c r="H42" s="16">
        <f>+C8</f>
        <v>0.21</v>
      </c>
      <c r="I42" s="6"/>
      <c r="J42" s="34" t="s">
        <v>90</v>
      </c>
      <c r="K42" s="35">
        <v>5.5E-2</v>
      </c>
      <c r="L42" s="6"/>
      <c r="M42" s="6"/>
      <c r="N42" s="6"/>
      <c r="O42" s="6"/>
      <c r="P42" s="6"/>
      <c r="Q42" s="6"/>
    </row>
    <row r="43" spans="1:17" x14ac:dyDescent="0.25">
      <c r="A43" s="4"/>
      <c r="B43" s="4"/>
      <c r="C43" s="6"/>
      <c r="D43" s="6"/>
      <c r="E43" s="6"/>
      <c r="F43" s="7" t="s">
        <v>32</v>
      </c>
      <c r="G43" s="6"/>
      <c r="H43" s="15">
        <f>+H41*H42</f>
        <v>-12560798.459999999</v>
      </c>
      <c r="I43" s="6"/>
      <c r="J43" s="31" t="s">
        <v>91</v>
      </c>
      <c r="K43" s="36">
        <f>+SUM(K40:K42)</f>
        <v>0.25345000000000001</v>
      </c>
      <c r="L43" s="6"/>
      <c r="M43" s="6"/>
      <c r="N43" s="6"/>
      <c r="O43" s="6"/>
      <c r="P43" s="6"/>
      <c r="Q43" s="6"/>
    </row>
    <row r="44" spans="1:17" x14ac:dyDescent="0.25">
      <c r="A44" s="4"/>
      <c r="B44" s="4"/>
      <c r="C44" s="6"/>
      <c r="D44" s="6"/>
      <c r="E44" s="6"/>
      <c r="F44" s="8" t="s">
        <v>31</v>
      </c>
      <c r="G44" s="6"/>
      <c r="H44" s="6">
        <f>+J14</f>
        <v>-20934664.099999998</v>
      </c>
      <c r="I44" s="6"/>
      <c r="J44" s="31" t="s">
        <v>92</v>
      </c>
      <c r="K44" s="35">
        <f>100%-K43</f>
        <v>0.74655000000000005</v>
      </c>
      <c r="L44" s="6"/>
      <c r="M44" s="6"/>
      <c r="N44" s="6"/>
      <c r="O44" s="6"/>
      <c r="P44" s="6"/>
      <c r="Q44" s="6"/>
    </row>
    <row r="45" spans="1:17" x14ac:dyDescent="0.25">
      <c r="A45" s="4"/>
      <c r="B45" s="4"/>
      <c r="C45" s="6"/>
      <c r="D45" s="6"/>
      <c r="E45" s="6"/>
      <c r="F45" s="8" t="s">
        <v>33</v>
      </c>
      <c r="G45" s="6"/>
      <c r="H45" s="15">
        <f>+H43-H44</f>
        <v>8373865.6399999987</v>
      </c>
      <c r="I45" s="6"/>
      <c r="J45" s="6"/>
      <c r="K45" s="6"/>
      <c r="L45" s="6"/>
      <c r="M45" s="6"/>
      <c r="N45" s="6"/>
      <c r="O45" s="6"/>
      <c r="P45" s="6"/>
      <c r="Q45" s="6"/>
    </row>
    <row r="46" spans="1:17" x14ac:dyDescent="0.25">
      <c r="A46" s="4"/>
      <c r="B46" s="4"/>
      <c r="C46" s="6"/>
      <c r="D46" s="6"/>
      <c r="E46" s="6"/>
      <c r="F46" s="30" t="s">
        <v>72</v>
      </c>
      <c r="G46" s="17"/>
      <c r="H46" s="17">
        <f>+O15+I15</f>
        <v>8373866</v>
      </c>
      <c r="I46" s="6"/>
      <c r="J46" s="6"/>
      <c r="K46" s="6"/>
      <c r="L46" s="6"/>
      <c r="M46" s="6"/>
      <c r="N46" s="6"/>
      <c r="O46" s="6"/>
      <c r="P46" s="6"/>
      <c r="Q46" s="6"/>
    </row>
    <row r="47" spans="1:17" x14ac:dyDescent="0.25">
      <c r="A47" s="4"/>
      <c r="B47" s="4"/>
      <c r="C47" s="6"/>
      <c r="D47" s="6"/>
      <c r="E47" s="6"/>
      <c r="F47" s="30" t="s">
        <v>73</v>
      </c>
      <c r="G47" s="17"/>
      <c r="H47" s="17">
        <f>+H45-+H46</f>
        <v>-0.3600000012665987</v>
      </c>
      <c r="I47" s="6"/>
      <c r="J47" s="6"/>
      <c r="K47" s="6"/>
      <c r="L47" s="6"/>
      <c r="M47" s="6"/>
      <c r="N47" s="6"/>
      <c r="O47" s="6"/>
      <c r="P47" s="6"/>
      <c r="Q47" s="6"/>
    </row>
    <row r="48" spans="1:17" x14ac:dyDescent="0.25">
      <c r="A48" s="4"/>
      <c r="B48" s="4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</row>
  </sheetData>
  <pageMargins left="0.7" right="0.7" top="0.75" bottom="0.75" header="0.3" footer="0.3"/>
  <pageSetup paperSize="5" scale="60" orientation="landscape" r:id="rId1"/>
  <headerFooter>
    <oddFooter>&amp;L&amp;Z&amp;F&amp;R&amp;A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8"/>
  <sheetViews>
    <sheetView zoomScaleNormal="100" workbookViewId="0">
      <selection activeCell="G6" sqref="G6"/>
    </sheetView>
  </sheetViews>
  <sheetFormatPr defaultRowHeight="15" x14ac:dyDescent="0.25"/>
  <cols>
    <col min="1" max="1" width="22.5703125" bestFit="1" customWidth="1"/>
    <col min="2" max="2" width="13.42578125" bestFit="1" customWidth="1"/>
    <col min="24" max="25" width="12.28515625" style="21" bestFit="1" customWidth="1"/>
    <col min="26" max="26" width="9.140625" style="21"/>
  </cols>
  <sheetData>
    <row r="1" spans="1:7" x14ac:dyDescent="0.25">
      <c r="A1" t="s">
        <v>45</v>
      </c>
      <c r="G1" s="38" t="s">
        <v>93</v>
      </c>
    </row>
    <row r="2" spans="1:7" x14ac:dyDescent="0.25">
      <c r="A2" t="s">
        <v>46</v>
      </c>
      <c r="G2" s="38" t="s">
        <v>94</v>
      </c>
    </row>
    <row r="3" spans="1:7" x14ac:dyDescent="0.25">
      <c r="A3" t="s">
        <v>79</v>
      </c>
      <c r="G3" s="38" t="s">
        <v>95</v>
      </c>
    </row>
    <row r="4" spans="1:7" x14ac:dyDescent="0.25">
      <c r="A4" t="s">
        <v>47</v>
      </c>
      <c r="G4" s="38" t="s">
        <v>97</v>
      </c>
    </row>
    <row r="5" spans="1:7" x14ac:dyDescent="0.25">
      <c r="A5" t="s">
        <v>67</v>
      </c>
      <c r="G5" s="38" t="s">
        <v>96</v>
      </c>
    </row>
    <row r="6" spans="1:7" x14ac:dyDescent="0.25">
      <c r="G6" s="38" t="s">
        <v>104</v>
      </c>
    </row>
    <row r="7" spans="1:7" x14ac:dyDescent="0.25">
      <c r="A7" t="s">
        <v>48</v>
      </c>
      <c r="B7" s="21">
        <v>175035848</v>
      </c>
    </row>
    <row r="8" spans="1:7" x14ac:dyDescent="0.25">
      <c r="B8" s="21"/>
    </row>
    <row r="9" spans="1:7" x14ac:dyDescent="0.25">
      <c r="A9" t="s">
        <v>61</v>
      </c>
      <c r="B9" s="21"/>
    </row>
    <row r="10" spans="1:7" x14ac:dyDescent="0.25">
      <c r="A10" s="24" t="s">
        <v>50</v>
      </c>
      <c r="B10" s="21">
        <v>-40462</v>
      </c>
    </row>
    <row r="11" spans="1:7" x14ac:dyDescent="0.25">
      <c r="A11" s="24" t="s">
        <v>54</v>
      </c>
      <c r="B11" s="21">
        <v>0</v>
      </c>
    </row>
    <row r="12" spans="1:7" x14ac:dyDescent="0.25">
      <c r="A12" s="24" t="s">
        <v>55</v>
      </c>
      <c r="B12" s="21">
        <v>-133137</v>
      </c>
    </row>
    <row r="13" spans="1:7" x14ac:dyDescent="0.25">
      <c r="A13" s="24" t="s">
        <v>56</v>
      </c>
      <c r="B13" s="21">
        <v>0</v>
      </c>
    </row>
    <row r="14" spans="1:7" x14ac:dyDescent="0.25">
      <c r="A14" s="24" t="s">
        <v>52</v>
      </c>
      <c r="B14" s="21">
        <v>-60886518</v>
      </c>
    </row>
    <row r="15" spans="1:7" x14ac:dyDescent="0.25">
      <c r="A15" s="24" t="s">
        <v>58</v>
      </c>
      <c r="B15" s="21">
        <v>-23710</v>
      </c>
    </row>
    <row r="16" spans="1:7" x14ac:dyDescent="0.25">
      <c r="A16" s="24" t="s">
        <v>57</v>
      </c>
      <c r="B16" s="21">
        <v>367552</v>
      </c>
    </row>
    <row r="17" spans="1:2" x14ac:dyDescent="0.25">
      <c r="A17" s="24" t="s">
        <v>49</v>
      </c>
      <c r="B17" s="21">
        <v>-10605606</v>
      </c>
    </row>
    <row r="18" spans="1:2" x14ac:dyDescent="0.25">
      <c r="A18" s="24" t="s">
        <v>53</v>
      </c>
      <c r="B18" s="21">
        <v>-46887450</v>
      </c>
    </row>
    <row r="19" spans="1:2" x14ac:dyDescent="0.25">
      <c r="A19" s="24" t="s">
        <v>51</v>
      </c>
      <c r="B19" s="21">
        <v>138884</v>
      </c>
    </row>
    <row r="20" spans="1:2" x14ac:dyDescent="0.25">
      <c r="A20" s="24" t="s">
        <v>80</v>
      </c>
      <c r="B20" s="21">
        <v>-106000</v>
      </c>
    </row>
    <row r="21" spans="1:2" x14ac:dyDescent="0.25">
      <c r="A21" s="24" t="s">
        <v>81</v>
      </c>
      <c r="B21" s="21">
        <v>4027117</v>
      </c>
    </row>
    <row r="22" spans="1:2" x14ac:dyDescent="0.25">
      <c r="A22" s="23" t="s">
        <v>60</v>
      </c>
      <c r="B22" s="22">
        <f>SUM(B10:B21)</f>
        <v>-114149330</v>
      </c>
    </row>
    <row r="23" spans="1:2" x14ac:dyDescent="0.25">
      <c r="B23" s="21"/>
    </row>
    <row r="24" spans="1:2" x14ac:dyDescent="0.25">
      <c r="A24" t="s">
        <v>59</v>
      </c>
      <c r="B24" s="22">
        <f>+B7+B22</f>
        <v>60886518</v>
      </c>
    </row>
    <row r="159" spans="1:25" s="21" customForma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 s="21">
        <v>-63722544</v>
      </c>
      <c r="Y159" s="21">
        <v>3909218</v>
      </c>
    </row>
    <row r="168" spans="1:23" s="21" customForma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</row>
    <row r="202" spans="1:24" s="21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8" spans="1:24" x14ac:dyDescent="0.25">
      <c r="X208" s="21">
        <v>20934664</v>
      </c>
    </row>
  </sheetData>
  <pageMargins left="0.7" right="0.7" top="0.75" bottom="0.75" header="0.3" footer="0.3"/>
  <pageSetup scale="49" orientation="landscape" r:id="rId1"/>
  <headerFooter>
    <oddFooter>&amp;L&amp;Z&amp;F&amp;R&amp;A</oddFooter>
  </headerFooter>
  <rowBreaks count="4" manualBreakCount="4">
    <brk id="71" max="16383" man="1"/>
    <brk id="111" max="16383" man="1"/>
    <brk id="152" max="16383" man="1"/>
    <brk id="19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"/>
  <sheetViews>
    <sheetView zoomScaleNormal="100" workbookViewId="0">
      <selection activeCell="G6" sqref="G6"/>
    </sheetView>
  </sheetViews>
  <sheetFormatPr defaultRowHeight="15" x14ac:dyDescent="0.25"/>
  <cols>
    <col min="24" max="24" width="9.140625" style="21"/>
    <col min="25" max="25" width="11.5703125" style="21" bestFit="1" customWidth="1"/>
    <col min="26" max="26" width="10.5703125" style="21" bestFit="1" customWidth="1"/>
    <col min="27" max="28" width="9.140625" style="21"/>
  </cols>
  <sheetData>
    <row r="1" spans="1:7" x14ac:dyDescent="0.25">
      <c r="A1" t="s">
        <v>45</v>
      </c>
      <c r="G1" s="38" t="s">
        <v>93</v>
      </c>
    </row>
    <row r="2" spans="1:7" x14ac:dyDescent="0.25">
      <c r="A2" t="s">
        <v>46</v>
      </c>
      <c r="G2" s="38" t="s">
        <v>94</v>
      </c>
    </row>
    <row r="3" spans="1:7" x14ac:dyDescent="0.25">
      <c r="A3" t="s">
        <v>79</v>
      </c>
      <c r="G3" s="38" t="s">
        <v>95</v>
      </c>
    </row>
    <row r="4" spans="1:7" x14ac:dyDescent="0.25">
      <c r="A4" t="s">
        <v>47</v>
      </c>
      <c r="G4" s="38" t="s">
        <v>97</v>
      </c>
    </row>
    <row r="5" spans="1:7" x14ac:dyDescent="0.25">
      <c r="A5" t="s">
        <v>66</v>
      </c>
      <c r="G5" s="38" t="s">
        <v>96</v>
      </c>
    </row>
    <row r="6" spans="1:7" x14ac:dyDescent="0.25">
      <c r="G6" s="38" t="s">
        <v>105</v>
      </c>
    </row>
    <row r="100" spans="25:26" x14ac:dyDescent="0.25">
      <c r="Y100" s="21">
        <v>-5388449</v>
      </c>
      <c r="Z100" s="21">
        <v>5245216</v>
      </c>
    </row>
    <row r="143" spans="25:25" x14ac:dyDescent="0.25">
      <c r="Y143" s="21">
        <v>20964743</v>
      </c>
    </row>
    <row r="145" spans="25:25" x14ac:dyDescent="0.25">
      <c r="Y145" s="21">
        <v>8373866</v>
      </c>
    </row>
  </sheetData>
  <pageMargins left="0.7" right="0.7" top="0.75" bottom="0.75" header="0.3" footer="0.3"/>
  <pageSetup scale="40" orientation="landscape" r:id="rId1"/>
  <headerFooter>
    <oddFooter>&amp;L&amp;Z&amp;F&amp;R&amp;A</oddFooter>
  </headerFooter>
  <rowBreaks count="2" manualBreakCount="2">
    <brk id="46" max="16383" man="1"/>
    <brk id="8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&lt;1&gt; ARAM Calc PT Method Life</vt:lpstr>
      <vt:lpstr>&lt;1a&gt; 2015 Reports</vt:lpstr>
      <vt:lpstr>&lt;1b&gt; 2016 Reports</vt:lpstr>
      <vt:lpstr>&lt;1c&gt; 2017 Reports</vt:lpstr>
      <vt:lpstr>&lt;1d&gt; 2018 Reports</vt:lpstr>
      <vt:lpstr>&lt;2&gt; ARAM Calc PT Method Life</vt:lpstr>
      <vt:lpstr>&lt;2a&gt; 2017 Reports</vt:lpstr>
      <vt:lpstr>&lt;2b&gt; 2018 Reports</vt:lpstr>
      <vt:lpstr>'&lt;1b&gt; 2016 Reports'!Print_Area</vt:lpstr>
      <vt:lpstr>'&lt;1c&gt; 2017 Reports'!Print_Area</vt:lpstr>
      <vt:lpstr>'&lt;2a&gt; 2017 Reports'!Print_Area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2018-04-30T16:13:35Z</dcterms:created>
  <dcterms:modified xsi:type="dcterms:W3CDTF">2018-04-30T16:17:31Z</dcterms:modified>
</cp:coreProperties>
</file>